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bookViews>
    <workbookView showSheetTabs="0" xWindow="0" yWindow="0" windowWidth="20490" windowHeight="7755" tabRatio="827"/>
  </bookViews>
  <sheets>
    <sheet name="HOME" sheetId="1" r:id="rId1"/>
    <sheet name="बँक जमा खर्च पासबुक" sheetId="42" r:id="rId2"/>
    <sheet name="चेक डायरी" sheetId="46" r:id="rId3"/>
    <sheet name="Balance sheet" sheetId="45" r:id="rId4"/>
    <sheet name="बाबवार खतावणी(लेजर)" sheetId="47" r:id="rId5"/>
    <sheet name="बँक खर्च व्हाउचर पावती" sheetId="44" r:id="rId6"/>
    <sheet name="मासिक कॅशबुक" sheetId="48" r:id="rId7"/>
    <sheet name="शाळा माहिती" sheetId="3" r:id="rId8"/>
    <sheet name="साठा नोंदवही" sheetId="14" r:id="rId9"/>
    <sheet name="दैनिक माहिती" sheetId="12" r:id="rId10"/>
    <sheet name=" प्रमाण निश्चिती " sheetId="13" r:id="rId11"/>
    <sheet name=" दैनिक नोंदवही1 ते 5" sheetId="11" r:id="rId12"/>
    <sheet name="दैनिक भाजीपाला,पूरक आहार 1 ते 5" sheetId="29" r:id="rId13"/>
    <sheet name="इंधन,भाजी.पावती 1 ते 5" sheetId="49" r:id="rId14"/>
    <sheet name="सोयाबीन,पूरक आ. पावती 1 ते 5" sheetId="19" r:id="rId15"/>
    <sheet name=" मासिक धान्यादी शिल्लक 1 ते 5" sheetId="5" r:id="rId16"/>
    <sheet name="वार्षिक धान्यादी माल 1 ते 5" sheetId="17" r:id="rId17"/>
    <sheet name="मासिक तांदूळ अहवाल 1 ते 5" sheetId="6" r:id="rId18"/>
    <sheet name=" दैनिक नोंदवही 6 ते 8" sheetId="28" r:id="rId19"/>
    <sheet name="मासिक तांदूळ अहवाल 6 ते 8" sheetId="27" r:id="rId20"/>
    <sheet name="मासिक धान्यादी शिल्लक 6 ते 8" sheetId="25" r:id="rId21"/>
    <sheet name="दैनिक भाजीपाला,पूरक आहार 6 ते 8" sheetId="30" r:id="rId22"/>
    <sheet name="इंधन भाजी.पावती 6 ते 8" sheetId="50" r:id="rId23"/>
    <sheet name="तेल व पूरक आ.पावती 6 ते 8" sheetId="33" r:id="rId24"/>
    <sheet name="वार्षिक धान्यादी माल 6 ते 8" sheetId="26" r:id="rId25"/>
    <sheet name="मासिक अनुदान मागणी" sheetId="34" r:id="rId26"/>
    <sheet name="मुख्याध्यापक डायरी" sheetId="31" r:id="rId27"/>
    <sheet name="शिक्षक मानधन पावती" sheetId="24" r:id="rId28"/>
    <sheet name="मदतनीस हजेरीपत्रक " sheetId="41" r:id="rId29"/>
    <sheet name="स्वयंपाकी व मदतनीस 1मानधन पावती" sheetId="22" r:id="rId30"/>
    <sheet name=" मदतनीस 2 व 3 मानधन पावती" sheetId="51" r:id="rId31"/>
    <sheet name=" मदतनीस 4 व 5 मानधन पावती " sheetId="52" r:id="rId32"/>
    <sheet name=" वजन व उंची त्रेमासिक अहवाल " sheetId="37" r:id="rId33"/>
    <sheet name="चव रजिस्टर" sheetId="18" r:id="rId34"/>
    <sheet name="स्वयंपाकी  हजेरीपत्रक " sheetId="40" r:id="rId35"/>
    <sheet name="शा.पो.आ.समिती मासिक बैठक" sheetId="36" r:id="rId36"/>
    <sheet name="करारनामा" sheetId="35" r:id="rId37"/>
  </sheets>
  <externalReferences>
    <externalReference r:id="rId38"/>
  </externalReferences>
  <definedNames>
    <definedName name="_xlnm._FilterDatabase" localSheetId="9" hidden="1">'दैनिक माहिती'!$B$8:$P$388</definedName>
    <definedName name="check">'बँक जमा खर्च पासबुक'!$AC$26:$AC$36</definedName>
    <definedName name="MA_Sankhya">{"एक","दोन","तीन","चार","पाच","सहा","सात","आठ","नऊ","दहा","अकरा","बारा","तेरा","चौदा","पंधरा","सोळा","सतरा","अठरा","एकोणवीस","वीस","एकवीस","बावीस","तेवीस","चोवीस","पंचवीस","सव्वीस","सत्तावीस","अठ्ठावीस","एकोणतीस","तीस","एकतीस","बत्तीस","तेहत्तीस","चौतीस","पस्तीस","छत्तीस","सदतीस","अडतीस","एकोणचाळीस","चाळीस","एक्केचाळीस","बेचाळीस","त्रेचाळीस","चव्वेचाळीस","पंचेचाळीस","शेहेचाळीस","सत्तेचाळीस","अठ्ठेचाळीस","एकोणपन्नास","पन्नास","एकावन्न","बावन्न","त्रेपन्न","चोपन्न","पंचावन्न","छपन्न","सत्तावन्न","अठ्ठावन्न","एकोणसाठ","साठ","एकसष्ट","बासष्ट","त्रेसष्ट","चौसष्ट","पासष्ट","सहासष्ट","सदुसष्ट","अडुसष्ट","एकोणसत्तर","सत्तर","एकाहत्तर","बहात्तर","त्र्याहत्तर","चौऱ्याहत्तर","पंच्याहत्तर","शहात्तर","सत्याहत्तर","अठ्ठ्याहत्तर","एकोणऐंशी","ऐंशी","एक्याऐंशी","ब्याऐंशी","त्र्याऐंशी","चौऱ्याऐंशी","पंच्याऐंशी","शहाऐंशी","सत्याऐंशी","अठ्ठ्याऐंशी","एकोणनव्वद","नव्वद","एक्याण्णव","ब्याण्णव","त्र्याण्णव","चौऱ्याण्णव","पंच्याण्णव","शहाण्णव","सत्याण्णव","अठ्ठ्याण्णव","नव्याण्णव","शंभर"}</definedName>
    <definedName name="menu">'दैनिक माहिती'!$F$471:$F$480</definedName>
    <definedName name="month">'शाळा माहिती'!$B$105:$B$116</definedName>
    <definedName name="_xlnm.Print_Area" localSheetId="18">' दैनिक नोंदवही 6 ते 8'!$B$5:$AE$45</definedName>
    <definedName name="_xlnm.Print_Area" localSheetId="11">' दैनिक नोंदवही1 ते 5'!$A$4:$AE$45</definedName>
    <definedName name="_xlnm.Print_Area" localSheetId="30">' मदतनीस 2 व 3 मानधन पावती'!$B$4:$T$32</definedName>
    <definedName name="_xlnm.Print_Area" localSheetId="31">' मदतनीस 4 व 5 मानधन पावती '!$B$4:$T$32</definedName>
    <definedName name="_xlnm.Print_Area" localSheetId="15">' मासिक धान्यादी शिल्लक 1 ते 5'!$B$2:$K$45</definedName>
    <definedName name="_xlnm.Print_Area" localSheetId="32">' वजन व उंची त्रेमासिक अहवाल '!$A$3:$P$275</definedName>
    <definedName name="_xlnm.Print_Area" localSheetId="3">'Balance sheet'!$A$2:$R$22</definedName>
    <definedName name="_xlnm.Print_Area" localSheetId="22">'इंधन भाजी.पावती 6 ते 8'!$B$4:$T$28</definedName>
    <definedName name="_xlnm.Print_Area" localSheetId="13">'इंधन,भाजी.पावती 1 ते 5'!$B$4:$T$28</definedName>
    <definedName name="_xlnm.Print_Area" localSheetId="36">करारनामा!$A$3:$N$66</definedName>
    <definedName name="_xlnm.Print_Area" localSheetId="33">'चव रजिस्टर'!$A$1:$L$39</definedName>
    <definedName name="_xlnm.Print_Area" localSheetId="2">'चेक डायरी'!$A$2:$H$36</definedName>
    <definedName name="_xlnm.Print_Area" localSheetId="23">'तेल व पूरक आ.पावती 6 ते 8'!$B$4:$T$28</definedName>
    <definedName name="_xlnm.Print_Area" localSheetId="12">'दैनिक भाजीपाला,पूरक आहार 1 ते 5'!$B$3:$AA$38</definedName>
    <definedName name="_xlnm.Print_Area" localSheetId="21">'दैनिक भाजीपाला,पूरक आहार 6 ते 8'!$A$3:$AA$39</definedName>
    <definedName name="_xlnm.Print_Area" localSheetId="9">'दैनिक माहिती'!$A$6:$Y$543</definedName>
    <definedName name="_xlnm.Print_Area" localSheetId="5">'बँक खर्च व्हाउचर पावती'!$A$3:$AD$34</definedName>
    <definedName name="_xlnm.Print_Area" localSheetId="4">'बाबवार खतावणी(लेजर)'!$A$3:$S$263</definedName>
    <definedName name="_xlnm.Print_Area" localSheetId="28">'मदतनीस हजेरीपत्रक '!$A$1:$L$40</definedName>
    <definedName name="_xlnm.Print_Area" localSheetId="25">'मासिक अनुदान मागणी'!$A$3:$S$16</definedName>
    <definedName name="_xlnm.Print_Area" localSheetId="6">'मासिक कॅशबुक'!$C$3:$S$34</definedName>
    <definedName name="_xlnm.Print_Area" localSheetId="17">'मासिक तांदूळ अहवाल 1 ते 5'!$B$2:$M$39</definedName>
    <definedName name="_xlnm.Print_Area" localSheetId="19">'मासिक तांदूळ अहवाल 6 ते 8'!$B$2:$M$39</definedName>
    <definedName name="_xlnm.Print_Area" localSheetId="20">'मासिक धान्यादी शिल्लक 6 ते 8'!$B$2:$K$45</definedName>
    <definedName name="_xlnm.Print_Area" localSheetId="26">'मुख्याध्यापक डायरी'!$A$2:$T$52</definedName>
    <definedName name="_xlnm.Print_Area" localSheetId="16">'वार्षिक धान्यादी माल 1 ते 5'!$A$3:$V$74</definedName>
    <definedName name="_xlnm.Print_Area" localSheetId="24">'वार्षिक धान्यादी माल 6 ते 8'!$B$3:$W$75</definedName>
    <definedName name="_xlnm.Print_Area" localSheetId="35">'शा.पो.आ.समिती मासिक बैठक'!$B$3:$F$39</definedName>
    <definedName name="_xlnm.Print_Area" localSheetId="27">'शिक्षक मानधन पावती'!$A$1:$P$27</definedName>
    <definedName name="_xlnm.Print_Area" localSheetId="14">'सोयाबीन,पूरक आ. पावती 1 ते 5'!$B$4:$T$28</definedName>
    <definedName name="_xlnm.Print_Area" localSheetId="34">'स्वयंपाकी  हजेरीपत्रक '!$A$1:$L$40</definedName>
    <definedName name="_xlnm.Print_Area" localSheetId="29">'स्वयंपाकी व मदतनीस 1मानधन पावती'!$B$4:$T$32</definedName>
    <definedName name="_xlnm.Print_Titles" localSheetId="9">'दैनिक माहिती'!$6:$8</definedName>
    <definedName name="_xlnm.Print_Titles" localSheetId="26">'मुख्याध्यापक डायरी'!$2:$2</definedName>
    <definedName name="_xlnm.Print_Titles" localSheetId="16">'वार्षिक धान्यादी माल 1 ते 5'!$3:$6</definedName>
    <definedName name="seed">'दैनिक माहिती'!$D$472:$D$481</definedName>
    <definedName name="चव">'दैनिक माहिती'!$Y$10:$Y$15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0" i="11" l="1"/>
  <c r="Y16" i="13" l="1"/>
  <c r="Y17" i="13"/>
  <c r="Y18" i="13"/>
  <c r="Y19" i="13"/>
  <c r="Y20" i="13"/>
  <c r="Y15" i="13"/>
  <c r="E197" i="12"/>
  <c r="F197" i="12"/>
  <c r="G197" i="12"/>
  <c r="M8" i="52"/>
  <c r="C8" i="52"/>
  <c r="G29" i="52" s="1"/>
  <c r="M8" i="51"/>
  <c r="C8" i="51"/>
  <c r="G29" i="51" s="1"/>
  <c r="M8" i="22"/>
  <c r="AN15" i="52"/>
  <c r="AM15" i="52"/>
  <c r="O15" i="52"/>
  <c r="E15" i="52"/>
  <c r="AN14" i="52"/>
  <c r="AM14" i="52"/>
  <c r="L14" i="52"/>
  <c r="B14" i="52"/>
  <c r="B16" i="52" s="1"/>
  <c r="AN13" i="52"/>
  <c r="AM13" i="52"/>
  <c r="AN12" i="52"/>
  <c r="AM12" i="52"/>
  <c r="AN11" i="52"/>
  <c r="AM11" i="52"/>
  <c r="AN10" i="52"/>
  <c r="AM10" i="52"/>
  <c r="AN9" i="52"/>
  <c r="AM9" i="52"/>
  <c r="S9" i="52"/>
  <c r="P9" i="52"/>
  <c r="M9" i="52"/>
  <c r="I9" i="52"/>
  <c r="F9" i="52"/>
  <c r="C9" i="52"/>
  <c r="AN8" i="52"/>
  <c r="AM8" i="52"/>
  <c r="Q29" i="52"/>
  <c r="AN7" i="52"/>
  <c r="AM7" i="52"/>
  <c r="AN6" i="52"/>
  <c r="AM6" i="52"/>
  <c r="T6" i="52"/>
  <c r="S6" i="52"/>
  <c r="I6" i="52"/>
  <c r="AN5" i="52"/>
  <c r="AM5" i="52"/>
  <c r="L5" i="52"/>
  <c r="B5" i="52"/>
  <c r="AN4" i="52"/>
  <c r="AM4" i="52"/>
  <c r="J6" i="52" s="1"/>
  <c r="AN15" i="51"/>
  <c r="AM15" i="51"/>
  <c r="O15" i="51"/>
  <c r="E15" i="51"/>
  <c r="AN14" i="51"/>
  <c r="AM14" i="51"/>
  <c r="L14" i="51"/>
  <c r="B14" i="51"/>
  <c r="B16" i="51" s="1"/>
  <c r="AN13" i="51"/>
  <c r="AM13" i="51"/>
  <c r="AN12" i="51"/>
  <c r="AM12" i="51"/>
  <c r="AN11" i="51"/>
  <c r="AM11" i="51"/>
  <c r="AN10" i="51"/>
  <c r="AM10" i="51"/>
  <c r="AN9" i="51"/>
  <c r="AM9" i="51"/>
  <c r="S9" i="51"/>
  <c r="P9" i="51"/>
  <c r="M9" i="51"/>
  <c r="I9" i="51"/>
  <c r="F9" i="51"/>
  <c r="C9" i="51"/>
  <c r="AN8" i="51"/>
  <c r="AM8" i="51"/>
  <c r="Q29" i="51"/>
  <c r="AN7" i="51"/>
  <c r="AM7" i="51"/>
  <c r="AN6" i="51"/>
  <c r="AM6" i="51"/>
  <c r="S6" i="51"/>
  <c r="I6" i="51"/>
  <c r="AN5" i="51"/>
  <c r="AM5" i="51"/>
  <c r="L5" i="51"/>
  <c r="B5" i="51"/>
  <c r="AN4" i="51"/>
  <c r="AM4" i="51"/>
  <c r="F15" i="51" s="1"/>
  <c r="C8" i="22"/>
  <c r="G29" i="22" s="1"/>
  <c r="J6" i="51" l="1"/>
  <c r="Q14" i="51"/>
  <c r="Q22" i="51" s="1"/>
  <c r="S22" i="51" s="1"/>
  <c r="D23" i="51" s="1"/>
  <c r="P15" i="52"/>
  <c r="T6" i="51"/>
  <c r="F15" i="52"/>
  <c r="P15" i="51"/>
  <c r="Q14" i="52"/>
  <c r="Q22" i="52" s="1"/>
  <c r="S22" i="52" s="1"/>
  <c r="L16" i="51"/>
  <c r="L16" i="52"/>
  <c r="D23" i="52"/>
  <c r="N23" i="52"/>
  <c r="G14" i="52"/>
  <c r="G22" i="52" s="1"/>
  <c r="I22" i="52" s="1"/>
  <c r="N23" i="51"/>
  <c r="G14" i="51"/>
  <c r="G22" i="51" s="1"/>
  <c r="I22" i="51" s="1"/>
  <c r="E102" i="12"/>
  <c r="I10" i="34"/>
  <c r="I9" i="34"/>
  <c r="I11" i="34" l="1"/>
  <c r="AZ47" i="30"/>
  <c r="AY47" i="30"/>
  <c r="BQ46" i="30"/>
  <c r="BP46" i="30"/>
  <c r="BM46" i="30"/>
  <c r="BL46" i="30"/>
  <c r="BK46" i="30"/>
  <c r="BJ46" i="30"/>
  <c r="BI46" i="30"/>
  <c r="BH46" i="30"/>
  <c r="BG46" i="30"/>
  <c r="BF46" i="30"/>
  <c r="BY46" i="29"/>
  <c r="BZ46" i="29"/>
  <c r="CA46" i="29"/>
  <c r="CB46" i="29"/>
  <c r="BI43" i="29"/>
  <c r="BH43" i="29"/>
  <c r="BJ77" i="29" s="1"/>
  <c r="CD43" i="29"/>
  <c r="BJ43" i="29"/>
  <c r="BZ42" i="29"/>
  <c r="BY42" i="29"/>
  <c r="BV42" i="29"/>
  <c r="BU42" i="29"/>
  <c r="BT42" i="29"/>
  <c r="BS42" i="29"/>
  <c r="BR42" i="29"/>
  <c r="BQ42" i="29"/>
  <c r="BP42" i="29"/>
  <c r="BO42" i="29"/>
  <c r="BL42" i="29"/>
  <c r="CH1" i="29"/>
  <c r="CH2" i="29"/>
  <c r="CH3" i="29"/>
  <c r="CH4" i="29"/>
  <c r="CH5" i="29"/>
  <c r="CH6" i="29"/>
  <c r="CH7" i="29"/>
  <c r="CH8" i="29"/>
  <c r="CH9" i="29"/>
  <c r="CH10" i="29"/>
  <c r="CH11" i="29"/>
  <c r="CH12" i="29"/>
  <c r="CH13" i="29"/>
  <c r="CH14" i="29"/>
  <c r="CH15" i="29"/>
  <c r="CH16" i="29"/>
  <c r="CH17" i="29"/>
  <c r="CH18" i="29"/>
  <c r="CH19" i="29"/>
  <c r="CH20" i="29"/>
  <c r="CH21" i="29"/>
  <c r="CH22" i="29"/>
  <c r="CH23" i="29"/>
  <c r="CH24" i="29"/>
  <c r="CH25" i="29"/>
  <c r="CH26" i="29"/>
  <c r="CH27" i="29"/>
  <c r="CH28" i="29"/>
  <c r="CH29" i="29"/>
  <c r="CH30" i="29"/>
  <c r="CH31" i="29"/>
  <c r="CH32" i="29"/>
  <c r="CH33" i="29"/>
  <c r="CH34" i="29"/>
  <c r="CH35" i="29"/>
  <c r="CH36" i="29"/>
  <c r="CH37" i="29"/>
  <c r="CH38" i="29"/>
  <c r="CH39" i="29"/>
  <c r="I1" i="49"/>
  <c r="S6" i="33"/>
  <c r="I6" i="33"/>
  <c r="S6" i="50"/>
  <c r="I6" i="50"/>
  <c r="BN77" i="29" l="1"/>
  <c r="BH47" i="29"/>
  <c r="BH48" i="29" s="1"/>
  <c r="BH49" i="29" s="1"/>
  <c r="BH50" i="29" s="1"/>
  <c r="BH51" i="29" s="1"/>
  <c r="BH52" i="29" s="1"/>
  <c r="BH53" i="29" s="1"/>
  <c r="BH54" i="29" s="1"/>
  <c r="BH55" i="29" s="1"/>
  <c r="BH56" i="29" s="1"/>
  <c r="BH57" i="29" s="1"/>
  <c r="BH58" i="29" s="1"/>
  <c r="BH59" i="29" s="1"/>
  <c r="BH60" i="29" s="1"/>
  <c r="BH61" i="29" s="1"/>
  <c r="BH62" i="29" s="1"/>
  <c r="BH63" i="29" s="1"/>
  <c r="BH64" i="29" s="1"/>
  <c r="BH65" i="29" s="1"/>
  <c r="BH66" i="29" s="1"/>
  <c r="BH67" i="29" s="1"/>
  <c r="BH68" i="29" s="1"/>
  <c r="BH69" i="29" s="1"/>
  <c r="S6" i="49"/>
  <c r="I6" i="49"/>
  <c r="S6" i="19"/>
  <c r="I6" i="19"/>
  <c r="W20" i="49"/>
  <c r="BI49" i="29" l="1"/>
  <c r="BI51" i="29"/>
  <c r="BI47" i="29"/>
  <c r="BI50" i="29"/>
  <c r="BI48" i="29"/>
  <c r="BI52" i="29"/>
  <c r="BI53" i="29"/>
  <c r="N20" i="50"/>
  <c r="N19" i="50"/>
  <c r="N18" i="50"/>
  <c r="N17" i="50"/>
  <c r="N16" i="50"/>
  <c r="AI15" i="50"/>
  <c r="N15" i="50"/>
  <c r="AI14" i="50"/>
  <c r="N14" i="50"/>
  <c r="AI13" i="50"/>
  <c r="N13" i="50"/>
  <c r="AI12" i="50"/>
  <c r="N12" i="50"/>
  <c r="L12" i="50"/>
  <c r="B12" i="50"/>
  <c r="AI11" i="50"/>
  <c r="AI10" i="50"/>
  <c r="AI9" i="50"/>
  <c r="S9" i="50"/>
  <c r="P9" i="50"/>
  <c r="M9" i="50"/>
  <c r="I9" i="50"/>
  <c r="F9" i="50"/>
  <c r="C9" i="50"/>
  <c r="AI8" i="50"/>
  <c r="M8" i="50"/>
  <c r="P26" i="50" s="1"/>
  <c r="C8" i="50"/>
  <c r="G26" i="50" s="1"/>
  <c r="AI7" i="50"/>
  <c r="AI6" i="50"/>
  <c r="T6" i="50"/>
  <c r="Q6" i="50"/>
  <c r="J6" i="50"/>
  <c r="G6" i="50"/>
  <c r="L5" i="50"/>
  <c r="B5" i="50"/>
  <c r="N20" i="49"/>
  <c r="N19" i="49"/>
  <c r="N18" i="49"/>
  <c r="N17" i="49"/>
  <c r="N16" i="49"/>
  <c r="AI15" i="49"/>
  <c r="N15" i="49"/>
  <c r="AI14" i="49"/>
  <c r="N14" i="49"/>
  <c r="AI13" i="49"/>
  <c r="N13" i="49"/>
  <c r="AI12" i="49"/>
  <c r="N12" i="49"/>
  <c r="L12" i="49"/>
  <c r="B12" i="49"/>
  <c r="L14" i="49" s="1"/>
  <c r="AI11" i="49"/>
  <c r="AI10" i="49"/>
  <c r="AI9" i="49"/>
  <c r="S9" i="49"/>
  <c r="P9" i="49"/>
  <c r="M9" i="49"/>
  <c r="I9" i="49"/>
  <c r="F9" i="49"/>
  <c r="C9" i="49"/>
  <c r="AI8" i="49"/>
  <c r="M8" i="49"/>
  <c r="P26" i="49" s="1"/>
  <c r="C8" i="49"/>
  <c r="G26" i="49" s="1"/>
  <c r="AI7" i="49"/>
  <c r="AI6" i="49"/>
  <c r="T6" i="49"/>
  <c r="Q6" i="49"/>
  <c r="J6" i="49"/>
  <c r="G6" i="49"/>
  <c r="L5" i="49"/>
  <c r="B5" i="49"/>
  <c r="BI54" i="29" l="1"/>
  <c r="L14" i="50"/>
  <c r="B14" i="50"/>
  <c r="B14" i="49"/>
  <c r="AE8" i="28"/>
  <c r="AD8" i="28"/>
  <c r="AC8" i="28"/>
  <c r="AE8" i="11"/>
  <c r="AD8" i="11"/>
  <c r="AC8" i="11"/>
  <c r="AB8" i="11"/>
  <c r="BI55" i="29" l="1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6" i="5"/>
  <c r="M4" i="27"/>
  <c r="M4" i="6"/>
  <c r="C4" i="6"/>
  <c r="BI56" i="29" l="1"/>
  <c r="AC24" i="31"/>
  <c r="AD24" i="31"/>
  <c r="AC25" i="31"/>
  <c r="AD25" i="31"/>
  <c r="AC26" i="31"/>
  <c r="AD26" i="31"/>
  <c r="AC27" i="31"/>
  <c r="AD27" i="31"/>
  <c r="AC28" i="31"/>
  <c r="AD28" i="31"/>
  <c r="AC29" i="31"/>
  <c r="AD29" i="31"/>
  <c r="AC30" i="31"/>
  <c r="AD30" i="31"/>
  <c r="AC31" i="31"/>
  <c r="AD31" i="31"/>
  <c r="AC32" i="31"/>
  <c r="AD32" i="31"/>
  <c r="AC33" i="31"/>
  <c r="AD33" i="31"/>
  <c r="AC34" i="31"/>
  <c r="AD34" i="31"/>
  <c r="AD23" i="31"/>
  <c r="R22" i="31" s="1"/>
  <c r="AC23" i="31"/>
  <c r="AC7" i="31"/>
  <c r="AD7" i="31"/>
  <c r="AC8" i="31"/>
  <c r="AD8" i="31"/>
  <c r="AC9" i="31"/>
  <c r="AD9" i="31"/>
  <c r="AC10" i="31"/>
  <c r="AD10" i="31"/>
  <c r="AC11" i="31"/>
  <c r="AD11" i="31"/>
  <c r="AC12" i="31"/>
  <c r="AD12" i="31"/>
  <c r="AC13" i="31"/>
  <c r="AD13" i="31"/>
  <c r="AC14" i="31"/>
  <c r="AD14" i="31"/>
  <c r="AC15" i="31"/>
  <c r="AD15" i="31"/>
  <c r="AC16" i="31"/>
  <c r="AD16" i="31"/>
  <c r="AC17" i="31"/>
  <c r="AD17" i="31"/>
  <c r="AD6" i="31"/>
  <c r="AC6" i="31"/>
  <c r="AB34" i="31"/>
  <c r="AB33" i="31"/>
  <c r="AB32" i="31"/>
  <c r="AB31" i="31"/>
  <c r="AB30" i="31"/>
  <c r="AB29" i="31"/>
  <c r="AB28" i="31"/>
  <c r="AB27" i="31"/>
  <c r="AB26" i="31"/>
  <c r="AB25" i="31"/>
  <c r="AB24" i="31"/>
  <c r="AB23" i="31"/>
  <c r="AB17" i="31"/>
  <c r="AB16" i="31"/>
  <c r="AB15" i="31"/>
  <c r="AB14" i="31"/>
  <c r="AB13" i="31"/>
  <c r="AB12" i="31"/>
  <c r="AB11" i="31"/>
  <c r="AB10" i="31"/>
  <c r="AB9" i="31"/>
  <c r="AB8" i="31"/>
  <c r="AB7" i="31"/>
  <c r="AB6" i="31"/>
  <c r="Q2" i="31"/>
  <c r="P9" i="34"/>
  <c r="O9" i="34"/>
  <c r="BI57" i="29" l="1"/>
  <c r="R39" i="31"/>
  <c r="R5" i="31"/>
  <c r="Z6" i="30"/>
  <c r="AA6" i="30"/>
  <c r="BW50" i="30" s="1"/>
  <c r="S6" i="30"/>
  <c r="BO50" i="30" s="1"/>
  <c r="R6" i="30"/>
  <c r="Q6" i="30"/>
  <c r="P6" i="30"/>
  <c r="O6" i="30"/>
  <c r="N6" i="30"/>
  <c r="M6" i="30"/>
  <c r="L6" i="30"/>
  <c r="BH50" i="30" s="1"/>
  <c r="K6" i="30"/>
  <c r="J6" i="30"/>
  <c r="BF50" i="30" s="1"/>
  <c r="AA6" i="29"/>
  <c r="CF46" i="29" s="1"/>
  <c r="Z6" i="29"/>
  <c r="R6" i="29"/>
  <c r="Q6" i="29"/>
  <c r="P6" i="29"/>
  <c r="O6" i="29"/>
  <c r="N6" i="29"/>
  <c r="M6" i="29"/>
  <c r="L6" i="29"/>
  <c r="BQ46" i="29" s="1"/>
  <c r="K6" i="29"/>
  <c r="J6" i="29"/>
  <c r="BO46" i="29" s="1"/>
  <c r="BP46" i="29" l="1"/>
  <c r="BR46" i="29"/>
  <c r="BR77" i="29"/>
  <c r="BT46" i="29"/>
  <c r="BT77" i="29"/>
  <c r="BV46" i="29"/>
  <c r="BV77" i="29"/>
  <c r="CE6" i="29"/>
  <c r="CE46" i="29"/>
  <c r="BS46" i="29"/>
  <c r="BS77" i="29"/>
  <c r="BU46" i="29"/>
  <c r="BU77" i="29"/>
  <c r="BW46" i="29"/>
  <c r="BW77" i="29"/>
  <c r="BJ50" i="30"/>
  <c r="BL50" i="30"/>
  <c r="BN50" i="30"/>
  <c r="BG50" i="30"/>
  <c r="BI50" i="30"/>
  <c r="BK50" i="30"/>
  <c r="BM50" i="30"/>
  <c r="BV6" i="30"/>
  <c r="BV50" i="30"/>
  <c r="BI58" i="29"/>
  <c r="C19" i="24"/>
  <c r="C17" i="24"/>
  <c r="N5" i="24"/>
  <c r="L5" i="24"/>
  <c r="I5" i="24"/>
  <c r="C5" i="24"/>
  <c r="H3" i="24"/>
  <c r="CE77" i="29" l="1"/>
  <c r="BI59" i="29"/>
  <c r="J5" i="6"/>
  <c r="BI60" i="29" l="1"/>
  <c r="A6" i="12"/>
  <c r="BI61" i="29" l="1"/>
  <c r="G6" i="31"/>
  <c r="BI62" i="29" l="1"/>
  <c r="P11" i="34"/>
  <c r="O11" i="34"/>
  <c r="J13" i="34"/>
  <c r="C9" i="34"/>
  <c r="C10" i="34"/>
  <c r="BI63" i="29" l="1"/>
  <c r="G8" i="25"/>
  <c r="C4" i="27"/>
  <c r="BI64" i="29" l="1"/>
  <c r="F8" i="5"/>
  <c r="BI65" i="29" l="1"/>
  <c r="U8" i="42"/>
  <c r="U7" i="42"/>
  <c r="N239" i="37"/>
  <c r="L239" i="37"/>
  <c r="N200" i="37"/>
  <c r="L200" i="37"/>
  <c r="N161" i="37"/>
  <c r="L161" i="37"/>
  <c r="N122" i="37"/>
  <c r="L122" i="37"/>
  <c r="N83" i="37"/>
  <c r="L83" i="37"/>
  <c r="N44" i="37"/>
  <c r="L44" i="37"/>
  <c r="N5" i="37"/>
  <c r="O243" i="37" s="1"/>
  <c r="L5" i="37"/>
  <c r="I243" i="37" s="1"/>
  <c r="AM4" i="22"/>
  <c r="AN4" i="22"/>
  <c r="B5" i="22"/>
  <c r="L5" i="22"/>
  <c r="AM5" i="22"/>
  <c r="AN5" i="22"/>
  <c r="I6" i="22"/>
  <c r="S6" i="22"/>
  <c r="AM6" i="22"/>
  <c r="AN6" i="22"/>
  <c r="AM7" i="22"/>
  <c r="AN7" i="22"/>
  <c r="AM8" i="22"/>
  <c r="AN8" i="22"/>
  <c r="C9" i="22"/>
  <c r="F9" i="22"/>
  <c r="I9" i="22"/>
  <c r="M9" i="22"/>
  <c r="P9" i="22"/>
  <c r="S9" i="22"/>
  <c r="AM9" i="22"/>
  <c r="AN9" i="22"/>
  <c r="AM10" i="22"/>
  <c r="AN10" i="22"/>
  <c r="AM11" i="22"/>
  <c r="AN11" i="22"/>
  <c r="AM12" i="22"/>
  <c r="AN12" i="22"/>
  <c r="AM13" i="22"/>
  <c r="AN13" i="22"/>
  <c r="B14" i="22"/>
  <c r="L16" i="22" s="1"/>
  <c r="G14" i="22"/>
  <c r="G22" i="22" s="1"/>
  <c r="I22" i="22" s="1"/>
  <c r="L14" i="22"/>
  <c r="Q14" i="22"/>
  <c r="Q22" i="22" s="1"/>
  <c r="S22" i="22" s="1"/>
  <c r="AM14" i="22"/>
  <c r="AN14" i="22"/>
  <c r="E15" i="22"/>
  <c r="O15" i="22"/>
  <c r="AM15" i="22"/>
  <c r="AN15" i="22"/>
  <c r="Q29" i="22"/>
  <c r="BI66" i="29" l="1"/>
  <c r="J6" i="22"/>
  <c r="B16" i="22"/>
  <c r="O48" i="37"/>
  <c r="O126" i="37"/>
  <c r="O204" i="37"/>
  <c r="O9" i="37"/>
  <c r="O87" i="37"/>
  <c r="O165" i="37"/>
  <c r="F9" i="37"/>
  <c r="L9" i="37"/>
  <c r="F48" i="37"/>
  <c r="L48" i="37"/>
  <c r="F87" i="37"/>
  <c r="L87" i="37"/>
  <c r="F126" i="37"/>
  <c r="L126" i="37"/>
  <c r="F165" i="37"/>
  <c r="L165" i="37"/>
  <c r="F204" i="37"/>
  <c r="L204" i="37"/>
  <c r="F243" i="37"/>
  <c r="L243" i="37"/>
  <c r="I9" i="37"/>
  <c r="I48" i="37"/>
  <c r="I87" i="37"/>
  <c r="I126" i="37"/>
  <c r="I165" i="37"/>
  <c r="I204" i="37"/>
  <c r="D23" i="22"/>
  <c r="N23" i="22"/>
  <c r="P15" i="22"/>
  <c r="F15" i="22"/>
  <c r="T6" i="22"/>
  <c r="H57" i="35"/>
  <c r="C58" i="35"/>
  <c r="C4" i="36"/>
  <c r="F5" i="40"/>
  <c r="D5" i="40"/>
  <c r="J4" i="40"/>
  <c r="D4" i="40"/>
  <c r="E3" i="40"/>
  <c r="K7" i="24"/>
  <c r="C8" i="6"/>
  <c r="BI67" i="29" l="1"/>
  <c r="G8" i="6"/>
  <c r="K8" i="6"/>
  <c r="D8" i="6"/>
  <c r="D242" i="37"/>
  <c r="L242" i="37"/>
  <c r="L241" i="37"/>
  <c r="D241" i="37"/>
  <c r="D240" i="37"/>
  <c r="D203" i="37"/>
  <c r="L203" i="37"/>
  <c r="L202" i="37"/>
  <c r="D202" i="37"/>
  <c r="D201" i="37"/>
  <c r="D164" i="37"/>
  <c r="L164" i="37"/>
  <c r="L163" i="37"/>
  <c r="D163" i="37"/>
  <c r="D162" i="37"/>
  <c r="D125" i="37"/>
  <c r="L125" i="37"/>
  <c r="L124" i="37"/>
  <c r="D124" i="37"/>
  <c r="D123" i="37"/>
  <c r="D86" i="37"/>
  <c r="L86" i="37"/>
  <c r="L85" i="37"/>
  <c r="D85" i="37"/>
  <c r="D84" i="37"/>
  <c r="D47" i="37"/>
  <c r="L47" i="37"/>
  <c r="L46" i="37"/>
  <c r="D46" i="37"/>
  <c r="D45" i="37"/>
  <c r="D6" i="37"/>
  <c r="F4" i="6"/>
  <c r="H386" i="12"/>
  <c r="I386" i="12"/>
  <c r="F386" i="12"/>
  <c r="G386" i="12"/>
  <c r="J386" i="12"/>
  <c r="K386" i="12"/>
  <c r="L386" i="12"/>
  <c r="M386" i="12"/>
  <c r="N386" i="12"/>
  <c r="E386" i="12"/>
  <c r="F354" i="12"/>
  <c r="G354" i="12"/>
  <c r="H354" i="12"/>
  <c r="I354" i="12"/>
  <c r="J354" i="12"/>
  <c r="K354" i="12"/>
  <c r="L354" i="12"/>
  <c r="M354" i="12"/>
  <c r="N354" i="12"/>
  <c r="E354" i="12"/>
  <c r="F324" i="12"/>
  <c r="G324" i="12"/>
  <c r="H324" i="12"/>
  <c r="I324" i="12"/>
  <c r="J324" i="12"/>
  <c r="K324" i="12"/>
  <c r="L324" i="12"/>
  <c r="M324" i="12"/>
  <c r="N324" i="12"/>
  <c r="E324" i="12"/>
  <c r="F292" i="12"/>
  <c r="G292" i="12"/>
  <c r="H292" i="12"/>
  <c r="I292" i="12"/>
  <c r="J292" i="12"/>
  <c r="K292" i="12"/>
  <c r="L292" i="12"/>
  <c r="M292" i="12"/>
  <c r="N292" i="12"/>
  <c r="E292" i="12"/>
  <c r="F260" i="12"/>
  <c r="G260" i="12"/>
  <c r="H260" i="12"/>
  <c r="I260" i="12"/>
  <c r="J260" i="12"/>
  <c r="K260" i="12"/>
  <c r="L260" i="12"/>
  <c r="M260" i="12"/>
  <c r="N260" i="12"/>
  <c r="E260" i="12"/>
  <c r="F229" i="12"/>
  <c r="G229" i="12"/>
  <c r="H229" i="12"/>
  <c r="I229" i="12"/>
  <c r="J229" i="12"/>
  <c r="K229" i="12"/>
  <c r="L229" i="12"/>
  <c r="M229" i="12"/>
  <c r="N229" i="12"/>
  <c r="E229" i="12"/>
  <c r="H197" i="12"/>
  <c r="I197" i="12"/>
  <c r="J197" i="12"/>
  <c r="K197" i="12"/>
  <c r="L197" i="12"/>
  <c r="M197" i="12"/>
  <c r="N197" i="12"/>
  <c r="F166" i="12"/>
  <c r="G166" i="12"/>
  <c r="H166" i="12"/>
  <c r="I166" i="12"/>
  <c r="J166" i="12"/>
  <c r="K166" i="12"/>
  <c r="L166" i="12"/>
  <c r="M166" i="12"/>
  <c r="N166" i="12"/>
  <c r="E166" i="12"/>
  <c r="F134" i="12"/>
  <c r="G134" i="12"/>
  <c r="H134" i="12"/>
  <c r="I134" i="12"/>
  <c r="J134" i="12"/>
  <c r="K134" i="12"/>
  <c r="L134" i="12"/>
  <c r="M134" i="12"/>
  <c r="N134" i="12"/>
  <c r="E134" i="12"/>
  <c r="F102" i="12"/>
  <c r="G102" i="12"/>
  <c r="H102" i="12"/>
  <c r="I102" i="12"/>
  <c r="J102" i="12"/>
  <c r="K102" i="12"/>
  <c r="L102" i="12"/>
  <c r="M102" i="12"/>
  <c r="N102" i="12"/>
  <c r="M71" i="12"/>
  <c r="N71" i="12"/>
  <c r="H71" i="12"/>
  <c r="I71" i="12"/>
  <c r="M39" i="12"/>
  <c r="N39" i="12"/>
  <c r="H39" i="12"/>
  <c r="I39" i="12"/>
  <c r="F71" i="12"/>
  <c r="G71" i="12"/>
  <c r="J71" i="12"/>
  <c r="K71" i="12"/>
  <c r="L71" i="12"/>
  <c r="E71" i="12"/>
  <c r="K39" i="12"/>
  <c r="L39" i="12"/>
  <c r="J39" i="12"/>
  <c r="F39" i="12"/>
  <c r="G39" i="12"/>
  <c r="E39" i="12"/>
  <c r="MK42" i="24"/>
  <c r="MJ42" i="24"/>
  <c r="MI42" i="24"/>
  <c r="MH42" i="24"/>
  <c r="K2" i="31"/>
  <c r="C13" i="11"/>
  <c r="J388" i="12" l="1"/>
  <c r="BI68" i="29"/>
  <c r="G388" i="12"/>
  <c r="K388" i="12"/>
  <c r="F388" i="12"/>
  <c r="L388" i="12"/>
  <c r="E388" i="12"/>
  <c r="MH41" i="24"/>
  <c r="D7" i="47"/>
  <c r="D8" i="47"/>
  <c r="D9" i="47"/>
  <c r="D10" i="47"/>
  <c r="D11" i="47"/>
  <c r="D12" i="47"/>
  <c r="D13" i="47"/>
  <c r="D14" i="47"/>
  <c r="D15" i="47"/>
  <c r="D16" i="47"/>
  <c r="D17" i="47"/>
  <c r="D18" i="47"/>
  <c r="D6" i="47"/>
  <c r="C10" i="45"/>
  <c r="C11" i="45"/>
  <c r="C12" i="45"/>
  <c r="C13" i="45"/>
  <c r="C14" i="45"/>
  <c r="C15" i="45"/>
  <c r="C16" i="45"/>
  <c r="C17" i="45"/>
  <c r="C18" i="45"/>
  <c r="C19" i="45"/>
  <c r="C20" i="45"/>
  <c r="C21" i="45"/>
  <c r="C9" i="45"/>
  <c r="U18" i="42"/>
  <c r="U17" i="42"/>
  <c r="U16" i="42"/>
  <c r="U15" i="42"/>
  <c r="U14" i="42"/>
  <c r="U13" i="42"/>
  <c r="U12" i="42"/>
  <c r="U11" i="42"/>
  <c r="U10" i="42"/>
  <c r="U9" i="42"/>
  <c r="U6" i="42"/>
  <c r="BH70" i="29" l="1"/>
  <c r="BI69" i="29"/>
  <c r="Q15" i="42"/>
  <c r="R15" i="42"/>
  <c r="Q16" i="42"/>
  <c r="R16" i="42"/>
  <c r="Q17" i="42"/>
  <c r="R17" i="42"/>
  <c r="Q18" i="42"/>
  <c r="R18" i="42"/>
  <c r="Q19" i="42"/>
  <c r="R19" i="42"/>
  <c r="Q20" i="42"/>
  <c r="R20" i="42"/>
  <c r="Q21" i="42"/>
  <c r="R21" i="42"/>
  <c r="Q22" i="42"/>
  <c r="R22" i="42"/>
  <c r="Q23" i="42"/>
  <c r="R23" i="42"/>
  <c r="Q24" i="42"/>
  <c r="R24" i="42"/>
  <c r="Q25" i="42"/>
  <c r="R25" i="42"/>
  <c r="Q26" i="42"/>
  <c r="R26" i="42"/>
  <c r="Q27" i="42"/>
  <c r="R27" i="42"/>
  <c r="Q28" i="42"/>
  <c r="R28" i="42"/>
  <c r="Q29" i="42"/>
  <c r="R29" i="42"/>
  <c r="Q30" i="42"/>
  <c r="R30" i="42"/>
  <c r="Q31" i="42"/>
  <c r="R31" i="42"/>
  <c r="Q32" i="42"/>
  <c r="R32" i="42"/>
  <c r="Q33" i="42"/>
  <c r="R33" i="42"/>
  <c r="Q34" i="42"/>
  <c r="R34" i="42"/>
  <c r="Q35" i="42"/>
  <c r="R35" i="42"/>
  <c r="Q36" i="42"/>
  <c r="R36" i="42"/>
  <c r="Q37" i="42"/>
  <c r="R37" i="42"/>
  <c r="Q38" i="42"/>
  <c r="R38" i="42"/>
  <c r="Q39" i="42"/>
  <c r="R39" i="42"/>
  <c r="Q40" i="42"/>
  <c r="R40" i="42"/>
  <c r="Q41" i="42"/>
  <c r="R41" i="42"/>
  <c r="Q42" i="42"/>
  <c r="R42" i="42"/>
  <c r="Q43" i="42"/>
  <c r="R43" i="42"/>
  <c r="Q44" i="42"/>
  <c r="R44" i="42"/>
  <c r="Q45" i="42"/>
  <c r="R45" i="42"/>
  <c r="Q46" i="42"/>
  <c r="R46" i="42"/>
  <c r="Q47" i="42"/>
  <c r="R47" i="42"/>
  <c r="Q48" i="42"/>
  <c r="R48" i="42"/>
  <c r="Q49" i="42"/>
  <c r="R49" i="42"/>
  <c r="Q50" i="42"/>
  <c r="R50" i="42"/>
  <c r="Q51" i="42"/>
  <c r="R51" i="42"/>
  <c r="Q52" i="42"/>
  <c r="R52" i="42"/>
  <c r="Q53" i="42"/>
  <c r="R53" i="42"/>
  <c r="Q54" i="42"/>
  <c r="R54" i="42"/>
  <c r="Q55" i="42"/>
  <c r="R55" i="42"/>
  <c r="Q56" i="42"/>
  <c r="R56" i="42"/>
  <c r="Q57" i="42"/>
  <c r="R57" i="42"/>
  <c r="Q58" i="42"/>
  <c r="R58" i="42"/>
  <c r="Q59" i="42"/>
  <c r="R59" i="42"/>
  <c r="Q60" i="42"/>
  <c r="R60" i="42"/>
  <c r="Q61" i="42"/>
  <c r="R61" i="42"/>
  <c r="Q62" i="42"/>
  <c r="R62" i="42"/>
  <c r="Q63" i="42"/>
  <c r="R63" i="42"/>
  <c r="Q64" i="42"/>
  <c r="R64" i="42"/>
  <c r="Q65" i="42"/>
  <c r="R65" i="42"/>
  <c r="Q66" i="42"/>
  <c r="R66" i="42"/>
  <c r="Q67" i="42"/>
  <c r="R67" i="42"/>
  <c r="Q68" i="42"/>
  <c r="R68" i="42"/>
  <c r="Q69" i="42"/>
  <c r="R69" i="42"/>
  <c r="Q70" i="42"/>
  <c r="R70" i="42"/>
  <c r="Q71" i="42"/>
  <c r="R71" i="42"/>
  <c r="Q72" i="42"/>
  <c r="R72" i="42"/>
  <c r="Q73" i="42"/>
  <c r="R73" i="42"/>
  <c r="Q74" i="42"/>
  <c r="R74" i="42"/>
  <c r="Q75" i="42"/>
  <c r="R75" i="42"/>
  <c r="Q76" i="42"/>
  <c r="R76" i="42"/>
  <c r="Q77" i="42"/>
  <c r="R77" i="42"/>
  <c r="Q78" i="42"/>
  <c r="R78" i="42"/>
  <c r="Q79" i="42"/>
  <c r="R79" i="42"/>
  <c r="Q80" i="42"/>
  <c r="R80" i="42"/>
  <c r="Q81" i="42"/>
  <c r="R81" i="42"/>
  <c r="Q82" i="42"/>
  <c r="R82" i="42"/>
  <c r="Q83" i="42"/>
  <c r="R83" i="42"/>
  <c r="Q84" i="42"/>
  <c r="R84" i="42"/>
  <c r="Q85" i="42"/>
  <c r="R85" i="42"/>
  <c r="Q86" i="42"/>
  <c r="R86" i="42"/>
  <c r="Q87" i="42"/>
  <c r="R87" i="42"/>
  <c r="Q88" i="42"/>
  <c r="R88" i="42"/>
  <c r="Q89" i="42"/>
  <c r="R89" i="42"/>
  <c r="Q90" i="42"/>
  <c r="R90" i="42"/>
  <c r="Q91" i="42"/>
  <c r="R91" i="42"/>
  <c r="Q92" i="42"/>
  <c r="R92" i="42"/>
  <c r="Q93" i="42"/>
  <c r="R93" i="42"/>
  <c r="Q94" i="42"/>
  <c r="R94" i="42"/>
  <c r="Q95" i="42"/>
  <c r="R95" i="42"/>
  <c r="Q96" i="42"/>
  <c r="R96" i="42"/>
  <c r="Q97" i="42"/>
  <c r="R97" i="42"/>
  <c r="Q98" i="42"/>
  <c r="R98" i="42"/>
  <c r="Q99" i="42"/>
  <c r="R99" i="42"/>
  <c r="Q100" i="42"/>
  <c r="R100" i="42"/>
  <c r="Q101" i="42"/>
  <c r="R101" i="42"/>
  <c r="Q102" i="42"/>
  <c r="R102" i="42"/>
  <c r="Q103" i="42"/>
  <c r="R103" i="42"/>
  <c r="Q104" i="42"/>
  <c r="R104" i="42"/>
  <c r="Q105" i="42"/>
  <c r="R105" i="42"/>
  <c r="Q106" i="42"/>
  <c r="R106" i="42"/>
  <c r="Q107" i="42"/>
  <c r="R107" i="42"/>
  <c r="Q108" i="42"/>
  <c r="R108" i="42"/>
  <c r="Q109" i="42"/>
  <c r="R109" i="42"/>
  <c r="Q110" i="42"/>
  <c r="R110" i="42"/>
  <c r="BI70" i="29" l="1"/>
  <c r="BH71" i="29"/>
  <c r="S110" i="42"/>
  <c r="S109" i="42"/>
  <c r="S108" i="42"/>
  <c r="S107" i="42"/>
  <c r="S106" i="42"/>
  <c r="S105" i="42"/>
  <c r="S104" i="42"/>
  <c r="S103" i="42"/>
  <c r="S102" i="42"/>
  <c r="S101" i="42"/>
  <c r="S100" i="42"/>
  <c r="S99" i="42"/>
  <c r="S98" i="42"/>
  <c r="S97" i="42"/>
  <c r="S96" i="42"/>
  <c r="S95" i="42"/>
  <c r="S94" i="42"/>
  <c r="S93" i="42"/>
  <c r="S92" i="42"/>
  <c r="S91" i="42"/>
  <c r="S90" i="42"/>
  <c r="S89" i="42"/>
  <c r="S88" i="42"/>
  <c r="S87" i="42"/>
  <c r="S86" i="42"/>
  <c r="S85" i="42"/>
  <c r="S84" i="42"/>
  <c r="S83" i="42"/>
  <c r="S82" i="42"/>
  <c r="S81" i="42"/>
  <c r="S80" i="42"/>
  <c r="S79" i="42"/>
  <c r="S78" i="42"/>
  <c r="S77" i="42"/>
  <c r="S76" i="42"/>
  <c r="S75" i="42"/>
  <c r="S74" i="42"/>
  <c r="S73" i="42"/>
  <c r="S72" i="42"/>
  <c r="S71" i="42"/>
  <c r="S70" i="42"/>
  <c r="S69" i="42"/>
  <c r="S68" i="42"/>
  <c r="S67" i="42"/>
  <c r="S66" i="42"/>
  <c r="S65" i="42"/>
  <c r="S64" i="42"/>
  <c r="S63" i="42"/>
  <c r="S62" i="42"/>
  <c r="S61" i="42"/>
  <c r="S60" i="42"/>
  <c r="S59" i="42"/>
  <c r="S58" i="42"/>
  <c r="S57" i="42"/>
  <c r="S56" i="42"/>
  <c r="S55" i="42"/>
  <c r="S54" i="42"/>
  <c r="S53" i="42"/>
  <c r="S52" i="42"/>
  <c r="S51" i="42"/>
  <c r="S50" i="42"/>
  <c r="S49" i="42"/>
  <c r="S48" i="42"/>
  <c r="S47" i="42"/>
  <c r="S46" i="42"/>
  <c r="S45" i="42"/>
  <c r="S44" i="42"/>
  <c r="S43" i="42"/>
  <c r="S42" i="42"/>
  <c r="S41" i="42"/>
  <c r="S40" i="42"/>
  <c r="S39" i="42"/>
  <c r="S38" i="42"/>
  <c r="S37" i="42"/>
  <c r="S36" i="42"/>
  <c r="S35" i="42"/>
  <c r="S34" i="42"/>
  <c r="S33" i="42"/>
  <c r="S32" i="42"/>
  <c r="S31" i="42"/>
  <c r="S30" i="42"/>
  <c r="S29" i="42"/>
  <c r="S28" i="42"/>
  <c r="S27" i="42"/>
  <c r="S26" i="42"/>
  <c r="S25" i="42"/>
  <c r="S24" i="42"/>
  <c r="S23" i="42"/>
  <c r="S22" i="42"/>
  <c r="S21" i="42"/>
  <c r="S20" i="42"/>
  <c r="S19" i="42"/>
  <c r="S18" i="42"/>
  <c r="S17" i="42"/>
  <c r="S16" i="42"/>
  <c r="S15" i="42"/>
  <c r="M10" i="45"/>
  <c r="N10" i="45"/>
  <c r="M11" i="45"/>
  <c r="N11" i="45"/>
  <c r="M12" i="45"/>
  <c r="N12" i="45"/>
  <c r="M13" i="45"/>
  <c r="N13" i="45"/>
  <c r="M14" i="45"/>
  <c r="N14" i="45"/>
  <c r="M15" i="45"/>
  <c r="N15" i="45"/>
  <c r="M16" i="45"/>
  <c r="N16" i="45"/>
  <c r="M17" i="45"/>
  <c r="N17" i="45"/>
  <c r="M18" i="45"/>
  <c r="N18" i="45"/>
  <c r="M19" i="45"/>
  <c r="N19" i="45"/>
  <c r="M20" i="45"/>
  <c r="N20" i="45"/>
  <c r="M21" i="45"/>
  <c r="N21" i="45"/>
  <c r="G10" i="45"/>
  <c r="H10" i="45"/>
  <c r="G11" i="45"/>
  <c r="H11" i="45"/>
  <c r="G12" i="45"/>
  <c r="H12" i="45"/>
  <c r="G13" i="45"/>
  <c r="H13" i="45"/>
  <c r="G14" i="45"/>
  <c r="H14" i="45"/>
  <c r="G15" i="45"/>
  <c r="H15" i="45"/>
  <c r="G16" i="45"/>
  <c r="H16" i="45"/>
  <c r="G17" i="45"/>
  <c r="H17" i="45"/>
  <c r="G18" i="45"/>
  <c r="H18" i="45"/>
  <c r="G19" i="45"/>
  <c r="H19" i="45"/>
  <c r="G20" i="45"/>
  <c r="H20" i="45"/>
  <c r="G21" i="45"/>
  <c r="H21" i="45"/>
  <c r="N9" i="45"/>
  <c r="M9" i="45"/>
  <c r="D9" i="45"/>
  <c r="G9" i="45"/>
  <c r="H9" i="45"/>
  <c r="BI71" i="29" l="1"/>
  <c r="BH72" i="29"/>
  <c r="H5" i="48"/>
  <c r="M4" i="48"/>
  <c r="P5" i="48"/>
  <c r="P4" i="48"/>
  <c r="S4" i="48"/>
  <c r="R4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9" i="42"/>
  <c r="G27" i="47"/>
  <c r="D21" i="45"/>
  <c r="G253" i="47" s="1"/>
  <c r="D20" i="45"/>
  <c r="G238" i="47" s="1"/>
  <c r="D19" i="45"/>
  <c r="G221" i="47" s="1"/>
  <c r="D18" i="45"/>
  <c r="G206" i="47" s="1"/>
  <c r="D17" i="45"/>
  <c r="G189" i="47" s="1"/>
  <c r="D16" i="45"/>
  <c r="G173" i="47" s="1"/>
  <c r="D15" i="45"/>
  <c r="G157" i="47" s="1"/>
  <c r="D14" i="45"/>
  <c r="G143" i="47" s="1"/>
  <c r="D13" i="45"/>
  <c r="G127" i="47" s="1"/>
  <c r="D12" i="45"/>
  <c r="G105" i="47" s="1"/>
  <c r="D11" i="45"/>
  <c r="G87" i="47" s="1"/>
  <c r="D10" i="45"/>
  <c r="G44" i="47" s="1"/>
  <c r="BI72" i="29" l="1"/>
  <c r="BH73" i="29"/>
  <c r="Z19" i="42"/>
  <c r="J8" i="42" s="1"/>
  <c r="BI73" i="29" l="1"/>
  <c r="BH74" i="29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B104" i="42"/>
  <c r="B105" i="42"/>
  <c r="B106" i="42"/>
  <c r="B107" i="42"/>
  <c r="B108" i="42"/>
  <c r="B109" i="42"/>
  <c r="B110" i="42"/>
  <c r="BI74" i="29" l="1"/>
  <c r="BH75" i="29"/>
  <c r="AM16" i="48"/>
  <c r="AB6" i="48"/>
  <c r="AA6" i="48"/>
  <c r="BI75" i="29" l="1"/>
  <c r="BH76" i="29"/>
  <c r="AM10" i="48"/>
  <c r="AL10" i="48"/>
  <c r="AM12" i="48"/>
  <c r="AM11" i="48"/>
  <c r="AK11" i="48" s="1"/>
  <c r="AM13" i="48"/>
  <c r="AM14" i="48"/>
  <c r="AK14" i="48" s="1"/>
  <c r="AM15" i="48"/>
  <c r="AK16" i="48"/>
  <c r="AM17" i="48"/>
  <c r="AM18" i="48"/>
  <c r="AK18" i="48" s="1"/>
  <c r="AM19" i="48"/>
  <c r="AM20" i="48"/>
  <c r="AK20" i="48" s="1"/>
  <c r="AM21" i="48"/>
  <c r="AM22" i="48"/>
  <c r="AK22" i="48" s="1"/>
  <c r="AM23" i="48"/>
  <c r="AM24" i="48"/>
  <c r="AK24" i="48" s="1"/>
  <c r="AM25" i="48"/>
  <c r="AM26" i="48"/>
  <c r="AK26" i="48" s="1"/>
  <c r="AM27" i="48"/>
  <c r="AM28" i="48"/>
  <c r="AK28" i="48" s="1"/>
  <c r="AM29" i="48"/>
  <c r="AK29" i="48" s="1"/>
  <c r="AM30" i="48"/>
  <c r="AM31" i="48"/>
  <c r="AK31" i="48" s="1"/>
  <c r="AM32" i="48"/>
  <c r="AM33" i="48"/>
  <c r="AK33" i="48" s="1"/>
  <c r="AM34" i="48"/>
  <c r="AM35" i="48"/>
  <c r="AK35" i="48" s="1"/>
  <c r="AM36" i="48"/>
  <c r="AM37" i="48"/>
  <c r="AK37" i="48" s="1"/>
  <c r="AM38" i="48"/>
  <c r="AM39" i="48"/>
  <c r="AK39" i="48" s="1"/>
  <c r="AM40" i="48"/>
  <c r="AM41" i="48"/>
  <c r="AK41" i="48" s="1"/>
  <c r="AM42" i="48"/>
  <c r="AM43" i="48"/>
  <c r="AK43" i="48" s="1"/>
  <c r="AM44" i="48"/>
  <c r="AM45" i="48"/>
  <c r="AK45" i="48" s="1"/>
  <c r="AM46" i="48"/>
  <c r="AM47" i="48"/>
  <c r="AK47" i="48" s="1"/>
  <c r="AM48" i="48"/>
  <c r="AM49" i="48"/>
  <c r="AK49" i="48" s="1"/>
  <c r="AM50" i="48"/>
  <c r="AM51" i="48"/>
  <c r="AK51" i="48" s="1"/>
  <c r="AM52" i="48"/>
  <c r="AM53" i="48"/>
  <c r="AK53" i="48" s="1"/>
  <c r="AM54" i="48"/>
  <c r="AM55" i="48"/>
  <c r="AK55" i="48" s="1"/>
  <c r="AM56" i="48"/>
  <c r="AM57" i="48"/>
  <c r="AK57" i="48" s="1"/>
  <c r="AM58" i="48"/>
  <c r="AM59" i="48"/>
  <c r="AK59" i="48" s="1"/>
  <c r="AM60" i="48"/>
  <c r="AM61" i="48"/>
  <c r="AK61" i="48" s="1"/>
  <c r="AM62" i="48"/>
  <c r="AM63" i="48"/>
  <c r="AK63" i="48" s="1"/>
  <c r="AM64" i="48"/>
  <c r="AM65" i="48"/>
  <c r="AK65" i="48" s="1"/>
  <c r="AM66" i="48"/>
  <c r="AM67" i="48"/>
  <c r="AK67" i="48" s="1"/>
  <c r="AM68" i="48"/>
  <c r="AM69" i="48"/>
  <c r="AK69" i="48" s="1"/>
  <c r="AM70" i="48"/>
  <c r="AM71" i="48"/>
  <c r="AK71" i="48" s="1"/>
  <c r="AM72" i="48"/>
  <c r="AM73" i="48"/>
  <c r="AK73" i="48" s="1"/>
  <c r="AM74" i="48"/>
  <c r="AM75" i="48"/>
  <c r="AK75" i="48" s="1"/>
  <c r="AM76" i="48"/>
  <c r="AM77" i="48"/>
  <c r="AK77" i="48" s="1"/>
  <c r="AM78" i="48"/>
  <c r="AM79" i="48"/>
  <c r="AK79" i="48" s="1"/>
  <c r="AM80" i="48"/>
  <c r="AM81" i="48"/>
  <c r="AK81" i="48" s="1"/>
  <c r="AM82" i="48"/>
  <c r="AM83" i="48"/>
  <c r="AK83" i="48" s="1"/>
  <c r="AM84" i="48"/>
  <c r="AM85" i="48"/>
  <c r="AK85" i="48" s="1"/>
  <c r="AM86" i="48"/>
  <c r="AM87" i="48"/>
  <c r="AK87" i="48" s="1"/>
  <c r="AM88" i="48"/>
  <c r="AM89" i="48"/>
  <c r="AK89" i="48" s="1"/>
  <c r="AM90" i="48"/>
  <c r="AM91" i="48"/>
  <c r="AK91" i="48" s="1"/>
  <c r="AM92" i="48"/>
  <c r="AM93" i="48"/>
  <c r="AK93" i="48" s="1"/>
  <c r="AM94" i="48"/>
  <c r="AM95" i="48"/>
  <c r="AK95" i="48" s="1"/>
  <c r="AM96" i="48"/>
  <c r="AM97" i="48"/>
  <c r="AK97" i="48" s="1"/>
  <c r="AM98" i="48"/>
  <c r="AM99" i="48"/>
  <c r="AK99" i="48" s="1"/>
  <c r="AM100" i="48"/>
  <c r="AM101" i="48"/>
  <c r="AK101" i="48" s="1"/>
  <c r="AM102" i="48"/>
  <c r="AM103" i="48"/>
  <c r="AK103" i="48" s="1"/>
  <c r="AM104" i="48"/>
  <c r="AM105" i="48"/>
  <c r="AK105" i="48" s="1"/>
  <c r="AM106" i="48"/>
  <c r="AM107" i="48"/>
  <c r="AK107" i="48" s="1"/>
  <c r="AM108" i="48"/>
  <c r="AM109" i="48"/>
  <c r="AK109" i="48" s="1"/>
  <c r="AM110" i="48"/>
  <c r="AM111" i="48"/>
  <c r="AK111" i="48" s="1"/>
  <c r="AN11" i="48"/>
  <c r="AO11" i="48"/>
  <c r="AP11" i="48"/>
  <c r="AQ11" i="48"/>
  <c r="AR11" i="48"/>
  <c r="AS11" i="48"/>
  <c r="AT11" i="48"/>
  <c r="AU11" i="48"/>
  <c r="AV11" i="48"/>
  <c r="AW11" i="48"/>
  <c r="AN12" i="48"/>
  <c r="AO12" i="48"/>
  <c r="AP12" i="48"/>
  <c r="AQ12" i="48"/>
  <c r="AR12" i="48"/>
  <c r="AS12" i="48"/>
  <c r="AT12" i="48"/>
  <c r="AU12" i="48"/>
  <c r="AV12" i="48"/>
  <c r="AW12" i="48"/>
  <c r="AN13" i="48"/>
  <c r="AO13" i="48"/>
  <c r="AP13" i="48"/>
  <c r="AQ13" i="48"/>
  <c r="AR13" i="48"/>
  <c r="AS13" i="48"/>
  <c r="AT13" i="48"/>
  <c r="AU13" i="48"/>
  <c r="AV13" i="48"/>
  <c r="AW13" i="48"/>
  <c r="AN14" i="48"/>
  <c r="AO14" i="48"/>
  <c r="AP14" i="48"/>
  <c r="AQ14" i="48"/>
  <c r="AR14" i="48"/>
  <c r="AS14" i="48"/>
  <c r="AT14" i="48"/>
  <c r="AU14" i="48"/>
  <c r="AV14" i="48"/>
  <c r="AW14" i="48"/>
  <c r="AN15" i="48"/>
  <c r="AO15" i="48"/>
  <c r="AP15" i="48"/>
  <c r="AQ15" i="48"/>
  <c r="AR15" i="48"/>
  <c r="AS15" i="48"/>
  <c r="AT15" i="48"/>
  <c r="AU15" i="48"/>
  <c r="AV15" i="48"/>
  <c r="AW15" i="48"/>
  <c r="AN16" i="48"/>
  <c r="AO16" i="48"/>
  <c r="AP16" i="48"/>
  <c r="AQ16" i="48"/>
  <c r="AR16" i="48"/>
  <c r="AS16" i="48"/>
  <c r="AT16" i="48"/>
  <c r="AU16" i="48"/>
  <c r="AV16" i="48"/>
  <c r="AW16" i="48"/>
  <c r="AN17" i="48"/>
  <c r="AO17" i="48"/>
  <c r="AP17" i="48"/>
  <c r="AQ17" i="48"/>
  <c r="AR17" i="48"/>
  <c r="AS17" i="48"/>
  <c r="AT17" i="48"/>
  <c r="AU17" i="48"/>
  <c r="AV17" i="48"/>
  <c r="AW17" i="48"/>
  <c r="AN18" i="48"/>
  <c r="AO18" i="48"/>
  <c r="AP18" i="48"/>
  <c r="AQ18" i="48"/>
  <c r="AR18" i="48"/>
  <c r="AS18" i="48"/>
  <c r="AT18" i="48"/>
  <c r="AU18" i="48"/>
  <c r="AV18" i="48"/>
  <c r="AW18" i="48"/>
  <c r="AN19" i="48"/>
  <c r="AO19" i="48"/>
  <c r="AP19" i="48"/>
  <c r="AQ19" i="48"/>
  <c r="AR19" i="48"/>
  <c r="AS19" i="48"/>
  <c r="AT19" i="48"/>
  <c r="AU19" i="48"/>
  <c r="AV19" i="48"/>
  <c r="AW19" i="48"/>
  <c r="AN20" i="48"/>
  <c r="AO20" i="48"/>
  <c r="AP20" i="48"/>
  <c r="AQ20" i="48"/>
  <c r="AR20" i="48"/>
  <c r="AS20" i="48"/>
  <c r="AT20" i="48"/>
  <c r="AU20" i="48"/>
  <c r="AV20" i="48"/>
  <c r="AW20" i="48"/>
  <c r="AN21" i="48"/>
  <c r="AO21" i="48"/>
  <c r="AP21" i="48"/>
  <c r="AQ21" i="48"/>
  <c r="AR21" i="48"/>
  <c r="AS21" i="48"/>
  <c r="AT21" i="48"/>
  <c r="AU21" i="48"/>
  <c r="AV21" i="48"/>
  <c r="AW21" i="48"/>
  <c r="AN22" i="48"/>
  <c r="AO22" i="48"/>
  <c r="AP22" i="48"/>
  <c r="AQ22" i="48"/>
  <c r="AR22" i="48"/>
  <c r="AS22" i="48"/>
  <c r="AT22" i="48"/>
  <c r="AU22" i="48"/>
  <c r="AV22" i="48"/>
  <c r="AW22" i="48"/>
  <c r="AN23" i="48"/>
  <c r="AO23" i="48"/>
  <c r="AP23" i="48"/>
  <c r="AQ23" i="48"/>
  <c r="AR23" i="48"/>
  <c r="AS23" i="48"/>
  <c r="AT23" i="48"/>
  <c r="AU23" i="48"/>
  <c r="AV23" i="48"/>
  <c r="AW23" i="48"/>
  <c r="AN24" i="48"/>
  <c r="AO24" i="48"/>
  <c r="AP24" i="48"/>
  <c r="AQ24" i="48"/>
  <c r="AR24" i="48"/>
  <c r="AS24" i="48"/>
  <c r="AT24" i="48"/>
  <c r="AU24" i="48"/>
  <c r="AV24" i="48"/>
  <c r="AW24" i="48"/>
  <c r="AN25" i="48"/>
  <c r="AO25" i="48"/>
  <c r="AP25" i="48"/>
  <c r="AQ25" i="48"/>
  <c r="AR25" i="48"/>
  <c r="AS25" i="48"/>
  <c r="AT25" i="48"/>
  <c r="AU25" i="48"/>
  <c r="AV25" i="48"/>
  <c r="AW25" i="48"/>
  <c r="AN26" i="48"/>
  <c r="AO26" i="48"/>
  <c r="AP26" i="48"/>
  <c r="AQ26" i="48"/>
  <c r="AR26" i="48"/>
  <c r="AS26" i="48"/>
  <c r="AT26" i="48"/>
  <c r="AU26" i="48"/>
  <c r="AV26" i="48"/>
  <c r="AW26" i="48"/>
  <c r="AN27" i="48"/>
  <c r="AO27" i="48"/>
  <c r="AP27" i="48"/>
  <c r="AQ27" i="48"/>
  <c r="AR27" i="48"/>
  <c r="AS27" i="48"/>
  <c r="AT27" i="48"/>
  <c r="AU27" i="48"/>
  <c r="AV27" i="48"/>
  <c r="AW27" i="48"/>
  <c r="AN28" i="48"/>
  <c r="AO28" i="48"/>
  <c r="AP28" i="48"/>
  <c r="AQ28" i="48"/>
  <c r="AR28" i="48"/>
  <c r="AS28" i="48"/>
  <c r="AT28" i="48"/>
  <c r="AU28" i="48"/>
  <c r="AV28" i="48"/>
  <c r="AW28" i="48"/>
  <c r="AN29" i="48"/>
  <c r="AO29" i="48"/>
  <c r="AP29" i="48"/>
  <c r="AQ29" i="48"/>
  <c r="AR29" i="48"/>
  <c r="AS29" i="48"/>
  <c r="AT29" i="48"/>
  <c r="AU29" i="48"/>
  <c r="AV29" i="48"/>
  <c r="AW29" i="48"/>
  <c r="AN30" i="48"/>
  <c r="AO30" i="48"/>
  <c r="AP30" i="48"/>
  <c r="AQ30" i="48"/>
  <c r="AR30" i="48"/>
  <c r="AS30" i="48"/>
  <c r="AT30" i="48"/>
  <c r="AU30" i="48"/>
  <c r="AV30" i="48"/>
  <c r="AW30" i="48"/>
  <c r="AN31" i="48"/>
  <c r="AO31" i="48"/>
  <c r="AP31" i="48"/>
  <c r="AQ31" i="48"/>
  <c r="AR31" i="48"/>
  <c r="AS31" i="48"/>
  <c r="AT31" i="48"/>
  <c r="AU31" i="48"/>
  <c r="AV31" i="48"/>
  <c r="AW31" i="48"/>
  <c r="AN32" i="48"/>
  <c r="AO32" i="48"/>
  <c r="AP32" i="48"/>
  <c r="AQ32" i="48"/>
  <c r="AR32" i="48"/>
  <c r="AS32" i="48"/>
  <c r="AT32" i="48"/>
  <c r="AU32" i="48"/>
  <c r="AV32" i="48"/>
  <c r="AW32" i="48"/>
  <c r="AN33" i="48"/>
  <c r="AO33" i="48"/>
  <c r="AP33" i="48"/>
  <c r="AQ33" i="48"/>
  <c r="AR33" i="48"/>
  <c r="AS33" i="48"/>
  <c r="AT33" i="48"/>
  <c r="AU33" i="48"/>
  <c r="AV33" i="48"/>
  <c r="AW33" i="48"/>
  <c r="AN34" i="48"/>
  <c r="AO34" i="48"/>
  <c r="AP34" i="48"/>
  <c r="AQ34" i="48"/>
  <c r="AR34" i="48"/>
  <c r="AS34" i="48"/>
  <c r="AT34" i="48"/>
  <c r="AU34" i="48"/>
  <c r="AV34" i="48"/>
  <c r="AW34" i="48"/>
  <c r="AN35" i="48"/>
  <c r="AO35" i="48"/>
  <c r="AP35" i="48"/>
  <c r="AQ35" i="48"/>
  <c r="AR35" i="48"/>
  <c r="AS35" i="48"/>
  <c r="AT35" i="48"/>
  <c r="AU35" i="48"/>
  <c r="AV35" i="48"/>
  <c r="AW35" i="48"/>
  <c r="AN36" i="48"/>
  <c r="AO36" i="48"/>
  <c r="AP36" i="48"/>
  <c r="AQ36" i="48"/>
  <c r="AR36" i="48"/>
  <c r="AS36" i="48"/>
  <c r="AT36" i="48"/>
  <c r="AU36" i="48"/>
  <c r="AV36" i="48"/>
  <c r="AW36" i="48"/>
  <c r="AN37" i="48"/>
  <c r="AO37" i="48"/>
  <c r="AP37" i="48"/>
  <c r="AQ37" i="48"/>
  <c r="AR37" i="48"/>
  <c r="AS37" i="48"/>
  <c r="AT37" i="48"/>
  <c r="AU37" i="48"/>
  <c r="AV37" i="48"/>
  <c r="AW37" i="48"/>
  <c r="AN38" i="48"/>
  <c r="AO38" i="48"/>
  <c r="AP38" i="48"/>
  <c r="AQ38" i="48"/>
  <c r="AR38" i="48"/>
  <c r="AS38" i="48"/>
  <c r="AT38" i="48"/>
  <c r="AU38" i="48"/>
  <c r="AV38" i="48"/>
  <c r="AW38" i="48"/>
  <c r="AN39" i="48"/>
  <c r="AO39" i="48"/>
  <c r="AP39" i="48"/>
  <c r="AQ39" i="48"/>
  <c r="AR39" i="48"/>
  <c r="AS39" i="48"/>
  <c r="AT39" i="48"/>
  <c r="AU39" i="48"/>
  <c r="AV39" i="48"/>
  <c r="AW39" i="48"/>
  <c r="AN40" i="48"/>
  <c r="AO40" i="48"/>
  <c r="AP40" i="48"/>
  <c r="AQ40" i="48"/>
  <c r="AR40" i="48"/>
  <c r="AS40" i="48"/>
  <c r="AT40" i="48"/>
  <c r="AU40" i="48"/>
  <c r="AV40" i="48"/>
  <c r="AW40" i="48"/>
  <c r="AN41" i="48"/>
  <c r="AO41" i="48"/>
  <c r="AP41" i="48"/>
  <c r="AQ41" i="48"/>
  <c r="AR41" i="48"/>
  <c r="AS41" i="48"/>
  <c r="AT41" i="48"/>
  <c r="AU41" i="48"/>
  <c r="AV41" i="48"/>
  <c r="AW41" i="48"/>
  <c r="AN42" i="48"/>
  <c r="AO42" i="48"/>
  <c r="AP42" i="48"/>
  <c r="AQ42" i="48"/>
  <c r="AR42" i="48"/>
  <c r="AS42" i="48"/>
  <c r="AT42" i="48"/>
  <c r="AU42" i="48"/>
  <c r="AV42" i="48"/>
  <c r="AW42" i="48"/>
  <c r="AN43" i="48"/>
  <c r="AO43" i="48"/>
  <c r="AP43" i="48"/>
  <c r="AQ43" i="48"/>
  <c r="AR43" i="48"/>
  <c r="AS43" i="48"/>
  <c r="AT43" i="48"/>
  <c r="AU43" i="48"/>
  <c r="AV43" i="48"/>
  <c r="AW43" i="48"/>
  <c r="AN44" i="48"/>
  <c r="AO44" i="48"/>
  <c r="AP44" i="48"/>
  <c r="AQ44" i="48"/>
  <c r="AR44" i="48"/>
  <c r="AS44" i="48"/>
  <c r="AT44" i="48"/>
  <c r="AU44" i="48"/>
  <c r="AV44" i="48"/>
  <c r="AW44" i="48"/>
  <c r="AN45" i="48"/>
  <c r="AO45" i="48"/>
  <c r="AP45" i="48"/>
  <c r="AQ45" i="48"/>
  <c r="AR45" i="48"/>
  <c r="AS45" i="48"/>
  <c r="AT45" i="48"/>
  <c r="AU45" i="48"/>
  <c r="AV45" i="48"/>
  <c r="AW45" i="48"/>
  <c r="AN46" i="48"/>
  <c r="AO46" i="48"/>
  <c r="AP46" i="48"/>
  <c r="AQ46" i="48"/>
  <c r="AR46" i="48"/>
  <c r="AS46" i="48"/>
  <c r="AT46" i="48"/>
  <c r="AU46" i="48"/>
  <c r="AV46" i="48"/>
  <c r="AW46" i="48"/>
  <c r="AN47" i="48"/>
  <c r="AO47" i="48"/>
  <c r="AP47" i="48"/>
  <c r="AQ47" i="48"/>
  <c r="AR47" i="48"/>
  <c r="AS47" i="48"/>
  <c r="AT47" i="48"/>
  <c r="AU47" i="48"/>
  <c r="AV47" i="48"/>
  <c r="AW47" i="48"/>
  <c r="AN48" i="48"/>
  <c r="AO48" i="48"/>
  <c r="AP48" i="48"/>
  <c r="AQ48" i="48"/>
  <c r="AR48" i="48"/>
  <c r="AS48" i="48"/>
  <c r="AT48" i="48"/>
  <c r="AU48" i="48"/>
  <c r="AV48" i="48"/>
  <c r="AW48" i="48"/>
  <c r="AN49" i="48"/>
  <c r="AO49" i="48"/>
  <c r="AP49" i="48"/>
  <c r="AQ49" i="48"/>
  <c r="AR49" i="48"/>
  <c r="AS49" i="48"/>
  <c r="AT49" i="48"/>
  <c r="AU49" i="48"/>
  <c r="AV49" i="48"/>
  <c r="AW49" i="48"/>
  <c r="AN50" i="48"/>
  <c r="AO50" i="48"/>
  <c r="AP50" i="48"/>
  <c r="AQ50" i="48"/>
  <c r="AR50" i="48"/>
  <c r="AS50" i="48"/>
  <c r="AT50" i="48"/>
  <c r="AU50" i="48"/>
  <c r="AV50" i="48"/>
  <c r="AW50" i="48"/>
  <c r="AN51" i="48"/>
  <c r="AO51" i="48"/>
  <c r="AP51" i="48"/>
  <c r="AQ51" i="48"/>
  <c r="AR51" i="48"/>
  <c r="AS51" i="48"/>
  <c r="AT51" i="48"/>
  <c r="AU51" i="48"/>
  <c r="AV51" i="48"/>
  <c r="AW51" i="48"/>
  <c r="AN52" i="48"/>
  <c r="AO52" i="48"/>
  <c r="AP52" i="48"/>
  <c r="AQ52" i="48"/>
  <c r="AR52" i="48"/>
  <c r="AS52" i="48"/>
  <c r="AT52" i="48"/>
  <c r="AU52" i="48"/>
  <c r="AV52" i="48"/>
  <c r="AW52" i="48"/>
  <c r="AN53" i="48"/>
  <c r="AO53" i="48"/>
  <c r="AP53" i="48"/>
  <c r="AQ53" i="48"/>
  <c r="AR53" i="48"/>
  <c r="AS53" i="48"/>
  <c r="AT53" i="48"/>
  <c r="AU53" i="48"/>
  <c r="AV53" i="48"/>
  <c r="AW53" i="48"/>
  <c r="AN54" i="48"/>
  <c r="AO54" i="48"/>
  <c r="AP54" i="48"/>
  <c r="AQ54" i="48"/>
  <c r="AR54" i="48"/>
  <c r="AS54" i="48"/>
  <c r="AT54" i="48"/>
  <c r="AU54" i="48"/>
  <c r="AV54" i="48"/>
  <c r="AW54" i="48"/>
  <c r="AN55" i="48"/>
  <c r="AO55" i="48"/>
  <c r="AP55" i="48"/>
  <c r="AQ55" i="48"/>
  <c r="AR55" i="48"/>
  <c r="AS55" i="48"/>
  <c r="AT55" i="48"/>
  <c r="AU55" i="48"/>
  <c r="AV55" i="48"/>
  <c r="AW55" i="48"/>
  <c r="AN56" i="48"/>
  <c r="AO56" i="48"/>
  <c r="AP56" i="48"/>
  <c r="AQ56" i="48"/>
  <c r="AR56" i="48"/>
  <c r="AS56" i="48"/>
  <c r="AT56" i="48"/>
  <c r="AU56" i="48"/>
  <c r="AV56" i="48"/>
  <c r="AW56" i="48"/>
  <c r="AN57" i="48"/>
  <c r="AO57" i="48"/>
  <c r="AP57" i="48"/>
  <c r="AQ57" i="48"/>
  <c r="AR57" i="48"/>
  <c r="AS57" i="48"/>
  <c r="AT57" i="48"/>
  <c r="AU57" i="48"/>
  <c r="AV57" i="48"/>
  <c r="AW57" i="48"/>
  <c r="AN58" i="48"/>
  <c r="AO58" i="48"/>
  <c r="AP58" i="48"/>
  <c r="AQ58" i="48"/>
  <c r="AR58" i="48"/>
  <c r="AS58" i="48"/>
  <c r="AT58" i="48"/>
  <c r="AU58" i="48"/>
  <c r="AV58" i="48"/>
  <c r="AW58" i="48"/>
  <c r="AN59" i="48"/>
  <c r="AO59" i="48"/>
  <c r="AP59" i="48"/>
  <c r="AQ59" i="48"/>
  <c r="AR59" i="48"/>
  <c r="AS59" i="48"/>
  <c r="AT59" i="48"/>
  <c r="AU59" i="48"/>
  <c r="AV59" i="48"/>
  <c r="AW59" i="48"/>
  <c r="AN60" i="48"/>
  <c r="AO60" i="48"/>
  <c r="AP60" i="48"/>
  <c r="AQ60" i="48"/>
  <c r="AR60" i="48"/>
  <c r="AS60" i="48"/>
  <c r="AT60" i="48"/>
  <c r="AU60" i="48"/>
  <c r="AV60" i="48"/>
  <c r="AW60" i="48"/>
  <c r="AN61" i="48"/>
  <c r="AO61" i="48"/>
  <c r="AP61" i="48"/>
  <c r="AQ61" i="48"/>
  <c r="AR61" i="48"/>
  <c r="AS61" i="48"/>
  <c r="AT61" i="48"/>
  <c r="AU61" i="48"/>
  <c r="AV61" i="48"/>
  <c r="AW61" i="48"/>
  <c r="AN62" i="48"/>
  <c r="AO62" i="48"/>
  <c r="AP62" i="48"/>
  <c r="AQ62" i="48"/>
  <c r="AR62" i="48"/>
  <c r="AS62" i="48"/>
  <c r="AT62" i="48"/>
  <c r="AU62" i="48"/>
  <c r="AV62" i="48"/>
  <c r="AW62" i="48"/>
  <c r="AN63" i="48"/>
  <c r="AO63" i="48"/>
  <c r="AP63" i="48"/>
  <c r="AQ63" i="48"/>
  <c r="AR63" i="48"/>
  <c r="AS63" i="48"/>
  <c r="AT63" i="48"/>
  <c r="AU63" i="48"/>
  <c r="AV63" i="48"/>
  <c r="AW63" i="48"/>
  <c r="AN64" i="48"/>
  <c r="AO64" i="48"/>
  <c r="AP64" i="48"/>
  <c r="AQ64" i="48"/>
  <c r="AR64" i="48"/>
  <c r="AS64" i="48"/>
  <c r="AT64" i="48"/>
  <c r="AU64" i="48"/>
  <c r="AV64" i="48"/>
  <c r="AW64" i="48"/>
  <c r="AN65" i="48"/>
  <c r="AO65" i="48"/>
  <c r="AP65" i="48"/>
  <c r="AQ65" i="48"/>
  <c r="AR65" i="48"/>
  <c r="AS65" i="48"/>
  <c r="AT65" i="48"/>
  <c r="AU65" i="48"/>
  <c r="AV65" i="48"/>
  <c r="AW65" i="48"/>
  <c r="AN66" i="48"/>
  <c r="AO66" i="48"/>
  <c r="AP66" i="48"/>
  <c r="AQ66" i="48"/>
  <c r="AR66" i="48"/>
  <c r="AS66" i="48"/>
  <c r="AT66" i="48"/>
  <c r="AU66" i="48"/>
  <c r="AV66" i="48"/>
  <c r="AW66" i="48"/>
  <c r="AN67" i="48"/>
  <c r="AO67" i="48"/>
  <c r="AP67" i="48"/>
  <c r="AQ67" i="48"/>
  <c r="AR67" i="48"/>
  <c r="AS67" i="48"/>
  <c r="AT67" i="48"/>
  <c r="AU67" i="48"/>
  <c r="AV67" i="48"/>
  <c r="AW67" i="48"/>
  <c r="AN68" i="48"/>
  <c r="AO68" i="48"/>
  <c r="AP68" i="48"/>
  <c r="AQ68" i="48"/>
  <c r="AR68" i="48"/>
  <c r="AS68" i="48"/>
  <c r="AT68" i="48"/>
  <c r="AU68" i="48"/>
  <c r="AV68" i="48"/>
  <c r="AW68" i="48"/>
  <c r="AN69" i="48"/>
  <c r="AO69" i="48"/>
  <c r="AP69" i="48"/>
  <c r="AQ69" i="48"/>
  <c r="AR69" i="48"/>
  <c r="AS69" i="48"/>
  <c r="AT69" i="48"/>
  <c r="AU69" i="48"/>
  <c r="AV69" i="48"/>
  <c r="AW69" i="48"/>
  <c r="AN70" i="48"/>
  <c r="AO70" i="48"/>
  <c r="AP70" i="48"/>
  <c r="AQ70" i="48"/>
  <c r="AR70" i="48"/>
  <c r="AS70" i="48"/>
  <c r="AT70" i="48"/>
  <c r="AU70" i="48"/>
  <c r="AV70" i="48"/>
  <c r="AW70" i="48"/>
  <c r="AN71" i="48"/>
  <c r="AO71" i="48"/>
  <c r="AP71" i="48"/>
  <c r="AQ71" i="48"/>
  <c r="AR71" i="48"/>
  <c r="AS71" i="48"/>
  <c r="AT71" i="48"/>
  <c r="AU71" i="48"/>
  <c r="AV71" i="48"/>
  <c r="AW71" i="48"/>
  <c r="AN72" i="48"/>
  <c r="AO72" i="48"/>
  <c r="AP72" i="48"/>
  <c r="AQ72" i="48"/>
  <c r="AR72" i="48"/>
  <c r="AS72" i="48"/>
  <c r="AT72" i="48"/>
  <c r="AU72" i="48"/>
  <c r="AV72" i="48"/>
  <c r="AW72" i="48"/>
  <c r="AN73" i="48"/>
  <c r="AO73" i="48"/>
  <c r="AP73" i="48"/>
  <c r="AQ73" i="48"/>
  <c r="AR73" i="48"/>
  <c r="AS73" i="48"/>
  <c r="AT73" i="48"/>
  <c r="AU73" i="48"/>
  <c r="AV73" i="48"/>
  <c r="AW73" i="48"/>
  <c r="AN74" i="48"/>
  <c r="AO74" i="48"/>
  <c r="AP74" i="48"/>
  <c r="AQ74" i="48"/>
  <c r="AR74" i="48"/>
  <c r="AS74" i="48"/>
  <c r="AT74" i="48"/>
  <c r="AU74" i="48"/>
  <c r="AV74" i="48"/>
  <c r="AW74" i="48"/>
  <c r="AN75" i="48"/>
  <c r="AO75" i="48"/>
  <c r="AP75" i="48"/>
  <c r="AQ75" i="48"/>
  <c r="AR75" i="48"/>
  <c r="AS75" i="48"/>
  <c r="AT75" i="48"/>
  <c r="AU75" i="48"/>
  <c r="AV75" i="48"/>
  <c r="AW75" i="48"/>
  <c r="AN76" i="48"/>
  <c r="AO76" i="48"/>
  <c r="AP76" i="48"/>
  <c r="AQ76" i="48"/>
  <c r="AR76" i="48"/>
  <c r="AS76" i="48"/>
  <c r="AT76" i="48"/>
  <c r="AU76" i="48"/>
  <c r="AV76" i="48"/>
  <c r="AW76" i="48"/>
  <c r="AN77" i="48"/>
  <c r="AO77" i="48"/>
  <c r="AP77" i="48"/>
  <c r="AQ77" i="48"/>
  <c r="AR77" i="48"/>
  <c r="AS77" i="48"/>
  <c r="AT77" i="48"/>
  <c r="AU77" i="48"/>
  <c r="AV77" i="48"/>
  <c r="AW77" i="48"/>
  <c r="AN78" i="48"/>
  <c r="AO78" i="48"/>
  <c r="AP78" i="48"/>
  <c r="AQ78" i="48"/>
  <c r="AR78" i="48"/>
  <c r="AS78" i="48"/>
  <c r="AT78" i="48"/>
  <c r="AU78" i="48"/>
  <c r="AV78" i="48"/>
  <c r="AW78" i="48"/>
  <c r="AN79" i="48"/>
  <c r="AO79" i="48"/>
  <c r="AP79" i="48"/>
  <c r="AQ79" i="48"/>
  <c r="AR79" i="48"/>
  <c r="AS79" i="48"/>
  <c r="AT79" i="48"/>
  <c r="AU79" i="48"/>
  <c r="AV79" i="48"/>
  <c r="AW79" i="48"/>
  <c r="AN80" i="48"/>
  <c r="AO80" i="48"/>
  <c r="AP80" i="48"/>
  <c r="AQ80" i="48"/>
  <c r="AR80" i="48"/>
  <c r="AS80" i="48"/>
  <c r="AT80" i="48"/>
  <c r="AU80" i="48"/>
  <c r="AV80" i="48"/>
  <c r="AW80" i="48"/>
  <c r="AN81" i="48"/>
  <c r="AO81" i="48"/>
  <c r="AP81" i="48"/>
  <c r="AQ81" i="48"/>
  <c r="AR81" i="48"/>
  <c r="AS81" i="48"/>
  <c r="AT81" i="48"/>
  <c r="AU81" i="48"/>
  <c r="AV81" i="48"/>
  <c r="AW81" i="48"/>
  <c r="AN82" i="48"/>
  <c r="AO82" i="48"/>
  <c r="AP82" i="48"/>
  <c r="AQ82" i="48"/>
  <c r="AR82" i="48"/>
  <c r="AS82" i="48"/>
  <c r="AT82" i="48"/>
  <c r="AU82" i="48"/>
  <c r="AV82" i="48"/>
  <c r="AW82" i="48"/>
  <c r="AN83" i="48"/>
  <c r="AO83" i="48"/>
  <c r="AP83" i="48"/>
  <c r="AQ83" i="48"/>
  <c r="AR83" i="48"/>
  <c r="AS83" i="48"/>
  <c r="AT83" i="48"/>
  <c r="AU83" i="48"/>
  <c r="AV83" i="48"/>
  <c r="AW83" i="48"/>
  <c r="AN84" i="48"/>
  <c r="AO84" i="48"/>
  <c r="AP84" i="48"/>
  <c r="AQ84" i="48"/>
  <c r="AR84" i="48"/>
  <c r="AS84" i="48"/>
  <c r="AT84" i="48"/>
  <c r="AU84" i="48"/>
  <c r="AV84" i="48"/>
  <c r="AW84" i="48"/>
  <c r="AN85" i="48"/>
  <c r="AO85" i="48"/>
  <c r="AP85" i="48"/>
  <c r="AQ85" i="48"/>
  <c r="AR85" i="48"/>
  <c r="AS85" i="48"/>
  <c r="AT85" i="48"/>
  <c r="AU85" i="48"/>
  <c r="AV85" i="48"/>
  <c r="AW85" i="48"/>
  <c r="AN86" i="48"/>
  <c r="AO86" i="48"/>
  <c r="AP86" i="48"/>
  <c r="AQ86" i="48"/>
  <c r="AR86" i="48"/>
  <c r="AS86" i="48"/>
  <c r="AT86" i="48"/>
  <c r="AU86" i="48"/>
  <c r="AV86" i="48"/>
  <c r="AW86" i="48"/>
  <c r="AN87" i="48"/>
  <c r="AO87" i="48"/>
  <c r="AP87" i="48"/>
  <c r="AQ87" i="48"/>
  <c r="AR87" i="48"/>
  <c r="AS87" i="48"/>
  <c r="AT87" i="48"/>
  <c r="AU87" i="48"/>
  <c r="AV87" i="48"/>
  <c r="AW87" i="48"/>
  <c r="AN88" i="48"/>
  <c r="AO88" i="48"/>
  <c r="AP88" i="48"/>
  <c r="AQ88" i="48"/>
  <c r="AR88" i="48"/>
  <c r="AS88" i="48"/>
  <c r="AT88" i="48"/>
  <c r="AU88" i="48"/>
  <c r="AV88" i="48"/>
  <c r="AW88" i="48"/>
  <c r="AN89" i="48"/>
  <c r="AO89" i="48"/>
  <c r="AP89" i="48"/>
  <c r="AQ89" i="48"/>
  <c r="AR89" i="48"/>
  <c r="AS89" i="48"/>
  <c r="AT89" i="48"/>
  <c r="AU89" i="48"/>
  <c r="AV89" i="48"/>
  <c r="AW89" i="48"/>
  <c r="AN90" i="48"/>
  <c r="AO90" i="48"/>
  <c r="AP90" i="48"/>
  <c r="AQ90" i="48"/>
  <c r="AR90" i="48"/>
  <c r="AS90" i="48"/>
  <c r="AT90" i="48"/>
  <c r="AU90" i="48"/>
  <c r="AV90" i="48"/>
  <c r="AW90" i="48"/>
  <c r="AN91" i="48"/>
  <c r="AO91" i="48"/>
  <c r="AP91" i="48"/>
  <c r="AQ91" i="48"/>
  <c r="AR91" i="48"/>
  <c r="AS91" i="48"/>
  <c r="AT91" i="48"/>
  <c r="AU91" i="48"/>
  <c r="AV91" i="48"/>
  <c r="AW91" i="48"/>
  <c r="AN92" i="48"/>
  <c r="AO92" i="48"/>
  <c r="AP92" i="48"/>
  <c r="AQ92" i="48"/>
  <c r="AR92" i="48"/>
  <c r="AS92" i="48"/>
  <c r="AT92" i="48"/>
  <c r="AU92" i="48"/>
  <c r="AV92" i="48"/>
  <c r="AW92" i="48"/>
  <c r="AN93" i="48"/>
  <c r="AO93" i="48"/>
  <c r="AP93" i="48"/>
  <c r="AQ93" i="48"/>
  <c r="AR93" i="48"/>
  <c r="AS93" i="48"/>
  <c r="AT93" i="48"/>
  <c r="AU93" i="48"/>
  <c r="AV93" i="48"/>
  <c r="AW93" i="48"/>
  <c r="AN94" i="48"/>
  <c r="AO94" i="48"/>
  <c r="AP94" i="48"/>
  <c r="AQ94" i="48"/>
  <c r="AR94" i="48"/>
  <c r="AS94" i="48"/>
  <c r="AT94" i="48"/>
  <c r="AU94" i="48"/>
  <c r="AV94" i="48"/>
  <c r="AW94" i="48"/>
  <c r="AN95" i="48"/>
  <c r="AO95" i="48"/>
  <c r="AP95" i="48"/>
  <c r="AQ95" i="48"/>
  <c r="AR95" i="48"/>
  <c r="AS95" i="48"/>
  <c r="AT95" i="48"/>
  <c r="AU95" i="48"/>
  <c r="AV95" i="48"/>
  <c r="AW95" i="48"/>
  <c r="AN96" i="48"/>
  <c r="AO96" i="48"/>
  <c r="AP96" i="48"/>
  <c r="AQ96" i="48"/>
  <c r="AR96" i="48"/>
  <c r="AS96" i="48"/>
  <c r="AT96" i="48"/>
  <c r="AU96" i="48"/>
  <c r="AV96" i="48"/>
  <c r="AW96" i="48"/>
  <c r="AN97" i="48"/>
  <c r="AO97" i="48"/>
  <c r="AP97" i="48"/>
  <c r="AQ97" i="48"/>
  <c r="AR97" i="48"/>
  <c r="AS97" i="48"/>
  <c r="AT97" i="48"/>
  <c r="AU97" i="48"/>
  <c r="AV97" i="48"/>
  <c r="AW97" i="48"/>
  <c r="AN98" i="48"/>
  <c r="AO98" i="48"/>
  <c r="AP98" i="48"/>
  <c r="AQ98" i="48"/>
  <c r="AR98" i="48"/>
  <c r="AS98" i="48"/>
  <c r="AT98" i="48"/>
  <c r="AU98" i="48"/>
  <c r="AV98" i="48"/>
  <c r="AW98" i="48"/>
  <c r="AN99" i="48"/>
  <c r="AO99" i="48"/>
  <c r="AP99" i="48"/>
  <c r="AQ99" i="48"/>
  <c r="AR99" i="48"/>
  <c r="AS99" i="48"/>
  <c r="AT99" i="48"/>
  <c r="AU99" i="48"/>
  <c r="AV99" i="48"/>
  <c r="AW99" i="48"/>
  <c r="AN100" i="48"/>
  <c r="AO100" i="48"/>
  <c r="AP100" i="48"/>
  <c r="AQ100" i="48"/>
  <c r="AR100" i="48"/>
  <c r="AS100" i="48"/>
  <c r="AT100" i="48"/>
  <c r="AU100" i="48"/>
  <c r="AV100" i="48"/>
  <c r="AW100" i="48"/>
  <c r="AN101" i="48"/>
  <c r="AO101" i="48"/>
  <c r="AP101" i="48"/>
  <c r="AQ101" i="48"/>
  <c r="AR101" i="48"/>
  <c r="AS101" i="48"/>
  <c r="AT101" i="48"/>
  <c r="AU101" i="48"/>
  <c r="AV101" i="48"/>
  <c r="AW101" i="48"/>
  <c r="AN102" i="48"/>
  <c r="AO102" i="48"/>
  <c r="AP102" i="48"/>
  <c r="AQ102" i="48"/>
  <c r="AR102" i="48"/>
  <c r="AS102" i="48"/>
  <c r="AT102" i="48"/>
  <c r="AU102" i="48"/>
  <c r="AV102" i="48"/>
  <c r="AW102" i="48"/>
  <c r="AN103" i="48"/>
  <c r="AO103" i="48"/>
  <c r="AP103" i="48"/>
  <c r="AQ103" i="48"/>
  <c r="AR103" i="48"/>
  <c r="AS103" i="48"/>
  <c r="AT103" i="48"/>
  <c r="AU103" i="48"/>
  <c r="AV103" i="48"/>
  <c r="AW103" i="48"/>
  <c r="AN104" i="48"/>
  <c r="AO104" i="48"/>
  <c r="AP104" i="48"/>
  <c r="AQ104" i="48"/>
  <c r="AR104" i="48"/>
  <c r="AS104" i="48"/>
  <c r="AT104" i="48"/>
  <c r="AU104" i="48"/>
  <c r="AV104" i="48"/>
  <c r="AW104" i="48"/>
  <c r="AN105" i="48"/>
  <c r="AO105" i="48"/>
  <c r="AP105" i="48"/>
  <c r="AQ105" i="48"/>
  <c r="AR105" i="48"/>
  <c r="AS105" i="48"/>
  <c r="AT105" i="48"/>
  <c r="AU105" i="48"/>
  <c r="AV105" i="48"/>
  <c r="AW105" i="48"/>
  <c r="AN106" i="48"/>
  <c r="AO106" i="48"/>
  <c r="AP106" i="48"/>
  <c r="AQ106" i="48"/>
  <c r="AR106" i="48"/>
  <c r="AS106" i="48"/>
  <c r="AT106" i="48"/>
  <c r="AU106" i="48"/>
  <c r="AV106" i="48"/>
  <c r="AW106" i="48"/>
  <c r="AN107" i="48"/>
  <c r="AO107" i="48"/>
  <c r="AP107" i="48"/>
  <c r="AQ107" i="48"/>
  <c r="AR107" i="48"/>
  <c r="AS107" i="48"/>
  <c r="AT107" i="48"/>
  <c r="AU107" i="48"/>
  <c r="AV107" i="48"/>
  <c r="AW107" i="48"/>
  <c r="AN108" i="48"/>
  <c r="AO108" i="48"/>
  <c r="AP108" i="48"/>
  <c r="AQ108" i="48"/>
  <c r="AR108" i="48"/>
  <c r="AS108" i="48"/>
  <c r="AT108" i="48"/>
  <c r="AU108" i="48"/>
  <c r="AV108" i="48"/>
  <c r="AW108" i="48"/>
  <c r="AN109" i="48"/>
  <c r="AO109" i="48"/>
  <c r="AP109" i="48"/>
  <c r="AQ109" i="48"/>
  <c r="AR109" i="48"/>
  <c r="AS109" i="48"/>
  <c r="AT109" i="48"/>
  <c r="AU109" i="48"/>
  <c r="AV109" i="48"/>
  <c r="AW109" i="48"/>
  <c r="AN110" i="48"/>
  <c r="AO110" i="48"/>
  <c r="AP110" i="48"/>
  <c r="AQ110" i="48"/>
  <c r="AR110" i="48"/>
  <c r="AS110" i="48"/>
  <c r="AT110" i="48"/>
  <c r="AU110" i="48"/>
  <c r="AV110" i="48"/>
  <c r="AW110" i="48"/>
  <c r="AN111" i="48"/>
  <c r="AO111" i="48"/>
  <c r="AP111" i="48"/>
  <c r="AQ111" i="48"/>
  <c r="AR111" i="48"/>
  <c r="AS111" i="48"/>
  <c r="AW10" i="48"/>
  <c r="AV10" i="48"/>
  <c r="AU10" i="48"/>
  <c r="AT10" i="48"/>
  <c r="AS10" i="48"/>
  <c r="AR10" i="48"/>
  <c r="AQ10" i="48"/>
  <c r="AP10" i="48"/>
  <c r="AO10" i="48"/>
  <c r="AN10" i="48"/>
  <c r="BI76" i="29" l="1"/>
  <c r="BH77" i="29"/>
  <c r="BI77" i="29" s="1"/>
  <c r="AV111" i="48"/>
  <c r="AW111" i="48"/>
  <c r="AJ109" i="48"/>
  <c r="AJ101" i="48"/>
  <c r="AJ93" i="48"/>
  <c r="AJ85" i="48"/>
  <c r="AJ77" i="48"/>
  <c r="AJ69" i="48"/>
  <c r="AJ61" i="48"/>
  <c r="AA61" i="48" s="1"/>
  <c r="AJ53" i="48"/>
  <c r="AJ45" i="48"/>
  <c r="AA45" i="48" s="1"/>
  <c r="AJ22" i="48"/>
  <c r="AJ105" i="48"/>
  <c r="AJ97" i="48"/>
  <c r="AJ89" i="48"/>
  <c r="AJ81" i="48"/>
  <c r="AJ73" i="48"/>
  <c r="AA73" i="48" s="1"/>
  <c r="AJ65" i="48"/>
  <c r="AA65" i="48" s="1"/>
  <c r="AJ57" i="48"/>
  <c r="AJ49" i="48"/>
  <c r="AJ41" i="48"/>
  <c r="AA41" i="48" s="1"/>
  <c r="AJ11" i="48"/>
  <c r="AA11" i="48" s="1"/>
  <c r="AJ110" i="48"/>
  <c r="AK110" i="48"/>
  <c r="AJ108" i="48"/>
  <c r="AK108" i="48"/>
  <c r="AJ106" i="48"/>
  <c r="AK106" i="48"/>
  <c r="AJ104" i="48"/>
  <c r="AK104" i="48"/>
  <c r="AJ102" i="48"/>
  <c r="AK102" i="48"/>
  <c r="AJ100" i="48"/>
  <c r="AK100" i="48"/>
  <c r="AJ98" i="48"/>
  <c r="AK98" i="48"/>
  <c r="AJ96" i="48"/>
  <c r="AK96" i="48"/>
  <c r="AJ94" i="48"/>
  <c r="AK94" i="48"/>
  <c r="AJ92" i="48"/>
  <c r="AK92" i="48"/>
  <c r="AJ90" i="48"/>
  <c r="AK90" i="48"/>
  <c r="AJ88" i="48"/>
  <c r="AK88" i="48"/>
  <c r="AJ86" i="48"/>
  <c r="AK86" i="48"/>
  <c r="AJ84" i="48"/>
  <c r="AK84" i="48"/>
  <c r="AJ82" i="48"/>
  <c r="AK82" i="48"/>
  <c r="AJ80" i="48"/>
  <c r="AK80" i="48"/>
  <c r="AJ78" i="48"/>
  <c r="AK78" i="48"/>
  <c r="AJ76" i="48"/>
  <c r="AK76" i="48"/>
  <c r="AJ74" i="48"/>
  <c r="AK74" i="48"/>
  <c r="AJ72" i="48"/>
  <c r="AK72" i="48"/>
  <c r="AJ70" i="48"/>
  <c r="AK70" i="48"/>
  <c r="AJ68" i="48"/>
  <c r="AK68" i="48"/>
  <c r="AJ66" i="48"/>
  <c r="AK66" i="48"/>
  <c r="AJ64" i="48"/>
  <c r="AK64" i="48"/>
  <c r="AJ62" i="48"/>
  <c r="AK62" i="48"/>
  <c r="AJ60" i="48"/>
  <c r="AK60" i="48"/>
  <c r="AJ58" i="48"/>
  <c r="AK58" i="48"/>
  <c r="AJ56" i="48"/>
  <c r="AK56" i="48"/>
  <c r="AJ54" i="48"/>
  <c r="AK54" i="48"/>
  <c r="AJ52" i="48"/>
  <c r="AK52" i="48"/>
  <c r="AJ50" i="48"/>
  <c r="AK50" i="48"/>
  <c r="AJ48" i="48"/>
  <c r="AK48" i="48"/>
  <c r="AJ46" i="48"/>
  <c r="AK46" i="48"/>
  <c r="AJ44" i="48"/>
  <c r="AK44" i="48"/>
  <c r="X109" i="48"/>
  <c r="AJ12" i="48"/>
  <c r="AK12" i="48"/>
  <c r="AJ10" i="48"/>
  <c r="AK10" i="48"/>
  <c r="AJ111" i="48"/>
  <c r="AA111" i="48" s="1"/>
  <c r="AJ107" i="48"/>
  <c r="AA107" i="48" s="1"/>
  <c r="AJ103" i="48"/>
  <c r="AA103" i="48" s="1"/>
  <c r="AJ99" i="48"/>
  <c r="AA99" i="48" s="1"/>
  <c r="AJ95" i="48"/>
  <c r="AA95" i="48" s="1"/>
  <c r="AJ91" i="48"/>
  <c r="AA91" i="48" s="1"/>
  <c r="AJ87" i="48"/>
  <c r="AA87" i="48" s="1"/>
  <c r="AJ83" i="48"/>
  <c r="AA83" i="48" s="1"/>
  <c r="AJ79" i="48"/>
  <c r="AA79" i="48" s="1"/>
  <c r="AJ75" i="48"/>
  <c r="AA75" i="48" s="1"/>
  <c r="AJ71" i="48"/>
  <c r="AA71" i="48" s="1"/>
  <c r="AJ67" i="48"/>
  <c r="AA67" i="48" s="1"/>
  <c r="AJ63" i="48"/>
  <c r="AA63" i="48" s="1"/>
  <c r="AJ59" i="48"/>
  <c r="AA59" i="48" s="1"/>
  <c r="AJ55" i="48"/>
  <c r="AA55" i="48" s="1"/>
  <c r="AJ51" i="48"/>
  <c r="AA51" i="48" s="1"/>
  <c r="AJ47" i="48"/>
  <c r="AA47" i="48" s="1"/>
  <c r="AJ43" i="48"/>
  <c r="AA43" i="48" s="1"/>
  <c r="AJ33" i="48"/>
  <c r="AA33" i="48" s="1"/>
  <c r="AJ14" i="48"/>
  <c r="AA14" i="48" s="1"/>
  <c r="AJ42" i="48"/>
  <c r="AK42" i="48"/>
  <c r="AJ40" i="48"/>
  <c r="AK40" i="48"/>
  <c r="AJ39" i="48"/>
  <c r="AA39" i="48" s="1"/>
  <c r="AJ38" i="48"/>
  <c r="AK38" i="48"/>
  <c r="AJ37" i="48"/>
  <c r="AA37" i="48" s="1"/>
  <c r="AJ36" i="48"/>
  <c r="AK36" i="48"/>
  <c r="AJ35" i="48"/>
  <c r="AJ29" i="48"/>
  <c r="AA29" i="48" s="1"/>
  <c r="AJ34" i="48"/>
  <c r="AK34" i="48"/>
  <c r="AJ32" i="48"/>
  <c r="AK32" i="48"/>
  <c r="AJ31" i="48"/>
  <c r="AA31" i="48" s="1"/>
  <c r="AJ30" i="48"/>
  <c r="AK30" i="48"/>
  <c r="AJ28" i="48"/>
  <c r="AA28" i="48" s="1"/>
  <c r="AJ27" i="48"/>
  <c r="AK27" i="48"/>
  <c r="AJ26" i="48"/>
  <c r="AA26" i="48" s="1"/>
  <c r="AJ25" i="48"/>
  <c r="AK25" i="48"/>
  <c r="AJ24" i="48"/>
  <c r="AA24" i="48" s="1"/>
  <c r="AJ23" i="48"/>
  <c r="AK23" i="48"/>
  <c r="AJ21" i="48"/>
  <c r="AK21" i="48"/>
  <c r="AJ20" i="48"/>
  <c r="AA20" i="48" s="1"/>
  <c r="AJ19" i="48"/>
  <c r="AK19" i="48"/>
  <c r="AJ18" i="48"/>
  <c r="AA18" i="48" s="1"/>
  <c r="AJ17" i="48"/>
  <c r="AK17" i="48"/>
  <c r="AJ16" i="48"/>
  <c r="AJ15" i="48"/>
  <c r="AK15" i="48"/>
  <c r="AJ13" i="48"/>
  <c r="AK13" i="48"/>
  <c r="AA6" i="44"/>
  <c r="Z6" i="44"/>
  <c r="AC9" i="44"/>
  <c r="Z9" i="44"/>
  <c r="W9" i="44"/>
  <c r="W41" i="48" l="1"/>
  <c r="AW113" i="48"/>
  <c r="Y73" i="48"/>
  <c r="AA13" i="48"/>
  <c r="AA15" i="48"/>
  <c r="AA19" i="48"/>
  <c r="AA25" i="48"/>
  <c r="AA30" i="48"/>
  <c r="AA38" i="48"/>
  <c r="AA42" i="48"/>
  <c r="AA10" i="48"/>
  <c r="AA12" i="48"/>
  <c r="AA44" i="48"/>
  <c r="AA46" i="48"/>
  <c r="AA54" i="48"/>
  <c r="AA56" i="48"/>
  <c r="AA58" i="48"/>
  <c r="AA60" i="48"/>
  <c r="AA62" i="48"/>
  <c r="AA64" i="48"/>
  <c r="AA66" i="48"/>
  <c r="AA68" i="48"/>
  <c r="AA70" i="48"/>
  <c r="AA72" i="48"/>
  <c r="AA74" i="48"/>
  <c r="AA76" i="48"/>
  <c r="AA78" i="48"/>
  <c r="AA80" i="48"/>
  <c r="AA82" i="48"/>
  <c r="AA84" i="48"/>
  <c r="AA86" i="48"/>
  <c r="AA88" i="48"/>
  <c r="AA90" i="48"/>
  <c r="AA92" i="48"/>
  <c r="AA94" i="48"/>
  <c r="AA96" i="48"/>
  <c r="AA98" i="48"/>
  <c r="AA100" i="48"/>
  <c r="AA102" i="48"/>
  <c r="AA104" i="48"/>
  <c r="AA106" i="48"/>
  <c r="AA108" i="48"/>
  <c r="AA110" i="48"/>
  <c r="Y57" i="48"/>
  <c r="AA57" i="48"/>
  <c r="X89" i="48"/>
  <c r="AA89" i="48"/>
  <c r="X105" i="48"/>
  <c r="AA105" i="48"/>
  <c r="X77" i="48"/>
  <c r="AA77" i="48"/>
  <c r="Z93" i="48"/>
  <c r="AA93" i="48"/>
  <c r="Z109" i="48"/>
  <c r="AA109" i="48"/>
  <c r="AA21" i="48"/>
  <c r="AA23" i="48"/>
  <c r="AA27" i="48"/>
  <c r="AA32" i="48"/>
  <c r="AA34" i="48"/>
  <c r="AA36" i="48"/>
  <c r="AA40" i="48"/>
  <c r="AI57" i="48"/>
  <c r="Y93" i="48"/>
  <c r="Z81" i="48"/>
  <c r="AA81" i="48"/>
  <c r="Z97" i="48"/>
  <c r="AA97" i="48"/>
  <c r="X22" i="48"/>
  <c r="AA22" i="48"/>
  <c r="Y69" i="48"/>
  <c r="AA69" i="48"/>
  <c r="X85" i="48"/>
  <c r="AA85" i="48"/>
  <c r="X101" i="48"/>
  <c r="AA101" i="48"/>
  <c r="Y53" i="48"/>
  <c r="AA53" i="48"/>
  <c r="AA52" i="48"/>
  <c r="AA50" i="48"/>
  <c r="X10" i="48"/>
  <c r="X11" i="48" s="1"/>
  <c r="X45" i="48"/>
  <c r="AC61" i="48"/>
  <c r="AE89" i="48"/>
  <c r="AD105" i="48"/>
  <c r="AG41" i="48"/>
  <c r="AB61" i="48"/>
  <c r="AH73" i="48"/>
  <c r="AH77" i="48"/>
  <c r="Z89" i="48"/>
  <c r="AI105" i="48"/>
  <c r="AG109" i="48"/>
  <c r="X41" i="48"/>
  <c r="Y41" i="48"/>
  <c r="AI45" i="48"/>
  <c r="X57" i="48"/>
  <c r="Z61" i="48"/>
  <c r="W73" i="48"/>
  <c r="AG73" i="48"/>
  <c r="AE77" i="48"/>
  <c r="Z77" i="48"/>
  <c r="AH89" i="48"/>
  <c r="AG93" i="48"/>
  <c r="AB93" i="48"/>
  <c r="AC105" i="48"/>
  <c r="W109" i="48"/>
  <c r="AF109" i="48"/>
  <c r="AF41" i="48"/>
  <c r="AD41" i="48"/>
  <c r="AC41" i="48"/>
  <c r="AF45" i="48"/>
  <c r="AD45" i="48"/>
  <c r="AE45" i="48"/>
  <c r="AF57" i="48"/>
  <c r="AD57" i="48"/>
  <c r="AE57" i="48"/>
  <c r="W61" i="48"/>
  <c r="AH61" i="48"/>
  <c r="AG61" i="48"/>
  <c r="Y61" i="48"/>
  <c r="AB73" i="48"/>
  <c r="Z73" i="48"/>
  <c r="AC73" i="48"/>
  <c r="AI77" i="48"/>
  <c r="AD77" i="48"/>
  <c r="AI89" i="48"/>
  <c r="AD89" i="48"/>
  <c r="W93" i="48"/>
  <c r="AC93" i="48"/>
  <c r="AF93" i="48"/>
  <c r="X93" i="48"/>
  <c r="AH105" i="48"/>
  <c r="Z105" i="48"/>
  <c r="AE109" i="48"/>
  <c r="Y109" i="48"/>
  <c r="AB109" i="48"/>
  <c r="W11" i="48"/>
  <c r="AG49" i="48"/>
  <c r="AF69" i="48"/>
  <c r="AH85" i="48"/>
  <c r="AB41" i="48"/>
  <c r="AH41" i="48"/>
  <c r="Z41" i="48"/>
  <c r="AE41" i="48"/>
  <c r="W45" i="48"/>
  <c r="AB45" i="48"/>
  <c r="AH45" i="48"/>
  <c r="Z45" i="48"/>
  <c r="AG45" i="48"/>
  <c r="AC45" i="48"/>
  <c r="W57" i="48"/>
  <c r="AB57" i="48"/>
  <c r="AH57" i="48"/>
  <c r="Z57" i="48"/>
  <c r="AG57" i="48"/>
  <c r="AC57" i="48"/>
  <c r="AF61" i="48"/>
  <c r="X61" i="48"/>
  <c r="AD61" i="48"/>
  <c r="AI61" i="48"/>
  <c r="AE61" i="48"/>
  <c r="AF73" i="48"/>
  <c r="X73" i="48"/>
  <c r="AD73" i="48"/>
  <c r="AI73" i="48"/>
  <c r="AE73" i="48"/>
  <c r="W77" i="48"/>
  <c r="AG77" i="48"/>
  <c r="AC77" i="48"/>
  <c r="Y77" i="48"/>
  <c r="AF77" i="48"/>
  <c r="AB77" i="48"/>
  <c r="W89" i="48"/>
  <c r="AG89" i="48"/>
  <c r="AC89" i="48"/>
  <c r="Y89" i="48"/>
  <c r="AF89" i="48"/>
  <c r="AB89" i="48"/>
  <c r="AI93" i="48"/>
  <c r="AE93" i="48"/>
  <c r="AH93" i="48"/>
  <c r="AD93" i="48"/>
  <c r="W105" i="48"/>
  <c r="AE105" i="48"/>
  <c r="AG105" i="48"/>
  <c r="Y105" i="48"/>
  <c r="AF105" i="48"/>
  <c r="AB105" i="48"/>
  <c r="AI109" i="48"/>
  <c r="AC109" i="48"/>
  <c r="AH109" i="48"/>
  <c r="AD109" i="48"/>
  <c r="AI22" i="48"/>
  <c r="AC81" i="48"/>
  <c r="AB97" i="48"/>
  <c r="AD11" i="48"/>
  <c r="W49" i="48"/>
  <c r="X53" i="48"/>
  <c r="Z65" i="48"/>
  <c r="AE69" i="48"/>
  <c r="X81" i="48"/>
  <c r="AE97" i="48"/>
  <c r="AC101" i="48"/>
  <c r="AG11" i="48"/>
  <c r="W22" i="48"/>
  <c r="AF22" i="48"/>
  <c r="AH49" i="48"/>
  <c r="Y49" i="48"/>
  <c r="AI53" i="48"/>
  <c r="AB65" i="48"/>
  <c r="AC65" i="48"/>
  <c r="AD69" i="48"/>
  <c r="W81" i="48"/>
  <c r="AF81" i="48"/>
  <c r="AE85" i="48"/>
  <c r="Z85" i="48"/>
  <c r="Y97" i="48"/>
  <c r="AI101" i="48"/>
  <c r="AD101" i="48"/>
  <c r="AI11" i="48"/>
  <c r="AH11" i="48"/>
  <c r="AG22" i="48"/>
  <c r="Z22" i="48"/>
  <c r="AB49" i="48"/>
  <c r="Z49" i="48"/>
  <c r="AC49" i="48"/>
  <c r="AF53" i="48"/>
  <c r="AE53" i="48"/>
  <c r="W65" i="48"/>
  <c r="AH65" i="48"/>
  <c r="AG65" i="48"/>
  <c r="Y65" i="48"/>
  <c r="X69" i="48"/>
  <c r="AI69" i="48"/>
  <c r="AG81" i="48"/>
  <c r="Y81" i="48"/>
  <c r="AB81" i="48"/>
  <c r="AI85" i="48"/>
  <c r="AD85" i="48"/>
  <c r="W97" i="48"/>
  <c r="AG97" i="48"/>
  <c r="AF97" i="48"/>
  <c r="X97" i="48"/>
  <c r="AH101" i="48"/>
  <c r="Z101" i="48"/>
  <c r="AE11" i="48"/>
  <c r="Z11" i="48"/>
  <c r="AC11" i="48"/>
  <c r="AF11" i="48"/>
  <c r="AB11" i="48"/>
  <c r="AC22" i="48"/>
  <c r="Y22" i="48"/>
  <c r="AE22" i="48"/>
  <c r="AH22" i="48"/>
  <c r="AB22" i="48"/>
  <c r="AF49" i="48"/>
  <c r="X49" i="48"/>
  <c r="AD49" i="48"/>
  <c r="AI49" i="48"/>
  <c r="AE49" i="48"/>
  <c r="W53" i="48"/>
  <c r="AB53" i="48"/>
  <c r="AH53" i="48"/>
  <c r="Z53" i="48"/>
  <c r="AG53" i="48"/>
  <c r="AC53" i="48"/>
  <c r="AF65" i="48"/>
  <c r="X65" i="48"/>
  <c r="AD65" i="48"/>
  <c r="AI65" i="48"/>
  <c r="AE65" i="48"/>
  <c r="W69" i="48"/>
  <c r="AB69" i="48"/>
  <c r="AH69" i="48"/>
  <c r="Z69" i="48"/>
  <c r="AG69" i="48"/>
  <c r="AC69" i="48"/>
  <c r="AI81" i="48"/>
  <c r="AE81" i="48"/>
  <c r="AH81" i="48"/>
  <c r="AD81" i="48"/>
  <c r="W85" i="48"/>
  <c r="AG85" i="48"/>
  <c r="AC85" i="48"/>
  <c r="Y85" i="48"/>
  <c r="AF85" i="48"/>
  <c r="AB85" i="48"/>
  <c r="AI97" i="48"/>
  <c r="AC97" i="48"/>
  <c r="AH97" i="48"/>
  <c r="AD97" i="48"/>
  <c r="W101" i="48"/>
  <c r="AE101" i="48"/>
  <c r="AG101" i="48"/>
  <c r="Y101" i="48"/>
  <c r="AF101" i="48"/>
  <c r="AB101" i="48"/>
  <c r="Z13" i="48"/>
  <c r="AB13" i="48"/>
  <c r="AD13" i="48"/>
  <c r="AF13" i="48"/>
  <c r="AH13" i="48"/>
  <c r="AC13" i="48"/>
  <c r="AG13" i="48"/>
  <c r="AI13" i="48"/>
  <c r="AE13" i="48"/>
  <c r="W13" i="48"/>
  <c r="AB15" i="48"/>
  <c r="AD15" i="48"/>
  <c r="AF15" i="48"/>
  <c r="AH15" i="48"/>
  <c r="Y15" i="48"/>
  <c r="AC15" i="48"/>
  <c r="AG15" i="48"/>
  <c r="AI15" i="48"/>
  <c r="AE15" i="48"/>
  <c r="W15" i="48"/>
  <c r="X18" i="48"/>
  <c r="Z18" i="48"/>
  <c r="AD18" i="48"/>
  <c r="AF18" i="48"/>
  <c r="AH18" i="48"/>
  <c r="AE18" i="48"/>
  <c r="AI18" i="48"/>
  <c r="Y18" i="48"/>
  <c r="AG18" i="48"/>
  <c r="AC18" i="48"/>
  <c r="W18" i="48"/>
  <c r="X19" i="48"/>
  <c r="Z19" i="48"/>
  <c r="AD19" i="48"/>
  <c r="AF19" i="48"/>
  <c r="AH19" i="48"/>
  <c r="AE19" i="48"/>
  <c r="AI19" i="48"/>
  <c r="AC19" i="48"/>
  <c r="Y19" i="48"/>
  <c r="AG19" i="48"/>
  <c r="W19" i="48"/>
  <c r="X24" i="48"/>
  <c r="Z24" i="48"/>
  <c r="AB24" i="48"/>
  <c r="AD24" i="48"/>
  <c r="AF24" i="48"/>
  <c r="AH24" i="48"/>
  <c r="AI24" i="48"/>
  <c r="Y24" i="48"/>
  <c r="AG24" i="48"/>
  <c r="AC24" i="48"/>
  <c r="W24" i="48"/>
  <c r="X25" i="48"/>
  <c r="Z25" i="48"/>
  <c r="AB25" i="48"/>
  <c r="AD25" i="48"/>
  <c r="AF25" i="48"/>
  <c r="AH25" i="48"/>
  <c r="AI25" i="48"/>
  <c r="AC25" i="48"/>
  <c r="Y25" i="48"/>
  <c r="AG25" i="48"/>
  <c r="W25" i="48"/>
  <c r="X28" i="48"/>
  <c r="Z28" i="48"/>
  <c r="AB28" i="48"/>
  <c r="AD28" i="48"/>
  <c r="AF28" i="48"/>
  <c r="AH28" i="48"/>
  <c r="AE28" i="48"/>
  <c r="AI28" i="48"/>
  <c r="Y28" i="48"/>
  <c r="AC28" i="48"/>
  <c r="W28" i="48"/>
  <c r="X30" i="48"/>
  <c r="Z30" i="48"/>
  <c r="AB30" i="48"/>
  <c r="AD30" i="48"/>
  <c r="AF30" i="48"/>
  <c r="AH30" i="48"/>
  <c r="AE30" i="48"/>
  <c r="AC30" i="48"/>
  <c r="Y30" i="48"/>
  <c r="AG30" i="48"/>
  <c r="W30" i="48"/>
  <c r="X29" i="48"/>
  <c r="Z29" i="48"/>
  <c r="AB29" i="48"/>
  <c r="AD29" i="48"/>
  <c r="AF29" i="48"/>
  <c r="AE29" i="48"/>
  <c r="AI29" i="48"/>
  <c r="Y29" i="48"/>
  <c r="AG29" i="48"/>
  <c r="AC29" i="48"/>
  <c r="W29" i="48"/>
  <c r="Y37" i="48"/>
  <c r="AC37" i="48"/>
  <c r="AE37" i="48"/>
  <c r="AG37" i="48"/>
  <c r="AI37" i="48"/>
  <c r="Z37" i="48"/>
  <c r="AD37" i="48"/>
  <c r="AH37" i="48"/>
  <c r="X37" i="48"/>
  <c r="AF37" i="48"/>
  <c r="Y38" i="48"/>
  <c r="AC38" i="48"/>
  <c r="AE38" i="48"/>
  <c r="AG38" i="48"/>
  <c r="AI38" i="48"/>
  <c r="Z38" i="48"/>
  <c r="AD38" i="48"/>
  <c r="AH38" i="48"/>
  <c r="X38" i="48"/>
  <c r="AB38" i="48"/>
  <c r="X33" i="48"/>
  <c r="Z33" i="48"/>
  <c r="AB33" i="48"/>
  <c r="AD33" i="48"/>
  <c r="AF33" i="48"/>
  <c r="AH33" i="48"/>
  <c r="Y33" i="48"/>
  <c r="AC33" i="48"/>
  <c r="AG33" i="48"/>
  <c r="AE33" i="48"/>
  <c r="W33" i="48"/>
  <c r="Y47" i="48"/>
  <c r="AC47" i="48"/>
  <c r="AE47" i="48"/>
  <c r="AG47" i="48"/>
  <c r="AI47" i="48"/>
  <c r="AD47" i="48"/>
  <c r="AH47" i="48"/>
  <c r="X47" i="48"/>
  <c r="AB47" i="48"/>
  <c r="AF47" i="48"/>
  <c r="W47" i="48"/>
  <c r="Y55" i="48"/>
  <c r="AC55" i="48"/>
  <c r="AE55" i="48"/>
  <c r="AG55" i="48"/>
  <c r="AI55" i="48"/>
  <c r="Z55" i="48"/>
  <c r="AD55" i="48"/>
  <c r="AH55" i="48"/>
  <c r="X55" i="48"/>
  <c r="AB55" i="48"/>
  <c r="W55" i="48"/>
  <c r="Y63" i="48"/>
  <c r="AC63" i="48"/>
  <c r="AE63" i="48"/>
  <c r="AG63" i="48"/>
  <c r="AI63" i="48"/>
  <c r="Z63" i="48"/>
  <c r="AD63" i="48"/>
  <c r="AH63" i="48"/>
  <c r="X63" i="48"/>
  <c r="AB63" i="48"/>
  <c r="AF63" i="48"/>
  <c r="W63" i="48"/>
  <c r="Y71" i="48"/>
  <c r="AC71" i="48"/>
  <c r="AE71" i="48"/>
  <c r="AG71" i="48"/>
  <c r="AI71" i="48"/>
  <c r="Z71" i="48"/>
  <c r="AD71" i="48"/>
  <c r="AH71" i="48"/>
  <c r="X71" i="48"/>
  <c r="AB71" i="48"/>
  <c r="AF71" i="48"/>
  <c r="W71" i="48"/>
  <c r="X79" i="48"/>
  <c r="Z79" i="48"/>
  <c r="AB79" i="48"/>
  <c r="AD79" i="48"/>
  <c r="AF79" i="48"/>
  <c r="AH79" i="48"/>
  <c r="Y79" i="48"/>
  <c r="AC79" i="48"/>
  <c r="AE79" i="48"/>
  <c r="AG79" i="48"/>
  <c r="AI79" i="48"/>
  <c r="W79" i="48"/>
  <c r="X87" i="48"/>
  <c r="Z87" i="48"/>
  <c r="AB87" i="48"/>
  <c r="AD87" i="48"/>
  <c r="AF87" i="48"/>
  <c r="AH87" i="48"/>
  <c r="Y87" i="48"/>
  <c r="AC87" i="48"/>
  <c r="AE87" i="48"/>
  <c r="AG87" i="48"/>
  <c r="AI87" i="48"/>
  <c r="W87" i="48"/>
  <c r="X95" i="48"/>
  <c r="Z95" i="48"/>
  <c r="AB95" i="48"/>
  <c r="AD95" i="48"/>
  <c r="AF95" i="48"/>
  <c r="AH95" i="48"/>
  <c r="Y95" i="48"/>
  <c r="AC95" i="48"/>
  <c r="AE95" i="48"/>
  <c r="AG95" i="48"/>
  <c r="AI95" i="48"/>
  <c r="W95" i="48"/>
  <c r="X103" i="48"/>
  <c r="Z103" i="48"/>
  <c r="AB103" i="48"/>
  <c r="AD103" i="48"/>
  <c r="AF103" i="48"/>
  <c r="AH103" i="48"/>
  <c r="Y103" i="48"/>
  <c r="AC103" i="48"/>
  <c r="AG103" i="48"/>
  <c r="AE103" i="48"/>
  <c r="AI103" i="48"/>
  <c r="W103" i="48"/>
  <c r="X111" i="48"/>
  <c r="Z111" i="48"/>
  <c r="AB111" i="48"/>
  <c r="AD111" i="48"/>
  <c r="AF111" i="48"/>
  <c r="AH111" i="48"/>
  <c r="Y111" i="48"/>
  <c r="AC111" i="48"/>
  <c r="AG111" i="48"/>
  <c r="AE111" i="48"/>
  <c r="AI111" i="48"/>
  <c r="W111" i="48"/>
  <c r="W10" i="48"/>
  <c r="AH10" i="48"/>
  <c r="AF10" i="48"/>
  <c r="AD10" i="48"/>
  <c r="AB10" i="48"/>
  <c r="Z10" i="48"/>
  <c r="AI10" i="48"/>
  <c r="AG10" i="48"/>
  <c r="AE10" i="48"/>
  <c r="AC10" i="48"/>
  <c r="Y10" i="48"/>
  <c r="Z12" i="48"/>
  <c r="AB12" i="48"/>
  <c r="AD12" i="48"/>
  <c r="AF12" i="48"/>
  <c r="AH12" i="48"/>
  <c r="Y12" i="48"/>
  <c r="AC12" i="48"/>
  <c r="AG12" i="48"/>
  <c r="AE12" i="48"/>
  <c r="AI12" i="48"/>
  <c r="W12" i="48"/>
  <c r="X16" i="48"/>
  <c r="Z16" i="48"/>
  <c r="AC16" i="48"/>
  <c r="AE16" i="48"/>
  <c r="AG16" i="48"/>
  <c r="AI16" i="48"/>
  <c r="AD16" i="48"/>
  <c r="AH16" i="48"/>
  <c r="AF16" i="48"/>
  <c r="AB16" i="48"/>
  <c r="W16" i="48"/>
  <c r="Y17" i="48"/>
  <c r="AB17" i="48"/>
  <c r="AD17" i="48"/>
  <c r="AF17" i="48"/>
  <c r="Z17" i="48"/>
  <c r="AE17" i="48"/>
  <c r="AI17" i="48"/>
  <c r="AC17" i="48"/>
  <c r="X17" i="48"/>
  <c r="AG17" i="48"/>
  <c r="W17" i="48"/>
  <c r="X20" i="48"/>
  <c r="Z20" i="48"/>
  <c r="AB20" i="48"/>
  <c r="AD20" i="48"/>
  <c r="AF20" i="48"/>
  <c r="AH20" i="48"/>
  <c r="AE20" i="48"/>
  <c r="AI20" i="48"/>
  <c r="Y20" i="48"/>
  <c r="AG20" i="48"/>
  <c r="W20" i="48"/>
  <c r="X21" i="48"/>
  <c r="Z21" i="48"/>
  <c r="AB21" i="48"/>
  <c r="AD21" i="48"/>
  <c r="AF21" i="48"/>
  <c r="AH21" i="48"/>
  <c r="AE21" i="48"/>
  <c r="AI21" i="48"/>
  <c r="Y21" i="48"/>
  <c r="AG21" i="48"/>
  <c r="W21" i="48"/>
  <c r="X23" i="48"/>
  <c r="Z23" i="48"/>
  <c r="AB23" i="48"/>
  <c r="AF23" i="48"/>
  <c r="AH23" i="48"/>
  <c r="AE23" i="48"/>
  <c r="AI23" i="48"/>
  <c r="AC23" i="48"/>
  <c r="Y23" i="48"/>
  <c r="AG23" i="48"/>
  <c r="W23" i="48"/>
  <c r="X26" i="48"/>
  <c r="Z26" i="48"/>
  <c r="AB26" i="48"/>
  <c r="AD26" i="48"/>
  <c r="AH26" i="48"/>
  <c r="AE26" i="48"/>
  <c r="AI26" i="48"/>
  <c r="Y26" i="48"/>
  <c r="AG26" i="48"/>
  <c r="AC26" i="48"/>
  <c r="W26" i="48"/>
  <c r="X27" i="48"/>
  <c r="Z27" i="48"/>
  <c r="AB27" i="48"/>
  <c r="AD27" i="48"/>
  <c r="AH27" i="48"/>
  <c r="AE27" i="48"/>
  <c r="AI27" i="48"/>
  <c r="AC27" i="48"/>
  <c r="Y27" i="48"/>
  <c r="AG27" i="48"/>
  <c r="W27" i="48"/>
  <c r="X31" i="48"/>
  <c r="Z31" i="48"/>
  <c r="AB31" i="48"/>
  <c r="AD31" i="48"/>
  <c r="AF31" i="48"/>
  <c r="AE31" i="48"/>
  <c r="Y31" i="48"/>
  <c r="AG31" i="48"/>
  <c r="AC31" i="48"/>
  <c r="AI31" i="48"/>
  <c r="W31" i="48"/>
  <c r="X32" i="48"/>
  <c r="Z32" i="48"/>
  <c r="AB32" i="48"/>
  <c r="AD32" i="48"/>
  <c r="AF32" i="48"/>
  <c r="Y32" i="48"/>
  <c r="AC32" i="48"/>
  <c r="AG32" i="48"/>
  <c r="AE32" i="48"/>
  <c r="AI32" i="48"/>
  <c r="W32" i="48"/>
  <c r="X34" i="48"/>
  <c r="Z34" i="48"/>
  <c r="AB34" i="48"/>
  <c r="AD34" i="48"/>
  <c r="AF34" i="48"/>
  <c r="AH34" i="48"/>
  <c r="Y34" i="48"/>
  <c r="AC34" i="48"/>
  <c r="AG34" i="48"/>
  <c r="AE34" i="48"/>
  <c r="W34" i="48"/>
  <c r="X35" i="48"/>
  <c r="Z35" i="48"/>
  <c r="AC35" i="48"/>
  <c r="AE35" i="48"/>
  <c r="AG35" i="48"/>
  <c r="AI35" i="48"/>
  <c r="Y35" i="48"/>
  <c r="AD35" i="48"/>
  <c r="AH35" i="48"/>
  <c r="AB35" i="48"/>
  <c r="AF35" i="48"/>
  <c r="W35" i="48"/>
  <c r="Y36" i="48"/>
  <c r="AC36" i="48"/>
  <c r="AE36" i="48"/>
  <c r="AG36" i="48"/>
  <c r="AI36" i="48"/>
  <c r="Z36" i="48"/>
  <c r="AD36" i="48"/>
  <c r="AH36" i="48"/>
  <c r="AB36" i="48"/>
  <c r="AF36" i="48"/>
  <c r="W36" i="48"/>
  <c r="Y39" i="48"/>
  <c r="AC39" i="48"/>
  <c r="AE39" i="48"/>
  <c r="AI39" i="48"/>
  <c r="Z39" i="48"/>
  <c r="AD39" i="48"/>
  <c r="AH39" i="48"/>
  <c r="X39" i="48"/>
  <c r="AB39" i="48"/>
  <c r="AF39" i="48"/>
  <c r="Y40" i="48"/>
  <c r="AC40" i="48"/>
  <c r="AE40" i="48"/>
  <c r="AG40" i="48"/>
  <c r="AI40" i="48"/>
  <c r="Z40" i="48"/>
  <c r="AD40" i="48"/>
  <c r="X40" i="48"/>
  <c r="AB40" i="48"/>
  <c r="AF40" i="48"/>
  <c r="AB14" i="48"/>
  <c r="AD14" i="48"/>
  <c r="AF14" i="48"/>
  <c r="AH14" i="48"/>
  <c r="Y14" i="48"/>
  <c r="AC14" i="48"/>
  <c r="AG14" i="48"/>
  <c r="AE14" i="48"/>
  <c r="AI14" i="48"/>
  <c r="W14" i="48"/>
  <c r="AC43" i="48"/>
  <c r="AE43" i="48"/>
  <c r="AG43" i="48"/>
  <c r="AI43" i="48"/>
  <c r="Z43" i="48"/>
  <c r="AD43" i="48"/>
  <c r="AH43" i="48"/>
  <c r="X43" i="48"/>
  <c r="AB43" i="48"/>
  <c r="AF43" i="48"/>
  <c r="W43" i="48"/>
  <c r="Y51" i="48"/>
  <c r="AE51" i="48"/>
  <c r="AG51" i="48"/>
  <c r="AI51" i="48"/>
  <c r="Z51" i="48"/>
  <c r="AD51" i="48"/>
  <c r="AH51" i="48"/>
  <c r="X51" i="48"/>
  <c r="AB51" i="48"/>
  <c r="AF51" i="48"/>
  <c r="W51" i="48"/>
  <c r="Y59" i="48"/>
  <c r="AC59" i="48"/>
  <c r="AE59" i="48"/>
  <c r="AG59" i="48"/>
  <c r="AI59" i="48"/>
  <c r="Z59" i="48"/>
  <c r="AD59" i="48"/>
  <c r="AH59" i="48"/>
  <c r="X59" i="48"/>
  <c r="AB59" i="48"/>
  <c r="AF59" i="48"/>
  <c r="W59" i="48"/>
  <c r="Y67" i="48"/>
  <c r="AC67" i="48"/>
  <c r="AE67" i="48"/>
  <c r="AG67" i="48"/>
  <c r="AI67" i="48"/>
  <c r="Z67" i="48"/>
  <c r="AD67" i="48"/>
  <c r="AH67" i="48"/>
  <c r="X67" i="48"/>
  <c r="AB67" i="48"/>
  <c r="AF67" i="48"/>
  <c r="W67" i="48"/>
  <c r="Y75" i="48"/>
  <c r="AC75" i="48"/>
  <c r="Z75" i="48"/>
  <c r="AD75" i="48"/>
  <c r="AF75" i="48"/>
  <c r="AH75" i="48"/>
  <c r="X75" i="48"/>
  <c r="AB75" i="48"/>
  <c r="AE75" i="48"/>
  <c r="AG75" i="48"/>
  <c r="AI75" i="48"/>
  <c r="W75" i="48"/>
  <c r="X83" i="48"/>
  <c r="Z83" i="48"/>
  <c r="AB83" i="48"/>
  <c r="AD83" i="48"/>
  <c r="AF83" i="48"/>
  <c r="AH83" i="48"/>
  <c r="Y83" i="48"/>
  <c r="AC83" i="48"/>
  <c r="AE83" i="48"/>
  <c r="AG83" i="48"/>
  <c r="AI83" i="48"/>
  <c r="W83" i="48"/>
  <c r="X91" i="48"/>
  <c r="Z91" i="48"/>
  <c r="AB91" i="48"/>
  <c r="AD91" i="48"/>
  <c r="AF91" i="48"/>
  <c r="AH91" i="48"/>
  <c r="Y91" i="48"/>
  <c r="AC91" i="48"/>
  <c r="AE91" i="48"/>
  <c r="AG91" i="48"/>
  <c r="AI91" i="48"/>
  <c r="W91" i="48"/>
  <c r="X99" i="48"/>
  <c r="Z99" i="48"/>
  <c r="AB99" i="48"/>
  <c r="AD99" i="48"/>
  <c r="AF99" i="48"/>
  <c r="AH99" i="48"/>
  <c r="Y99" i="48"/>
  <c r="AC99" i="48"/>
  <c r="AG99" i="48"/>
  <c r="AE99" i="48"/>
  <c r="AI99" i="48"/>
  <c r="W99" i="48"/>
  <c r="X107" i="48"/>
  <c r="Z107" i="48"/>
  <c r="AB107" i="48"/>
  <c r="AD107" i="48"/>
  <c r="AF107" i="48"/>
  <c r="AH107" i="48"/>
  <c r="Y107" i="48"/>
  <c r="AC107" i="48"/>
  <c r="AG107" i="48"/>
  <c r="AE107" i="48"/>
  <c r="AI107" i="48"/>
  <c r="W107" i="48"/>
  <c r="AC44" i="48"/>
  <c r="AE44" i="48"/>
  <c r="AG44" i="48"/>
  <c r="AI44" i="48"/>
  <c r="Z44" i="48"/>
  <c r="AD44" i="48"/>
  <c r="AH44" i="48"/>
  <c r="X44" i="48"/>
  <c r="AB44" i="48"/>
  <c r="AF44" i="48"/>
  <c r="W44" i="48"/>
  <c r="Y46" i="48"/>
  <c r="AC46" i="48"/>
  <c r="AE46" i="48"/>
  <c r="AG46" i="48"/>
  <c r="AI46" i="48"/>
  <c r="AD46" i="48"/>
  <c r="AH46" i="48"/>
  <c r="X46" i="48"/>
  <c r="AB46" i="48"/>
  <c r="AF46" i="48"/>
  <c r="W46" i="48"/>
  <c r="Y48" i="48"/>
  <c r="AC48" i="48"/>
  <c r="AE48" i="48"/>
  <c r="AG48" i="48"/>
  <c r="AI48" i="48"/>
  <c r="Z48" i="48"/>
  <c r="AD48" i="48"/>
  <c r="AH48" i="48"/>
  <c r="X48" i="48"/>
  <c r="AB48" i="48"/>
  <c r="AF48" i="48"/>
  <c r="W48" i="48"/>
  <c r="Y50" i="48"/>
  <c r="AE50" i="48"/>
  <c r="AG50" i="48"/>
  <c r="AI50" i="48"/>
  <c r="Z50" i="48"/>
  <c r="AD50" i="48"/>
  <c r="AH50" i="48"/>
  <c r="X50" i="48"/>
  <c r="AB50" i="48"/>
  <c r="AF50" i="48"/>
  <c r="W50" i="48"/>
  <c r="Y52" i="48"/>
  <c r="AC52" i="48"/>
  <c r="AE52" i="48"/>
  <c r="AG52" i="48"/>
  <c r="AI52" i="48"/>
  <c r="Z52" i="48"/>
  <c r="AH52" i="48"/>
  <c r="X52" i="48"/>
  <c r="AB52" i="48"/>
  <c r="AF52" i="48"/>
  <c r="W52" i="48"/>
  <c r="Y54" i="48"/>
  <c r="AC54" i="48"/>
  <c r="AE54" i="48"/>
  <c r="AG54" i="48"/>
  <c r="AI54" i="48"/>
  <c r="Z54" i="48"/>
  <c r="AD54" i="48"/>
  <c r="AH54" i="48"/>
  <c r="X54" i="48"/>
  <c r="AB54" i="48"/>
  <c r="W54" i="48"/>
  <c r="Y56" i="48"/>
  <c r="AC56" i="48"/>
  <c r="AE56" i="48"/>
  <c r="AG56" i="48"/>
  <c r="AI56" i="48"/>
  <c r="Z56" i="48"/>
  <c r="AD56" i="48"/>
  <c r="AH56" i="48"/>
  <c r="AB56" i="48"/>
  <c r="AF56" i="48"/>
  <c r="W56" i="48"/>
  <c r="Y58" i="48"/>
  <c r="AC58" i="48"/>
  <c r="AE58" i="48"/>
  <c r="AG58" i="48"/>
  <c r="AI58" i="48"/>
  <c r="Z58" i="48"/>
  <c r="AD58" i="48"/>
  <c r="AH58" i="48"/>
  <c r="X58" i="48"/>
  <c r="AB58" i="48"/>
  <c r="AF58" i="48"/>
  <c r="W58" i="48"/>
  <c r="Y60" i="48"/>
  <c r="AC60" i="48"/>
  <c r="AE60" i="48"/>
  <c r="AG60" i="48"/>
  <c r="AI60" i="48"/>
  <c r="Z60" i="48"/>
  <c r="AD60" i="48"/>
  <c r="AH60" i="48"/>
  <c r="X60" i="48"/>
  <c r="AB60" i="48"/>
  <c r="AF60" i="48"/>
  <c r="W60" i="48"/>
  <c r="Y62" i="48"/>
  <c r="AC62" i="48"/>
  <c r="AE62" i="48"/>
  <c r="AG62" i="48"/>
  <c r="AI62" i="48"/>
  <c r="Z62" i="48"/>
  <c r="AD62" i="48"/>
  <c r="AH62" i="48"/>
  <c r="X62" i="48"/>
  <c r="AB62" i="48"/>
  <c r="AF62" i="48"/>
  <c r="W62" i="48"/>
  <c r="Y64" i="48"/>
  <c r="AC64" i="48"/>
  <c r="AE64" i="48"/>
  <c r="AG64" i="48"/>
  <c r="AI64" i="48"/>
  <c r="Z64" i="48"/>
  <c r="AD64" i="48"/>
  <c r="AH64" i="48"/>
  <c r="X64" i="48"/>
  <c r="AB64" i="48"/>
  <c r="AF64" i="48"/>
  <c r="W64" i="48"/>
  <c r="Y66" i="48"/>
  <c r="AC66" i="48"/>
  <c r="AE66" i="48"/>
  <c r="AG66" i="48"/>
  <c r="AI66" i="48"/>
  <c r="Z66" i="48"/>
  <c r="AD66" i="48"/>
  <c r="AH66" i="48"/>
  <c r="X66" i="48"/>
  <c r="AB66" i="48"/>
  <c r="AF66" i="48"/>
  <c r="W66" i="48"/>
  <c r="Y68" i="48"/>
  <c r="AC68" i="48"/>
  <c r="AE68" i="48"/>
  <c r="AG68" i="48"/>
  <c r="AI68" i="48"/>
  <c r="Z68" i="48"/>
  <c r="AD68" i="48"/>
  <c r="AH68" i="48"/>
  <c r="X68" i="48"/>
  <c r="AB68" i="48"/>
  <c r="AF68" i="48"/>
  <c r="W68" i="48"/>
  <c r="Y70" i="48"/>
  <c r="AC70" i="48"/>
  <c r="AE70" i="48"/>
  <c r="AG70" i="48"/>
  <c r="AI70" i="48"/>
  <c r="Z70" i="48"/>
  <c r="AD70" i="48"/>
  <c r="AH70" i="48"/>
  <c r="X70" i="48"/>
  <c r="AB70" i="48"/>
  <c r="AF70" i="48"/>
  <c r="W70" i="48"/>
  <c r="Y72" i="48"/>
  <c r="AC72" i="48"/>
  <c r="AE72" i="48"/>
  <c r="AG72" i="48"/>
  <c r="AI72" i="48"/>
  <c r="Z72" i="48"/>
  <c r="AD72" i="48"/>
  <c r="AH72" i="48"/>
  <c r="X72" i="48"/>
  <c r="AB72" i="48"/>
  <c r="AF72" i="48"/>
  <c r="W72" i="48"/>
  <c r="Y74" i="48"/>
  <c r="AC74" i="48"/>
  <c r="AE74" i="48"/>
  <c r="AG74" i="48"/>
  <c r="AI74" i="48"/>
  <c r="Z74" i="48"/>
  <c r="AD74" i="48"/>
  <c r="AH74" i="48"/>
  <c r="X74" i="48"/>
  <c r="AB74" i="48"/>
  <c r="AF74" i="48"/>
  <c r="W74" i="48"/>
  <c r="X76" i="48"/>
  <c r="Z76" i="48"/>
  <c r="AB76" i="48"/>
  <c r="AD76" i="48"/>
  <c r="AF76" i="48"/>
  <c r="AH76" i="48"/>
  <c r="Y76" i="48"/>
  <c r="AC76" i="48"/>
  <c r="AE76" i="48"/>
  <c r="AG76" i="48"/>
  <c r="AI76" i="48"/>
  <c r="W76" i="48"/>
  <c r="X78" i="48"/>
  <c r="Z78" i="48"/>
  <c r="AB78" i="48"/>
  <c r="AD78" i="48"/>
  <c r="AF78" i="48"/>
  <c r="AH78" i="48"/>
  <c r="Y78" i="48"/>
  <c r="AC78" i="48"/>
  <c r="AE78" i="48"/>
  <c r="AG78" i="48"/>
  <c r="AI78" i="48"/>
  <c r="W78" i="48"/>
  <c r="X80" i="48"/>
  <c r="Z80" i="48"/>
  <c r="AB80" i="48"/>
  <c r="AD80" i="48"/>
  <c r="AF80" i="48"/>
  <c r="AH80" i="48"/>
  <c r="Y80" i="48"/>
  <c r="AC80" i="48"/>
  <c r="AE80" i="48"/>
  <c r="AG80" i="48"/>
  <c r="AI80" i="48"/>
  <c r="W80" i="48"/>
  <c r="X82" i="48"/>
  <c r="Z82" i="48"/>
  <c r="AB82" i="48"/>
  <c r="AD82" i="48"/>
  <c r="AF82" i="48"/>
  <c r="AH82" i="48"/>
  <c r="Y82" i="48"/>
  <c r="AC82" i="48"/>
  <c r="AE82" i="48"/>
  <c r="AG82" i="48"/>
  <c r="AI82" i="48"/>
  <c r="W82" i="48"/>
  <c r="X84" i="48"/>
  <c r="Z84" i="48"/>
  <c r="AB84" i="48"/>
  <c r="AD84" i="48"/>
  <c r="AF84" i="48"/>
  <c r="AH84" i="48"/>
  <c r="Y84" i="48"/>
  <c r="AC84" i="48"/>
  <c r="AE84" i="48"/>
  <c r="AG84" i="48"/>
  <c r="AI84" i="48"/>
  <c r="W84" i="48"/>
  <c r="X86" i="48"/>
  <c r="Z86" i="48"/>
  <c r="AB86" i="48"/>
  <c r="AD86" i="48"/>
  <c r="AF86" i="48"/>
  <c r="AH86" i="48"/>
  <c r="Y86" i="48"/>
  <c r="AC86" i="48"/>
  <c r="AE86" i="48"/>
  <c r="AG86" i="48"/>
  <c r="AI86" i="48"/>
  <c r="W86" i="48"/>
  <c r="X88" i="48"/>
  <c r="Z88" i="48"/>
  <c r="AB88" i="48"/>
  <c r="AD88" i="48"/>
  <c r="AF88" i="48"/>
  <c r="AH88" i="48"/>
  <c r="Y88" i="48"/>
  <c r="AC88" i="48"/>
  <c r="AE88" i="48"/>
  <c r="AG88" i="48"/>
  <c r="AI88" i="48"/>
  <c r="W88" i="48"/>
  <c r="X90" i="48"/>
  <c r="Z90" i="48"/>
  <c r="AB90" i="48"/>
  <c r="AD90" i="48"/>
  <c r="AF90" i="48"/>
  <c r="AH90" i="48"/>
  <c r="Y90" i="48"/>
  <c r="AC90" i="48"/>
  <c r="AE90" i="48"/>
  <c r="AG90" i="48"/>
  <c r="AI90" i="48"/>
  <c r="W90" i="48"/>
  <c r="X92" i="48"/>
  <c r="Z92" i="48"/>
  <c r="AB92" i="48"/>
  <c r="AD92" i="48"/>
  <c r="AF92" i="48"/>
  <c r="AH92" i="48"/>
  <c r="Y92" i="48"/>
  <c r="AC92" i="48"/>
  <c r="AE92" i="48"/>
  <c r="AG92" i="48"/>
  <c r="AI92" i="48"/>
  <c r="W92" i="48"/>
  <c r="X94" i="48"/>
  <c r="Z94" i="48"/>
  <c r="AB94" i="48"/>
  <c r="AD94" i="48"/>
  <c r="AF94" i="48"/>
  <c r="AH94" i="48"/>
  <c r="Y94" i="48"/>
  <c r="AC94" i="48"/>
  <c r="AE94" i="48"/>
  <c r="AG94" i="48"/>
  <c r="AI94" i="48"/>
  <c r="W94" i="48"/>
  <c r="X96" i="48"/>
  <c r="Z96" i="48"/>
  <c r="AB96" i="48"/>
  <c r="AD96" i="48"/>
  <c r="AF96" i="48"/>
  <c r="AH96" i="48"/>
  <c r="Y96" i="48"/>
  <c r="AC96" i="48"/>
  <c r="AG96" i="48"/>
  <c r="AE96" i="48"/>
  <c r="AI96" i="48"/>
  <c r="W96" i="48"/>
  <c r="X98" i="48"/>
  <c r="Z98" i="48"/>
  <c r="AB98" i="48"/>
  <c r="AD98" i="48"/>
  <c r="AF98" i="48"/>
  <c r="AH98" i="48"/>
  <c r="Y98" i="48"/>
  <c r="AC98" i="48"/>
  <c r="AG98" i="48"/>
  <c r="AE98" i="48"/>
  <c r="AI98" i="48"/>
  <c r="W98" i="48"/>
  <c r="X100" i="48"/>
  <c r="Z100" i="48"/>
  <c r="AB100" i="48"/>
  <c r="AD100" i="48"/>
  <c r="AF100" i="48"/>
  <c r="AH100" i="48"/>
  <c r="Y100" i="48"/>
  <c r="AC100" i="48"/>
  <c r="AG100" i="48"/>
  <c r="AE100" i="48"/>
  <c r="AI100" i="48"/>
  <c r="W100" i="48"/>
  <c r="X102" i="48"/>
  <c r="Z102" i="48"/>
  <c r="AB102" i="48"/>
  <c r="AD102" i="48"/>
  <c r="AF102" i="48"/>
  <c r="AH102" i="48"/>
  <c r="Y102" i="48"/>
  <c r="AC102" i="48"/>
  <c r="AG102" i="48"/>
  <c r="AE102" i="48"/>
  <c r="AI102" i="48"/>
  <c r="W102" i="48"/>
  <c r="X104" i="48"/>
  <c r="Z104" i="48"/>
  <c r="AB104" i="48"/>
  <c r="AD104" i="48"/>
  <c r="AF104" i="48"/>
  <c r="AH104" i="48"/>
  <c r="Y104" i="48"/>
  <c r="AC104" i="48"/>
  <c r="AG104" i="48"/>
  <c r="AE104" i="48"/>
  <c r="AI104" i="48"/>
  <c r="W104" i="48"/>
  <c r="X106" i="48"/>
  <c r="Z106" i="48"/>
  <c r="AB106" i="48"/>
  <c r="AD106" i="48"/>
  <c r="AF106" i="48"/>
  <c r="AH106" i="48"/>
  <c r="Y106" i="48"/>
  <c r="AC106" i="48"/>
  <c r="AG106" i="48"/>
  <c r="AE106" i="48"/>
  <c r="AI106" i="48"/>
  <c r="W106" i="48"/>
  <c r="X108" i="48"/>
  <c r="Z108" i="48"/>
  <c r="AB108" i="48"/>
  <c r="AD108" i="48"/>
  <c r="AF108" i="48"/>
  <c r="AH108" i="48"/>
  <c r="Y108" i="48"/>
  <c r="AC108" i="48"/>
  <c r="AG108" i="48"/>
  <c r="AE108" i="48"/>
  <c r="AI108" i="48"/>
  <c r="W108" i="48"/>
  <c r="X110" i="48"/>
  <c r="Z110" i="48"/>
  <c r="AB110" i="48"/>
  <c r="AD110" i="48"/>
  <c r="AF110" i="48"/>
  <c r="AH110" i="48"/>
  <c r="Y110" i="48"/>
  <c r="AC110" i="48"/>
  <c r="AG110" i="48"/>
  <c r="AE110" i="48"/>
  <c r="AI110" i="48"/>
  <c r="W110" i="48"/>
  <c r="Y42" i="48"/>
  <c r="AC42" i="48"/>
  <c r="AE42" i="48"/>
  <c r="AG42" i="48"/>
  <c r="AI42" i="48"/>
  <c r="X42" i="48"/>
  <c r="Z42" i="48"/>
  <c r="AB42" i="48"/>
  <c r="AD42" i="48"/>
  <c r="AH42" i="48"/>
  <c r="W42" i="48"/>
  <c r="W40" i="48"/>
  <c r="W39" i="48"/>
  <c r="W38" i="48"/>
  <c r="W37" i="48"/>
  <c r="P111" i="42"/>
  <c r="AH17" i="48" l="1"/>
  <c r="AA16" i="48"/>
  <c r="AA17" i="48" s="1"/>
  <c r="Y11" i="48"/>
  <c r="AF26" i="48"/>
  <c r="AC20" i="48"/>
  <c r="X12" i="48"/>
  <c r="AG28" i="48"/>
  <c r="AH29" i="48"/>
  <c r="Z14" i="48"/>
  <c r="AB18" i="48"/>
  <c r="AC21" i="48"/>
  <c r="AH31" i="48"/>
  <c r="AE24" i="48"/>
  <c r="AD22" i="48"/>
  <c r="AI30" i="48"/>
  <c r="D4" i="42"/>
  <c r="X13" i="48" l="1"/>
  <c r="Y13" i="48"/>
  <c r="Y16" i="48" s="1"/>
  <c r="AI33" i="48"/>
  <c r="AI34" i="48" s="1"/>
  <c r="AI41" i="48" s="1"/>
  <c r="AE25" i="48"/>
  <c r="AP272" i="48" s="1"/>
  <c r="AD23" i="48"/>
  <c r="AB19" i="48"/>
  <c r="AF27" i="48"/>
  <c r="AC50" i="48"/>
  <c r="Z15" i="48"/>
  <c r="X36" i="48"/>
  <c r="AH32" i="48"/>
  <c r="E9" i="45"/>
  <c r="H27" i="47" s="1"/>
  <c r="I3" i="47"/>
  <c r="H3" i="47"/>
  <c r="D4" i="47"/>
  <c r="R4" i="42"/>
  <c r="Q4" i="42"/>
  <c r="N4" i="42"/>
  <c r="K4" i="42"/>
  <c r="H4" i="42"/>
  <c r="X14" i="48" l="1"/>
  <c r="X15" i="48" s="1"/>
  <c r="AT272" i="48"/>
  <c r="AN285" i="48"/>
  <c r="AW272" i="48"/>
  <c r="AO272" i="48"/>
  <c r="AV272" i="48"/>
  <c r="AQ272" i="48"/>
  <c r="AM272" i="48"/>
  <c r="AU272" i="48"/>
  <c r="AR272" i="48"/>
  <c r="AN272" i="48"/>
  <c r="AS272" i="48"/>
  <c r="X56" i="48"/>
  <c r="AT126" i="48" s="1"/>
  <c r="AW287" i="48"/>
  <c r="AP276" i="48"/>
  <c r="AW288" i="48"/>
  <c r="AN282" i="48"/>
  <c r="AP277" i="48"/>
  <c r="AO286" i="48"/>
  <c r="AO279" i="48"/>
  <c r="AM285" i="48"/>
  <c r="AW290" i="48"/>
  <c r="AN283" i="48"/>
  <c r="AU276" i="48"/>
  <c r="Y43" i="48"/>
  <c r="AW356" i="48"/>
  <c r="AT356" i="48"/>
  <c r="AU356" i="48"/>
  <c r="AA35" i="48"/>
  <c r="AW283" i="48"/>
  <c r="AW280" i="48"/>
  <c r="AU280" i="48"/>
  <c r="AW286" i="48"/>
  <c r="AP289" i="48"/>
  <c r="AT277" i="48"/>
  <c r="AN288" i="48"/>
  <c r="AP282" i="48"/>
  <c r="AM356" i="48"/>
  <c r="AN356" i="48"/>
  <c r="AV356" i="48"/>
  <c r="AP356" i="48"/>
  <c r="AO356" i="48"/>
  <c r="AN278" i="48"/>
  <c r="AU289" i="48"/>
  <c r="AS274" i="48"/>
  <c r="AV285" i="48"/>
  <c r="AN277" i="48"/>
  <c r="AR283" i="48"/>
  <c r="AN291" i="48"/>
  <c r="AO285" i="48"/>
  <c r="AQ279" i="48"/>
  <c r="AQ356" i="48"/>
  <c r="AS356" i="48"/>
  <c r="AR356" i="48"/>
  <c r="AU357" i="48"/>
  <c r="AP357" i="48"/>
  <c r="AT357" i="48"/>
  <c r="AO357" i="48"/>
  <c r="AV357" i="48"/>
  <c r="AQ357" i="48"/>
  <c r="AM357" i="48"/>
  <c r="AS357" i="48"/>
  <c r="AG39" i="48"/>
  <c r="AM316" i="48" s="1"/>
  <c r="AP273" i="48"/>
  <c r="AR276" i="48"/>
  <c r="AV280" i="48"/>
  <c r="AU283" i="48"/>
  <c r="AT286" i="48"/>
  <c r="AS289" i="48"/>
  <c r="AU274" i="48"/>
  <c r="AS280" i="48"/>
  <c r="AQ286" i="48"/>
  <c r="AO274" i="48"/>
  <c r="AN281" i="48"/>
  <c r="AM280" i="48"/>
  <c r="AU291" i="48"/>
  <c r="AV281" i="48"/>
  <c r="AU286" i="48"/>
  <c r="AN275" i="48"/>
  <c r="AV286" i="48"/>
  <c r="AM281" i="48"/>
  <c r="AO275" i="48"/>
  <c r="AF38" i="48"/>
  <c r="AN357" i="48"/>
  <c r="AR273" i="48"/>
  <c r="AU273" i="48"/>
  <c r="AV274" i="48"/>
  <c r="AU277" i="48"/>
  <c r="AT280" i="48"/>
  <c r="AS283" i="48"/>
  <c r="AR286" i="48"/>
  <c r="AQ289" i="48"/>
  <c r="AQ274" i="48"/>
  <c r="AO280" i="48"/>
  <c r="AM286" i="48"/>
  <c r="AW291" i="48"/>
  <c r="AQ280" i="48"/>
  <c r="AP279" i="48"/>
  <c r="AM291" i="48"/>
  <c r="AV273" i="48"/>
  <c r="AS273" i="48"/>
  <c r="AT276" i="48"/>
  <c r="AS279" i="48"/>
  <c r="AR282" i="48"/>
  <c r="AQ285" i="48"/>
  <c r="AP288" i="48"/>
  <c r="AP291" i="48"/>
  <c r="AM278" i="48"/>
  <c r="AV283" i="48"/>
  <c r="AT289" i="48"/>
  <c r="AR277" i="48"/>
  <c r="AT287" i="48"/>
  <c r="AS286" i="48"/>
  <c r="AU288" i="48"/>
  <c r="AW282" i="48"/>
  <c r="AV289" i="48"/>
  <c r="AM284" i="48"/>
  <c r="AS278" i="48"/>
  <c r="AT275" i="48"/>
  <c r="AV290" i="48"/>
  <c r="AV287" i="48"/>
  <c r="AW284" i="48"/>
  <c r="AM282" i="48"/>
  <c r="AN279" i="48"/>
  <c r="AO276" i="48"/>
  <c r="AV291" i="48"/>
  <c r="AQ290" i="48"/>
  <c r="AV288" i="48"/>
  <c r="AQ287" i="48"/>
  <c r="AW285" i="48"/>
  <c r="AR284" i="48"/>
  <c r="AM283" i="48"/>
  <c r="AS281" i="48"/>
  <c r="AN280" i="48"/>
  <c r="AW277" i="48"/>
  <c r="AM275" i="48"/>
  <c r="Z46" i="48"/>
  <c r="AC51" i="48"/>
  <c r="AU232" i="48" s="1"/>
  <c r="AT278" i="48"/>
  <c r="AO277" i="48"/>
  <c r="AU275" i="48"/>
  <c r="AP274" i="48"/>
  <c r="AO273" i="48"/>
  <c r="AT273" i="48"/>
  <c r="AW357" i="48"/>
  <c r="AR357" i="48"/>
  <c r="AU358" i="48"/>
  <c r="AO360" i="48"/>
  <c r="AT361" i="48"/>
  <c r="AN363" i="48"/>
  <c r="AS364" i="48"/>
  <c r="AM366" i="48"/>
  <c r="AR367" i="48"/>
  <c r="AW368" i="48"/>
  <c r="AQ370" i="48"/>
  <c r="AV371" i="48"/>
  <c r="AM359" i="48"/>
  <c r="AW361" i="48"/>
  <c r="AV364" i="48"/>
  <c r="AU367" i="48"/>
  <c r="AT370" i="48"/>
  <c r="AM373" i="48"/>
  <c r="AR374" i="48"/>
  <c r="AW375" i="48"/>
  <c r="AO359" i="48"/>
  <c r="AM365" i="48"/>
  <c r="AV370" i="48"/>
  <c r="AS374" i="48"/>
  <c r="AS359" i="48"/>
  <c r="AO371" i="48"/>
  <c r="AV358" i="48"/>
  <c r="AR370" i="48"/>
  <c r="AN359" i="48"/>
  <c r="AS360" i="48"/>
  <c r="AM362" i="48"/>
  <c r="AR363" i="48"/>
  <c r="AW364" i="48"/>
  <c r="AQ366" i="48"/>
  <c r="AV367" i="48"/>
  <c r="AP369" i="48"/>
  <c r="AU370" i="48"/>
  <c r="AO372" i="48"/>
  <c r="AU359" i="48"/>
  <c r="AT362" i="48"/>
  <c r="AS365" i="48"/>
  <c r="AR368" i="48"/>
  <c r="AQ371" i="48"/>
  <c r="AQ373" i="48"/>
  <c r="AV374" i="48"/>
  <c r="AT360" i="48"/>
  <c r="AR366" i="48"/>
  <c r="AP372" i="48"/>
  <c r="AP375" i="48"/>
  <c r="AR362" i="48"/>
  <c r="AP373" i="48"/>
  <c r="AU361" i="48"/>
  <c r="AW372" i="48"/>
  <c r="AN375" i="48"/>
  <c r="AW371" i="48"/>
  <c r="AN366" i="48"/>
  <c r="AP360" i="48"/>
  <c r="AR375" i="48"/>
  <c r="AS372" i="48"/>
  <c r="AV366" i="48"/>
  <c r="AM361" i="48"/>
  <c r="AW374" i="48"/>
  <c r="AR373" i="48"/>
  <c r="AS371" i="48"/>
  <c r="AT368" i="48"/>
  <c r="AU365" i="48"/>
  <c r="AV362" i="48"/>
  <c r="AW359" i="48"/>
  <c r="AQ375" i="48"/>
  <c r="AT374" i="48"/>
  <c r="AW373" i="48"/>
  <c r="AO373" i="48"/>
  <c r="AR372" i="48"/>
  <c r="AM371" i="48"/>
  <c r="AS369" i="48"/>
  <c r="AN368" i="48"/>
  <c r="AT366" i="48"/>
  <c r="AO365" i="48"/>
  <c r="AU363" i="48"/>
  <c r="AP362" i="48"/>
  <c r="AV360" i="48"/>
  <c r="AQ359" i="48"/>
  <c r="AM372" i="48"/>
  <c r="AP371" i="48"/>
  <c r="AS370" i="48"/>
  <c r="AV369" i="48"/>
  <c r="AN369" i="48"/>
  <c r="AQ368" i="48"/>
  <c r="AT367" i="48"/>
  <c r="AW366" i="48"/>
  <c r="AO366" i="48"/>
  <c r="AR365" i="48"/>
  <c r="AU364" i="48"/>
  <c r="AM364" i="48"/>
  <c r="AP363" i="48"/>
  <c r="AS362" i="48"/>
  <c r="AV361" i="48"/>
  <c r="AN361" i="48"/>
  <c r="AQ360" i="48"/>
  <c r="AT359" i="48"/>
  <c r="AW358" i="48"/>
  <c r="AO358" i="48"/>
  <c r="AH40" i="48"/>
  <c r="AS338" i="48" s="1"/>
  <c r="AM358" i="48"/>
  <c r="AR359" i="48"/>
  <c r="AW360" i="48"/>
  <c r="AQ362" i="48"/>
  <c r="AV363" i="48"/>
  <c r="AP365" i="48"/>
  <c r="AU366" i="48"/>
  <c r="AO368" i="48"/>
  <c r="AT369" i="48"/>
  <c r="AN371" i="48"/>
  <c r="AR360" i="48"/>
  <c r="AQ363" i="48"/>
  <c r="AP366" i="48"/>
  <c r="AO369" i="48"/>
  <c r="AN372" i="48"/>
  <c r="AU373" i="48"/>
  <c r="AO375" i="48"/>
  <c r="AN362" i="48"/>
  <c r="AW367" i="48"/>
  <c r="AN373" i="48"/>
  <c r="AQ365" i="48"/>
  <c r="AU374" i="48"/>
  <c r="AT364" i="48"/>
  <c r="AQ374" i="48"/>
  <c r="AN274" i="48"/>
  <c r="AS275" i="48"/>
  <c r="AM277" i="48"/>
  <c r="AR278" i="48"/>
  <c r="AW279" i="48"/>
  <c r="AQ281" i="48"/>
  <c r="AV282" i="48"/>
  <c r="AP284" i="48"/>
  <c r="AU285" i="48"/>
  <c r="AO287" i="48"/>
  <c r="AT288" i="48"/>
  <c r="AO290" i="48"/>
  <c r="AT291" i="48"/>
  <c r="AV275" i="48"/>
  <c r="AU278" i="48"/>
  <c r="AT281" i="48"/>
  <c r="AS284" i="48"/>
  <c r="AR287" i="48"/>
  <c r="AR290" i="48"/>
  <c r="AP275" i="48"/>
  <c r="AO278" i="48"/>
  <c r="AP283" i="48"/>
  <c r="AN289" i="48"/>
  <c r="AO282" i="48"/>
  <c r="AM288" i="48"/>
  <c r="AP337" i="48"/>
  <c r="AB37" i="48"/>
  <c r="AV210" i="48" s="1"/>
  <c r="AD52" i="48"/>
  <c r="AN273" i="48"/>
  <c r="AM273" i="48"/>
  <c r="AQ358" i="48"/>
  <c r="AV359" i="48"/>
  <c r="AP361" i="48"/>
  <c r="AU362" i="48"/>
  <c r="AO364" i="48"/>
  <c r="AT365" i="48"/>
  <c r="AN367" i="48"/>
  <c r="AS368" i="48"/>
  <c r="AM370" i="48"/>
  <c r="AR371" i="48"/>
  <c r="AP358" i="48"/>
  <c r="AO361" i="48"/>
  <c r="AN364" i="48"/>
  <c r="AM367" i="48"/>
  <c r="AW369" i="48"/>
  <c r="AT372" i="48"/>
  <c r="AN374" i="48"/>
  <c r="AS375" i="48"/>
  <c r="AS363" i="48"/>
  <c r="AQ369" i="48"/>
  <c r="AV373" i="48"/>
  <c r="AP368" i="48"/>
  <c r="AS367" i="48"/>
  <c r="AV375" i="48"/>
  <c r="AR274" i="48"/>
  <c r="AW275" i="48"/>
  <c r="AQ277" i="48"/>
  <c r="AV278" i="48"/>
  <c r="AP280" i="48"/>
  <c r="AU281" i="48"/>
  <c r="AO283" i="48"/>
  <c r="AT284" i="48"/>
  <c r="AN286" i="48"/>
  <c r="AS287" i="48"/>
  <c r="AM289" i="48"/>
  <c r="AS290" i="48"/>
  <c r="AW289" i="48"/>
  <c r="AS276" i="48"/>
  <c r="AR279" i="48"/>
  <c r="AQ282" i="48"/>
  <c r="AP285" i="48"/>
  <c r="AO288" i="48"/>
  <c r="AO291" i="48"/>
  <c r="AM276" i="48"/>
  <c r="AW278" i="48"/>
  <c r="AU284" i="48"/>
  <c r="AT290" i="48"/>
  <c r="AT283" i="48"/>
  <c r="AR289" i="48"/>
  <c r="AP290" i="48"/>
  <c r="AP287" i="48"/>
  <c r="AQ284" i="48"/>
  <c r="AR281" i="48"/>
  <c r="AQ291" i="48"/>
  <c r="AQ288" i="48"/>
  <c r="AR285" i="48"/>
  <c r="AS282" i="48"/>
  <c r="AT279" i="48"/>
  <c r="AV277" i="48"/>
  <c r="AQ276" i="48"/>
  <c r="AW274" i="48"/>
  <c r="AS291" i="48"/>
  <c r="AN290" i="48"/>
  <c r="AS288" i="48"/>
  <c r="AN287" i="48"/>
  <c r="AT285" i="48"/>
  <c r="AO284" i="48"/>
  <c r="AU282" i="48"/>
  <c r="AP281" i="48"/>
  <c r="AV279" i="48"/>
  <c r="AQ278" i="48"/>
  <c r="AW276" i="48"/>
  <c r="AR275" i="48"/>
  <c r="AM274" i="48"/>
  <c r="AR291" i="48"/>
  <c r="AU290" i="48"/>
  <c r="AM290" i="48"/>
  <c r="AO289" i="48"/>
  <c r="AR288" i="48"/>
  <c r="AU287" i="48"/>
  <c r="AM287" i="48"/>
  <c r="AP286" i="48"/>
  <c r="AS285" i="48"/>
  <c r="AV284" i="48"/>
  <c r="AN284" i="48"/>
  <c r="AQ283" i="48"/>
  <c r="AT282" i="48"/>
  <c r="AW281" i="48"/>
  <c r="AO281" i="48"/>
  <c r="AR280" i="48"/>
  <c r="AU279" i="48"/>
  <c r="AM279" i="48"/>
  <c r="AP278" i="48"/>
  <c r="AS277" i="48"/>
  <c r="AV276" i="48"/>
  <c r="AN276" i="48"/>
  <c r="AQ275" i="48"/>
  <c r="AT274" i="48"/>
  <c r="AQ273" i="48"/>
  <c r="AW273" i="48"/>
  <c r="AT373" i="48"/>
  <c r="AM369" i="48"/>
  <c r="AO363" i="48"/>
  <c r="AM374" i="48"/>
  <c r="AU369" i="48"/>
  <c r="AW363" i="48"/>
  <c r="AN358" i="48"/>
  <c r="AT375" i="48"/>
  <c r="AO374" i="48"/>
  <c r="AU372" i="48"/>
  <c r="AN370" i="48"/>
  <c r="AO367" i="48"/>
  <c r="AP364" i="48"/>
  <c r="AQ361" i="48"/>
  <c r="AR358" i="48"/>
  <c r="AU375" i="48"/>
  <c r="AM375" i="48"/>
  <c r="AP374" i="48"/>
  <c r="AS373" i="48"/>
  <c r="AV372" i="48"/>
  <c r="AU371" i="48"/>
  <c r="AP370" i="48"/>
  <c r="AV368" i="48"/>
  <c r="AQ367" i="48"/>
  <c r="AW365" i="48"/>
  <c r="AR364" i="48"/>
  <c r="AM363" i="48"/>
  <c r="AS361" i="48"/>
  <c r="AN360" i="48"/>
  <c r="AT358" i="48"/>
  <c r="AQ372" i="48"/>
  <c r="AT371" i="48"/>
  <c r="AW370" i="48"/>
  <c r="AO370" i="48"/>
  <c r="AR369" i="48"/>
  <c r="AU368" i="48"/>
  <c r="AM368" i="48"/>
  <c r="AP367" i="48"/>
  <c r="AS366" i="48"/>
  <c r="AV365" i="48"/>
  <c r="AN365" i="48"/>
  <c r="AQ364" i="48"/>
  <c r="AT363" i="48"/>
  <c r="AW362" i="48"/>
  <c r="AO362" i="48"/>
  <c r="AR361" i="48"/>
  <c r="AU360" i="48"/>
  <c r="AM360" i="48"/>
  <c r="AP359" i="48"/>
  <c r="AS358" i="48"/>
  <c r="AW10" i="42"/>
  <c r="AX10" i="42"/>
  <c r="AY10" i="42"/>
  <c r="AW11" i="42"/>
  <c r="AX11" i="42"/>
  <c r="AY11" i="42"/>
  <c r="AW12" i="42"/>
  <c r="AX12" i="42"/>
  <c r="AY12" i="42"/>
  <c r="AW13" i="42"/>
  <c r="AX13" i="42"/>
  <c r="AY13" i="42"/>
  <c r="AW14" i="42"/>
  <c r="AX14" i="42"/>
  <c r="AY14" i="42"/>
  <c r="AW15" i="42"/>
  <c r="AX15" i="42"/>
  <c r="AY15" i="42"/>
  <c r="AW16" i="42"/>
  <c r="AX16" i="42"/>
  <c r="AY16" i="42"/>
  <c r="AW17" i="42"/>
  <c r="AX17" i="42"/>
  <c r="AY17" i="42"/>
  <c r="AW18" i="42"/>
  <c r="AX18" i="42"/>
  <c r="AY18" i="42"/>
  <c r="AW19" i="42"/>
  <c r="AX19" i="42"/>
  <c r="AY19" i="42"/>
  <c r="AW20" i="42"/>
  <c r="AX20" i="42"/>
  <c r="AY20" i="42"/>
  <c r="AW21" i="42"/>
  <c r="AX21" i="42"/>
  <c r="AY21" i="42"/>
  <c r="AW22" i="42"/>
  <c r="AX22" i="42"/>
  <c r="AY22" i="42"/>
  <c r="AW23" i="42"/>
  <c r="AX23" i="42"/>
  <c r="AY23" i="42"/>
  <c r="AW24" i="42"/>
  <c r="AX24" i="42"/>
  <c r="AY24" i="42"/>
  <c r="AW25" i="42"/>
  <c r="AX25" i="42"/>
  <c r="AY25" i="42"/>
  <c r="AW26" i="42"/>
  <c r="AX26" i="42"/>
  <c r="AY26" i="42"/>
  <c r="AW27" i="42"/>
  <c r="AX27" i="42"/>
  <c r="AY27" i="42"/>
  <c r="AW28" i="42"/>
  <c r="AX28" i="42"/>
  <c r="AY28" i="42"/>
  <c r="AW29" i="42"/>
  <c r="AX29" i="42"/>
  <c r="AY29" i="42"/>
  <c r="AW30" i="42"/>
  <c r="AX30" i="42"/>
  <c r="AY30" i="42"/>
  <c r="AW31" i="42"/>
  <c r="AX31" i="42"/>
  <c r="AY31" i="42"/>
  <c r="AW32" i="42"/>
  <c r="AX32" i="42"/>
  <c r="AY32" i="42"/>
  <c r="AW33" i="42"/>
  <c r="AX33" i="42"/>
  <c r="AY33" i="42"/>
  <c r="AW34" i="42"/>
  <c r="AX34" i="42"/>
  <c r="AY34" i="42"/>
  <c r="AW35" i="42"/>
  <c r="AX35" i="42"/>
  <c r="AY35" i="42"/>
  <c r="AW36" i="42"/>
  <c r="AX36" i="42"/>
  <c r="AY36" i="42"/>
  <c r="AW37" i="42"/>
  <c r="AX37" i="42"/>
  <c r="AY37" i="42"/>
  <c r="AW38" i="42"/>
  <c r="AX38" i="42"/>
  <c r="AY38" i="42"/>
  <c r="AW39" i="42"/>
  <c r="AX39" i="42"/>
  <c r="AY39" i="42"/>
  <c r="AW40" i="42"/>
  <c r="AX40" i="42"/>
  <c r="AY40" i="42"/>
  <c r="AW41" i="42"/>
  <c r="AX41" i="42"/>
  <c r="AY41" i="42"/>
  <c r="AW42" i="42"/>
  <c r="AX42" i="42"/>
  <c r="AY42" i="42"/>
  <c r="AW43" i="42"/>
  <c r="AX43" i="42"/>
  <c r="AY43" i="42"/>
  <c r="AW44" i="42"/>
  <c r="AX44" i="42"/>
  <c r="AY44" i="42"/>
  <c r="AW45" i="42"/>
  <c r="AX45" i="42"/>
  <c r="AY45" i="42"/>
  <c r="AW46" i="42"/>
  <c r="AX46" i="42"/>
  <c r="AY46" i="42"/>
  <c r="AW47" i="42"/>
  <c r="AX47" i="42"/>
  <c r="AY47" i="42"/>
  <c r="AW48" i="42"/>
  <c r="AX48" i="42"/>
  <c r="AY48" i="42"/>
  <c r="AW49" i="42"/>
  <c r="AX49" i="42"/>
  <c r="AY49" i="42"/>
  <c r="AW50" i="42"/>
  <c r="AX50" i="42"/>
  <c r="AY50" i="42"/>
  <c r="AW51" i="42"/>
  <c r="AX51" i="42"/>
  <c r="AY51" i="42"/>
  <c r="AW52" i="42"/>
  <c r="AX52" i="42"/>
  <c r="AY52" i="42"/>
  <c r="AW53" i="42"/>
  <c r="AX53" i="42"/>
  <c r="AY53" i="42"/>
  <c r="AW54" i="42"/>
  <c r="AX54" i="42"/>
  <c r="AY54" i="42"/>
  <c r="AW55" i="42"/>
  <c r="AX55" i="42"/>
  <c r="AY55" i="42"/>
  <c r="AW56" i="42"/>
  <c r="AX56" i="42"/>
  <c r="AY56" i="42"/>
  <c r="AW57" i="42"/>
  <c r="AX57" i="42"/>
  <c r="AY57" i="42"/>
  <c r="AW58" i="42"/>
  <c r="AX58" i="42"/>
  <c r="AY58" i="42"/>
  <c r="AW59" i="42"/>
  <c r="AX59" i="42"/>
  <c r="AY59" i="42"/>
  <c r="AW60" i="42"/>
  <c r="AX60" i="42"/>
  <c r="AY60" i="42"/>
  <c r="AW61" i="42"/>
  <c r="AX61" i="42"/>
  <c r="AY61" i="42"/>
  <c r="AW62" i="42"/>
  <c r="AX62" i="42"/>
  <c r="AY62" i="42"/>
  <c r="AW63" i="42"/>
  <c r="AX63" i="42"/>
  <c r="AY63" i="42"/>
  <c r="AW64" i="42"/>
  <c r="AX64" i="42"/>
  <c r="AY64" i="42"/>
  <c r="AW65" i="42"/>
  <c r="AX65" i="42"/>
  <c r="AY65" i="42"/>
  <c r="AW66" i="42"/>
  <c r="AX66" i="42"/>
  <c r="AY66" i="42"/>
  <c r="AW67" i="42"/>
  <c r="AX67" i="42"/>
  <c r="AY67" i="42"/>
  <c r="AW68" i="42"/>
  <c r="AX68" i="42"/>
  <c r="AY68" i="42"/>
  <c r="AW69" i="42"/>
  <c r="AX69" i="42"/>
  <c r="AY69" i="42"/>
  <c r="AW70" i="42"/>
  <c r="AX70" i="42"/>
  <c r="AY70" i="42"/>
  <c r="AW71" i="42"/>
  <c r="AX71" i="42"/>
  <c r="AY71" i="42"/>
  <c r="AW72" i="42"/>
  <c r="AX72" i="42"/>
  <c r="AY72" i="42"/>
  <c r="AW73" i="42"/>
  <c r="AX73" i="42"/>
  <c r="AY73" i="42"/>
  <c r="AW74" i="42"/>
  <c r="AX74" i="42"/>
  <c r="AY74" i="42"/>
  <c r="AW75" i="42"/>
  <c r="AX75" i="42"/>
  <c r="AY75" i="42"/>
  <c r="AW76" i="42"/>
  <c r="AX76" i="42"/>
  <c r="AY76" i="42"/>
  <c r="AW77" i="42"/>
  <c r="AX77" i="42"/>
  <c r="AY77" i="42"/>
  <c r="AW78" i="42"/>
  <c r="AX78" i="42"/>
  <c r="AY78" i="42"/>
  <c r="AW79" i="42"/>
  <c r="AX79" i="42"/>
  <c r="AY79" i="42"/>
  <c r="AW80" i="42"/>
  <c r="AX80" i="42"/>
  <c r="AY80" i="42"/>
  <c r="AW81" i="42"/>
  <c r="AX81" i="42"/>
  <c r="AY81" i="42"/>
  <c r="AW82" i="42"/>
  <c r="AX82" i="42"/>
  <c r="AY82" i="42"/>
  <c r="AW83" i="42"/>
  <c r="AX83" i="42"/>
  <c r="AY83" i="42"/>
  <c r="AW84" i="42"/>
  <c r="AX84" i="42"/>
  <c r="AY84" i="42"/>
  <c r="AW85" i="42"/>
  <c r="AX85" i="42"/>
  <c r="AY85" i="42"/>
  <c r="AW86" i="42"/>
  <c r="AX86" i="42"/>
  <c r="AY86" i="42"/>
  <c r="AW87" i="42"/>
  <c r="AX87" i="42"/>
  <c r="AY87" i="42"/>
  <c r="AW88" i="42"/>
  <c r="AX88" i="42"/>
  <c r="AY88" i="42"/>
  <c r="AW89" i="42"/>
  <c r="AX89" i="42"/>
  <c r="AY89" i="42"/>
  <c r="AW90" i="42"/>
  <c r="AX90" i="42"/>
  <c r="AY90" i="42"/>
  <c r="AW91" i="42"/>
  <c r="AX91" i="42"/>
  <c r="AY91" i="42"/>
  <c r="AW92" i="42"/>
  <c r="AX92" i="42"/>
  <c r="AY92" i="42"/>
  <c r="AW93" i="42"/>
  <c r="AX93" i="42"/>
  <c r="AY93" i="42"/>
  <c r="AW94" i="42"/>
  <c r="AX94" i="42"/>
  <c r="AY94" i="42"/>
  <c r="AW95" i="42"/>
  <c r="AX95" i="42"/>
  <c r="AY95" i="42"/>
  <c r="AW96" i="42"/>
  <c r="AX96" i="42"/>
  <c r="AY96" i="42"/>
  <c r="AW97" i="42"/>
  <c r="AX97" i="42"/>
  <c r="AY97" i="42"/>
  <c r="AW98" i="42"/>
  <c r="AX98" i="42"/>
  <c r="AY98" i="42"/>
  <c r="AW99" i="42"/>
  <c r="AX99" i="42"/>
  <c r="AY99" i="42"/>
  <c r="AW100" i="42"/>
  <c r="AX100" i="42"/>
  <c r="AY100" i="42"/>
  <c r="AW101" i="42"/>
  <c r="AX101" i="42"/>
  <c r="AY101" i="42"/>
  <c r="AW102" i="42"/>
  <c r="AX102" i="42"/>
  <c r="AY102" i="42"/>
  <c r="AW103" i="42"/>
  <c r="AX103" i="42"/>
  <c r="AY103" i="42"/>
  <c r="AW104" i="42"/>
  <c r="AX104" i="42"/>
  <c r="AY104" i="42"/>
  <c r="AW105" i="42"/>
  <c r="AX105" i="42"/>
  <c r="AY105" i="42"/>
  <c r="AW106" i="42"/>
  <c r="AX106" i="42"/>
  <c r="AY106" i="42"/>
  <c r="AW107" i="42"/>
  <c r="AX107" i="42"/>
  <c r="AY107" i="42"/>
  <c r="AW108" i="42"/>
  <c r="AX108" i="42"/>
  <c r="AY108" i="42"/>
  <c r="AW109" i="42"/>
  <c r="AX109" i="42"/>
  <c r="AY109" i="42"/>
  <c r="AW110" i="42"/>
  <c r="AX110" i="42"/>
  <c r="AY110" i="42"/>
  <c r="AW111" i="42"/>
  <c r="AX111" i="42"/>
  <c r="AY111" i="42"/>
  <c r="AY9" i="42"/>
  <c r="AX9" i="42"/>
  <c r="AW9" i="42"/>
  <c r="U5" i="44"/>
  <c r="AQ131" i="48" l="1"/>
  <c r="AR127" i="48"/>
  <c r="AM127" i="48"/>
  <c r="AN127" i="48"/>
  <c r="AP136" i="48"/>
  <c r="AM232" i="48"/>
  <c r="AV232" i="48"/>
  <c r="AT232" i="48"/>
  <c r="AS137" i="48"/>
  <c r="AR142" i="48"/>
  <c r="AP127" i="48"/>
  <c r="AU127" i="48"/>
  <c r="AQ130" i="48"/>
  <c r="AO125" i="48"/>
  <c r="AM125" i="48"/>
  <c r="AN125" i="48"/>
  <c r="AU125" i="48"/>
  <c r="AS125" i="48"/>
  <c r="AU210" i="48"/>
  <c r="AQ232" i="48"/>
  <c r="AN232" i="48"/>
  <c r="AM337" i="48"/>
  <c r="AW232" i="48"/>
  <c r="AS210" i="48"/>
  <c r="AR210" i="48"/>
  <c r="AU337" i="48"/>
  <c r="AQ324" i="48"/>
  <c r="AU129" i="48"/>
  <c r="AR144" i="48"/>
  <c r="AO133" i="48"/>
  <c r="AN141" i="48"/>
  <c r="AO136" i="48"/>
  <c r="AU140" i="48"/>
  <c r="AS138" i="48"/>
  <c r="AP128" i="48"/>
  <c r="AQ139" i="48"/>
  <c r="AN132" i="48"/>
  <c r="AS129" i="48"/>
  <c r="AP140" i="48"/>
  <c r="AP132" i="48"/>
  <c r="AM137" i="48"/>
  <c r="AR140" i="48"/>
  <c r="AN136" i="48"/>
  <c r="AT127" i="48"/>
  <c r="AQ127" i="48"/>
  <c r="AV142" i="48"/>
  <c r="AM130" i="48"/>
  <c r="AO127" i="48"/>
  <c r="AR132" i="48"/>
  <c r="AS127" i="48"/>
  <c r="AN143" i="48"/>
  <c r="AV127" i="48"/>
  <c r="AN126" i="48"/>
  <c r="AO126" i="48"/>
  <c r="AQ126" i="48"/>
  <c r="AS126" i="48"/>
  <c r="AP242" i="48"/>
  <c r="AM231" i="48"/>
  <c r="AN231" i="48"/>
  <c r="AW210" i="48"/>
  <c r="AN210" i="48"/>
  <c r="AF42" i="48"/>
  <c r="AO330" i="48"/>
  <c r="AQ314" i="48"/>
  <c r="AV314" i="48"/>
  <c r="AP314" i="48"/>
  <c r="AQ315" i="48"/>
  <c r="AO315" i="48"/>
  <c r="AO314" i="48"/>
  <c r="AU314" i="48"/>
  <c r="AN314" i="48"/>
  <c r="AS314" i="48"/>
  <c r="AW314" i="48"/>
  <c r="AM314" i="48"/>
  <c r="AR314" i="48"/>
  <c r="AT314" i="48"/>
  <c r="AP336" i="48"/>
  <c r="AW231" i="48"/>
  <c r="AR231" i="48"/>
  <c r="AO231" i="48"/>
  <c r="AV315" i="48"/>
  <c r="AQ210" i="48"/>
  <c r="AW315" i="48"/>
  <c r="AR315" i="48"/>
  <c r="AO335" i="48"/>
  <c r="AN336" i="48"/>
  <c r="AT335" i="48"/>
  <c r="AR336" i="48"/>
  <c r="AV230" i="48"/>
  <c r="AS336" i="48"/>
  <c r="AN335" i="48"/>
  <c r="AS231" i="48"/>
  <c r="AM230" i="48"/>
  <c r="AP230" i="48"/>
  <c r="AS232" i="48"/>
  <c r="AM336" i="48"/>
  <c r="AU336" i="48"/>
  <c r="AR335" i="48"/>
  <c r="AV335" i="48"/>
  <c r="AV336" i="48"/>
  <c r="AO336" i="48"/>
  <c r="AM213" i="48"/>
  <c r="AR209" i="48"/>
  <c r="AQ209" i="48"/>
  <c r="AO209" i="48"/>
  <c r="AS209" i="48"/>
  <c r="AU209" i="48"/>
  <c r="AV209" i="48"/>
  <c r="AT209" i="48"/>
  <c r="AM209" i="48"/>
  <c r="AW209" i="48"/>
  <c r="AN209" i="48"/>
  <c r="AS337" i="48"/>
  <c r="AV337" i="48"/>
  <c r="AR232" i="48"/>
  <c r="AO232" i="48"/>
  <c r="AP232" i="48"/>
  <c r="AS315" i="48"/>
  <c r="AP315" i="48"/>
  <c r="AQ336" i="48"/>
  <c r="AP231" i="48"/>
  <c r="AQ231" i="48"/>
  <c r="AU231" i="48"/>
  <c r="AT231" i="48"/>
  <c r="AU315" i="48"/>
  <c r="AT210" i="48"/>
  <c r="AO210" i="48"/>
  <c r="AN315" i="48"/>
  <c r="AM210" i="48"/>
  <c r="AM315" i="48"/>
  <c r="AV128" i="48"/>
  <c r="AP126" i="48"/>
  <c r="AM126" i="48"/>
  <c r="AP209" i="48"/>
  <c r="AT315" i="48"/>
  <c r="AP210" i="48"/>
  <c r="AO230" i="48"/>
  <c r="AU230" i="48"/>
  <c r="AM335" i="48"/>
  <c r="AQ230" i="48"/>
  <c r="AU126" i="48"/>
  <c r="AW230" i="48"/>
  <c r="AT230" i="48"/>
  <c r="AU335" i="48"/>
  <c r="AV231" i="48"/>
  <c r="AR230" i="48"/>
  <c r="AN230" i="48"/>
  <c r="AS230" i="48"/>
  <c r="AT336" i="48"/>
  <c r="AR125" i="48"/>
  <c r="AT125" i="48"/>
  <c r="AR126" i="48"/>
  <c r="AV126" i="48"/>
  <c r="AP125" i="48"/>
  <c r="AV125" i="48"/>
  <c r="AQ125" i="48"/>
  <c r="AS335" i="48"/>
  <c r="AP335" i="48"/>
  <c r="AQ335" i="48"/>
  <c r="AW336" i="48"/>
  <c r="AW335" i="48"/>
  <c r="AU376" i="48"/>
  <c r="AW376" i="48"/>
  <c r="AV376" i="48"/>
  <c r="AT376" i="48"/>
  <c r="AW292" i="48"/>
  <c r="AT292" i="48"/>
  <c r="AV292" i="48"/>
  <c r="AU292" i="48"/>
  <c r="AM136" i="48"/>
  <c r="AT141" i="48"/>
  <c r="AP129" i="48"/>
  <c r="AV130" i="48"/>
  <c r="AP133" i="48"/>
  <c r="AQ140" i="48"/>
  <c r="AS142" i="48"/>
  <c r="AP131" i="48"/>
  <c r="AQ138" i="48"/>
  <c r="AM128" i="48"/>
  <c r="AO134" i="48"/>
  <c r="AR143" i="48"/>
  <c r="AO131" i="48"/>
  <c r="AR136" i="48"/>
  <c r="AV133" i="48"/>
  <c r="AR138" i="48"/>
  <c r="AT142" i="48"/>
  <c r="AQ133" i="48"/>
  <c r="AT132" i="48"/>
  <c r="AS133" i="48"/>
  <c r="AQ144" i="48"/>
  <c r="AV131" i="48"/>
  <c r="AO139" i="48"/>
  <c r="AQ141" i="48"/>
  <c r="AU136" i="48"/>
  <c r="AP138" i="48"/>
  <c r="AM141" i="48"/>
  <c r="AM129" i="48"/>
  <c r="AQ137" i="48"/>
  <c r="AS128" i="48"/>
  <c r="AN130" i="48"/>
  <c r="AU133" i="48"/>
  <c r="AU134" i="48"/>
  <c r="AV140" i="48"/>
  <c r="AM143" i="48"/>
  <c r="AM144" i="48"/>
  <c r="AO137" i="48"/>
  <c r="AU131" i="48"/>
  <c r="AV135" i="48"/>
  <c r="AV138" i="48"/>
  <c r="AR141" i="48"/>
  <c r="AU137" i="48"/>
  <c r="AS130" i="48"/>
  <c r="AT134" i="48"/>
  <c r="AV139" i="48"/>
  <c r="AM142" i="48"/>
  <c r="AP135" i="48"/>
  <c r="AR131" i="48"/>
  <c r="AS144" i="48"/>
  <c r="AT130" i="48"/>
  <c r="AO141" i="48"/>
  <c r="AR135" i="48"/>
  <c r="AT143" i="48"/>
  <c r="AQ134" i="48"/>
  <c r="AO128" i="48"/>
  <c r="AN131" i="48"/>
  <c r="AT140" i="48"/>
  <c r="AR129" i="48"/>
  <c r="AM132" i="48"/>
  <c r="AP139" i="48"/>
  <c r="AO138" i="48"/>
  <c r="AU139" i="48"/>
  <c r="AO140" i="48"/>
  <c r="AQ135" i="48"/>
  <c r="AU138" i="48"/>
  <c r="Z47" i="48"/>
  <c r="AR168" i="48" s="1"/>
  <c r="AP212" i="48"/>
  <c r="AV129" i="48"/>
  <c r="AU128" i="48"/>
  <c r="AQ142" i="48"/>
  <c r="AT133" i="48"/>
  <c r="AT138" i="48"/>
  <c r="AN133" i="48"/>
  <c r="AT137" i="48"/>
  <c r="AT131" i="48"/>
  <c r="AO132" i="48"/>
  <c r="AR130" i="48"/>
  <c r="AV144" i="48"/>
  <c r="AT136" i="48"/>
  <c r="AP144" i="48"/>
  <c r="AV136" i="48"/>
  <c r="AN137" i="48"/>
  <c r="AQ129" i="48"/>
  <c r="AN134" i="48"/>
  <c r="AQ143" i="48"/>
  <c r="AR137" i="48"/>
  <c r="AO135" i="48"/>
  <c r="AV141" i="48"/>
  <c r="AQ128" i="48"/>
  <c r="AS134" i="48"/>
  <c r="AV143" i="48"/>
  <c r="AT135" i="48"/>
  <c r="AS131" i="48"/>
  <c r="AQ136" i="48"/>
  <c r="AS141" i="48"/>
  <c r="AT129" i="48"/>
  <c r="AU130" i="48"/>
  <c r="AV134" i="48"/>
  <c r="AM139" i="48"/>
  <c r="AM140" i="48"/>
  <c r="AN144" i="48"/>
  <c r="AO142" i="48"/>
  <c r="AU132" i="48"/>
  <c r="AM138" i="48"/>
  <c r="AO129" i="48"/>
  <c r="AN128" i="48"/>
  <c r="AO130" i="48"/>
  <c r="AP134" i="48"/>
  <c r="AR139" i="48"/>
  <c r="AS143" i="48"/>
  <c r="AN142" i="48"/>
  <c r="AM135" i="48"/>
  <c r="AV137" i="48"/>
  <c r="AU135" i="48"/>
  <c r="AS132" i="48"/>
  <c r="AU142" i="48"/>
  <c r="AO144" i="48"/>
  <c r="AT144" i="48"/>
  <c r="AO143" i="48"/>
  <c r="AS140" i="48"/>
  <c r="AN139" i="48"/>
  <c r="AS139" i="48"/>
  <c r="AR133" i="48"/>
  <c r="AP130" i="48"/>
  <c r="AR128" i="48"/>
  <c r="AN129" i="48"/>
  <c r="AP141" i="48"/>
  <c r="AU141" i="48"/>
  <c r="AN138" i="48"/>
  <c r="AS136" i="48"/>
  <c r="AN135" i="48"/>
  <c r="AS135" i="48"/>
  <c r="AM131" i="48"/>
  <c r="AQ132" i="48"/>
  <c r="AV132" i="48"/>
  <c r="AP137" i="48"/>
  <c r="AP142" i="48"/>
  <c r="AU144" i="48"/>
  <c r="AP143" i="48"/>
  <c r="AU143" i="48"/>
  <c r="AN140" i="48"/>
  <c r="AT139" i="48"/>
  <c r="AM134" i="48"/>
  <c r="AR134" i="48"/>
  <c r="AM133" i="48"/>
  <c r="AT128" i="48"/>
  <c r="AS329" i="48"/>
  <c r="AU321" i="48"/>
  <c r="AQ319" i="48"/>
  <c r="AQ333" i="48"/>
  <c r="AT340" i="48"/>
  <c r="AR242" i="48"/>
  <c r="AR340" i="48"/>
  <c r="AP352" i="48"/>
  <c r="AN348" i="48"/>
  <c r="AR244" i="48"/>
  <c r="AN225" i="48"/>
  <c r="AV233" i="48"/>
  <c r="AU248" i="48"/>
  <c r="AU239" i="48"/>
  <c r="AU246" i="48"/>
  <c r="AQ246" i="48"/>
  <c r="AR237" i="48"/>
  <c r="AT247" i="48"/>
  <c r="AR346" i="48"/>
  <c r="AW344" i="48"/>
  <c r="AQ348" i="48"/>
  <c r="AQ249" i="48"/>
  <c r="AP347" i="48"/>
  <c r="AO348" i="48"/>
  <c r="AT236" i="48"/>
  <c r="AN235" i="48"/>
  <c r="AP239" i="48"/>
  <c r="AM348" i="48"/>
  <c r="AV219" i="48"/>
  <c r="AS227" i="48"/>
  <c r="AT341" i="48"/>
  <c r="AP243" i="48"/>
  <c r="AO236" i="48"/>
  <c r="AT238" i="48"/>
  <c r="AS249" i="48"/>
  <c r="AQ238" i="48"/>
  <c r="AS245" i="48"/>
  <c r="AW233" i="48"/>
  <c r="AU233" i="48"/>
  <c r="AS239" i="48"/>
  <c r="AQ245" i="48"/>
  <c r="AW240" i="48"/>
  <c r="AR233" i="48"/>
  <c r="AO249" i="48"/>
  <c r="AV241" i="48"/>
  <c r="AS237" i="48"/>
  <c r="AS233" i="48"/>
  <c r="AQ239" i="48"/>
  <c r="AO245" i="48"/>
  <c r="AS240" i="48"/>
  <c r="AV249" i="48"/>
  <c r="AQ244" i="48"/>
  <c r="AS247" i="48"/>
  <c r="AQ240" i="48"/>
  <c r="AU247" i="48"/>
  <c r="AO242" i="48"/>
  <c r="AV237" i="48"/>
  <c r="AW234" i="48"/>
  <c r="AP249" i="48"/>
  <c r="AV247" i="48"/>
  <c r="AP245" i="48"/>
  <c r="AQ242" i="48"/>
  <c r="AR239" i="48"/>
  <c r="AS236" i="48"/>
  <c r="AT233" i="48"/>
  <c r="AN246" i="48"/>
  <c r="AT244" i="48"/>
  <c r="AO243" i="48"/>
  <c r="AU241" i="48"/>
  <c r="AP240" i="48"/>
  <c r="AV238" i="48"/>
  <c r="AQ237" i="48"/>
  <c r="AW235" i="48"/>
  <c r="AR234" i="48"/>
  <c r="AQ235" i="48"/>
  <c r="AP238" i="48"/>
  <c r="AO241" i="48"/>
  <c r="AN244" i="48"/>
  <c r="AM247" i="48"/>
  <c r="AR235" i="48"/>
  <c r="AP241" i="48"/>
  <c r="AN247" i="48"/>
  <c r="AU236" i="48"/>
  <c r="AV245" i="48"/>
  <c r="AS242" i="48"/>
  <c r="AW247" i="48"/>
  <c r="AP234" i="48"/>
  <c r="AO237" i="48"/>
  <c r="AN240" i="48"/>
  <c r="AM243" i="48"/>
  <c r="AW245" i="48"/>
  <c r="AP233" i="48"/>
  <c r="AN239" i="48"/>
  <c r="AW244" i="48"/>
  <c r="AN249" i="48"/>
  <c r="AS234" i="48"/>
  <c r="AR241" i="48"/>
  <c r="AT239" i="48"/>
  <c r="AO246" i="48"/>
  <c r="AA48" i="48"/>
  <c r="Y44" i="48"/>
  <c r="AP248" i="48"/>
  <c r="AP247" i="48"/>
  <c r="AM242" i="48"/>
  <c r="AQ247" i="48"/>
  <c r="AS241" i="48"/>
  <c r="AU235" i="48"/>
  <c r="AR245" i="48"/>
  <c r="AM240" i="48"/>
  <c r="AO244" i="48"/>
  <c r="AT242" i="48"/>
  <c r="AV236" i="48"/>
  <c r="AO235" i="48"/>
  <c r="AN238" i="48"/>
  <c r="AM241" i="48"/>
  <c r="AW243" i="48"/>
  <c r="AV246" i="48"/>
  <c r="AM238" i="48"/>
  <c r="AV243" i="48"/>
  <c r="AS248" i="48"/>
  <c r="AQ236" i="48"/>
  <c r="AN245" i="48"/>
  <c r="AM236" i="48"/>
  <c r="AU234" i="48"/>
  <c r="AR236" i="48"/>
  <c r="AR317" i="48"/>
  <c r="AW318" i="48"/>
  <c r="AQ321" i="48"/>
  <c r="AP327" i="48"/>
  <c r="AN333" i="48"/>
  <c r="AS327" i="48"/>
  <c r="AU323" i="48"/>
  <c r="AN332" i="48"/>
  <c r="AV322" i="48"/>
  <c r="AS343" i="48"/>
  <c r="AQ349" i="48"/>
  <c r="AV338" i="48"/>
  <c r="AU350" i="48"/>
  <c r="AS342" i="48"/>
  <c r="AF54" i="48"/>
  <c r="AW353" i="48"/>
  <c r="AP342" i="48"/>
  <c r="AP353" i="48"/>
  <c r="AT350" i="48"/>
  <c r="AO238" i="48"/>
  <c r="AM248" i="48"/>
  <c r="AM239" i="48"/>
  <c r="AW332" i="48"/>
  <c r="AT328" i="48"/>
  <c r="AP326" i="48"/>
  <c r="AR332" i="48"/>
  <c r="AT326" i="48"/>
  <c r="AN320" i="48"/>
  <c r="AR330" i="48"/>
  <c r="AT324" i="48"/>
  <c r="AN316" i="48"/>
  <c r="AT331" i="48"/>
  <c r="AU328" i="48"/>
  <c r="AV325" i="48"/>
  <c r="AW322" i="48"/>
  <c r="AR318" i="48"/>
  <c r="AQ320" i="48"/>
  <c r="AT225" i="48"/>
  <c r="AM214" i="48"/>
  <c r="AP219" i="48"/>
  <c r="AU221" i="48"/>
  <c r="AT351" i="48"/>
  <c r="AO342" i="48"/>
  <c r="AR347" i="48"/>
  <c r="AS353" i="48"/>
  <c r="AP346" i="48"/>
  <c r="AO337" i="48"/>
  <c r="AN337" i="48"/>
  <c r="AM244" i="48"/>
  <c r="AW236" i="48"/>
  <c r="AV244" i="48"/>
  <c r="AO233" i="48"/>
  <c r="AQ337" i="48"/>
  <c r="AW337" i="48"/>
  <c r="AR337" i="48"/>
  <c r="AT337" i="48"/>
  <c r="AS228" i="48"/>
  <c r="AU222" i="48"/>
  <c r="AW216" i="48"/>
  <c r="AM228" i="48"/>
  <c r="AO222" i="48"/>
  <c r="AW214" i="48"/>
  <c r="AT224" i="48"/>
  <c r="AN218" i="48"/>
  <c r="AM249" i="48"/>
  <c r="AU244" i="48"/>
  <c r="AV248" i="48"/>
  <c r="AW238" i="48"/>
  <c r="AN233" i="48"/>
  <c r="AQ248" i="48"/>
  <c r="AR243" i="48"/>
  <c r="AT237" i="48"/>
  <c r="AT246" i="48"/>
  <c r="AU243" i="48"/>
  <c r="AV240" i="48"/>
  <c r="AW237" i="48"/>
  <c r="AM235" i="48"/>
  <c r="AT248" i="48"/>
  <c r="AN248" i="48"/>
  <c r="AU242" i="48"/>
  <c r="AW241" i="48"/>
  <c r="AN236" i="48"/>
  <c r="AU249" i="48"/>
  <c r="AQ316" i="48"/>
  <c r="AV317" i="48"/>
  <c r="AP319" i="48"/>
  <c r="AU320" i="48"/>
  <c r="AP316" i="48"/>
  <c r="AO319" i="48"/>
  <c r="AV321" i="48"/>
  <c r="AP323" i="48"/>
  <c r="AU324" i="48"/>
  <c r="AO326" i="48"/>
  <c r="AT327" i="48"/>
  <c r="AN329" i="48"/>
  <c r="AS330" i="48"/>
  <c r="AM332" i="48"/>
  <c r="AR333" i="48"/>
  <c r="AS317" i="48"/>
  <c r="AR322" i="48"/>
  <c r="AQ325" i="48"/>
  <c r="AP328" i="48"/>
  <c r="AO331" i="48"/>
  <c r="AS321" i="48"/>
  <c r="AR324" i="48"/>
  <c r="AQ327" i="48"/>
  <c r="AP330" i="48"/>
  <c r="AO333" i="48"/>
  <c r="AS333" i="48"/>
  <c r="AU327" i="48"/>
  <c r="AW321" i="48"/>
  <c r="AN330" i="48"/>
  <c r="AP324" i="48"/>
  <c r="AT333" i="48"/>
  <c r="AU330" i="48"/>
  <c r="AP329" i="48"/>
  <c r="AV327" i="48"/>
  <c r="AQ326" i="48"/>
  <c r="AW324" i="48"/>
  <c r="AR323" i="48"/>
  <c r="AM322" i="48"/>
  <c r="AS319" i="48"/>
  <c r="AT316" i="48"/>
  <c r="AW320" i="48"/>
  <c r="AR319" i="48"/>
  <c r="AM318" i="48"/>
  <c r="AS316" i="48"/>
  <c r="AV332" i="48"/>
  <c r="AW329" i="48"/>
  <c r="AM327" i="48"/>
  <c r="AN324" i="48"/>
  <c r="AV320" i="48"/>
  <c r="AP332" i="48"/>
  <c r="AQ329" i="48"/>
  <c r="AR326" i="48"/>
  <c r="AS323" i="48"/>
  <c r="AU319" i="48"/>
  <c r="AP333" i="48"/>
  <c r="AV331" i="48"/>
  <c r="AQ330" i="48"/>
  <c r="AW328" i="48"/>
  <c r="AR327" i="48"/>
  <c r="AM326" i="48"/>
  <c r="AS324" i="48"/>
  <c r="AN323" i="48"/>
  <c r="AT321" i="48"/>
  <c r="AV318" i="48"/>
  <c r="AS320" i="48"/>
  <c r="AN319" i="48"/>
  <c r="AT317" i="48"/>
  <c r="AO316" i="48"/>
  <c r="AN317" i="48"/>
  <c r="AS318" i="48"/>
  <c r="AM320" i="48"/>
  <c r="AR321" i="48"/>
  <c r="AU317" i="48"/>
  <c r="AT320" i="48"/>
  <c r="AS322" i="48"/>
  <c r="AM324" i="48"/>
  <c r="AR325" i="48"/>
  <c r="AW326" i="48"/>
  <c r="AQ328" i="48"/>
  <c r="AV329" i="48"/>
  <c r="AP331" i="48"/>
  <c r="AU332" i="48"/>
  <c r="AR320" i="48"/>
  <c r="AW323" i="48"/>
  <c r="AV326" i="48"/>
  <c r="AU329" i="48"/>
  <c r="AT332" i="48"/>
  <c r="AT318" i="48"/>
  <c r="AM323" i="48"/>
  <c r="AW325" i="48"/>
  <c r="AV328" i="48"/>
  <c r="AU331" i="48"/>
  <c r="AT330" i="48"/>
  <c r="AV324" i="48"/>
  <c r="AR316" i="48"/>
  <c r="AM333" i="48"/>
  <c r="AO327" i="48"/>
  <c r="AO321" i="48"/>
  <c r="AO332" i="48"/>
  <c r="AM330" i="48"/>
  <c r="AS328" i="48"/>
  <c r="AN327" i="48"/>
  <c r="AT325" i="48"/>
  <c r="AO324" i="48"/>
  <c r="AU322" i="48"/>
  <c r="AM321" i="48"/>
  <c r="AN318" i="48"/>
  <c r="AO320" i="48"/>
  <c r="AU318" i="48"/>
  <c r="AP317" i="48"/>
  <c r="AQ331" i="48"/>
  <c r="AR328" i="48"/>
  <c r="AS325" i="48"/>
  <c r="AT322" i="48"/>
  <c r="AW317" i="48"/>
  <c r="AU333" i="48"/>
  <c r="AV330" i="48"/>
  <c r="AW327" i="48"/>
  <c r="AM325" i="48"/>
  <c r="AN322" i="48"/>
  <c r="AV316" i="48"/>
  <c r="AS332" i="48"/>
  <c r="AN331" i="48"/>
  <c r="AT329" i="48"/>
  <c r="AO328" i="48"/>
  <c r="AU326" i="48"/>
  <c r="AP325" i="48"/>
  <c r="AV323" i="48"/>
  <c r="AQ322" i="48"/>
  <c r="AP320" i="48"/>
  <c r="AQ317" i="48"/>
  <c r="AP321" i="48"/>
  <c r="AV319" i="48"/>
  <c r="AQ318" i="48"/>
  <c r="AW316" i="48"/>
  <c r="AN227" i="48"/>
  <c r="AO224" i="48"/>
  <c r="AP221" i="48"/>
  <c r="AQ218" i="48"/>
  <c r="AR215" i="48"/>
  <c r="AS212" i="48"/>
  <c r="AS226" i="48"/>
  <c r="AT223" i="48"/>
  <c r="AU220" i="48"/>
  <c r="AV217" i="48"/>
  <c r="AM212" i="48"/>
  <c r="AN226" i="48"/>
  <c r="AO223" i="48"/>
  <c r="AP220" i="48"/>
  <c r="AO215" i="48"/>
  <c r="AR331" i="48"/>
  <c r="AP318" i="48"/>
  <c r="AU325" i="48"/>
  <c r="AS331" i="48"/>
  <c r="AQ323" i="48"/>
  <c r="AO329" i="48"/>
  <c r="AW333" i="48"/>
  <c r="AM331" i="48"/>
  <c r="AN328" i="48"/>
  <c r="AO325" i="48"/>
  <c r="AP322" i="48"/>
  <c r="AO317" i="48"/>
  <c r="AW331" i="48"/>
  <c r="AM329" i="48"/>
  <c r="AN326" i="48"/>
  <c r="AO323" i="48"/>
  <c r="AM319" i="48"/>
  <c r="AV333" i="48"/>
  <c r="AQ332" i="48"/>
  <c r="AW330" i="48"/>
  <c r="AR329" i="48"/>
  <c r="AM328" i="48"/>
  <c r="AS326" i="48"/>
  <c r="AN325" i="48"/>
  <c r="AT323" i="48"/>
  <c r="AO322" i="48"/>
  <c r="AW319" i="48"/>
  <c r="AM317" i="48"/>
  <c r="AN321" i="48"/>
  <c r="AT319" i="48"/>
  <c r="AO318" i="48"/>
  <c r="AU316" i="48"/>
  <c r="AU338" i="48"/>
  <c r="AM339" i="48"/>
  <c r="AN342" i="48"/>
  <c r="AM345" i="48"/>
  <c r="AW347" i="48"/>
  <c r="AV350" i="48"/>
  <c r="AU353" i="48"/>
  <c r="AM342" i="48"/>
  <c r="AV347" i="48"/>
  <c r="AT353" i="48"/>
  <c r="AT339" i="48"/>
  <c r="AR345" i="48"/>
  <c r="AU352" i="48"/>
  <c r="AO350" i="48"/>
  <c r="AR341" i="48"/>
  <c r="AM354" i="48"/>
  <c r="AQ342" i="48"/>
  <c r="AM351" i="48"/>
  <c r="AO345" i="48"/>
  <c r="AQ339" i="48"/>
  <c r="AM352" i="48"/>
  <c r="AN345" i="48"/>
  <c r="AO339" i="48"/>
  <c r="AQ350" i="48"/>
  <c r="AS344" i="48"/>
  <c r="AN338" i="48"/>
  <c r="AN352" i="48"/>
  <c r="AO349" i="48"/>
  <c r="AQ343" i="48"/>
  <c r="AQ216" i="48"/>
  <c r="AR213" i="48"/>
  <c r="AP228" i="48"/>
  <c r="AV226" i="48"/>
  <c r="AQ225" i="48"/>
  <c r="AW223" i="48"/>
  <c r="AR222" i="48"/>
  <c r="AM221" i="48"/>
  <c r="AS219" i="48"/>
  <c r="AT216" i="48"/>
  <c r="AU213" i="48"/>
  <c r="AU347" i="48"/>
  <c r="AV344" i="48"/>
  <c r="AW341" i="48"/>
  <c r="AT338" i="48"/>
  <c r="AP339" i="48"/>
  <c r="AP235" i="48"/>
  <c r="AM338" i="48"/>
  <c r="AW339" i="48"/>
  <c r="AQ341" i="48"/>
  <c r="AV342" i="48"/>
  <c r="AP344" i="48"/>
  <c r="AU345" i="48"/>
  <c r="AO347" i="48"/>
  <c r="AT348" i="48"/>
  <c r="AN350" i="48"/>
  <c r="AS351" i="48"/>
  <c r="AM353" i="48"/>
  <c r="AR354" i="48"/>
  <c r="AS340" i="48"/>
  <c r="AR343" i="48"/>
  <c r="AQ346" i="48"/>
  <c r="AP349" i="48"/>
  <c r="AO352" i="48"/>
  <c r="AN341" i="48"/>
  <c r="AM344" i="48"/>
  <c r="AW346" i="48"/>
  <c r="AV349" i="48"/>
  <c r="AQ352" i="48"/>
  <c r="AS350" i="48"/>
  <c r="AQ344" i="48"/>
  <c r="AN351" i="48"/>
  <c r="AP345" i="48"/>
  <c r="AR339" i="48"/>
  <c r="AR352" i="48"/>
  <c r="AS349" i="48"/>
  <c r="AT346" i="48"/>
  <c r="AU343" i="48"/>
  <c r="AV340" i="48"/>
  <c r="AO338" i="48"/>
  <c r="AS354" i="48"/>
  <c r="AW354" i="48"/>
  <c r="AR349" i="48"/>
  <c r="AS346" i="48"/>
  <c r="AT343" i="48"/>
  <c r="AU340" i="48"/>
  <c r="AU354" i="48"/>
  <c r="AV351" i="48"/>
  <c r="AW348" i="48"/>
  <c r="AM346" i="48"/>
  <c r="AN343" i="48"/>
  <c r="AO340" i="48"/>
  <c r="AP354" i="48"/>
  <c r="AV352" i="48"/>
  <c r="AQ351" i="48"/>
  <c r="AW349" i="48"/>
  <c r="AR348" i="48"/>
  <c r="AM347" i="48"/>
  <c r="AS345" i="48"/>
  <c r="AN344" i="48"/>
  <c r="AT342" i="48"/>
  <c r="AO341" i="48"/>
  <c r="AU339" i="48"/>
  <c r="AN241" i="48"/>
  <c r="AT245" i="48"/>
  <c r="AD53" i="48"/>
  <c r="AN269" i="48" s="1"/>
  <c r="AM234" i="48"/>
  <c r="AQ243" i="48"/>
  <c r="AV218" i="48"/>
  <c r="AQ217" i="48"/>
  <c r="AW215" i="48"/>
  <c r="AR214" i="48"/>
  <c r="AM233" i="48"/>
  <c r="AQ233" i="48"/>
  <c r="AV234" i="48"/>
  <c r="AP236" i="48"/>
  <c r="AU237" i="48"/>
  <c r="AO239" i="48"/>
  <c r="AT240" i="48"/>
  <c r="AN242" i="48"/>
  <c r="AS243" i="48"/>
  <c r="AM245" i="48"/>
  <c r="AR246" i="48"/>
  <c r="AQ234" i="48"/>
  <c r="AP237" i="48"/>
  <c r="AO240" i="48"/>
  <c r="AN243" i="48"/>
  <c r="AM246" i="48"/>
  <c r="AO248" i="48"/>
  <c r="AT249" i="48"/>
  <c r="AT235" i="48"/>
  <c r="AS238" i="48"/>
  <c r="AT243" i="48"/>
  <c r="AR248" i="48"/>
  <c r="AN234" i="48"/>
  <c r="AS235" i="48"/>
  <c r="AM237" i="48"/>
  <c r="AR238" i="48"/>
  <c r="AW239" i="48"/>
  <c r="AQ241" i="48"/>
  <c r="AV242" i="48"/>
  <c r="AP244" i="48"/>
  <c r="AU245" i="48"/>
  <c r="AO247" i="48"/>
  <c r="AV235" i="48"/>
  <c r="AU238" i="48"/>
  <c r="AT241" i="48"/>
  <c r="AS244" i="48"/>
  <c r="AR247" i="48"/>
  <c r="AW248" i="48"/>
  <c r="AO234" i="48"/>
  <c r="AN237" i="48"/>
  <c r="AU240" i="48"/>
  <c r="AS246" i="48"/>
  <c r="AW249" i="48"/>
  <c r="AW246" i="48"/>
  <c r="AW242" i="48"/>
  <c r="AR249" i="48"/>
  <c r="AV239" i="48"/>
  <c r="AP246" i="48"/>
  <c r="AR240" i="48"/>
  <c r="AT234" i="48"/>
  <c r="AQ211" i="48"/>
  <c r="AN211" i="48"/>
  <c r="AW228" i="48"/>
  <c r="AR227" i="48"/>
  <c r="AM226" i="48"/>
  <c r="AS224" i="48"/>
  <c r="AN223" i="48"/>
  <c r="AT221" i="48"/>
  <c r="AO220" i="48"/>
  <c r="AU218" i="48"/>
  <c r="AP217" i="48"/>
  <c r="AV215" i="48"/>
  <c r="AQ214" i="48"/>
  <c r="AW212" i="48"/>
  <c r="AQ228" i="48"/>
  <c r="AW226" i="48"/>
  <c r="AR225" i="48"/>
  <c r="AM224" i="48"/>
  <c r="AS222" i="48"/>
  <c r="AN221" i="48"/>
  <c r="AT219" i="48"/>
  <c r="AO218" i="48"/>
  <c r="AU216" i="48"/>
  <c r="AP215" i="48"/>
  <c r="AV213" i="48"/>
  <c r="AQ212" i="48"/>
  <c r="AR228" i="48"/>
  <c r="AU227" i="48"/>
  <c r="AM227" i="48"/>
  <c r="AP226" i="48"/>
  <c r="AS225" i="48"/>
  <c r="AV224" i="48"/>
  <c r="AN224" i="48"/>
  <c r="AQ223" i="48"/>
  <c r="AT222" i="48"/>
  <c r="AW221" i="48"/>
  <c r="AO221" i="48"/>
  <c r="AR220" i="48"/>
  <c r="AU219" i="48"/>
  <c r="AM219" i="48"/>
  <c r="AP218" i="48"/>
  <c r="AS217" i="48"/>
  <c r="AV216" i="48"/>
  <c r="AN216" i="48"/>
  <c r="AQ215" i="48"/>
  <c r="AT214" i="48"/>
  <c r="AW213" i="48"/>
  <c r="AO213" i="48"/>
  <c r="AR212" i="48"/>
  <c r="AP211" i="48"/>
  <c r="AR211" i="48"/>
  <c r="AM211" i="48"/>
  <c r="AU211" i="48"/>
  <c r="AV211" i="48"/>
  <c r="AT211" i="48"/>
  <c r="AO228" i="48"/>
  <c r="AU226" i="48"/>
  <c r="AP225" i="48"/>
  <c r="AV223" i="48"/>
  <c r="AQ222" i="48"/>
  <c r="AW220" i="48"/>
  <c r="AR219" i="48"/>
  <c r="AM218" i="48"/>
  <c r="AS216" i="48"/>
  <c r="AN215" i="48"/>
  <c r="AT213" i="48"/>
  <c r="AO212" i="48"/>
  <c r="AT227" i="48"/>
  <c r="AO226" i="48"/>
  <c r="AU224" i="48"/>
  <c r="AP223" i="48"/>
  <c r="AV221" i="48"/>
  <c r="AQ220" i="48"/>
  <c r="AW218" i="48"/>
  <c r="AR217" i="48"/>
  <c r="AM216" i="48"/>
  <c r="AS214" i="48"/>
  <c r="AN213" i="48"/>
  <c r="AV228" i="48"/>
  <c r="AN228" i="48"/>
  <c r="AQ227" i="48"/>
  <c r="AT226" i="48"/>
  <c r="AW225" i="48"/>
  <c r="AO225" i="48"/>
  <c r="AR224" i="48"/>
  <c r="AU223" i="48"/>
  <c r="AM223" i="48"/>
  <c r="AP222" i="48"/>
  <c r="AS221" i="48"/>
  <c r="AV220" i="48"/>
  <c r="AN220" i="48"/>
  <c r="AQ219" i="48"/>
  <c r="AT218" i="48"/>
  <c r="AW217" i="48"/>
  <c r="AO217" i="48"/>
  <c r="AR216" i="48"/>
  <c r="AU215" i="48"/>
  <c r="AM215" i="48"/>
  <c r="AP214" i="48"/>
  <c r="AS213" i="48"/>
  <c r="AV212" i="48"/>
  <c r="AN212" i="48"/>
  <c r="AS211" i="48"/>
  <c r="AO211" i="48"/>
  <c r="AV227" i="48"/>
  <c r="AQ226" i="48"/>
  <c r="AW224" i="48"/>
  <c r="AR223" i="48"/>
  <c r="AM222" i="48"/>
  <c r="AS220" i="48"/>
  <c r="AN219" i="48"/>
  <c r="AT217" i="48"/>
  <c r="AO216" i="48"/>
  <c r="AU214" i="48"/>
  <c r="AP213" i="48"/>
  <c r="AU228" i="48"/>
  <c r="AP227" i="48"/>
  <c r="AV225" i="48"/>
  <c r="AQ224" i="48"/>
  <c r="AW222" i="48"/>
  <c r="AR221" i="48"/>
  <c r="AM220" i="48"/>
  <c r="AS218" i="48"/>
  <c r="AN217" i="48"/>
  <c r="AT215" i="48"/>
  <c r="AO214" i="48"/>
  <c r="AU212" i="48"/>
  <c r="AT228" i="48"/>
  <c r="AW227" i="48"/>
  <c r="AO227" i="48"/>
  <c r="AR226" i="48"/>
  <c r="AU225" i="48"/>
  <c r="AM225" i="48"/>
  <c r="AP224" i="48"/>
  <c r="AS223" i="48"/>
  <c r="AV222" i="48"/>
  <c r="AN222" i="48"/>
  <c r="AQ221" i="48"/>
  <c r="AT220" i="48"/>
  <c r="AW219" i="48"/>
  <c r="AO219" i="48"/>
  <c r="AR218" i="48"/>
  <c r="AU217" i="48"/>
  <c r="AM217" i="48"/>
  <c r="AP216" i="48"/>
  <c r="AS215" i="48"/>
  <c r="AV214" i="48"/>
  <c r="AN214" i="48"/>
  <c r="AQ213" i="48"/>
  <c r="AT212" i="48"/>
  <c r="AW211" i="48"/>
  <c r="AQ338" i="48"/>
  <c r="AN339" i="48"/>
  <c r="AP338" i="48"/>
  <c r="AS339" i="48"/>
  <c r="AP340" i="48"/>
  <c r="AM341" i="48"/>
  <c r="AU341" i="48"/>
  <c r="AR342" i="48"/>
  <c r="AO343" i="48"/>
  <c r="AW343" i="48"/>
  <c r="AT344" i="48"/>
  <c r="AQ345" i="48"/>
  <c r="AN346" i="48"/>
  <c r="AV346" i="48"/>
  <c r="AS347" i="48"/>
  <c r="AP348" i="48"/>
  <c r="AM349" i="48"/>
  <c r="AU349" i="48"/>
  <c r="AR350" i="48"/>
  <c r="AO351" i="48"/>
  <c r="AW351" i="48"/>
  <c r="AT352" i="48"/>
  <c r="AQ353" i="48"/>
  <c r="AN354" i="48"/>
  <c r="AV354" i="48"/>
  <c r="AV339" i="48"/>
  <c r="AP341" i="48"/>
  <c r="AU342" i="48"/>
  <c r="AO344" i="48"/>
  <c r="AT345" i="48"/>
  <c r="AN347" i="48"/>
  <c r="AS348" i="48"/>
  <c r="AM350" i="48"/>
  <c r="AR351" i="48"/>
  <c r="AW352" i="48"/>
  <c r="AQ354" i="48"/>
  <c r="AR338" i="48"/>
  <c r="AQ340" i="48"/>
  <c r="AV341" i="48"/>
  <c r="AP343" i="48"/>
  <c r="AU344" i="48"/>
  <c r="AO346" i="48"/>
  <c r="AT347" i="48"/>
  <c r="AN349" i="48"/>
  <c r="AP351" i="48"/>
  <c r="AO354" i="48"/>
  <c r="AW350" i="48"/>
  <c r="AV353" i="48"/>
  <c r="AN353" i="48"/>
  <c r="AR353" i="48"/>
  <c r="AU348" i="48"/>
  <c r="AV345" i="48"/>
  <c r="AW342" i="48"/>
  <c r="AM340" i="48"/>
  <c r="AS352" i="48"/>
  <c r="AT349" i="48"/>
  <c r="AU346" i="48"/>
  <c r="AV343" i="48"/>
  <c r="AW340" i="48"/>
  <c r="AT354" i="48"/>
  <c r="AO353" i="48"/>
  <c r="AU351" i="48"/>
  <c r="AP350" i="48"/>
  <c r="AV348" i="48"/>
  <c r="AQ347" i="48"/>
  <c r="AW345" i="48"/>
  <c r="AR344" i="48"/>
  <c r="AM343" i="48"/>
  <c r="AS341" i="48"/>
  <c r="AN340" i="48"/>
  <c r="AW338" i="48"/>
  <c r="AO183" i="48"/>
  <c r="AD21" i="42"/>
  <c r="AC21" i="42"/>
  <c r="AW136" i="48"/>
  <c r="AW139" i="48"/>
  <c r="AW131" i="48"/>
  <c r="AW144" i="48"/>
  <c r="AW143" i="48"/>
  <c r="AW126" i="48"/>
  <c r="AW133" i="48"/>
  <c r="AW130" i="48"/>
  <c r="AW141" i="48"/>
  <c r="AW129" i="48"/>
  <c r="AW134" i="48"/>
  <c r="AW135" i="48"/>
  <c r="AW137" i="48"/>
  <c r="AW140" i="48"/>
  <c r="AW125" i="48"/>
  <c r="AW142" i="48"/>
  <c r="AW138" i="48"/>
  <c r="AW128" i="48"/>
  <c r="AW132" i="48"/>
  <c r="AW127" i="48"/>
  <c r="AT178" i="48" l="1"/>
  <c r="AS178" i="48"/>
  <c r="AT169" i="48"/>
  <c r="AV169" i="48"/>
  <c r="AS182" i="48"/>
  <c r="AS184" i="48"/>
  <c r="AW177" i="48"/>
  <c r="AM169" i="48"/>
  <c r="AP169" i="48"/>
  <c r="AN169" i="48"/>
  <c r="AW253" i="48"/>
  <c r="AU176" i="48"/>
  <c r="AR175" i="48"/>
  <c r="AV182" i="48"/>
  <c r="AQ170" i="48"/>
  <c r="AN175" i="48"/>
  <c r="AQ181" i="48"/>
  <c r="AR172" i="48"/>
  <c r="AQ169" i="48"/>
  <c r="AR169" i="48"/>
  <c r="AS169" i="48"/>
  <c r="AN172" i="48"/>
  <c r="AN253" i="48"/>
  <c r="AR253" i="48"/>
  <c r="AP253" i="48"/>
  <c r="AQ253" i="48"/>
  <c r="AU169" i="48"/>
  <c r="AS253" i="48"/>
  <c r="AU253" i="48"/>
  <c r="AT253" i="48"/>
  <c r="AO253" i="48"/>
  <c r="AO169" i="48"/>
  <c r="AM253" i="48"/>
  <c r="AT168" i="48"/>
  <c r="AU168" i="48"/>
  <c r="AP167" i="48"/>
  <c r="AR167" i="48"/>
  <c r="AM167" i="48"/>
  <c r="AV167" i="48"/>
  <c r="AP168" i="48"/>
  <c r="AQ167" i="48"/>
  <c r="AN252" i="48"/>
  <c r="AW252" i="48"/>
  <c r="AM251" i="48"/>
  <c r="AN251" i="48"/>
  <c r="AW251" i="48"/>
  <c r="AV251" i="48"/>
  <c r="AS251" i="48"/>
  <c r="AO251" i="48"/>
  <c r="AQ251" i="48"/>
  <c r="AR252" i="48"/>
  <c r="AS172" i="48"/>
  <c r="AV168" i="48"/>
  <c r="AQ168" i="48"/>
  <c r="AW168" i="48"/>
  <c r="AO168" i="48"/>
  <c r="AM168" i="48"/>
  <c r="AS168" i="48"/>
  <c r="AN168" i="48"/>
  <c r="AO167" i="48"/>
  <c r="AU167" i="48"/>
  <c r="AW167" i="48"/>
  <c r="AN167" i="48"/>
  <c r="AS167" i="48"/>
  <c r="AT167" i="48"/>
  <c r="AW169" i="48"/>
  <c r="AU252" i="48"/>
  <c r="AQ252" i="48"/>
  <c r="AS252" i="48"/>
  <c r="AT252" i="48"/>
  <c r="AT251" i="48"/>
  <c r="AP251" i="48"/>
  <c r="AU251" i="48"/>
  <c r="AR251" i="48"/>
  <c r="AV253" i="48"/>
  <c r="AO252" i="48"/>
  <c r="AV252" i="48"/>
  <c r="AM252" i="48"/>
  <c r="AP252" i="48"/>
  <c r="AV355" i="48"/>
  <c r="AU355" i="48"/>
  <c r="AW355" i="48"/>
  <c r="AT355" i="48"/>
  <c r="AU334" i="48"/>
  <c r="AW334" i="48"/>
  <c r="AT334" i="48"/>
  <c r="AV334" i="48"/>
  <c r="AU250" i="48"/>
  <c r="AW250" i="48"/>
  <c r="AT229" i="48"/>
  <c r="AV250" i="48"/>
  <c r="AU229" i="48"/>
  <c r="AT250" i="48"/>
  <c r="AV173" i="48"/>
  <c r="AT179" i="48"/>
  <c r="AT174" i="48"/>
  <c r="AP181" i="48"/>
  <c r="AU185" i="48"/>
  <c r="AW185" i="48"/>
  <c r="AU170" i="48"/>
  <c r="AW170" i="48"/>
  <c r="AQ184" i="48"/>
  <c r="AW180" i="48"/>
  <c r="AQ185" i="48"/>
  <c r="AS185" i="48"/>
  <c r="AU172" i="48"/>
  <c r="AW229" i="48"/>
  <c r="AV229" i="48"/>
  <c r="AP175" i="48"/>
  <c r="AO178" i="48"/>
  <c r="AN181" i="48"/>
  <c r="AM184" i="48"/>
  <c r="AM179" i="48"/>
  <c r="AQ178" i="48"/>
  <c r="AO184" i="48"/>
  <c r="AR184" i="48"/>
  <c r="AW175" i="48"/>
  <c r="AN185" i="48"/>
  <c r="AM177" i="48"/>
  <c r="AO186" i="48"/>
  <c r="AN170" i="48"/>
  <c r="AR171" i="48"/>
  <c r="AT175" i="48"/>
  <c r="AR181" i="48"/>
  <c r="AP178" i="48"/>
  <c r="AM178" i="48"/>
  <c r="AV183" i="48"/>
  <c r="AU183" i="48"/>
  <c r="AO175" i="48"/>
  <c r="AP184" i="48"/>
  <c r="AP176" i="48"/>
  <c r="AR185" i="48"/>
  <c r="AT172" i="48"/>
  <c r="AN173" i="48"/>
  <c r="AS174" i="48"/>
  <c r="AM176" i="48"/>
  <c r="AR177" i="48"/>
  <c r="AW178" i="48"/>
  <c r="AQ180" i="48"/>
  <c r="AV181" i="48"/>
  <c r="AP183" i="48"/>
  <c r="AO173" i="48"/>
  <c r="AN176" i="48"/>
  <c r="AM174" i="48"/>
  <c r="AW176" i="48"/>
  <c r="AV179" i="48"/>
  <c r="AU182" i="48"/>
  <c r="AU175" i="48"/>
  <c r="AS181" i="48"/>
  <c r="AW181" i="48"/>
  <c r="AM173" i="48"/>
  <c r="AO179" i="48"/>
  <c r="AQ186" i="48"/>
  <c r="AT182" i="48"/>
  <c r="AN174" i="48"/>
  <c r="AP180" i="48"/>
  <c r="AU181" i="48"/>
  <c r="AP171" i="48"/>
  <c r="AO171" i="48"/>
  <c r="AV171" i="48"/>
  <c r="AV170" i="48"/>
  <c r="AP170" i="48"/>
  <c r="AO174" i="48"/>
  <c r="AN177" i="48"/>
  <c r="AM180" i="48"/>
  <c r="AW182" i="48"/>
  <c r="AQ175" i="48"/>
  <c r="AT173" i="48"/>
  <c r="AS176" i="48"/>
  <c r="AR179" i="48"/>
  <c r="AQ182" i="48"/>
  <c r="AM175" i="48"/>
  <c r="AV180" i="48"/>
  <c r="AR180" i="48"/>
  <c r="AV186" i="48"/>
  <c r="AR178" i="48"/>
  <c r="AT185" i="48"/>
  <c r="AO181" i="48"/>
  <c r="AQ173" i="48"/>
  <c r="AS179" i="48"/>
  <c r="AU186" i="48"/>
  <c r="AS170" i="48"/>
  <c r="AW172" i="48"/>
  <c r="AR173" i="48"/>
  <c r="AP172" i="48"/>
  <c r="AQ172" i="48"/>
  <c r="AV172" i="48"/>
  <c r="AO172" i="48"/>
  <c r="AM172" i="48"/>
  <c r="AW186" i="48"/>
  <c r="AS183" i="48"/>
  <c r="AP185" i="48"/>
  <c r="AM181" i="48"/>
  <c r="AN178" i="48"/>
  <c r="AV174" i="48"/>
  <c r="AP186" i="48"/>
  <c r="AN184" i="48"/>
  <c r="AV185" i="48"/>
  <c r="AU177" i="48"/>
  <c r="AW183" i="48"/>
  <c r="AW179" i="48"/>
  <c r="AT176" i="48"/>
  <c r="AU173" i="48"/>
  <c r="AN186" i="48"/>
  <c r="AQ183" i="48"/>
  <c r="AV184" i="48"/>
  <c r="AP182" i="48"/>
  <c r="AQ179" i="48"/>
  <c r="AR176" i="48"/>
  <c r="AS173" i="48"/>
  <c r="AN183" i="48"/>
  <c r="AT181" i="48"/>
  <c r="AO180" i="48"/>
  <c r="AU178" i="48"/>
  <c r="AP177" i="48"/>
  <c r="AV175" i="48"/>
  <c r="AQ174" i="48"/>
  <c r="AU179" i="48"/>
  <c r="AV176" i="48"/>
  <c r="AW173" i="48"/>
  <c r="AT183" i="48"/>
  <c r="AO182" i="48"/>
  <c r="AU180" i="48"/>
  <c r="AP179" i="48"/>
  <c r="AV177" i="48"/>
  <c r="AQ176" i="48"/>
  <c r="AW174" i="48"/>
  <c r="AO170" i="48"/>
  <c r="AT171" i="48"/>
  <c r="AU171" i="48"/>
  <c r="AT170" i="48"/>
  <c r="AR170" i="48"/>
  <c r="AN171" i="48"/>
  <c r="AQ171" i="48"/>
  <c r="AS171" i="48"/>
  <c r="AM170" i="48"/>
  <c r="AW171" i="48"/>
  <c r="AM171" i="48"/>
  <c r="AU184" i="48"/>
  <c r="AM186" i="48"/>
  <c r="AN182" i="48"/>
  <c r="AV178" i="48"/>
  <c r="AS175" i="48"/>
  <c r="AT186" i="48"/>
  <c r="AM185" i="48"/>
  <c r="AS186" i="48"/>
  <c r="AR182" i="48"/>
  <c r="AW184" i="48"/>
  <c r="AT180" i="48"/>
  <c r="AQ177" i="48"/>
  <c r="AR174" i="48"/>
  <c r="AR186" i="48"/>
  <c r="AT184" i="48"/>
  <c r="AO185" i="48"/>
  <c r="AM183" i="48"/>
  <c r="AN180" i="48"/>
  <c r="AO177" i="48"/>
  <c r="AP174" i="48"/>
  <c r="AR183" i="48"/>
  <c r="AM182" i="48"/>
  <c r="AS180" i="48"/>
  <c r="AN179" i="48"/>
  <c r="AT177" i="48"/>
  <c r="AO176" i="48"/>
  <c r="AU174" i="48"/>
  <c r="AP173" i="48"/>
  <c r="AS177" i="48"/>
  <c r="AW145" i="48"/>
  <c r="AV145" i="48"/>
  <c r="AA49" i="48"/>
  <c r="AQ190" i="48" s="1"/>
  <c r="AF55" i="48"/>
  <c r="AW297" i="48" s="1"/>
  <c r="AP254" i="48"/>
  <c r="AR254" i="48"/>
  <c r="AS259" i="48"/>
  <c r="AR268" i="48"/>
  <c r="AT261" i="48"/>
  <c r="AQ261" i="48"/>
  <c r="AR257" i="48"/>
  <c r="AQ270" i="48"/>
  <c r="AQ256" i="48"/>
  <c r="AO256" i="48"/>
  <c r="AT255" i="48"/>
  <c r="Y45" i="48"/>
  <c r="AN149" i="48" s="1"/>
  <c r="F12" i="48" s="1"/>
  <c r="AP263" i="48"/>
  <c r="AM257" i="48"/>
  <c r="AV254" i="48"/>
  <c r="AV267" i="48"/>
  <c r="AP267" i="48"/>
  <c r="AR256" i="48"/>
  <c r="AS267" i="48"/>
  <c r="AV256" i="48"/>
  <c r="AR267" i="48"/>
  <c r="AV255" i="48"/>
  <c r="AT259" i="48"/>
  <c r="AT258" i="48"/>
  <c r="AS254" i="48"/>
  <c r="AQ260" i="48"/>
  <c r="AO266" i="48"/>
  <c r="AW265" i="48"/>
  <c r="AR266" i="48"/>
  <c r="AM268" i="48"/>
  <c r="AV269" i="48"/>
  <c r="AQ263" i="48"/>
  <c r="AM262" i="48"/>
  <c r="AR261" i="48"/>
  <c r="AN268" i="48"/>
  <c r="AO259" i="48"/>
  <c r="AW270" i="48"/>
  <c r="AT262" i="48"/>
  <c r="AS264" i="48"/>
  <c r="AU258" i="48"/>
  <c r="AR265" i="48"/>
  <c r="AQ269" i="48"/>
  <c r="AS268" i="48"/>
  <c r="AT266" i="48"/>
  <c r="AV264" i="48"/>
  <c r="AU262" i="48"/>
  <c r="AS266" i="48"/>
  <c r="AM256" i="48"/>
  <c r="AW258" i="48"/>
  <c r="AV261" i="48"/>
  <c r="AU264" i="48"/>
  <c r="AT267" i="48"/>
  <c r="AN260" i="48"/>
  <c r="AN270" i="48"/>
  <c r="AV262" i="48"/>
  <c r="AW268" i="48"/>
  <c r="AO262" i="48"/>
  <c r="AU263" i="48"/>
  <c r="AQ265" i="48"/>
  <c r="AP260" i="48"/>
  <c r="AV268" i="48"/>
  <c r="AS257" i="48"/>
  <c r="AW264" i="48"/>
  <c r="AN259" i="48"/>
  <c r="AS258" i="48"/>
  <c r="AQ264" i="48"/>
  <c r="AP262" i="48"/>
  <c r="AT264" i="48"/>
  <c r="AR269" i="48"/>
  <c r="AR262" i="48"/>
  <c r="AT256" i="48"/>
  <c r="AW269" i="48"/>
  <c r="AS265" i="48"/>
  <c r="AU259" i="48"/>
  <c r="AM266" i="48"/>
  <c r="AN263" i="48"/>
  <c r="AO260" i="48"/>
  <c r="AP257" i="48"/>
  <c r="AQ254" i="48"/>
  <c r="AU256" i="48"/>
  <c r="AS262" i="48"/>
  <c r="AQ268" i="48"/>
  <c r="AR264" i="48"/>
  <c r="AS255" i="48"/>
  <c r="AU265" i="48"/>
  <c r="AM270" i="48"/>
  <c r="AT263" i="48"/>
  <c r="AV266" i="48"/>
  <c r="AW255" i="48"/>
  <c r="AW256" i="48"/>
  <c r="AP255" i="48"/>
  <c r="AV258" i="48"/>
  <c r="AU267" i="48"/>
  <c r="AW261" i="48"/>
  <c r="AN256" i="48"/>
  <c r="AN267" i="48"/>
  <c r="AO264" i="48"/>
  <c r="AP261" i="48"/>
  <c r="AQ258" i="48"/>
  <c r="AR255" i="48"/>
  <c r="AS263" i="48"/>
  <c r="AV260" i="48"/>
  <c r="AU260" i="48"/>
  <c r="AM254" i="48"/>
  <c r="AV259" i="48"/>
  <c r="AT265" i="48"/>
  <c r="AM259" i="48"/>
  <c r="AS269" i="48"/>
  <c r="AU261" i="48"/>
  <c r="AS270" i="48"/>
  <c r="AU257" i="48"/>
  <c r="AM255" i="48"/>
  <c r="AV257" i="48"/>
  <c r="AU270" i="48"/>
  <c r="AP269" i="48"/>
  <c r="AO267" i="48"/>
  <c r="AP264" i="48"/>
  <c r="AR258" i="48"/>
  <c r="AV270" i="48"/>
  <c r="AQ267" i="48"/>
  <c r="AS261" i="48"/>
  <c r="AU255" i="48"/>
  <c r="AW266" i="48"/>
  <c r="AM264" i="48"/>
  <c r="AN261" i="48"/>
  <c r="AO258" i="48"/>
  <c r="AN255" i="48"/>
  <c r="AS256" i="48"/>
  <c r="AM258" i="48"/>
  <c r="AR259" i="48"/>
  <c r="AW260" i="48"/>
  <c r="AQ262" i="48"/>
  <c r="AV263" i="48"/>
  <c r="AP265" i="48"/>
  <c r="AU266" i="48"/>
  <c r="AO268" i="48"/>
  <c r="AQ255" i="48"/>
  <c r="AP258" i="48"/>
  <c r="AO261" i="48"/>
  <c r="AN264" i="48"/>
  <c r="AM267" i="48"/>
  <c r="AO269" i="48"/>
  <c r="AT270" i="48"/>
  <c r="AO255" i="48"/>
  <c r="AN258" i="48"/>
  <c r="AM261" i="48"/>
  <c r="AW263" i="48"/>
  <c r="AO270" i="48"/>
  <c r="AU268" i="48"/>
  <c r="AN266" i="48"/>
  <c r="AN262" i="48"/>
  <c r="AP256" i="48"/>
  <c r="AU269" i="48"/>
  <c r="AO265" i="48"/>
  <c r="AQ259" i="48"/>
  <c r="AV265" i="48"/>
  <c r="AW262" i="48"/>
  <c r="AM260" i="48"/>
  <c r="AN257" i="48"/>
  <c r="AO254" i="48"/>
  <c r="AU254" i="48"/>
  <c r="AT257" i="48"/>
  <c r="AS260" i="48"/>
  <c r="AR263" i="48"/>
  <c r="AQ266" i="48"/>
  <c r="AT254" i="48"/>
  <c r="AR260" i="48"/>
  <c r="AP266" i="48"/>
  <c r="AP270" i="48"/>
  <c r="AQ257" i="48"/>
  <c r="AO263" i="48"/>
  <c r="AP268" i="48"/>
  <c r="AT260" i="48"/>
  <c r="AM269" i="48"/>
  <c r="AW257" i="48"/>
  <c r="AN265" i="48"/>
  <c r="AP259" i="48"/>
  <c r="AT269" i="48"/>
  <c r="AW267" i="48"/>
  <c r="AM265" i="48"/>
  <c r="AW259" i="48"/>
  <c r="AN254" i="48"/>
  <c r="AT268" i="48"/>
  <c r="AM263" i="48"/>
  <c r="AO257" i="48"/>
  <c r="AW254" i="48"/>
  <c r="AR270" i="48"/>
  <c r="E21" i="45"/>
  <c r="H253" i="47" s="1"/>
  <c r="E20" i="45"/>
  <c r="H238" i="47" s="1"/>
  <c r="E19" i="45"/>
  <c r="H221" i="47" s="1"/>
  <c r="E18" i="45"/>
  <c r="H206" i="47" s="1"/>
  <c r="E17" i="45"/>
  <c r="H189" i="47" s="1"/>
  <c r="E16" i="45"/>
  <c r="H173" i="47" s="1"/>
  <c r="E15" i="45"/>
  <c r="H157" i="47" s="1"/>
  <c r="E14" i="45"/>
  <c r="H143" i="47" s="1"/>
  <c r="E13" i="45"/>
  <c r="H127" i="47" s="1"/>
  <c r="E12" i="45"/>
  <c r="H105" i="47" s="1"/>
  <c r="E11" i="45"/>
  <c r="H87" i="47" s="1"/>
  <c r="E10" i="45"/>
  <c r="H44" i="47" s="1"/>
  <c r="AA19" i="42"/>
  <c r="K8" i="42" s="1"/>
  <c r="AN297" i="48" l="1"/>
  <c r="AP191" i="48"/>
  <c r="AQ301" i="48"/>
  <c r="AT297" i="48"/>
  <c r="AN203" i="48"/>
  <c r="AR297" i="48"/>
  <c r="AO297" i="48"/>
  <c r="AU297" i="48"/>
  <c r="AS297" i="48"/>
  <c r="AU165" i="48"/>
  <c r="J28" i="48" s="1"/>
  <c r="AP149" i="48"/>
  <c r="H12" i="48" s="1"/>
  <c r="AQ149" i="48"/>
  <c r="O12" i="48" s="1"/>
  <c r="AW149" i="48"/>
  <c r="S12" i="48" s="1"/>
  <c r="AM149" i="48"/>
  <c r="M12" i="48" s="1"/>
  <c r="L12" i="48" s="1"/>
  <c r="AT149" i="48"/>
  <c r="I12" i="48" s="1"/>
  <c r="AO149" i="48"/>
  <c r="G12" i="48" s="1"/>
  <c r="AR149" i="48"/>
  <c r="P12" i="48" s="1"/>
  <c r="AN191" i="48"/>
  <c r="AO193" i="48"/>
  <c r="AS191" i="48"/>
  <c r="AM297" i="48"/>
  <c r="AN162" i="48"/>
  <c r="F25" i="48" s="1"/>
  <c r="AP148" i="48"/>
  <c r="H11" i="48" s="1"/>
  <c r="AT148" i="48"/>
  <c r="I11" i="48" s="1"/>
  <c r="AM148" i="48"/>
  <c r="AU148" i="48"/>
  <c r="J11" i="48" s="1"/>
  <c r="AV149" i="48"/>
  <c r="R12" i="48" s="1"/>
  <c r="AW191" i="48"/>
  <c r="AM191" i="48"/>
  <c r="AQ191" i="48"/>
  <c r="AU149" i="48"/>
  <c r="J12" i="48" s="1"/>
  <c r="AT305" i="48"/>
  <c r="AT296" i="48"/>
  <c r="AV295" i="48"/>
  <c r="AM296" i="48"/>
  <c r="AR295" i="48"/>
  <c r="AR296" i="48"/>
  <c r="AS295" i="48"/>
  <c r="AS296" i="48"/>
  <c r="AP297" i="48"/>
  <c r="AU296" i="48"/>
  <c r="AM295" i="48"/>
  <c r="AQ296" i="48"/>
  <c r="AV296" i="48"/>
  <c r="AV191" i="48"/>
  <c r="AU191" i="48"/>
  <c r="AQ297" i="48"/>
  <c r="AO191" i="48"/>
  <c r="AR191" i="48"/>
  <c r="AT293" i="48"/>
  <c r="AN293" i="48"/>
  <c r="AO190" i="48"/>
  <c r="AU188" i="48"/>
  <c r="AR188" i="48"/>
  <c r="AM188" i="48"/>
  <c r="AM293" i="48"/>
  <c r="AV294" i="48"/>
  <c r="AQ189" i="48"/>
  <c r="AN146" i="48"/>
  <c r="F9" i="48" s="1"/>
  <c r="AW146" i="48"/>
  <c r="S9" i="48" s="1"/>
  <c r="AV146" i="48"/>
  <c r="R9" i="48" s="1"/>
  <c r="AW296" i="48"/>
  <c r="AN296" i="48"/>
  <c r="AO296" i="48"/>
  <c r="AP189" i="48"/>
  <c r="AM189" i="48"/>
  <c r="AT191" i="48"/>
  <c r="AO147" i="48"/>
  <c r="G10" i="48" s="1"/>
  <c r="AQ147" i="48"/>
  <c r="O10" i="48" s="1"/>
  <c r="AU147" i="48"/>
  <c r="J10" i="48" s="1"/>
  <c r="AN147" i="48"/>
  <c r="F10" i="48" s="1"/>
  <c r="AS147" i="48"/>
  <c r="Q10" i="48" s="1"/>
  <c r="AS149" i="48"/>
  <c r="Q12" i="48" s="1"/>
  <c r="AQ295" i="48"/>
  <c r="AO294" i="48"/>
  <c r="AR294" i="48"/>
  <c r="AT294" i="48"/>
  <c r="AR293" i="48"/>
  <c r="AP293" i="48"/>
  <c r="AS188" i="48"/>
  <c r="AO188" i="48"/>
  <c r="AP188" i="48"/>
  <c r="AT189" i="48"/>
  <c r="AQ146" i="48"/>
  <c r="O9" i="48" s="1"/>
  <c r="AM146" i="48"/>
  <c r="D9" i="48" s="1"/>
  <c r="C9" i="48" s="1"/>
  <c r="AU146" i="48"/>
  <c r="J9" i="48" s="1"/>
  <c r="AV148" i="48"/>
  <c r="R11" i="48" s="1"/>
  <c r="AP295" i="48"/>
  <c r="AW295" i="48"/>
  <c r="AS190" i="48"/>
  <c r="AR148" i="48"/>
  <c r="P11" i="48" s="1"/>
  <c r="AO295" i="48"/>
  <c r="AQ148" i="48"/>
  <c r="O11" i="48" s="1"/>
  <c r="AP207" i="48"/>
  <c r="AM190" i="48"/>
  <c r="AW190" i="48"/>
  <c r="AP190" i="48"/>
  <c r="AT190" i="48"/>
  <c r="AU190" i="48"/>
  <c r="AR190" i="48"/>
  <c r="AS293" i="48"/>
  <c r="AU293" i="48"/>
  <c r="AO293" i="48"/>
  <c r="AV188" i="48"/>
  <c r="AN189" i="48"/>
  <c r="AT188" i="48"/>
  <c r="AS294" i="48"/>
  <c r="AN294" i="48"/>
  <c r="AO189" i="48"/>
  <c r="AV189" i="48"/>
  <c r="AT146" i="48"/>
  <c r="I9" i="48" s="1"/>
  <c r="AR146" i="48"/>
  <c r="P9" i="48" s="1"/>
  <c r="AP146" i="48"/>
  <c r="H9" i="48" s="1"/>
  <c r="AN295" i="48"/>
  <c r="AU295" i="48"/>
  <c r="AV190" i="48"/>
  <c r="AW189" i="48"/>
  <c r="AU189" i="48"/>
  <c r="AR147" i="48"/>
  <c r="P10" i="48" s="1"/>
  <c r="AW147" i="48"/>
  <c r="S10" i="48" s="1"/>
  <c r="AM147" i="48"/>
  <c r="D10" i="48" s="1"/>
  <c r="C10" i="48" s="1"/>
  <c r="AP147" i="48"/>
  <c r="H10" i="48" s="1"/>
  <c r="AV147" i="48"/>
  <c r="R10" i="48" s="1"/>
  <c r="AT147" i="48"/>
  <c r="I10" i="48" s="1"/>
  <c r="AV297" i="48"/>
  <c r="AM294" i="48"/>
  <c r="AW294" i="48"/>
  <c r="AU294" i="48"/>
  <c r="AQ294" i="48"/>
  <c r="AP294" i="48"/>
  <c r="AW293" i="48"/>
  <c r="AQ293" i="48"/>
  <c r="AN188" i="48"/>
  <c r="AW188" i="48"/>
  <c r="AR189" i="48"/>
  <c r="AS189" i="48"/>
  <c r="AS146" i="48"/>
  <c r="Q9" i="48" s="1"/>
  <c r="AO146" i="48"/>
  <c r="G9" i="48" s="1"/>
  <c r="AW148" i="48"/>
  <c r="S11" i="48" s="1"/>
  <c r="AS148" i="48"/>
  <c r="Q11" i="48" s="1"/>
  <c r="AP296" i="48"/>
  <c r="AN190" i="48"/>
  <c r="AN148" i="48"/>
  <c r="F11" i="48" s="1"/>
  <c r="AO148" i="48"/>
  <c r="G11" i="48" s="1"/>
  <c r="AT295" i="48"/>
  <c r="AQ188" i="48"/>
  <c r="AV293" i="48"/>
  <c r="AO207" i="48"/>
  <c r="AM311" i="48"/>
  <c r="AP308" i="48"/>
  <c r="AU271" i="48"/>
  <c r="AT271" i="48"/>
  <c r="AW271" i="48"/>
  <c r="AV271" i="48"/>
  <c r="AW202" i="48"/>
  <c r="AT309" i="48"/>
  <c r="AU305" i="48"/>
  <c r="AQ195" i="48"/>
  <c r="AN196" i="48"/>
  <c r="AQ205" i="48"/>
  <c r="AQ206" i="48"/>
  <c r="AU197" i="48"/>
  <c r="AU205" i="48"/>
  <c r="AV202" i="48"/>
  <c r="AN202" i="48"/>
  <c r="AV187" i="48"/>
  <c r="AW196" i="48"/>
  <c r="AP192" i="48"/>
  <c r="AU187" i="48"/>
  <c r="AP305" i="48"/>
  <c r="AP310" i="48"/>
  <c r="AQ300" i="48"/>
  <c r="AP299" i="48"/>
  <c r="AS309" i="48"/>
  <c r="AT187" i="48"/>
  <c r="AW187" i="48"/>
  <c r="AN304" i="48"/>
  <c r="AS311" i="48"/>
  <c r="AT299" i="48"/>
  <c r="AO301" i="48"/>
  <c r="AM312" i="48"/>
  <c r="AV307" i="48"/>
  <c r="AT300" i="48"/>
  <c r="AV312" i="48"/>
  <c r="AM304" i="48"/>
  <c r="AO309" i="48"/>
  <c r="AM298" i="48"/>
  <c r="AW303" i="48"/>
  <c r="AW312" i="48"/>
  <c r="AW305" i="48"/>
  <c r="AP307" i="48"/>
  <c r="AP311" i="48"/>
  <c r="AR307" i="48"/>
  <c r="AM309" i="48"/>
  <c r="AW302" i="48"/>
  <c r="AU307" i="48"/>
  <c r="AO306" i="48"/>
  <c r="AM302" i="48"/>
  <c r="AQ299" i="48"/>
  <c r="AO311" i="48"/>
  <c r="AW310" i="48"/>
  <c r="AW308" i="48"/>
  <c r="AO304" i="48"/>
  <c r="AW311" i="48"/>
  <c r="AT199" i="48"/>
  <c r="AR201" i="48"/>
  <c r="AN206" i="48"/>
  <c r="AV195" i="48"/>
  <c r="AU193" i="48"/>
  <c r="AU207" i="48"/>
  <c r="AV203" i="48"/>
  <c r="AW195" i="48"/>
  <c r="AS201" i="48"/>
  <c r="AN193" i="48"/>
  <c r="AS205" i="48"/>
  <c r="AR195" i="48"/>
  <c r="AP202" i="48"/>
  <c r="AN163" i="48"/>
  <c r="F26" i="48" s="1"/>
  <c r="AU158" i="48"/>
  <c r="J21" i="48" s="1"/>
  <c r="AQ156" i="48"/>
  <c r="O19" i="48" s="1"/>
  <c r="AN164" i="48"/>
  <c r="F27" i="48" s="1"/>
  <c r="AS163" i="48"/>
  <c r="Q26" i="48" s="1"/>
  <c r="AS154" i="48"/>
  <c r="Q17" i="48" s="1"/>
  <c r="AP161" i="48"/>
  <c r="H24" i="48" s="1"/>
  <c r="AO162" i="48"/>
  <c r="G25" i="48" s="1"/>
  <c r="AS150" i="48"/>
  <c r="Q13" i="48" s="1"/>
  <c r="AV155" i="48"/>
  <c r="R18" i="48" s="1"/>
  <c r="AM152" i="48"/>
  <c r="M15" i="48" s="1"/>
  <c r="L15" i="48" s="1"/>
  <c r="AQ160" i="48"/>
  <c r="O23" i="48" s="1"/>
  <c r="AP165" i="48"/>
  <c r="H28" i="48" s="1"/>
  <c r="AO156" i="48"/>
  <c r="G19" i="48" s="1"/>
  <c r="AO206" i="48"/>
  <c r="AR200" i="48"/>
  <c r="AP198" i="48"/>
  <c r="AP164" i="48"/>
  <c r="H27" i="48" s="1"/>
  <c r="AP159" i="48"/>
  <c r="H22" i="48" s="1"/>
  <c r="AR153" i="48"/>
  <c r="P16" i="48" s="1"/>
  <c r="AU164" i="48"/>
  <c r="J27" i="48" s="1"/>
  <c r="AO160" i="48"/>
  <c r="G23" i="48" s="1"/>
  <c r="AS165" i="48"/>
  <c r="Q28" i="48" s="1"/>
  <c r="AV157" i="48"/>
  <c r="R20" i="48" s="1"/>
  <c r="AM164" i="48"/>
  <c r="D27" i="48" s="1"/>
  <c r="C27" i="48" s="1"/>
  <c r="AV164" i="48"/>
  <c r="R27" i="48" s="1"/>
  <c r="AR157" i="48"/>
  <c r="P20" i="48" s="1"/>
  <c r="AT151" i="48"/>
  <c r="I14" i="48" s="1"/>
  <c r="AV163" i="48"/>
  <c r="R26" i="48" s="1"/>
  <c r="AM158" i="48"/>
  <c r="D21" i="48" s="1"/>
  <c r="C21" i="48" s="1"/>
  <c r="AR298" i="48"/>
  <c r="AU312" i="48"/>
  <c r="AW207" i="48"/>
  <c r="AV197" i="48"/>
  <c r="AQ202" i="48"/>
  <c r="AO205" i="48"/>
  <c r="AW197" i="48"/>
  <c r="AO200" i="48"/>
  <c r="AQ207" i="48"/>
  <c r="AO203" i="48"/>
  <c r="AM200" i="48"/>
  <c r="AP206" i="48"/>
  <c r="AT194" i="48"/>
  <c r="AU206" i="48"/>
  <c r="AW203" i="48"/>
  <c r="AT192" i="48"/>
  <c r="AS194" i="48"/>
  <c r="AS192" i="48"/>
  <c r="AP196" i="48"/>
  <c r="AW204" i="48"/>
  <c r="AN192" i="48"/>
  <c r="AO197" i="48"/>
  <c r="AU202" i="48"/>
  <c r="AQ204" i="48"/>
  <c r="AN205" i="48"/>
  <c r="AO196" i="48"/>
  <c r="AM193" i="48"/>
  <c r="AR207" i="48"/>
  <c r="AT202" i="48"/>
  <c r="AU195" i="48"/>
  <c r="AN195" i="48"/>
  <c r="AO202" i="48"/>
  <c r="AQ201" i="48"/>
  <c r="AW198" i="48"/>
  <c r="AO192" i="48"/>
  <c r="AU199" i="48"/>
  <c r="AP194" i="48"/>
  <c r="AW205" i="48"/>
  <c r="AP199" i="48"/>
  <c r="AW199" i="48"/>
  <c r="AN199" i="48"/>
  <c r="AV194" i="48"/>
  <c r="AT200" i="48"/>
  <c r="AS200" i="48"/>
  <c r="AQ192" i="48"/>
  <c r="AP203" i="48"/>
  <c r="AT196" i="48"/>
  <c r="AR202" i="48"/>
  <c r="AW192" i="48"/>
  <c r="AO204" i="48"/>
  <c r="AP195" i="48"/>
  <c r="AT206" i="48"/>
  <c r="AM199" i="48"/>
  <c r="AV204" i="48"/>
  <c r="AT201" i="48"/>
  <c r="AN197" i="48"/>
  <c r="AS207" i="48"/>
  <c r="AP200" i="48"/>
  <c r="AV199" i="48"/>
  <c r="AS202" i="48"/>
  <c r="AO201" i="48"/>
  <c r="AM206" i="48"/>
  <c r="AS193" i="48"/>
  <c r="AQ199" i="48"/>
  <c r="AW200" i="48"/>
  <c r="AP197" i="48"/>
  <c r="AV198" i="48"/>
  <c r="AV192" i="48"/>
  <c r="AV303" i="48"/>
  <c r="AV308" i="48"/>
  <c r="AW307" i="48"/>
  <c r="AQ304" i="48"/>
  <c r="AR299" i="48"/>
  <c r="AN311" i="48"/>
  <c r="AM301" i="48"/>
  <c r="AW309" i="48"/>
  <c r="AP312" i="48"/>
  <c r="AP306" i="48"/>
  <c r="AR305" i="48"/>
  <c r="AT301" i="48"/>
  <c r="AT298" i="48"/>
  <c r="AQ305" i="48"/>
  <c r="AT312" i="48"/>
  <c r="AU308" i="48"/>
  <c r="AQ309" i="48"/>
  <c r="AW299" i="48"/>
  <c r="AW301" i="48"/>
  <c r="AN309" i="48"/>
  <c r="AP303" i="48"/>
  <c r="AN299" i="48"/>
  <c r="AW304" i="48"/>
  <c r="AU310" i="48"/>
  <c r="AO305" i="48"/>
  <c r="AO303" i="48"/>
  <c r="AV310" i="48"/>
  <c r="AS305" i="48"/>
  <c r="AN305" i="48"/>
  <c r="AN303" i="48"/>
  <c r="AS301" i="48"/>
  <c r="AT308" i="48"/>
  <c r="AQ303" i="48"/>
  <c r="AQ298" i="48"/>
  <c r="AM310" i="48"/>
  <c r="AT304" i="48"/>
  <c r="AR309" i="48"/>
  <c r="AN301" i="48"/>
  <c r="AV300" i="48"/>
  <c r="AR308" i="48"/>
  <c r="AU301" i="48"/>
  <c r="AT306" i="48"/>
  <c r="AM151" i="48"/>
  <c r="D14" i="48" s="1"/>
  <c r="C14" i="48" s="1"/>
  <c r="AR158" i="48"/>
  <c r="P21" i="48" s="1"/>
  <c r="AP153" i="48"/>
  <c r="H16" i="48" s="1"/>
  <c r="AO152" i="48"/>
  <c r="G15" i="48" s="1"/>
  <c r="AV159" i="48"/>
  <c r="R22" i="48" s="1"/>
  <c r="AU162" i="48"/>
  <c r="J25" i="48" s="1"/>
  <c r="AS164" i="48"/>
  <c r="Q27" i="48" s="1"/>
  <c r="AO150" i="48"/>
  <c r="G13" i="48" s="1"/>
  <c r="AN153" i="48"/>
  <c r="F16" i="48" s="1"/>
  <c r="AM156" i="48"/>
  <c r="M19" i="48" s="1"/>
  <c r="L19" i="48" s="1"/>
  <c r="AW158" i="48"/>
  <c r="S21" i="48" s="1"/>
  <c r="AP163" i="48"/>
  <c r="H26" i="48" s="1"/>
  <c r="AW152" i="48"/>
  <c r="S15" i="48" s="1"/>
  <c r="AT161" i="48"/>
  <c r="I24" i="48" s="1"/>
  <c r="AR165" i="48"/>
  <c r="P28" i="48" s="1"/>
  <c r="AW154" i="48"/>
  <c r="S17" i="48" s="1"/>
  <c r="AU160" i="48"/>
  <c r="J23" i="48" s="1"/>
  <c r="AM165" i="48"/>
  <c r="D28" i="48" s="1"/>
  <c r="C28" i="48" s="1"/>
  <c r="AV161" i="48"/>
  <c r="R24" i="48" s="1"/>
  <c r="AN207" i="48"/>
  <c r="AT198" i="48"/>
  <c r="AR196" i="48"/>
  <c r="AQ194" i="48"/>
  <c r="AM192" i="48"/>
  <c r="AR194" i="48"/>
  <c r="AW206" i="48"/>
  <c r="AW201" i="48"/>
  <c r="AN201" i="48"/>
  <c r="AQ198" i="48"/>
  <c r="AS199" i="48"/>
  <c r="AR197" i="48"/>
  <c r="AU194" i="48"/>
  <c r="AS203" i="48"/>
  <c r="AR192" i="48"/>
  <c r="AM196" i="48"/>
  <c r="AN194" i="48"/>
  <c r="AN200" i="48"/>
  <c r="AV193" i="48"/>
  <c r="AM202" i="48"/>
  <c r="AS206" i="48"/>
  <c r="AT207" i="48"/>
  <c r="AT204" i="48"/>
  <c r="AR198" i="48"/>
  <c r="AR204" i="48"/>
  <c r="AM198" i="48"/>
  <c r="AR203" i="48"/>
  <c r="AN198" i="48"/>
  <c r="AO198" i="48"/>
  <c r="AS204" i="48"/>
  <c r="AT205" i="48"/>
  <c r="AV206" i="48"/>
  <c r="AS196" i="48"/>
  <c r="AT203" i="48"/>
  <c r="AN155" i="48"/>
  <c r="F18" i="48" s="1"/>
  <c r="AT157" i="48"/>
  <c r="I20" i="48" s="1"/>
  <c r="AU154" i="48"/>
  <c r="J17" i="48" s="1"/>
  <c r="AQ150" i="48"/>
  <c r="O13" i="48" s="1"/>
  <c r="AT160" i="48"/>
  <c r="I23" i="48" s="1"/>
  <c r="AN154" i="48"/>
  <c r="F17" i="48" s="1"/>
  <c r="AV151" i="48"/>
  <c r="R14" i="48" s="1"/>
  <c r="AV162" i="48"/>
  <c r="R25" i="48" s="1"/>
  <c r="AQ161" i="48"/>
  <c r="O24" i="48" s="1"/>
  <c r="AW159" i="48"/>
  <c r="S22" i="48" s="1"/>
  <c r="AM157" i="48"/>
  <c r="D20" i="48" s="1"/>
  <c r="C20" i="48" s="1"/>
  <c r="AM150" i="48"/>
  <c r="M13" i="48" s="1"/>
  <c r="L13" i="48" s="1"/>
  <c r="AO159" i="48"/>
  <c r="G22" i="48" s="1"/>
  <c r="AU157" i="48"/>
  <c r="J20" i="48" s="1"/>
  <c r="AS155" i="48"/>
  <c r="Q18" i="48" s="1"/>
  <c r="AW151" i="48"/>
  <c r="S14" i="48" s="1"/>
  <c r="AP158" i="48"/>
  <c r="H21" i="48" s="1"/>
  <c r="AM207" i="48"/>
  <c r="AV196" i="48"/>
  <c r="AQ196" i="48"/>
  <c r="AR205" i="48"/>
  <c r="AS198" i="48"/>
  <c r="AM203" i="48"/>
  <c r="AP193" i="48"/>
  <c r="AQ193" i="48"/>
  <c r="AM205" i="48"/>
  <c r="AV207" i="48"/>
  <c r="AM201" i="48"/>
  <c r="AP201" i="48"/>
  <c r="AM204" i="48"/>
  <c r="AQ203" i="48"/>
  <c r="AU198" i="48"/>
  <c r="AV205" i="48"/>
  <c r="AM194" i="48"/>
  <c r="AN204" i="48"/>
  <c r="AU203" i="48"/>
  <c r="AR199" i="48"/>
  <c r="AW194" i="48"/>
  <c r="AR206" i="48"/>
  <c r="AU204" i="48"/>
  <c r="AS195" i="48"/>
  <c r="AU201" i="48"/>
  <c r="AW193" i="48"/>
  <c r="AR193" i="48"/>
  <c r="AM197" i="48"/>
  <c r="AV201" i="48"/>
  <c r="AO199" i="48"/>
  <c r="AT197" i="48"/>
  <c r="AQ200" i="48"/>
  <c r="AO195" i="48"/>
  <c r="AU192" i="48"/>
  <c r="AS197" i="48"/>
  <c r="AO194" i="48"/>
  <c r="AQ197" i="48"/>
  <c r="AU196" i="48"/>
  <c r="AT195" i="48"/>
  <c r="AM195" i="48"/>
  <c r="AV200" i="48"/>
  <c r="AT193" i="48"/>
  <c r="AP205" i="48"/>
  <c r="AU200" i="48"/>
  <c r="AP156" i="48"/>
  <c r="H19" i="48" s="1"/>
  <c r="AV154" i="48"/>
  <c r="R17" i="48" s="1"/>
  <c r="AQ153" i="48"/>
  <c r="O16" i="48" s="1"/>
  <c r="AR150" i="48"/>
  <c r="P13" i="48" s="1"/>
  <c r="AO161" i="48"/>
  <c r="G24" i="48" s="1"/>
  <c r="AQ155" i="48"/>
  <c r="O18" i="48" s="1"/>
  <c r="AP204" i="48"/>
  <c r="AW300" i="48"/>
  <c r="AU306" i="48"/>
  <c r="AM303" i="48"/>
  <c r="AN298" i="48"/>
  <c r="AS312" i="48"/>
  <c r="AO299" i="48"/>
  <c r="AO310" i="48"/>
  <c r="AS298" i="48"/>
  <c r="AP304" i="48"/>
  <c r="AQ302" i="48"/>
  <c r="AO308" i="48"/>
  <c r="AN300" i="48"/>
  <c r="AU311" i="48"/>
  <c r="AV306" i="48"/>
  <c r="AM305" i="48"/>
  <c r="AP298" i="48"/>
  <c r="AR301" i="48"/>
  <c r="AS307" i="48"/>
  <c r="AN312" i="48"/>
  <c r="AR300" i="48"/>
  <c r="AQ308" i="48"/>
  <c r="AS302" i="48"/>
  <c r="AU298" i="48"/>
  <c r="AS304" i="48"/>
  <c r="AQ310" i="48"/>
  <c r="AR304" i="48"/>
  <c r="AS299" i="48"/>
  <c r="AU309" i="48"/>
  <c r="AN302" i="48"/>
  <c r="AM307" i="48"/>
  <c r="AT311" i="48"/>
  <c r="AV305" i="48"/>
  <c r="AM300" i="48"/>
  <c r="AR310" i="48"/>
  <c r="AV302" i="48"/>
  <c r="AT310" i="48"/>
  <c r="AV304" i="48"/>
  <c r="AM299" i="48"/>
  <c r="AS310" i="48"/>
  <c r="AT307" i="48"/>
  <c r="AU304" i="48"/>
  <c r="AV301" i="48"/>
  <c r="AW298" i="48"/>
  <c r="AS300" i="48"/>
  <c r="AR303" i="48"/>
  <c r="AQ306" i="48"/>
  <c r="AP309" i="48"/>
  <c r="AO312" i="48"/>
  <c r="AP302" i="48"/>
  <c r="AN308" i="48"/>
  <c r="AP300" i="48"/>
  <c r="AN306" i="48"/>
  <c r="AN310" i="48"/>
  <c r="AR306" i="48"/>
  <c r="AQ311" i="48"/>
  <c r="AU299" i="48"/>
  <c r="AM308" i="48"/>
  <c r="AO302" i="48"/>
  <c r="AO300" i="48"/>
  <c r="AM306" i="48"/>
  <c r="AV311" i="48"/>
  <c r="AQ307" i="48"/>
  <c r="AR302" i="48"/>
  <c r="AV309" i="48"/>
  <c r="AO298" i="48"/>
  <c r="AP301" i="48"/>
  <c r="AN307" i="48"/>
  <c r="AU303" i="48"/>
  <c r="AV298" i="48"/>
  <c r="AO307" i="48"/>
  <c r="AT302" i="48"/>
  <c r="AT303" i="48"/>
  <c r="AW306" i="48"/>
  <c r="AV299" i="48"/>
  <c r="AR311" i="48"/>
  <c r="AR312" i="48"/>
  <c r="AS303" i="48"/>
  <c r="AS306" i="48"/>
  <c r="AU302" i="48"/>
  <c r="AU300" i="48"/>
  <c r="AS308" i="48"/>
  <c r="AQ312" i="48"/>
  <c r="AT152" i="48"/>
  <c r="I15" i="48" s="1"/>
  <c r="AO151" i="48"/>
  <c r="G14" i="48" s="1"/>
  <c r="AR151" i="48"/>
  <c r="P14" i="48" s="1"/>
  <c r="AT162" i="48"/>
  <c r="I25" i="48" s="1"/>
  <c r="AU159" i="48"/>
  <c r="J22" i="48" s="1"/>
  <c r="AV156" i="48"/>
  <c r="R19" i="48" s="1"/>
  <c r="AW153" i="48"/>
  <c r="S16" i="48" s="1"/>
  <c r="AR152" i="48"/>
  <c r="P15" i="48" s="1"/>
  <c r="AQ151" i="48"/>
  <c r="O14" i="48" s="1"/>
  <c r="AV152" i="48"/>
  <c r="R15" i="48" s="1"/>
  <c r="AP154" i="48"/>
  <c r="H17" i="48" s="1"/>
  <c r="AU155" i="48"/>
  <c r="J18" i="48" s="1"/>
  <c r="AO157" i="48"/>
  <c r="G20" i="48" s="1"/>
  <c r="AT158" i="48"/>
  <c r="I21" i="48" s="1"/>
  <c r="AN160" i="48"/>
  <c r="F23" i="48" s="1"/>
  <c r="AS161" i="48"/>
  <c r="Q24" i="48" s="1"/>
  <c r="AM163" i="48"/>
  <c r="M26" i="48" s="1"/>
  <c r="L26" i="48" s="1"/>
  <c r="AQ165" i="48"/>
  <c r="O28" i="48" s="1"/>
  <c r="AW163" i="48"/>
  <c r="S26" i="48" s="1"/>
  <c r="AR161" i="48"/>
  <c r="P24" i="48" s="1"/>
  <c r="AS158" i="48"/>
  <c r="Q21" i="48" s="1"/>
  <c r="AT155" i="48"/>
  <c r="I18" i="48" s="1"/>
  <c r="AU152" i="48"/>
  <c r="J15" i="48" s="1"/>
  <c r="AV165" i="48"/>
  <c r="R28" i="48" s="1"/>
  <c r="AQ164" i="48"/>
  <c r="O27" i="48" s="1"/>
  <c r="AQ162" i="48"/>
  <c r="O25" i="48" s="1"/>
  <c r="AR159" i="48"/>
  <c r="P22" i="48" s="1"/>
  <c r="AQ154" i="48"/>
  <c r="O17" i="48" s="1"/>
  <c r="AO165" i="48"/>
  <c r="G28" i="48" s="1"/>
  <c r="AU163" i="48"/>
  <c r="J26" i="48" s="1"/>
  <c r="AN161" i="48"/>
  <c r="F24" i="48" s="1"/>
  <c r="AO158" i="48"/>
  <c r="G21" i="48" s="1"/>
  <c r="AP155" i="48"/>
  <c r="H18" i="48" s="1"/>
  <c r="AQ152" i="48"/>
  <c r="O15" i="48" s="1"/>
  <c r="AT165" i="48"/>
  <c r="I28" i="48" s="1"/>
  <c r="AO164" i="48"/>
  <c r="G27" i="48" s="1"/>
  <c r="AM162" i="48"/>
  <c r="M25" i="48" s="1"/>
  <c r="L25" i="48" s="1"/>
  <c r="AN159" i="48"/>
  <c r="F22" i="48" s="1"/>
  <c r="AT153" i="48"/>
  <c r="I16" i="48" s="1"/>
  <c r="AW156" i="48"/>
  <c r="S19" i="48" s="1"/>
  <c r="AM154" i="48"/>
  <c r="M17" i="48" s="1"/>
  <c r="L17" i="48" s="1"/>
  <c r="AN151" i="48"/>
  <c r="F14" i="48" s="1"/>
  <c r="AR162" i="48"/>
  <c r="P25" i="48" s="1"/>
  <c r="AM161" i="48"/>
  <c r="M24" i="48" s="1"/>
  <c r="L24" i="48" s="1"/>
  <c r="AS159" i="48"/>
  <c r="Q22" i="48" s="1"/>
  <c r="AN158" i="48"/>
  <c r="F21" i="48" s="1"/>
  <c r="AT156" i="48"/>
  <c r="I19" i="48" s="1"/>
  <c r="AO155" i="48"/>
  <c r="G18" i="48" s="1"/>
  <c r="AU153" i="48"/>
  <c r="J16" i="48" s="1"/>
  <c r="AP152" i="48"/>
  <c r="H15" i="48" s="1"/>
  <c r="AV150" i="48"/>
  <c r="R13" i="48" s="1"/>
  <c r="AU150" i="48"/>
  <c r="J13" i="48" s="1"/>
  <c r="AW161" i="48"/>
  <c r="S24" i="48" s="1"/>
  <c r="AM159" i="48"/>
  <c r="D22" i="48" s="1"/>
  <c r="C22" i="48" s="1"/>
  <c r="AN156" i="48"/>
  <c r="F19" i="48" s="1"/>
  <c r="AO153" i="48"/>
  <c r="G16" i="48" s="1"/>
  <c r="AP150" i="48"/>
  <c r="H13" i="48" s="1"/>
  <c r="AT150" i="48"/>
  <c r="I13" i="48" s="1"/>
  <c r="AN152" i="48"/>
  <c r="F15" i="48" s="1"/>
  <c r="AS153" i="48"/>
  <c r="Q16" i="48" s="1"/>
  <c r="AM155" i="48"/>
  <c r="D18" i="48" s="1"/>
  <c r="C18" i="48" s="1"/>
  <c r="AR156" i="48"/>
  <c r="P19" i="48" s="1"/>
  <c r="AW157" i="48"/>
  <c r="S20" i="48" s="1"/>
  <c r="AQ159" i="48"/>
  <c r="O22" i="48" s="1"/>
  <c r="AV160" i="48"/>
  <c r="R23" i="48" s="1"/>
  <c r="AP162" i="48"/>
  <c r="H25" i="48" s="1"/>
  <c r="AT164" i="48"/>
  <c r="I27" i="48" s="1"/>
  <c r="AW162" i="48"/>
  <c r="S25" i="48" s="1"/>
  <c r="AM160" i="48"/>
  <c r="M23" i="48" s="1"/>
  <c r="L23" i="48" s="1"/>
  <c r="AN157" i="48"/>
  <c r="F20" i="48" s="1"/>
  <c r="AO154" i="48"/>
  <c r="G17" i="48" s="1"/>
  <c r="AP151" i="48"/>
  <c r="H14" i="48" s="1"/>
  <c r="AN165" i="48"/>
  <c r="F28" i="48" s="1"/>
  <c r="AT163" i="48"/>
  <c r="I26" i="48" s="1"/>
  <c r="AW160" i="48"/>
  <c r="S23" i="48" s="1"/>
  <c r="AP157" i="48"/>
  <c r="H20" i="48" s="1"/>
  <c r="AW165" i="48"/>
  <c r="S28" i="48" s="1"/>
  <c r="AR164" i="48"/>
  <c r="P27" i="48" s="1"/>
  <c r="AS162" i="48"/>
  <c r="Q25" i="48" s="1"/>
  <c r="AT159" i="48"/>
  <c r="I22" i="48" s="1"/>
  <c r="AU156" i="48"/>
  <c r="J19" i="48" s="1"/>
  <c r="AV153" i="48"/>
  <c r="R16" i="48" s="1"/>
  <c r="AW150" i="48"/>
  <c r="S13" i="48" s="1"/>
  <c r="AW164" i="48"/>
  <c r="S27" i="48" s="1"/>
  <c r="AR163" i="48"/>
  <c r="P26" i="48" s="1"/>
  <c r="AS160" i="48"/>
  <c r="Q23" i="48" s="1"/>
  <c r="AS156" i="48"/>
  <c r="Q19" i="48" s="1"/>
  <c r="AQ158" i="48"/>
  <c r="O21" i="48" s="1"/>
  <c r="AR155" i="48"/>
  <c r="P18" i="48" s="1"/>
  <c r="AS152" i="48"/>
  <c r="Q15" i="48" s="1"/>
  <c r="AO163" i="48"/>
  <c r="G26" i="48" s="1"/>
  <c r="AU161" i="48"/>
  <c r="J24" i="48" s="1"/>
  <c r="AP160" i="48"/>
  <c r="H23" i="48" s="1"/>
  <c r="AV158" i="48"/>
  <c r="R21" i="48" s="1"/>
  <c r="AQ157" i="48"/>
  <c r="O20" i="48" s="1"/>
  <c r="AW155" i="48"/>
  <c r="S18" i="48" s="1"/>
  <c r="AR154" i="48"/>
  <c r="P17" i="48" s="1"/>
  <c r="AM153" i="48"/>
  <c r="M16" i="48" s="1"/>
  <c r="L16" i="48" s="1"/>
  <c r="AS151" i="48"/>
  <c r="Q14" i="48" s="1"/>
  <c r="AN150" i="48"/>
  <c r="F13" i="48" s="1"/>
  <c r="AQ163" i="48"/>
  <c r="O26" i="48" s="1"/>
  <c r="AR160" i="48"/>
  <c r="P23" i="48" s="1"/>
  <c r="AS157" i="48"/>
  <c r="Q20" i="48" s="1"/>
  <c r="AT154" i="48"/>
  <c r="I17" i="48" s="1"/>
  <c r="AU151" i="48"/>
  <c r="J14" i="48" s="1"/>
  <c r="R9" i="42"/>
  <c r="R10" i="42" s="1"/>
  <c r="R11" i="42" s="1"/>
  <c r="R12" i="42" s="1"/>
  <c r="R13" i="42" s="1"/>
  <c r="Z21" i="42"/>
  <c r="J9" i="44"/>
  <c r="D9" i="44"/>
  <c r="AP3" i="44" s="1"/>
  <c r="M10" i="48" l="1"/>
  <c r="L10" i="48" s="1"/>
  <c r="M9" i="48"/>
  <c r="L9" i="48" s="1"/>
  <c r="D19" i="48"/>
  <c r="C19" i="48" s="1"/>
  <c r="M28" i="48"/>
  <c r="L28" i="48" s="1"/>
  <c r="S29" i="48"/>
  <c r="R29" i="48"/>
  <c r="I29" i="48"/>
  <c r="J29" i="48"/>
  <c r="D13" i="48"/>
  <c r="C13" i="48" s="1"/>
  <c r="M27" i="48"/>
  <c r="L27" i="48" s="1"/>
  <c r="D17" i="48"/>
  <c r="C17" i="48" s="1"/>
  <c r="D12" i="48"/>
  <c r="C12" i="48" s="1"/>
  <c r="M22" i="48"/>
  <c r="L22" i="48" s="1"/>
  <c r="D23" i="48"/>
  <c r="C23" i="48" s="1"/>
  <c r="M14" i="48"/>
  <c r="L14" i="48" s="1"/>
  <c r="D26" i="48"/>
  <c r="C26" i="48" s="1"/>
  <c r="M18" i="48"/>
  <c r="L18" i="48" s="1"/>
  <c r="D16" i="48"/>
  <c r="C16" i="48" s="1"/>
  <c r="D15" i="48"/>
  <c r="C15" i="48" s="1"/>
  <c r="D24" i="48"/>
  <c r="C24" i="48" s="1"/>
  <c r="M11" i="48"/>
  <c r="L11" i="48" s="1"/>
  <c r="D11" i="48"/>
  <c r="C11" i="48" s="1"/>
  <c r="M21" i="48"/>
  <c r="L21" i="48" s="1"/>
  <c r="D25" i="48"/>
  <c r="C25" i="48" s="1"/>
  <c r="M20" i="48"/>
  <c r="L20" i="48" s="1"/>
  <c r="R14" i="42"/>
  <c r="AT313" i="48"/>
  <c r="AU313" i="48"/>
  <c r="AW313" i="48"/>
  <c r="AV313" i="48"/>
  <c r="AU208" i="48"/>
  <c r="AT208" i="48"/>
  <c r="AW208" i="48"/>
  <c r="AV208" i="48"/>
  <c r="AU166" i="48"/>
  <c r="AV166" i="48"/>
  <c r="AW166" i="48"/>
  <c r="AT166" i="48"/>
  <c r="AL69" i="48"/>
  <c r="AL70" i="48"/>
  <c r="AL71" i="48"/>
  <c r="AL72" i="48"/>
  <c r="AL73" i="48"/>
  <c r="AL74" i="48"/>
  <c r="AL75" i="48"/>
  <c r="AL76" i="48"/>
  <c r="AL77" i="48"/>
  <c r="AL78" i="48"/>
  <c r="AL79" i="48"/>
  <c r="AL80" i="48"/>
  <c r="AL81" i="48"/>
  <c r="AL82" i="48"/>
  <c r="AL83" i="48"/>
  <c r="AL84" i="48"/>
  <c r="AL85" i="48"/>
  <c r="AL86" i="48"/>
  <c r="AL87" i="48"/>
  <c r="AL88" i="48"/>
  <c r="AL89" i="48"/>
  <c r="AL90" i="48"/>
  <c r="AL91" i="48"/>
  <c r="AL92" i="48"/>
  <c r="AL93" i="48"/>
  <c r="AL94" i="48"/>
  <c r="AL95" i="48"/>
  <c r="AL96" i="48"/>
  <c r="AL97" i="48"/>
  <c r="AL98" i="48"/>
  <c r="AL99" i="48"/>
  <c r="AL100" i="48"/>
  <c r="AL101" i="48"/>
  <c r="AL102" i="48"/>
  <c r="AL103" i="48"/>
  <c r="AL104" i="48"/>
  <c r="AL105" i="48"/>
  <c r="AL106" i="48"/>
  <c r="AL107" i="48"/>
  <c r="AL108" i="48"/>
  <c r="AL109" i="48"/>
  <c r="AL110" i="48"/>
  <c r="B111" i="42"/>
  <c r="AL111" i="48" s="1"/>
  <c r="D249" i="47"/>
  <c r="D234" i="47" l="1"/>
  <c r="D217" i="47"/>
  <c r="D202" i="47"/>
  <c r="D185" i="47"/>
  <c r="D169" i="47"/>
  <c r="D153" i="47"/>
  <c r="D40" i="47" l="1"/>
  <c r="D83" i="47"/>
  <c r="D101" i="47"/>
  <c r="D139" i="47"/>
  <c r="D123" i="47"/>
  <c r="D23" i="47" l="1"/>
  <c r="BT111" i="42" l="1"/>
  <c r="BU111" i="42"/>
  <c r="BV111" i="42"/>
  <c r="BW111" i="42"/>
  <c r="BX111" i="42"/>
  <c r="BY111" i="42"/>
  <c r="BZ111" i="42"/>
  <c r="BD111" i="42" l="1"/>
  <c r="BO111" i="42"/>
  <c r="BM111" i="42"/>
  <c r="BN111" i="42"/>
  <c r="BK111" i="42"/>
  <c r="BI111" i="42"/>
  <c r="BL111" i="42"/>
  <c r="BJ111" i="42"/>
  <c r="BH111" i="42"/>
  <c r="BF111" i="42"/>
  <c r="BG111" i="42"/>
  <c r="BE111" i="42"/>
  <c r="BC111" i="42"/>
  <c r="BT9" i="42" l="1"/>
  <c r="BU9" i="42"/>
  <c r="BV9" i="42"/>
  <c r="BW9" i="42"/>
  <c r="BX9" i="42"/>
  <c r="BY9" i="42"/>
  <c r="BZ9" i="42"/>
  <c r="CA9" i="42"/>
  <c r="CB9" i="42"/>
  <c r="CC9" i="42"/>
  <c r="CD9" i="42"/>
  <c r="BT10" i="42"/>
  <c r="BU10" i="42"/>
  <c r="BV10" i="42"/>
  <c r="BW10" i="42"/>
  <c r="BX10" i="42"/>
  <c r="BY10" i="42"/>
  <c r="BZ10" i="42"/>
  <c r="CA10" i="42"/>
  <c r="CB10" i="42"/>
  <c r="CC10" i="42"/>
  <c r="CD10" i="42"/>
  <c r="BT11" i="42"/>
  <c r="BU11" i="42"/>
  <c r="BV11" i="42"/>
  <c r="BW11" i="42"/>
  <c r="BX11" i="42"/>
  <c r="BY11" i="42"/>
  <c r="BZ11" i="42"/>
  <c r="CA11" i="42"/>
  <c r="CB11" i="42"/>
  <c r="CC11" i="42"/>
  <c r="CD11" i="42"/>
  <c r="BT12" i="42"/>
  <c r="BU12" i="42"/>
  <c r="BV12" i="42"/>
  <c r="BW12" i="42"/>
  <c r="BX12" i="42"/>
  <c r="BY12" i="42"/>
  <c r="BZ12" i="42"/>
  <c r="CA12" i="42"/>
  <c r="CB12" i="42"/>
  <c r="CC12" i="42"/>
  <c r="CD12" i="42"/>
  <c r="BT13" i="42"/>
  <c r="BU13" i="42"/>
  <c r="BV13" i="42"/>
  <c r="BW13" i="42"/>
  <c r="BX13" i="42"/>
  <c r="BY13" i="42"/>
  <c r="BZ13" i="42"/>
  <c r="CA13" i="42"/>
  <c r="CB13" i="42"/>
  <c r="CC13" i="42"/>
  <c r="CD13" i="42"/>
  <c r="BT14" i="42"/>
  <c r="BU14" i="42"/>
  <c r="BV14" i="42"/>
  <c r="BW14" i="42"/>
  <c r="BX14" i="42"/>
  <c r="BY14" i="42"/>
  <c r="BZ14" i="42"/>
  <c r="CA14" i="42"/>
  <c r="CB14" i="42"/>
  <c r="CC14" i="42"/>
  <c r="CD14" i="42"/>
  <c r="BT15" i="42"/>
  <c r="BU15" i="42"/>
  <c r="BV15" i="42"/>
  <c r="BW15" i="42"/>
  <c r="BX15" i="42"/>
  <c r="BY15" i="42"/>
  <c r="BZ15" i="42"/>
  <c r="CA15" i="42"/>
  <c r="CB15" i="42"/>
  <c r="CC15" i="42"/>
  <c r="CD15" i="42"/>
  <c r="BT16" i="42"/>
  <c r="BU16" i="42"/>
  <c r="BV16" i="42"/>
  <c r="BW16" i="42"/>
  <c r="BX16" i="42"/>
  <c r="BY16" i="42"/>
  <c r="BZ16" i="42"/>
  <c r="CA16" i="42"/>
  <c r="CB16" i="42"/>
  <c r="CC16" i="42"/>
  <c r="CD16" i="42"/>
  <c r="BT17" i="42"/>
  <c r="BU17" i="42"/>
  <c r="BV17" i="42"/>
  <c r="BW17" i="42"/>
  <c r="BX17" i="42"/>
  <c r="BY17" i="42"/>
  <c r="BZ17" i="42"/>
  <c r="CA17" i="42"/>
  <c r="CB17" i="42"/>
  <c r="CC17" i="42"/>
  <c r="CD17" i="42"/>
  <c r="BT18" i="42"/>
  <c r="BU18" i="42"/>
  <c r="BV18" i="42"/>
  <c r="BW18" i="42"/>
  <c r="BX18" i="42"/>
  <c r="BY18" i="42"/>
  <c r="BZ18" i="42"/>
  <c r="CA18" i="42"/>
  <c r="CB18" i="42"/>
  <c r="CC18" i="42"/>
  <c r="CD18" i="42"/>
  <c r="BT19" i="42"/>
  <c r="BU19" i="42"/>
  <c r="BV19" i="42"/>
  <c r="BW19" i="42"/>
  <c r="BX19" i="42"/>
  <c r="BY19" i="42"/>
  <c r="BZ19" i="42"/>
  <c r="CA19" i="42"/>
  <c r="CB19" i="42"/>
  <c r="CC19" i="42"/>
  <c r="CD19" i="42"/>
  <c r="BT20" i="42"/>
  <c r="BU20" i="42"/>
  <c r="BV20" i="42"/>
  <c r="BW20" i="42"/>
  <c r="BX20" i="42"/>
  <c r="BY20" i="42"/>
  <c r="BZ20" i="42"/>
  <c r="CA20" i="42"/>
  <c r="CB20" i="42"/>
  <c r="CC20" i="42"/>
  <c r="CD20" i="42"/>
  <c r="BT21" i="42"/>
  <c r="BU21" i="42"/>
  <c r="BV21" i="42"/>
  <c r="BW21" i="42"/>
  <c r="BX21" i="42"/>
  <c r="BY21" i="42"/>
  <c r="BZ21" i="42"/>
  <c r="CA21" i="42"/>
  <c r="CB21" i="42"/>
  <c r="CC21" i="42"/>
  <c r="CD21" i="42"/>
  <c r="BT22" i="42"/>
  <c r="BU22" i="42"/>
  <c r="BV22" i="42"/>
  <c r="BW22" i="42"/>
  <c r="BX22" i="42"/>
  <c r="BY22" i="42"/>
  <c r="BZ22" i="42"/>
  <c r="CA22" i="42"/>
  <c r="CB22" i="42"/>
  <c r="CC22" i="42"/>
  <c r="CD22" i="42"/>
  <c r="BT23" i="42"/>
  <c r="BU23" i="42"/>
  <c r="BV23" i="42"/>
  <c r="BW23" i="42"/>
  <c r="BX23" i="42"/>
  <c r="BY23" i="42"/>
  <c r="BZ23" i="42"/>
  <c r="CA23" i="42"/>
  <c r="CB23" i="42"/>
  <c r="CC23" i="42"/>
  <c r="CD23" i="42"/>
  <c r="BT24" i="42"/>
  <c r="BU24" i="42"/>
  <c r="BV24" i="42"/>
  <c r="BW24" i="42"/>
  <c r="BX24" i="42"/>
  <c r="BY24" i="42"/>
  <c r="BZ24" i="42"/>
  <c r="CA24" i="42"/>
  <c r="CB24" i="42"/>
  <c r="CC24" i="42"/>
  <c r="CD24" i="42"/>
  <c r="BT25" i="42"/>
  <c r="BU25" i="42"/>
  <c r="BV25" i="42"/>
  <c r="BW25" i="42"/>
  <c r="BX25" i="42"/>
  <c r="BY25" i="42"/>
  <c r="BZ25" i="42"/>
  <c r="CA25" i="42"/>
  <c r="CB25" i="42"/>
  <c r="CC25" i="42"/>
  <c r="CD25" i="42"/>
  <c r="BT26" i="42"/>
  <c r="BU26" i="42"/>
  <c r="BV26" i="42"/>
  <c r="BW26" i="42"/>
  <c r="BX26" i="42"/>
  <c r="BY26" i="42"/>
  <c r="BZ26" i="42"/>
  <c r="CA26" i="42"/>
  <c r="CB26" i="42"/>
  <c r="CC26" i="42"/>
  <c r="CD26" i="42"/>
  <c r="BT27" i="42"/>
  <c r="BU27" i="42"/>
  <c r="BV27" i="42"/>
  <c r="BW27" i="42"/>
  <c r="BX27" i="42"/>
  <c r="BY27" i="42"/>
  <c r="BZ27" i="42"/>
  <c r="CA27" i="42"/>
  <c r="CB27" i="42"/>
  <c r="CC27" i="42"/>
  <c r="CD27" i="42"/>
  <c r="BT28" i="42"/>
  <c r="BU28" i="42"/>
  <c r="BV28" i="42"/>
  <c r="BW28" i="42"/>
  <c r="BX28" i="42"/>
  <c r="BY28" i="42"/>
  <c r="BZ28" i="42"/>
  <c r="CA28" i="42"/>
  <c r="CB28" i="42"/>
  <c r="CC28" i="42"/>
  <c r="CD28" i="42"/>
  <c r="BT29" i="42"/>
  <c r="BU29" i="42"/>
  <c r="BV29" i="42"/>
  <c r="BW29" i="42"/>
  <c r="BX29" i="42"/>
  <c r="BY29" i="42"/>
  <c r="BZ29" i="42"/>
  <c r="CA29" i="42"/>
  <c r="CB29" i="42"/>
  <c r="CC29" i="42"/>
  <c r="CD29" i="42"/>
  <c r="BT30" i="42"/>
  <c r="BU30" i="42"/>
  <c r="BV30" i="42"/>
  <c r="BW30" i="42"/>
  <c r="BX30" i="42"/>
  <c r="BY30" i="42"/>
  <c r="BZ30" i="42"/>
  <c r="CA30" i="42"/>
  <c r="CB30" i="42"/>
  <c r="CC30" i="42"/>
  <c r="CD30" i="42"/>
  <c r="BT31" i="42"/>
  <c r="BU31" i="42"/>
  <c r="BV31" i="42"/>
  <c r="BW31" i="42"/>
  <c r="BX31" i="42"/>
  <c r="BY31" i="42"/>
  <c r="BZ31" i="42"/>
  <c r="CA31" i="42"/>
  <c r="CB31" i="42"/>
  <c r="CC31" i="42"/>
  <c r="CD31" i="42"/>
  <c r="BT32" i="42"/>
  <c r="BU32" i="42"/>
  <c r="BV32" i="42"/>
  <c r="BW32" i="42"/>
  <c r="BX32" i="42"/>
  <c r="BY32" i="42"/>
  <c r="BZ32" i="42"/>
  <c r="CA32" i="42"/>
  <c r="CB32" i="42"/>
  <c r="CC32" i="42"/>
  <c r="CD32" i="42"/>
  <c r="BT33" i="42"/>
  <c r="BU33" i="42"/>
  <c r="BV33" i="42"/>
  <c r="BW33" i="42"/>
  <c r="BX33" i="42"/>
  <c r="BY33" i="42"/>
  <c r="BZ33" i="42"/>
  <c r="CA33" i="42"/>
  <c r="CB33" i="42"/>
  <c r="CC33" i="42"/>
  <c r="CD33" i="42"/>
  <c r="BT34" i="42"/>
  <c r="BU34" i="42"/>
  <c r="BV34" i="42"/>
  <c r="BW34" i="42"/>
  <c r="BX34" i="42"/>
  <c r="BY34" i="42"/>
  <c r="BZ34" i="42"/>
  <c r="CA34" i="42"/>
  <c r="CB34" i="42"/>
  <c r="CC34" i="42"/>
  <c r="CD34" i="42"/>
  <c r="BT35" i="42"/>
  <c r="BU35" i="42"/>
  <c r="BV35" i="42"/>
  <c r="BW35" i="42"/>
  <c r="BX35" i="42"/>
  <c r="BY35" i="42"/>
  <c r="BZ35" i="42"/>
  <c r="CA35" i="42"/>
  <c r="CB35" i="42"/>
  <c r="CC35" i="42"/>
  <c r="CD35" i="42"/>
  <c r="BT36" i="42"/>
  <c r="BU36" i="42"/>
  <c r="BV36" i="42"/>
  <c r="BW36" i="42"/>
  <c r="BX36" i="42"/>
  <c r="BY36" i="42"/>
  <c r="BZ36" i="42"/>
  <c r="CA36" i="42"/>
  <c r="CB36" i="42"/>
  <c r="CC36" i="42"/>
  <c r="CD36" i="42"/>
  <c r="BT37" i="42"/>
  <c r="BU37" i="42"/>
  <c r="BV37" i="42"/>
  <c r="BW37" i="42"/>
  <c r="BX37" i="42"/>
  <c r="BY37" i="42"/>
  <c r="BZ37" i="42"/>
  <c r="CA37" i="42"/>
  <c r="CB37" i="42"/>
  <c r="CC37" i="42"/>
  <c r="CD37" i="42"/>
  <c r="BT38" i="42"/>
  <c r="BU38" i="42"/>
  <c r="BV38" i="42"/>
  <c r="BW38" i="42"/>
  <c r="BX38" i="42"/>
  <c r="BY38" i="42"/>
  <c r="BZ38" i="42"/>
  <c r="CA38" i="42"/>
  <c r="CB38" i="42"/>
  <c r="CC38" i="42"/>
  <c r="CD38" i="42"/>
  <c r="BT39" i="42"/>
  <c r="BU39" i="42"/>
  <c r="BV39" i="42"/>
  <c r="BW39" i="42"/>
  <c r="BX39" i="42"/>
  <c r="BY39" i="42"/>
  <c r="BZ39" i="42"/>
  <c r="CA39" i="42"/>
  <c r="CB39" i="42"/>
  <c r="CC39" i="42"/>
  <c r="CD39" i="42"/>
  <c r="BT40" i="42"/>
  <c r="BU40" i="42"/>
  <c r="BV40" i="42"/>
  <c r="BW40" i="42"/>
  <c r="BX40" i="42"/>
  <c r="BY40" i="42"/>
  <c r="BZ40" i="42"/>
  <c r="CA40" i="42"/>
  <c r="CB40" i="42"/>
  <c r="CC40" i="42"/>
  <c r="CD40" i="42"/>
  <c r="BT41" i="42"/>
  <c r="BU41" i="42"/>
  <c r="BV41" i="42"/>
  <c r="BW41" i="42"/>
  <c r="BX41" i="42"/>
  <c r="BY41" i="42"/>
  <c r="BZ41" i="42"/>
  <c r="CA41" i="42"/>
  <c r="CB41" i="42"/>
  <c r="CC41" i="42"/>
  <c r="CD41" i="42"/>
  <c r="BT42" i="42"/>
  <c r="BU42" i="42"/>
  <c r="BV42" i="42"/>
  <c r="BW42" i="42"/>
  <c r="BX42" i="42"/>
  <c r="BY42" i="42"/>
  <c r="BZ42" i="42"/>
  <c r="CA42" i="42"/>
  <c r="CB42" i="42"/>
  <c r="CC42" i="42"/>
  <c r="CD42" i="42"/>
  <c r="BT43" i="42"/>
  <c r="BU43" i="42"/>
  <c r="BV43" i="42"/>
  <c r="BW43" i="42"/>
  <c r="BX43" i="42"/>
  <c r="BY43" i="42"/>
  <c r="BZ43" i="42"/>
  <c r="CA43" i="42"/>
  <c r="CB43" i="42"/>
  <c r="CC43" i="42"/>
  <c r="CD43" i="42"/>
  <c r="BT44" i="42"/>
  <c r="BU44" i="42"/>
  <c r="BV44" i="42"/>
  <c r="BW44" i="42"/>
  <c r="BX44" i="42"/>
  <c r="BY44" i="42"/>
  <c r="BZ44" i="42"/>
  <c r="CA44" i="42"/>
  <c r="CB44" i="42"/>
  <c r="CC44" i="42"/>
  <c r="CD44" i="42"/>
  <c r="BT45" i="42"/>
  <c r="BU45" i="42"/>
  <c r="BV45" i="42"/>
  <c r="BW45" i="42"/>
  <c r="BX45" i="42"/>
  <c r="BY45" i="42"/>
  <c r="BZ45" i="42"/>
  <c r="CA45" i="42"/>
  <c r="CB45" i="42"/>
  <c r="CC45" i="42"/>
  <c r="CD45" i="42"/>
  <c r="BT46" i="42"/>
  <c r="BU46" i="42"/>
  <c r="BV46" i="42"/>
  <c r="BW46" i="42"/>
  <c r="BX46" i="42"/>
  <c r="BY46" i="42"/>
  <c r="BZ46" i="42"/>
  <c r="CA46" i="42"/>
  <c r="CB46" i="42"/>
  <c r="CC46" i="42"/>
  <c r="CD46" i="42"/>
  <c r="BT47" i="42"/>
  <c r="BU47" i="42"/>
  <c r="BV47" i="42"/>
  <c r="BW47" i="42"/>
  <c r="BX47" i="42"/>
  <c r="BY47" i="42"/>
  <c r="BZ47" i="42"/>
  <c r="CA47" i="42"/>
  <c r="CB47" i="42"/>
  <c r="CC47" i="42"/>
  <c r="CD47" i="42"/>
  <c r="BT48" i="42"/>
  <c r="BU48" i="42"/>
  <c r="BV48" i="42"/>
  <c r="BW48" i="42"/>
  <c r="BX48" i="42"/>
  <c r="BY48" i="42"/>
  <c r="BZ48" i="42"/>
  <c r="CA48" i="42"/>
  <c r="CB48" i="42"/>
  <c r="CC48" i="42"/>
  <c r="CD48" i="42"/>
  <c r="BT49" i="42"/>
  <c r="BU49" i="42"/>
  <c r="BV49" i="42"/>
  <c r="BW49" i="42"/>
  <c r="BX49" i="42"/>
  <c r="BY49" i="42"/>
  <c r="BZ49" i="42"/>
  <c r="CA49" i="42"/>
  <c r="CB49" i="42"/>
  <c r="CC49" i="42"/>
  <c r="CD49" i="42"/>
  <c r="BT50" i="42"/>
  <c r="BU50" i="42"/>
  <c r="BV50" i="42"/>
  <c r="BW50" i="42"/>
  <c r="BX50" i="42"/>
  <c r="BY50" i="42"/>
  <c r="BZ50" i="42"/>
  <c r="CA50" i="42"/>
  <c r="CB50" i="42"/>
  <c r="CC50" i="42"/>
  <c r="CD50" i="42"/>
  <c r="BT51" i="42"/>
  <c r="BU51" i="42"/>
  <c r="BV51" i="42"/>
  <c r="BW51" i="42"/>
  <c r="BX51" i="42"/>
  <c r="BY51" i="42"/>
  <c r="BZ51" i="42"/>
  <c r="CA51" i="42"/>
  <c r="CB51" i="42"/>
  <c r="CC51" i="42"/>
  <c r="CD51" i="42"/>
  <c r="BT52" i="42"/>
  <c r="BU52" i="42"/>
  <c r="BV52" i="42"/>
  <c r="BW52" i="42"/>
  <c r="BX52" i="42"/>
  <c r="BY52" i="42"/>
  <c r="BZ52" i="42"/>
  <c r="CA52" i="42"/>
  <c r="CB52" i="42"/>
  <c r="CC52" i="42"/>
  <c r="CD52" i="42"/>
  <c r="BT53" i="42"/>
  <c r="BU53" i="42"/>
  <c r="BV53" i="42"/>
  <c r="BW53" i="42"/>
  <c r="BX53" i="42"/>
  <c r="BY53" i="42"/>
  <c r="BZ53" i="42"/>
  <c r="CA53" i="42"/>
  <c r="CB53" i="42"/>
  <c r="CC53" i="42"/>
  <c r="CD53" i="42"/>
  <c r="BT54" i="42"/>
  <c r="BU54" i="42"/>
  <c r="BV54" i="42"/>
  <c r="BW54" i="42"/>
  <c r="BX54" i="42"/>
  <c r="BY54" i="42"/>
  <c r="BZ54" i="42"/>
  <c r="CA54" i="42"/>
  <c r="CB54" i="42"/>
  <c r="CC54" i="42"/>
  <c r="CD54" i="42"/>
  <c r="BT55" i="42"/>
  <c r="BU55" i="42"/>
  <c r="BV55" i="42"/>
  <c r="BW55" i="42"/>
  <c r="BX55" i="42"/>
  <c r="BY55" i="42"/>
  <c r="BZ55" i="42"/>
  <c r="CA55" i="42"/>
  <c r="CB55" i="42"/>
  <c r="CC55" i="42"/>
  <c r="CD55" i="42"/>
  <c r="BT56" i="42"/>
  <c r="BU56" i="42"/>
  <c r="BV56" i="42"/>
  <c r="BW56" i="42"/>
  <c r="BX56" i="42"/>
  <c r="BY56" i="42"/>
  <c r="BZ56" i="42"/>
  <c r="CA56" i="42"/>
  <c r="CB56" i="42"/>
  <c r="CC56" i="42"/>
  <c r="CD56" i="42"/>
  <c r="BT57" i="42"/>
  <c r="BU57" i="42"/>
  <c r="BV57" i="42"/>
  <c r="BW57" i="42"/>
  <c r="BX57" i="42"/>
  <c r="BY57" i="42"/>
  <c r="BZ57" i="42"/>
  <c r="CA57" i="42"/>
  <c r="CB57" i="42"/>
  <c r="CC57" i="42"/>
  <c r="CD57" i="42"/>
  <c r="BT58" i="42"/>
  <c r="BU58" i="42"/>
  <c r="BV58" i="42"/>
  <c r="BW58" i="42"/>
  <c r="BX58" i="42"/>
  <c r="BY58" i="42"/>
  <c r="BZ58" i="42"/>
  <c r="CA58" i="42"/>
  <c r="CB58" i="42"/>
  <c r="CC58" i="42"/>
  <c r="CD58" i="42"/>
  <c r="BT59" i="42"/>
  <c r="BU59" i="42"/>
  <c r="BV59" i="42"/>
  <c r="BW59" i="42"/>
  <c r="BX59" i="42"/>
  <c r="BY59" i="42"/>
  <c r="BZ59" i="42"/>
  <c r="CA59" i="42"/>
  <c r="CB59" i="42"/>
  <c r="CC59" i="42"/>
  <c r="CD59" i="42"/>
  <c r="BT60" i="42"/>
  <c r="BU60" i="42"/>
  <c r="BV60" i="42"/>
  <c r="BW60" i="42"/>
  <c r="BX60" i="42"/>
  <c r="BY60" i="42"/>
  <c r="BZ60" i="42"/>
  <c r="CA60" i="42"/>
  <c r="CB60" i="42"/>
  <c r="CC60" i="42"/>
  <c r="CD60" i="42"/>
  <c r="BT61" i="42"/>
  <c r="BU61" i="42"/>
  <c r="BV61" i="42"/>
  <c r="BW61" i="42"/>
  <c r="BX61" i="42"/>
  <c r="BY61" i="42"/>
  <c r="BZ61" i="42"/>
  <c r="CA61" i="42"/>
  <c r="CB61" i="42"/>
  <c r="CC61" i="42"/>
  <c r="CD61" i="42"/>
  <c r="BT62" i="42"/>
  <c r="BU62" i="42"/>
  <c r="BV62" i="42"/>
  <c r="BW62" i="42"/>
  <c r="BX62" i="42"/>
  <c r="BY62" i="42"/>
  <c r="BZ62" i="42"/>
  <c r="CA62" i="42"/>
  <c r="CB62" i="42"/>
  <c r="CC62" i="42"/>
  <c r="CD62" i="42"/>
  <c r="BT63" i="42"/>
  <c r="BU63" i="42"/>
  <c r="BV63" i="42"/>
  <c r="BW63" i="42"/>
  <c r="BX63" i="42"/>
  <c r="BY63" i="42"/>
  <c r="BZ63" i="42"/>
  <c r="CA63" i="42"/>
  <c r="CB63" i="42"/>
  <c r="CC63" i="42"/>
  <c r="CD63" i="42"/>
  <c r="BT64" i="42"/>
  <c r="BU64" i="42"/>
  <c r="BV64" i="42"/>
  <c r="BW64" i="42"/>
  <c r="BX64" i="42"/>
  <c r="BY64" i="42"/>
  <c r="BZ64" i="42"/>
  <c r="CA64" i="42"/>
  <c r="CB64" i="42"/>
  <c r="CC64" i="42"/>
  <c r="CD64" i="42"/>
  <c r="BT65" i="42"/>
  <c r="BU65" i="42"/>
  <c r="BV65" i="42"/>
  <c r="BW65" i="42"/>
  <c r="BX65" i="42"/>
  <c r="BY65" i="42"/>
  <c r="BZ65" i="42"/>
  <c r="CA65" i="42"/>
  <c r="CB65" i="42"/>
  <c r="CC65" i="42"/>
  <c r="CD65" i="42"/>
  <c r="BT66" i="42"/>
  <c r="BU66" i="42"/>
  <c r="BV66" i="42"/>
  <c r="BW66" i="42"/>
  <c r="BX66" i="42"/>
  <c r="BY66" i="42"/>
  <c r="BZ66" i="42"/>
  <c r="CA66" i="42"/>
  <c r="CB66" i="42"/>
  <c r="CC66" i="42"/>
  <c r="CD66" i="42"/>
  <c r="BT67" i="42"/>
  <c r="BU67" i="42"/>
  <c r="BV67" i="42"/>
  <c r="BW67" i="42"/>
  <c r="BX67" i="42"/>
  <c r="BY67" i="42"/>
  <c r="BZ67" i="42"/>
  <c r="CA67" i="42"/>
  <c r="CB67" i="42"/>
  <c r="CC67" i="42"/>
  <c r="CD67" i="42"/>
  <c r="BT68" i="42"/>
  <c r="BU68" i="42"/>
  <c r="BV68" i="42"/>
  <c r="BW68" i="42"/>
  <c r="BX68" i="42"/>
  <c r="BY68" i="42"/>
  <c r="BZ68" i="42"/>
  <c r="CA68" i="42"/>
  <c r="CB68" i="42"/>
  <c r="CC68" i="42"/>
  <c r="CD68" i="42"/>
  <c r="BT69" i="42"/>
  <c r="BU69" i="42"/>
  <c r="BV69" i="42"/>
  <c r="BW69" i="42"/>
  <c r="BX69" i="42"/>
  <c r="BY69" i="42"/>
  <c r="BZ69" i="42"/>
  <c r="CA69" i="42"/>
  <c r="CB69" i="42"/>
  <c r="CC69" i="42"/>
  <c r="CD69" i="42"/>
  <c r="BT70" i="42"/>
  <c r="BU70" i="42"/>
  <c r="BV70" i="42"/>
  <c r="BW70" i="42"/>
  <c r="BX70" i="42"/>
  <c r="BY70" i="42"/>
  <c r="BZ70" i="42"/>
  <c r="CA70" i="42"/>
  <c r="CB70" i="42"/>
  <c r="CC70" i="42"/>
  <c r="CD70" i="42"/>
  <c r="BT71" i="42"/>
  <c r="BU71" i="42"/>
  <c r="BV71" i="42"/>
  <c r="BW71" i="42"/>
  <c r="BX71" i="42"/>
  <c r="BY71" i="42"/>
  <c r="BZ71" i="42"/>
  <c r="CA71" i="42"/>
  <c r="CB71" i="42"/>
  <c r="CC71" i="42"/>
  <c r="CD71" i="42"/>
  <c r="BT72" i="42"/>
  <c r="BU72" i="42"/>
  <c r="BV72" i="42"/>
  <c r="BW72" i="42"/>
  <c r="BX72" i="42"/>
  <c r="BY72" i="42"/>
  <c r="BZ72" i="42"/>
  <c r="CA72" i="42"/>
  <c r="CB72" i="42"/>
  <c r="CC72" i="42"/>
  <c r="CD72" i="42"/>
  <c r="BT73" i="42"/>
  <c r="BU73" i="42"/>
  <c r="BV73" i="42"/>
  <c r="BW73" i="42"/>
  <c r="BX73" i="42"/>
  <c r="BY73" i="42"/>
  <c r="BZ73" i="42"/>
  <c r="CA73" i="42"/>
  <c r="CB73" i="42"/>
  <c r="CC73" i="42"/>
  <c r="CD73" i="42"/>
  <c r="BT74" i="42"/>
  <c r="BU74" i="42"/>
  <c r="BV74" i="42"/>
  <c r="BW74" i="42"/>
  <c r="BX74" i="42"/>
  <c r="BY74" i="42"/>
  <c r="BZ74" i="42"/>
  <c r="CA74" i="42"/>
  <c r="CB74" i="42"/>
  <c r="CC74" i="42"/>
  <c r="CD74" i="42"/>
  <c r="BT75" i="42"/>
  <c r="BU75" i="42"/>
  <c r="BV75" i="42"/>
  <c r="BW75" i="42"/>
  <c r="BX75" i="42"/>
  <c r="BY75" i="42"/>
  <c r="BZ75" i="42"/>
  <c r="CA75" i="42"/>
  <c r="CB75" i="42"/>
  <c r="CC75" i="42"/>
  <c r="CD75" i="42"/>
  <c r="BT76" i="42"/>
  <c r="BU76" i="42"/>
  <c r="BV76" i="42"/>
  <c r="BW76" i="42"/>
  <c r="BX76" i="42"/>
  <c r="BY76" i="42"/>
  <c r="BZ76" i="42"/>
  <c r="CA76" i="42"/>
  <c r="CB76" i="42"/>
  <c r="CC76" i="42"/>
  <c r="CD76" i="42"/>
  <c r="BT77" i="42"/>
  <c r="BU77" i="42"/>
  <c r="BV77" i="42"/>
  <c r="BW77" i="42"/>
  <c r="BX77" i="42"/>
  <c r="BY77" i="42"/>
  <c r="BZ77" i="42"/>
  <c r="CA77" i="42"/>
  <c r="CB77" i="42"/>
  <c r="CC77" i="42"/>
  <c r="CD77" i="42"/>
  <c r="BT78" i="42"/>
  <c r="BU78" i="42"/>
  <c r="BV78" i="42"/>
  <c r="BW78" i="42"/>
  <c r="BX78" i="42"/>
  <c r="BY78" i="42"/>
  <c r="BZ78" i="42"/>
  <c r="CA78" i="42"/>
  <c r="CB78" i="42"/>
  <c r="CC78" i="42"/>
  <c r="CD78" i="42"/>
  <c r="BT79" i="42"/>
  <c r="BU79" i="42"/>
  <c r="BV79" i="42"/>
  <c r="BW79" i="42"/>
  <c r="BX79" i="42"/>
  <c r="BY79" i="42"/>
  <c r="BZ79" i="42"/>
  <c r="CA79" i="42"/>
  <c r="CB79" i="42"/>
  <c r="CC79" i="42"/>
  <c r="CD79" i="42"/>
  <c r="BT80" i="42"/>
  <c r="BU80" i="42"/>
  <c r="BV80" i="42"/>
  <c r="BW80" i="42"/>
  <c r="BX80" i="42"/>
  <c r="BY80" i="42"/>
  <c r="BZ80" i="42"/>
  <c r="CA80" i="42"/>
  <c r="CB80" i="42"/>
  <c r="CC80" i="42"/>
  <c r="CD80" i="42"/>
  <c r="BT81" i="42"/>
  <c r="BU81" i="42"/>
  <c r="BV81" i="42"/>
  <c r="BW81" i="42"/>
  <c r="BX81" i="42"/>
  <c r="BY81" i="42"/>
  <c r="BZ81" i="42"/>
  <c r="CA81" i="42"/>
  <c r="CB81" i="42"/>
  <c r="CC81" i="42"/>
  <c r="CD81" i="42"/>
  <c r="BT82" i="42"/>
  <c r="BU82" i="42"/>
  <c r="BV82" i="42"/>
  <c r="BW82" i="42"/>
  <c r="BX82" i="42"/>
  <c r="BY82" i="42"/>
  <c r="BZ82" i="42"/>
  <c r="CA82" i="42"/>
  <c r="CB82" i="42"/>
  <c r="CC82" i="42"/>
  <c r="CD82" i="42"/>
  <c r="BT83" i="42"/>
  <c r="BU83" i="42"/>
  <c r="BV83" i="42"/>
  <c r="BW83" i="42"/>
  <c r="BX83" i="42"/>
  <c r="BY83" i="42"/>
  <c r="BZ83" i="42"/>
  <c r="CA83" i="42"/>
  <c r="CB83" i="42"/>
  <c r="CC83" i="42"/>
  <c r="CD83" i="42"/>
  <c r="BT84" i="42"/>
  <c r="BU84" i="42"/>
  <c r="BV84" i="42"/>
  <c r="BW84" i="42"/>
  <c r="BX84" i="42"/>
  <c r="BY84" i="42"/>
  <c r="BZ84" i="42"/>
  <c r="CA84" i="42"/>
  <c r="CB84" i="42"/>
  <c r="CC84" i="42"/>
  <c r="CD84" i="42"/>
  <c r="BT85" i="42"/>
  <c r="BU85" i="42"/>
  <c r="BV85" i="42"/>
  <c r="BW85" i="42"/>
  <c r="BX85" i="42"/>
  <c r="BY85" i="42"/>
  <c r="BZ85" i="42"/>
  <c r="CA85" i="42"/>
  <c r="CB85" i="42"/>
  <c r="CC85" i="42"/>
  <c r="CD85" i="42"/>
  <c r="BT86" i="42"/>
  <c r="BU86" i="42"/>
  <c r="BV86" i="42"/>
  <c r="BW86" i="42"/>
  <c r="BX86" i="42"/>
  <c r="BY86" i="42"/>
  <c r="BZ86" i="42"/>
  <c r="CA86" i="42"/>
  <c r="CB86" i="42"/>
  <c r="CC86" i="42"/>
  <c r="CD86" i="42"/>
  <c r="BT87" i="42"/>
  <c r="BU87" i="42"/>
  <c r="BV87" i="42"/>
  <c r="BW87" i="42"/>
  <c r="BX87" i="42"/>
  <c r="BY87" i="42"/>
  <c r="BZ87" i="42"/>
  <c r="CA87" i="42"/>
  <c r="CB87" i="42"/>
  <c r="CC87" i="42"/>
  <c r="CD87" i="42"/>
  <c r="BT88" i="42"/>
  <c r="BU88" i="42"/>
  <c r="BV88" i="42"/>
  <c r="BW88" i="42"/>
  <c r="BX88" i="42"/>
  <c r="BY88" i="42"/>
  <c r="BZ88" i="42"/>
  <c r="CA88" i="42"/>
  <c r="CB88" i="42"/>
  <c r="CC88" i="42"/>
  <c r="CD88" i="42"/>
  <c r="BT89" i="42"/>
  <c r="BU89" i="42"/>
  <c r="BV89" i="42"/>
  <c r="BW89" i="42"/>
  <c r="BX89" i="42"/>
  <c r="BY89" i="42"/>
  <c r="BZ89" i="42"/>
  <c r="CA89" i="42"/>
  <c r="CB89" i="42"/>
  <c r="CC89" i="42"/>
  <c r="CD89" i="42"/>
  <c r="BT90" i="42"/>
  <c r="BU90" i="42"/>
  <c r="BV90" i="42"/>
  <c r="BW90" i="42"/>
  <c r="BX90" i="42"/>
  <c r="BY90" i="42"/>
  <c r="BZ90" i="42"/>
  <c r="CA90" i="42"/>
  <c r="CB90" i="42"/>
  <c r="CC90" i="42"/>
  <c r="CD90" i="42"/>
  <c r="BT91" i="42"/>
  <c r="BU91" i="42"/>
  <c r="BV91" i="42"/>
  <c r="BW91" i="42"/>
  <c r="BX91" i="42"/>
  <c r="BY91" i="42"/>
  <c r="BZ91" i="42"/>
  <c r="CA91" i="42"/>
  <c r="CB91" i="42"/>
  <c r="CC91" i="42"/>
  <c r="CD91" i="42"/>
  <c r="BT92" i="42"/>
  <c r="BU92" i="42"/>
  <c r="BV92" i="42"/>
  <c r="BW92" i="42"/>
  <c r="BX92" i="42"/>
  <c r="BY92" i="42"/>
  <c r="BZ92" i="42"/>
  <c r="CA92" i="42"/>
  <c r="CB92" i="42"/>
  <c r="CC92" i="42"/>
  <c r="CD92" i="42"/>
  <c r="BT93" i="42"/>
  <c r="BU93" i="42"/>
  <c r="BV93" i="42"/>
  <c r="BW93" i="42"/>
  <c r="BX93" i="42"/>
  <c r="BY93" i="42"/>
  <c r="BZ93" i="42"/>
  <c r="CA93" i="42"/>
  <c r="CB93" i="42"/>
  <c r="CC93" i="42"/>
  <c r="CD93" i="42"/>
  <c r="BT94" i="42"/>
  <c r="BU94" i="42"/>
  <c r="BV94" i="42"/>
  <c r="BW94" i="42"/>
  <c r="BX94" i="42"/>
  <c r="BY94" i="42"/>
  <c r="BZ94" i="42"/>
  <c r="CA94" i="42"/>
  <c r="CB94" i="42"/>
  <c r="CC94" i="42"/>
  <c r="CD94" i="42"/>
  <c r="BT95" i="42"/>
  <c r="BU95" i="42"/>
  <c r="BV95" i="42"/>
  <c r="BW95" i="42"/>
  <c r="BX95" i="42"/>
  <c r="BY95" i="42"/>
  <c r="BZ95" i="42"/>
  <c r="CA95" i="42"/>
  <c r="CB95" i="42"/>
  <c r="CC95" i="42"/>
  <c r="CD95" i="42"/>
  <c r="BT96" i="42"/>
  <c r="BU96" i="42"/>
  <c r="BV96" i="42"/>
  <c r="BW96" i="42"/>
  <c r="BX96" i="42"/>
  <c r="BY96" i="42"/>
  <c r="BZ96" i="42"/>
  <c r="CA96" i="42"/>
  <c r="CB96" i="42"/>
  <c r="CC96" i="42"/>
  <c r="CD96" i="42"/>
  <c r="BT97" i="42"/>
  <c r="BU97" i="42"/>
  <c r="BV97" i="42"/>
  <c r="BW97" i="42"/>
  <c r="BX97" i="42"/>
  <c r="BY97" i="42"/>
  <c r="BZ97" i="42"/>
  <c r="CA97" i="42"/>
  <c r="CB97" i="42"/>
  <c r="CC97" i="42"/>
  <c r="CD97" i="42"/>
  <c r="BT98" i="42"/>
  <c r="BU98" i="42"/>
  <c r="BV98" i="42"/>
  <c r="BW98" i="42"/>
  <c r="BX98" i="42"/>
  <c r="BY98" i="42"/>
  <c r="BZ98" i="42"/>
  <c r="CA98" i="42"/>
  <c r="CB98" i="42"/>
  <c r="CC98" i="42"/>
  <c r="CD98" i="42"/>
  <c r="BT99" i="42"/>
  <c r="BU99" i="42"/>
  <c r="BV99" i="42"/>
  <c r="BW99" i="42"/>
  <c r="BX99" i="42"/>
  <c r="BY99" i="42"/>
  <c r="BZ99" i="42"/>
  <c r="CA99" i="42"/>
  <c r="CB99" i="42"/>
  <c r="CC99" i="42"/>
  <c r="CD99" i="42"/>
  <c r="BT100" i="42"/>
  <c r="BU100" i="42"/>
  <c r="BV100" i="42"/>
  <c r="BW100" i="42"/>
  <c r="BX100" i="42"/>
  <c r="BY100" i="42"/>
  <c r="BZ100" i="42"/>
  <c r="CA100" i="42"/>
  <c r="CB100" i="42"/>
  <c r="CC100" i="42"/>
  <c r="CD100" i="42"/>
  <c r="BT101" i="42"/>
  <c r="BU101" i="42"/>
  <c r="BV101" i="42"/>
  <c r="BW101" i="42"/>
  <c r="BX101" i="42"/>
  <c r="BY101" i="42"/>
  <c r="BZ101" i="42"/>
  <c r="CA101" i="42"/>
  <c r="CB101" i="42"/>
  <c r="CC101" i="42"/>
  <c r="CD101" i="42"/>
  <c r="BT102" i="42"/>
  <c r="BU102" i="42"/>
  <c r="BV102" i="42"/>
  <c r="BW102" i="42"/>
  <c r="BX102" i="42"/>
  <c r="BY102" i="42"/>
  <c r="BZ102" i="42"/>
  <c r="CA102" i="42"/>
  <c r="CB102" i="42"/>
  <c r="CC102" i="42"/>
  <c r="CD102" i="42"/>
  <c r="BT103" i="42"/>
  <c r="BU103" i="42"/>
  <c r="BV103" i="42"/>
  <c r="BW103" i="42"/>
  <c r="BX103" i="42"/>
  <c r="BY103" i="42"/>
  <c r="BZ103" i="42"/>
  <c r="CA103" i="42"/>
  <c r="CB103" i="42"/>
  <c r="CC103" i="42"/>
  <c r="CD103" i="42"/>
  <c r="BT104" i="42"/>
  <c r="BU104" i="42"/>
  <c r="BV104" i="42"/>
  <c r="BW104" i="42"/>
  <c r="BX104" i="42"/>
  <c r="BY104" i="42"/>
  <c r="BZ104" i="42"/>
  <c r="CA104" i="42"/>
  <c r="CB104" i="42"/>
  <c r="CC104" i="42"/>
  <c r="CD104" i="42"/>
  <c r="BT105" i="42"/>
  <c r="BU105" i="42"/>
  <c r="BV105" i="42"/>
  <c r="BW105" i="42"/>
  <c r="BX105" i="42"/>
  <c r="BY105" i="42"/>
  <c r="BZ105" i="42"/>
  <c r="CA105" i="42"/>
  <c r="CB105" i="42"/>
  <c r="CC105" i="42"/>
  <c r="CD105" i="42"/>
  <c r="BT106" i="42"/>
  <c r="BU106" i="42"/>
  <c r="BV106" i="42"/>
  <c r="BW106" i="42"/>
  <c r="BX106" i="42"/>
  <c r="BY106" i="42"/>
  <c r="BZ106" i="42"/>
  <c r="CA106" i="42"/>
  <c r="CB106" i="42"/>
  <c r="CC106" i="42"/>
  <c r="CD106" i="42"/>
  <c r="BT107" i="42"/>
  <c r="BU107" i="42"/>
  <c r="BV107" i="42"/>
  <c r="BW107" i="42"/>
  <c r="BX107" i="42"/>
  <c r="BY107" i="42"/>
  <c r="BZ107" i="42"/>
  <c r="CA107" i="42"/>
  <c r="CB107" i="42"/>
  <c r="CC107" i="42"/>
  <c r="CD107" i="42"/>
  <c r="BT108" i="42"/>
  <c r="BU108" i="42"/>
  <c r="BV108" i="42"/>
  <c r="BW108" i="42"/>
  <c r="BX108" i="42"/>
  <c r="BY108" i="42"/>
  <c r="BZ108" i="42"/>
  <c r="CA108" i="42"/>
  <c r="CB108" i="42"/>
  <c r="CC108" i="42"/>
  <c r="CD108" i="42"/>
  <c r="BT109" i="42"/>
  <c r="BU109" i="42"/>
  <c r="BV109" i="42"/>
  <c r="BW109" i="42"/>
  <c r="BX109" i="42"/>
  <c r="BY109" i="42"/>
  <c r="BZ109" i="42"/>
  <c r="CA109" i="42"/>
  <c r="CB109" i="42"/>
  <c r="CC109" i="42"/>
  <c r="CD109" i="42"/>
  <c r="BT110" i="42"/>
  <c r="BU110" i="42"/>
  <c r="BV110" i="42"/>
  <c r="BW110" i="42"/>
  <c r="BX110" i="42"/>
  <c r="BY110" i="42"/>
  <c r="BZ110" i="42"/>
  <c r="CA110" i="42"/>
  <c r="CB110" i="42"/>
  <c r="CC110" i="42"/>
  <c r="CD110" i="42"/>
  <c r="CD8" i="42"/>
  <c r="CC8" i="42"/>
  <c r="CB8" i="42"/>
  <c r="BZ8" i="42"/>
  <c r="BY8" i="42"/>
  <c r="BX8" i="42"/>
  <c r="BW8" i="42"/>
  <c r="BV8" i="42"/>
  <c r="BU8" i="42"/>
  <c r="BT8" i="42"/>
  <c r="I249" i="47"/>
  <c r="H249" i="47"/>
  <c r="I234" i="47"/>
  <c r="H234" i="47"/>
  <c r="I217" i="47"/>
  <c r="H217" i="47"/>
  <c r="I202" i="47"/>
  <c r="H202" i="47"/>
  <c r="I185" i="47"/>
  <c r="H185" i="47"/>
  <c r="I169" i="47"/>
  <c r="H169" i="47"/>
  <c r="I153" i="47"/>
  <c r="H153" i="47"/>
  <c r="I139" i="47"/>
  <c r="H139" i="47"/>
  <c r="I123" i="47"/>
  <c r="H123" i="47"/>
  <c r="I101" i="47"/>
  <c r="H101" i="47"/>
  <c r="I83" i="47"/>
  <c r="H83" i="47"/>
  <c r="I40" i="47"/>
  <c r="H40" i="47"/>
  <c r="I23" i="47"/>
  <c r="H23" i="47"/>
  <c r="BD110" i="42" l="1"/>
  <c r="BD108" i="42"/>
  <c r="BD106" i="42"/>
  <c r="BD104" i="42"/>
  <c r="BD102" i="42"/>
  <c r="BD100" i="42"/>
  <c r="BD98" i="42"/>
  <c r="BD96" i="42"/>
  <c r="BD94" i="42"/>
  <c r="BD92" i="42"/>
  <c r="BD90" i="42"/>
  <c r="BD88" i="42"/>
  <c r="BD86" i="42"/>
  <c r="BD84" i="42"/>
  <c r="BD82" i="42"/>
  <c r="BD80" i="42"/>
  <c r="BD78" i="42"/>
  <c r="BD76" i="42"/>
  <c r="BD74" i="42"/>
  <c r="BD72" i="42"/>
  <c r="BD70" i="42"/>
  <c r="BD68" i="42"/>
  <c r="BD66" i="42"/>
  <c r="BD64" i="42"/>
  <c r="BD62" i="42"/>
  <c r="BD58" i="42"/>
  <c r="BD56" i="42"/>
  <c r="BD54" i="42"/>
  <c r="BD52" i="42"/>
  <c r="BD42" i="42"/>
  <c r="BD34" i="42"/>
  <c r="BD30" i="42"/>
  <c r="BD8" i="42"/>
  <c r="BD109" i="42"/>
  <c r="BD107" i="42"/>
  <c r="BD105" i="42"/>
  <c r="BD103" i="42"/>
  <c r="BD101" i="42"/>
  <c r="BD99" i="42"/>
  <c r="BD97" i="42"/>
  <c r="BD95" i="42"/>
  <c r="BD93" i="42"/>
  <c r="BD91" i="42"/>
  <c r="BD89" i="42"/>
  <c r="BD87" i="42"/>
  <c r="BD85" i="42"/>
  <c r="BD83" i="42"/>
  <c r="BD81" i="42"/>
  <c r="BD79" i="42"/>
  <c r="BD77" i="42"/>
  <c r="BD75" i="42"/>
  <c r="BD73" i="42"/>
  <c r="BD71" i="42"/>
  <c r="BD69" i="42"/>
  <c r="BD67" i="42"/>
  <c r="BD65" i="42"/>
  <c r="BD63" i="42"/>
  <c r="BD61" i="42"/>
  <c r="BD59" i="42"/>
  <c r="BD57" i="42"/>
  <c r="BD55" i="42"/>
  <c r="BD53" i="42"/>
  <c r="BD51" i="42"/>
  <c r="BD43" i="42"/>
  <c r="BD41" i="42"/>
  <c r="BD33" i="42"/>
  <c r="BD31" i="42"/>
  <c r="BD32" i="42" s="1"/>
  <c r="BD9" i="42"/>
  <c r="BD10" i="42" s="1"/>
  <c r="BO110" i="42"/>
  <c r="BN110" i="42"/>
  <c r="BM110" i="42"/>
  <c r="BO108" i="42"/>
  <c r="BN108" i="42"/>
  <c r="BM108" i="42"/>
  <c r="BO106" i="42"/>
  <c r="BN106" i="42"/>
  <c r="BM106" i="42"/>
  <c r="BO104" i="42"/>
  <c r="BN104" i="42"/>
  <c r="BM104" i="42"/>
  <c r="BO102" i="42"/>
  <c r="BN102" i="42"/>
  <c r="BM102" i="42"/>
  <c r="BO100" i="42"/>
  <c r="BN100" i="42"/>
  <c r="BM100" i="42"/>
  <c r="BO98" i="42"/>
  <c r="BN98" i="42"/>
  <c r="BM98" i="42"/>
  <c r="BO96" i="42"/>
  <c r="BN96" i="42"/>
  <c r="BM96" i="42"/>
  <c r="BO94" i="42"/>
  <c r="BN94" i="42"/>
  <c r="BM94" i="42"/>
  <c r="BO92" i="42"/>
  <c r="BN92" i="42"/>
  <c r="BM92" i="42"/>
  <c r="BO90" i="42"/>
  <c r="BN90" i="42"/>
  <c r="BM90" i="42"/>
  <c r="BO88" i="42"/>
  <c r="BN88" i="42"/>
  <c r="BM88" i="42"/>
  <c r="BO86" i="42"/>
  <c r="BN86" i="42"/>
  <c r="BM86" i="42"/>
  <c r="BO84" i="42"/>
  <c r="BN84" i="42"/>
  <c r="BM84" i="42"/>
  <c r="BO82" i="42"/>
  <c r="BN82" i="42"/>
  <c r="BM82" i="42"/>
  <c r="BO80" i="42"/>
  <c r="BN80" i="42"/>
  <c r="BM80" i="42"/>
  <c r="BO78" i="42"/>
  <c r="BN78" i="42"/>
  <c r="BM78" i="42"/>
  <c r="BO76" i="42"/>
  <c r="BN76" i="42"/>
  <c r="BM76" i="42"/>
  <c r="BO70" i="42"/>
  <c r="BM70" i="42"/>
  <c r="BO68" i="42"/>
  <c r="BN68" i="42"/>
  <c r="BO66" i="42"/>
  <c r="BM66" i="42"/>
  <c r="BN66" i="42"/>
  <c r="BO64" i="42"/>
  <c r="BM64" i="42"/>
  <c r="BN64" i="42"/>
  <c r="BO62" i="42"/>
  <c r="BM62" i="42"/>
  <c r="BN62" i="42"/>
  <c r="BO60" i="42"/>
  <c r="BM60" i="42"/>
  <c r="BN60" i="42"/>
  <c r="BO58" i="42"/>
  <c r="BM58" i="42"/>
  <c r="BN58" i="42"/>
  <c r="BO56" i="42"/>
  <c r="BM56" i="42"/>
  <c r="BN56" i="42"/>
  <c r="BO54" i="42"/>
  <c r="BM54" i="42"/>
  <c r="BN54" i="42"/>
  <c r="BO52" i="42"/>
  <c r="BM52" i="42"/>
  <c r="BN52" i="42"/>
  <c r="BO50" i="42"/>
  <c r="BM50" i="42"/>
  <c r="BN50" i="42"/>
  <c r="BO48" i="42"/>
  <c r="BM48" i="42"/>
  <c r="BN48" i="42"/>
  <c r="BO46" i="42"/>
  <c r="BM46" i="42"/>
  <c r="BN46" i="42"/>
  <c r="BO44" i="42"/>
  <c r="BM44" i="42"/>
  <c r="BN44" i="42"/>
  <c r="BO42" i="42"/>
  <c r="BM42" i="42"/>
  <c r="BN42" i="42"/>
  <c r="BO40" i="42"/>
  <c r="BM40" i="42"/>
  <c r="BN40" i="42"/>
  <c r="BO38" i="42"/>
  <c r="BM38" i="42"/>
  <c r="BN38" i="42"/>
  <c r="BO36" i="42"/>
  <c r="BM36" i="42"/>
  <c r="BN36" i="42"/>
  <c r="BO34" i="42"/>
  <c r="BM34" i="42"/>
  <c r="BN34" i="42"/>
  <c r="BO32" i="42"/>
  <c r="BM32" i="42"/>
  <c r="BN32" i="42"/>
  <c r="BO30" i="42"/>
  <c r="BM30" i="42"/>
  <c r="BN30" i="42"/>
  <c r="BO28" i="42"/>
  <c r="BM28" i="42"/>
  <c r="BN28" i="42"/>
  <c r="BO26" i="42"/>
  <c r="BM26" i="42"/>
  <c r="BN26" i="42"/>
  <c r="BO24" i="42"/>
  <c r="BM24" i="42"/>
  <c r="BN24" i="42"/>
  <c r="BO16" i="42"/>
  <c r="BM16" i="42"/>
  <c r="BN16" i="42"/>
  <c r="BO12" i="42"/>
  <c r="BM12" i="42"/>
  <c r="BN12" i="42"/>
  <c r="BO109" i="42"/>
  <c r="BN109" i="42"/>
  <c r="BM109" i="42"/>
  <c r="BO107" i="42"/>
  <c r="BN107" i="42"/>
  <c r="BM107" i="42"/>
  <c r="BO105" i="42"/>
  <c r="BN105" i="42"/>
  <c r="BM105" i="42"/>
  <c r="BO103" i="42"/>
  <c r="BN103" i="42"/>
  <c r="BM103" i="42"/>
  <c r="BO101" i="42"/>
  <c r="BN101" i="42"/>
  <c r="BM101" i="42"/>
  <c r="BO99" i="42"/>
  <c r="BN99" i="42"/>
  <c r="BM99" i="42"/>
  <c r="BO97" i="42"/>
  <c r="BN97" i="42"/>
  <c r="BM97" i="42"/>
  <c r="BO95" i="42"/>
  <c r="BN95" i="42"/>
  <c r="BM95" i="42"/>
  <c r="BO93" i="42"/>
  <c r="BN93" i="42"/>
  <c r="BM93" i="42"/>
  <c r="BO91" i="42"/>
  <c r="BN91" i="42"/>
  <c r="BM91" i="42"/>
  <c r="BO89" i="42"/>
  <c r="BN89" i="42"/>
  <c r="BM89" i="42"/>
  <c r="BO87" i="42"/>
  <c r="BN87" i="42"/>
  <c r="BM87" i="42"/>
  <c r="BO85" i="42"/>
  <c r="BN85" i="42"/>
  <c r="BM85" i="42"/>
  <c r="BO83" i="42"/>
  <c r="BN83" i="42"/>
  <c r="BM83" i="42"/>
  <c r="BO81" i="42"/>
  <c r="BN81" i="42"/>
  <c r="BM81" i="42"/>
  <c r="BO79" i="42"/>
  <c r="BN79" i="42"/>
  <c r="BM79" i="42"/>
  <c r="BO77" i="42"/>
  <c r="BN77" i="42"/>
  <c r="BM77" i="42"/>
  <c r="BO71" i="42"/>
  <c r="BO69" i="42"/>
  <c r="BM69" i="42"/>
  <c r="BO67" i="42"/>
  <c r="BM67" i="42"/>
  <c r="BN67" i="42"/>
  <c r="BO65" i="42"/>
  <c r="BM65" i="42"/>
  <c r="BN65" i="42"/>
  <c r="BO63" i="42"/>
  <c r="BM63" i="42"/>
  <c r="BN63" i="42"/>
  <c r="BO61" i="42"/>
  <c r="BM61" i="42"/>
  <c r="BN61" i="42"/>
  <c r="BO59" i="42"/>
  <c r="BM59" i="42"/>
  <c r="BN59" i="42"/>
  <c r="BO57" i="42"/>
  <c r="BM57" i="42"/>
  <c r="BN57" i="42"/>
  <c r="BO55" i="42"/>
  <c r="BM55" i="42"/>
  <c r="BN55" i="42"/>
  <c r="BO53" i="42"/>
  <c r="BM53" i="42"/>
  <c r="BN53" i="42"/>
  <c r="BO51" i="42"/>
  <c r="BM51" i="42"/>
  <c r="BN51" i="42"/>
  <c r="BO49" i="42"/>
  <c r="BM49" i="42"/>
  <c r="BN49" i="42"/>
  <c r="BO47" i="42"/>
  <c r="BM47" i="42"/>
  <c r="BN47" i="42"/>
  <c r="BO45" i="42"/>
  <c r="BM45" i="42"/>
  <c r="BN45" i="42"/>
  <c r="BO43" i="42"/>
  <c r="BM43" i="42"/>
  <c r="BN43" i="42"/>
  <c r="BO41" i="42"/>
  <c r="BM41" i="42"/>
  <c r="BN41" i="42"/>
  <c r="BO39" i="42"/>
  <c r="BM39" i="42"/>
  <c r="BN39" i="42"/>
  <c r="BO37" i="42"/>
  <c r="BM37" i="42"/>
  <c r="BN37" i="42"/>
  <c r="BO35" i="42"/>
  <c r="BM35" i="42"/>
  <c r="BN35" i="42"/>
  <c r="BO33" i="42"/>
  <c r="BM33" i="42"/>
  <c r="BN33" i="42"/>
  <c r="BO31" i="42"/>
  <c r="BM31" i="42"/>
  <c r="BN31" i="42"/>
  <c r="BO29" i="42"/>
  <c r="BM29" i="42"/>
  <c r="BN29" i="42"/>
  <c r="BO27" i="42"/>
  <c r="BM27" i="42"/>
  <c r="BN27" i="42"/>
  <c r="BO25" i="42"/>
  <c r="BM25" i="42"/>
  <c r="BN25" i="42"/>
  <c r="BO17" i="42"/>
  <c r="BM17" i="42"/>
  <c r="BN17" i="42"/>
  <c r="BO13" i="42"/>
  <c r="BM13" i="42"/>
  <c r="BN13" i="42"/>
  <c r="BO9" i="42"/>
  <c r="BN9" i="42"/>
  <c r="BO8" i="42"/>
  <c r="BP8" i="42"/>
  <c r="BP9" i="42" s="1"/>
  <c r="BN8" i="42"/>
  <c r="BM8" i="42"/>
  <c r="BO23" i="42"/>
  <c r="BM23" i="42"/>
  <c r="BN23" i="42"/>
  <c r="BO22" i="42"/>
  <c r="BM22" i="42"/>
  <c r="BN22" i="42"/>
  <c r="BO21" i="42"/>
  <c r="BM21" i="42"/>
  <c r="BN21" i="42"/>
  <c r="BO20" i="42"/>
  <c r="BM20" i="42"/>
  <c r="BN20" i="42"/>
  <c r="BO19" i="42"/>
  <c r="BN19" i="42"/>
  <c r="BM19" i="42"/>
  <c r="BO18" i="42"/>
  <c r="BM18" i="42"/>
  <c r="BN18" i="42"/>
  <c r="BO15" i="42"/>
  <c r="BM15" i="42"/>
  <c r="BN15" i="42"/>
  <c r="BO14" i="42"/>
  <c r="BN14" i="42"/>
  <c r="BM14" i="42"/>
  <c r="BO11" i="42"/>
  <c r="BM11" i="42"/>
  <c r="BN11" i="42"/>
  <c r="BO10" i="42"/>
  <c r="BM10" i="42"/>
  <c r="BN10" i="42"/>
  <c r="BO75" i="42"/>
  <c r="BN75" i="42"/>
  <c r="BO74" i="42"/>
  <c r="BM74" i="42"/>
  <c r="BM73" i="42"/>
  <c r="BN73" i="42"/>
  <c r="BN72" i="42"/>
  <c r="BM72" i="42"/>
  <c r="BN71" i="42"/>
  <c r="BL110" i="42"/>
  <c r="BK110" i="42"/>
  <c r="BJ110" i="42"/>
  <c r="BI110" i="42"/>
  <c r="BG110" i="42"/>
  <c r="BE110" i="42"/>
  <c r="BH110" i="42"/>
  <c r="BF110" i="42"/>
  <c r="BC110" i="42"/>
  <c r="BL108" i="42"/>
  <c r="BK108" i="42"/>
  <c r="BJ108" i="42"/>
  <c r="BI108" i="42"/>
  <c r="BG108" i="42"/>
  <c r="BE108" i="42"/>
  <c r="BH108" i="42"/>
  <c r="BF108" i="42"/>
  <c r="BC108" i="42"/>
  <c r="BL106" i="42"/>
  <c r="BK106" i="42"/>
  <c r="BJ106" i="42"/>
  <c r="BI106" i="42"/>
  <c r="BG106" i="42"/>
  <c r="BE106" i="42"/>
  <c r="BH106" i="42"/>
  <c r="BF106" i="42"/>
  <c r="BC106" i="42"/>
  <c r="BL104" i="42"/>
  <c r="BK104" i="42"/>
  <c r="BJ104" i="42"/>
  <c r="BI104" i="42"/>
  <c r="BG104" i="42"/>
  <c r="BE104" i="42"/>
  <c r="BH104" i="42"/>
  <c r="BF104" i="42"/>
  <c r="BC104" i="42"/>
  <c r="BL102" i="42"/>
  <c r="BK102" i="42"/>
  <c r="BJ102" i="42"/>
  <c r="BI102" i="42"/>
  <c r="BG102" i="42"/>
  <c r="BE102" i="42"/>
  <c r="BH102" i="42"/>
  <c r="BF102" i="42"/>
  <c r="BC102" i="42"/>
  <c r="BL100" i="42"/>
  <c r="BK100" i="42"/>
  <c r="BJ100" i="42"/>
  <c r="BI100" i="42"/>
  <c r="BG100" i="42"/>
  <c r="BE100" i="42"/>
  <c r="BH100" i="42"/>
  <c r="BF100" i="42"/>
  <c r="BC100" i="42"/>
  <c r="BL98" i="42"/>
  <c r="BK98" i="42"/>
  <c r="BJ98" i="42"/>
  <c r="BI98" i="42"/>
  <c r="BG98" i="42"/>
  <c r="BE98" i="42"/>
  <c r="BH98" i="42"/>
  <c r="BF98" i="42"/>
  <c r="BC98" i="42"/>
  <c r="BL96" i="42"/>
  <c r="BK96" i="42"/>
  <c r="BJ96" i="42"/>
  <c r="BI96" i="42"/>
  <c r="BG96" i="42"/>
  <c r="BE96" i="42"/>
  <c r="BH96" i="42"/>
  <c r="BF96" i="42"/>
  <c r="BC96" i="42"/>
  <c r="BL94" i="42"/>
  <c r="BK94" i="42"/>
  <c r="BJ94" i="42"/>
  <c r="BI94" i="42"/>
  <c r="BG94" i="42"/>
  <c r="BE94" i="42"/>
  <c r="BH94" i="42"/>
  <c r="BF94" i="42"/>
  <c r="BC94" i="42"/>
  <c r="BL92" i="42"/>
  <c r="BK92" i="42"/>
  <c r="BJ92" i="42"/>
  <c r="BI92" i="42"/>
  <c r="BG92" i="42"/>
  <c r="BE92" i="42"/>
  <c r="BH92" i="42"/>
  <c r="BF92" i="42"/>
  <c r="BC92" i="42"/>
  <c r="BL90" i="42"/>
  <c r="BK90" i="42"/>
  <c r="BJ90" i="42"/>
  <c r="BI90" i="42"/>
  <c r="BG90" i="42"/>
  <c r="BE90" i="42"/>
  <c r="BH90" i="42"/>
  <c r="BF90" i="42"/>
  <c r="BC90" i="42"/>
  <c r="BL88" i="42"/>
  <c r="BK88" i="42"/>
  <c r="BJ88" i="42"/>
  <c r="BI88" i="42"/>
  <c r="BG88" i="42"/>
  <c r="BE88" i="42"/>
  <c r="BH88" i="42"/>
  <c r="BF88" i="42"/>
  <c r="BC88" i="42"/>
  <c r="BL86" i="42"/>
  <c r="BJ86" i="42"/>
  <c r="BK86" i="42"/>
  <c r="BI86" i="42"/>
  <c r="BG86" i="42"/>
  <c r="BE86" i="42"/>
  <c r="BH86" i="42"/>
  <c r="BF86" i="42"/>
  <c r="BC86" i="42"/>
  <c r="BL84" i="42"/>
  <c r="BJ84" i="42"/>
  <c r="BK84" i="42"/>
  <c r="BI84" i="42"/>
  <c r="BG84" i="42"/>
  <c r="BE84" i="42"/>
  <c r="BH84" i="42"/>
  <c r="BF84" i="42"/>
  <c r="BC84" i="42"/>
  <c r="BL82" i="42"/>
  <c r="BJ82" i="42"/>
  <c r="BK82" i="42"/>
  <c r="BI82" i="42"/>
  <c r="BG82" i="42"/>
  <c r="BE82" i="42"/>
  <c r="BH82" i="42"/>
  <c r="BF82" i="42"/>
  <c r="BC82" i="42"/>
  <c r="BL80" i="42"/>
  <c r="BJ80" i="42"/>
  <c r="BK80" i="42"/>
  <c r="BI80" i="42"/>
  <c r="BG80" i="42"/>
  <c r="BE80" i="42"/>
  <c r="BH80" i="42"/>
  <c r="BF80" i="42"/>
  <c r="BC80" i="42"/>
  <c r="BL78" i="42"/>
  <c r="BJ78" i="42"/>
  <c r="BK78" i="42"/>
  <c r="BI78" i="42"/>
  <c r="BG78" i="42"/>
  <c r="BE78" i="42"/>
  <c r="BH78" i="42"/>
  <c r="BF78" i="42"/>
  <c r="BC78" i="42"/>
  <c r="BL76" i="42"/>
  <c r="BJ76" i="42"/>
  <c r="BK76" i="42"/>
  <c r="BI76" i="42"/>
  <c r="BG76" i="42"/>
  <c r="BE76" i="42"/>
  <c r="BH76" i="42"/>
  <c r="BF76" i="42"/>
  <c r="BC76" i="42"/>
  <c r="BK74" i="42"/>
  <c r="BJ74" i="42"/>
  <c r="BI74" i="42"/>
  <c r="BL74" i="42"/>
  <c r="BG74" i="42"/>
  <c r="BE74" i="42"/>
  <c r="BH74" i="42"/>
  <c r="BF74" i="42"/>
  <c r="BC74" i="42"/>
  <c r="BK72" i="42"/>
  <c r="BJ72" i="42"/>
  <c r="BL72" i="42"/>
  <c r="BI72" i="42"/>
  <c r="BG72" i="42"/>
  <c r="BE72" i="42"/>
  <c r="BH72" i="42"/>
  <c r="BF72" i="42"/>
  <c r="BC72" i="42"/>
  <c r="BK66" i="42"/>
  <c r="BK64" i="42"/>
  <c r="BL64" i="42"/>
  <c r="BK62" i="42"/>
  <c r="BJ62" i="42"/>
  <c r="BI62" i="42"/>
  <c r="BL62" i="42"/>
  <c r="BH62" i="42"/>
  <c r="BK60" i="42"/>
  <c r="BJ60" i="42"/>
  <c r="BL60" i="42"/>
  <c r="BI60" i="42"/>
  <c r="BG60" i="42"/>
  <c r="BE60" i="42"/>
  <c r="BH60" i="42"/>
  <c r="BF60" i="42"/>
  <c r="BK58" i="42"/>
  <c r="BJ58" i="42"/>
  <c r="BI58" i="42"/>
  <c r="BL58" i="42"/>
  <c r="BG58" i="42"/>
  <c r="BE58" i="42"/>
  <c r="BH58" i="42"/>
  <c r="BF58" i="42"/>
  <c r="BK56" i="42"/>
  <c r="BJ56" i="42"/>
  <c r="BL56" i="42"/>
  <c r="BI56" i="42"/>
  <c r="BG56" i="42"/>
  <c r="BF56" i="42"/>
  <c r="BC56" i="42"/>
  <c r="BK54" i="42"/>
  <c r="BJ54" i="42"/>
  <c r="BL54" i="42"/>
  <c r="BG54" i="42"/>
  <c r="BE54" i="42"/>
  <c r="BH54" i="42"/>
  <c r="BC54" i="42"/>
  <c r="BK52" i="42"/>
  <c r="BJ52" i="42"/>
  <c r="BL52" i="42"/>
  <c r="BG52" i="42"/>
  <c r="BE52" i="42"/>
  <c r="BH52" i="42"/>
  <c r="BC52" i="42"/>
  <c r="BK50" i="42"/>
  <c r="BJ50" i="42"/>
  <c r="BI50" i="42"/>
  <c r="BL50" i="42"/>
  <c r="BG50" i="42"/>
  <c r="BE50" i="42"/>
  <c r="BH50" i="42"/>
  <c r="BF50" i="42"/>
  <c r="BK48" i="42"/>
  <c r="BL48" i="42"/>
  <c r="BI48" i="42"/>
  <c r="BG48" i="42"/>
  <c r="BE48" i="42"/>
  <c r="BH48" i="42"/>
  <c r="BF48" i="42"/>
  <c r="BC48" i="42"/>
  <c r="BK46" i="42"/>
  <c r="BJ46" i="42"/>
  <c r="BI46" i="42"/>
  <c r="BL46" i="42"/>
  <c r="BG46" i="42"/>
  <c r="BE46" i="42"/>
  <c r="BC46" i="42"/>
  <c r="BK44" i="42"/>
  <c r="BJ44" i="42"/>
  <c r="BL44" i="42"/>
  <c r="BI44" i="42"/>
  <c r="BG44" i="42"/>
  <c r="BE44" i="42"/>
  <c r="BH44" i="42"/>
  <c r="BF44" i="42"/>
  <c r="BK42" i="42"/>
  <c r="BJ42" i="42"/>
  <c r="BI42" i="42"/>
  <c r="BL42" i="42"/>
  <c r="BG42" i="42"/>
  <c r="BE42" i="42"/>
  <c r="BH42" i="42"/>
  <c r="BC42" i="42"/>
  <c r="BK40" i="42"/>
  <c r="BJ40" i="42"/>
  <c r="BL40" i="42"/>
  <c r="BI40" i="42"/>
  <c r="BG40" i="42"/>
  <c r="BE40" i="42"/>
  <c r="BH40" i="42"/>
  <c r="BF40" i="42"/>
  <c r="BK38" i="42"/>
  <c r="BJ38" i="42"/>
  <c r="BI38" i="42"/>
  <c r="BL38" i="42"/>
  <c r="BG38" i="42"/>
  <c r="BE38" i="42"/>
  <c r="BH38" i="42"/>
  <c r="BF38" i="42"/>
  <c r="BK36" i="42"/>
  <c r="BJ36" i="42"/>
  <c r="BL36" i="42"/>
  <c r="BI36" i="42"/>
  <c r="BG36" i="42"/>
  <c r="BE36" i="42"/>
  <c r="BH36" i="42"/>
  <c r="BF36" i="42"/>
  <c r="BK34" i="42"/>
  <c r="BJ34" i="42"/>
  <c r="BI34" i="42"/>
  <c r="BL34" i="42"/>
  <c r="BG34" i="42"/>
  <c r="BE34" i="42"/>
  <c r="BH34" i="42"/>
  <c r="BC34" i="42"/>
  <c r="BK32" i="42"/>
  <c r="BJ32" i="42"/>
  <c r="BL32" i="42"/>
  <c r="BI32" i="42"/>
  <c r="BG32" i="42"/>
  <c r="BE32" i="42"/>
  <c r="BH32" i="42"/>
  <c r="BC32" i="42"/>
  <c r="BJ30" i="42"/>
  <c r="BI30" i="42"/>
  <c r="BL30" i="42"/>
  <c r="BG30" i="42"/>
  <c r="BE30" i="42"/>
  <c r="BH30" i="42"/>
  <c r="BF30" i="42"/>
  <c r="BC30" i="42"/>
  <c r="BK28" i="42"/>
  <c r="BJ28" i="42"/>
  <c r="BL28" i="42"/>
  <c r="BI28" i="42"/>
  <c r="BG28" i="42"/>
  <c r="BE28" i="42"/>
  <c r="BH28" i="42"/>
  <c r="BF28" i="42"/>
  <c r="BC28" i="42"/>
  <c r="BK26" i="42"/>
  <c r="BJ26" i="42"/>
  <c r="BI26" i="42"/>
  <c r="BL26" i="42"/>
  <c r="BG26" i="42"/>
  <c r="BE26" i="42"/>
  <c r="BH26" i="42"/>
  <c r="BF26" i="42"/>
  <c r="BC26" i="42"/>
  <c r="BK24" i="42"/>
  <c r="BJ24" i="42"/>
  <c r="BL24" i="42"/>
  <c r="BI24" i="42"/>
  <c r="BG24" i="42"/>
  <c r="BE24" i="42"/>
  <c r="BH24" i="42"/>
  <c r="BF24" i="42"/>
  <c r="BC24" i="42"/>
  <c r="BK22" i="42"/>
  <c r="BJ22" i="42"/>
  <c r="BI22" i="42"/>
  <c r="BL22" i="42"/>
  <c r="BG22" i="42"/>
  <c r="BE22" i="42"/>
  <c r="BH22" i="42"/>
  <c r="BF22" i="42"/>
  <c r="BC22" i="42"/>
  <c r="BK20" i="42"/>
  <c r="BJ20" i="42"/>
  <c r="BL20" i="42"/>
  <c r="BI20" i="42"/>
  <c r="BG20" i="42"/>
  <c r="BE20" i="42"/>
  <c r="BH20" i="42"/>
  <c r="BF20" i="42"/>
  <c r="BC20" i="42"/>
  <c r="BK18" i="42"/>
  <c r="BJ18" i="42"/>
  <c r="BI18" i="42"/>
  <c r="BL18" i="42"/>
  <c r="BG18" i="42"/>
  <c r="BE18" i="42"/>
  <c r="BH18" i="42"/>
  <c r="BF18" i="42"/>
  <c r="BC18" i="42"/>
  <c r="BK16" i="42"/>
  <c r="BJ16" i="42"/>
  <c r="BL16" i="42"/>
  <c r="BI16" i="42"/>
  <c r="BG16" i="42"/>
  <c r="BE16" i="42"/>
  <c r="BH16" i="42"/>
  <c r="BF16" i="42"/>
  <c r="BC16" i="42"/>
  <c r="BK14" i="42"/>
  <c r="BJ14" i="42"/>
  <c r="BI14" i="42"/>
  <c r="BL14" i="42"/>
  <c r="BG14" i="42"/>
  <c r="BE14" i="42"/>
  <c r="BH14" i="42"/>
  <c r="BF14" i="42"/>
  <c r="BC14" i="42"/>
  <c r="BK12" i="42"/>
  <c r="BJ12" i="42"/>
  <c r="BL12" i="42"/>
  <c r="BI12" i="42"/>
  <c r="BG12" i="42"/>
  <c r="BE12" i="42"/>
  <c r="BH12" i="42"/>
  <c r="BF12" i="42"/>
  <c r="BC12" i="42"/>
  <c r="BK10" i="42"/>
  <c r="BJ10" i="42"/>
  <c r="BI10" i="42"/>
  <c r="BL10" i="42"/>
  <c r="BG10" i="42"/>
  <c r="BE10" i="42"/>
  <c r="BH10" i="42"/>
  <c r="BF10" i="42"/>
  <c r="BC10" i="42"/>
  <c r="BK8" i="42"/>
  <c r="BI8" i="42"/>
  <c r="BQ8" i="42"/>
  <c r="BL8" i="42"/>
  <c r="BJ8" i="42"/>
  <c r="BR8" i="42"/>
  <c r="BH8" i="42"/>
  <c r="BG8" i="42"/>
  <c r="BF8" i="42"/>
  <c r="BF9" i="42" s="1"/>
  <c r="BE8" i="42"/>
  <c r="BC8" i="42"/>
  <c r="BL109" i="42"/>
  <c r="BJ109" i="42"/>
  <c r="BK109" i="42"/>
  <c r="BI109" i="42"/>
  <c r="BG109" i="42"/>
  <c r="BE109" i="42"/>
  <c r="BH109" i="42"/>
  <c r="BF109" i="42"/>
  <c r="BC109" i="42"/>
  <c r="BL107" i="42"/>
  <c r="BJ107" i="42"/>
  <c r="BK107" i="42"/>
  <c r="BI107" i="42"/>
  <c r="BG107" i="42"/>
  <c r="BE107" i="42"/>
  <c r="BH107" i="42"/>
  <c r="BF107" i="42"/>
  <c r="BC107" i="42"/>
  <c r="BL105" i="42"/>
  <c r="BJ105" i="42"/>
  <c r="BK105" i="42"/>
  <c r="BI105" i="42"/>
  <c r="BG105" i="42"/>
  <c r="BE105" i="42"/>
  <c r="BH105" i="42"/>
  <c r="BF105" i="42"/>
  <c r="BC105" i="42"/>
  <c r="BL103" i="42"/>
  <c r="BJ103" i="42"/>
  <c r="BK103" i="42"/>
  <c r="BI103" i="42"/>
  <c r="BG103" i="42"/>
  <c r="BE103" i="42"/>
  <c r="BH103" i="42"/>
  <c r="BF103" i="42"/>
  <c r="BC103" i="42"/>
  <c r="BL101" i="42"/>
  <c r="BJ101" i="42"/>
  <c r="BK101" i="42"/>
  <c r="BI101" i="42"/>
  <c r="BG101" i="42"/>
  <c r="BE101" i="42"/>
  <c r="BH101" i="42"/>
  <c r="BF101" i="42"/>
  <c r="BC101" i="42"/>
  <c r="BL99" i="42"/>
  <c r="BJ99" i="42"/>
  <c r="BK99" i="42"/>
  <c r="BI99" i="42"/>
  <c r="BG99" i="42"/>
  <c r="BE99" i="42"/>
  <c r="BH99" i="42"/>
  <c r="BF99" i="42"/>
  <c r="BC99" i="42"/>
  <c r="BL97" i="42"/>
  <c r="BJ97" i="42"/>
  <c r="BK97" i="42"/>
  <c r="BI97" i="42"/>
  <c r="BG97" i="42"/>
  <c r="BE97" i="42"/>
  <c r="BH97" i="42"/>
  <c r="BF97" i="42"/>
  <c r="BC97" i="42"/>
  <c r="BL95" i="42"/>
  <c r="BJ95" i="42"/>
  <c r="BK95" i="42"/>
  <c r="BI95" i="42"/>
  <c r="BG95" i="42"/>
  <c r="BE95" i="42"/>
  <c r="BH95" i="42"/>
  <c r="BF95" i="42"/>
  <c r="BC95" i="42"/>
  <c r="BL93" i="42"/>
  <c r="BJ93" i="42"/>
  <c r="BK93" i="42"/>
  <c r="BI93" i="42"/>
  <c r="BG93" i="42"/>
  <c r="BE93" i="42"/>
  <c r="BH93" i="42"/>
  <c r="BF93" i="42"/>
  <c r="BC93" i="42"/>
  <c r="BL91" i="42"/>
  <c r="BJ91" i="42"/>
  <c r="BK91" i="42"/>
  <c r="BI91" i="42"/>
  <c r="BG91" i="42"/>
  <c r="BE91" i="42"/>
  <c r="BH91" i="42"/>
  <c r="BF91" i="42"/>
  <c r="BC91" i="42"/>
  <c r="BL89" i="42"/>
  <c r="BJ89" i="42"/>
  <c r="BK89" i="42"/>
  <c r="BI89" i="42"/>
  <c r="BG89" i="42"/>
  <c r="BE89" i="42"/>
  <c r="BH89" i="42"/>
  <c r="BF89" i="42"/>
  <c r="BC89" i="42"/>
  <c r="BL87" i="42"/>
  <c r="BJ87" i="42"/>
  <c r="BK87" i="42"/>
  <c r="BI87" i="42"/>
  <c r="BG87" i="42"/>
  <c r="BE87" i="42"/>
  <c r="BH87" i="42"/>
  <c r="BF87" i="42"/>
  <c r="BC87" i="42"/>
  <c r="BL85" i="42"/>
  <c r="BJ85" i="42"/>
  <c r="BK85" i="42"/>
  <c r="BI85" i="42"/>
  <c r="BG85" i="42"/>
  <c r="BE85" i="42"/>
  <c r="BH85" i="42"/>
  <c r="BF85" i="42"/>
  <c r="BC85" i="42"/>
  <c r="BL83" i="42"/>
  <c r="BJ83" i="42"/>
  <c r="BK83" i="42"/>
  <c r="BI83" i="42"/>
  <c r="BG83" i="42"/>
  <c r="BE83" i="42"/>
  <c r="BH83" i="42"/>
  <c r="BF83" i="42"/>
  <c r="BC83" i="42"/>
  <c r="BL81" i="42"/>
  <c r="BJ81" i="42"/>
  <c r="BK81" i="42"/>
  <c r="BI81" i="42"/>
  <c r="BG81" i="42"/>
  <c r="BE81" i="42"/>
  <c r="BH81" i="42"/>
  <c r="BF81" i="42"/>
  <c r="BC81" i="42"/>
  <c r="BL79" i="42"/>
  <c r="BJ79" i="42"/>
  <c r="BK79" i="42"/>
  <c r="BI79" i="42"/>
  <c r="BG79" i="42"/>
  <c r="BE79" i="42"/>
  <c r="BH79" i="42"/>
  <c r="BF79" i="42"/>
  <c r="BC79" i="42"/>
  <c r="BL77" i="42"/>
  <c r="BJ77" i="42"/>
  <c r="BK77" i="42"/>
  <c r="BI77" i="42"/>
  <c r="BG77" i="42"/>
  <c r="BE77" i="42"/>
  <c r="BH77" i="42"/>
  <c r="BF77" i="42"/>
  <c r="BC77" i="42"/>
  <c r="BK75" i="42"/>
  <c r="BL75" i="42"/>
  <c r="BJ75" i="42"/>
  <c r="BI75" i="42"/>
  <c r="BG75" i="42"/>
  <c r="BE75" i="42"/>
  <c r="BH75" i="42"/>
  <c r="BF75" i="42"/>
  <c r="BC75" i="42"/>
  <c r="BK73" i="42"/>
  <c r="BL73" i="42"/>
  <c r="BJ73" i="42"/>
  <c r="BI73" i="42"/>
  <c r="BG73" i="42"/>
  <c r="BE73" i="42"/>
  <c r="BH73" i="42"/>
  <c r="BF73" i="42"/>
  <c r="BC73" i="42"/>
  <c r="BK67" i="42"/>
  <c r="BK65" i="42"/>
  <c r="BL65" i="42"/>
  <c r="BK63" i="42"/>
  <c r="BL63" i="42"/>
  <c r="BJ63" i="42"/>
  <c r="BI63" i="42"/>
  <c r="BK61" i="42"/>
  <c r="BL61" i="42"/>
  <c r="BJ61" i="42"/>
  <c r="BI61" i="42"/>
  <c r="BG61" i="42"/>
  <c r="BH61" i="42"/>
  <c r="BF61" i="42"/>
  <c r="BK59" i="42"/>
  <c r="BL59" i="42"/>
  <c r="BJ59" i="42"/>
  <c r="BI59" i="42"/>
  <c r="BG59" i="42"/>
  <c r="BE59" i="42"/>
  <c r="BH59" i="42"/>
  <c r="BF59" i="42"/>
  <c r="BK57" i="42"/>
  <c r="BL57" i="42"/>
  <c r="BJ57" i="42"/>
  <c r="BI57" i="42"/>
  <c r="BG57" i="42"/>
  <c r="BE57" i="42"/>
  <c r="BF57" i="42"/>
  <c r="BC57" i="42"/>
  <c r="BK55" i="42"/>
  <c r="BL55" i="42"/>
  <c r="BJ55" i="42"/>
  <c r="BG55" i="42"/>
  <c r="BE55" i="42"/>
  <c r="BH55" i="42"/>
  <c r="BC55" i="42"/>
  <c r="BK53" i="42"/>
  <c r="BL53" i="42"/>
  <c r="BJ53" i="42"/>
  <c r="BG53" i="42"/>
  <c r="BE53" i="42"/>
  <c r="BH53" i="42"/>
  <c r="BC53" i="42"/>
  <c r="BK51" i="42"/>
  <c r="BL51" i="42"/>
  <c r="BJ51" i="42"/>
  <c r="BI51" i="42"/>
  <c r="BG51" i="42"/>
  <c r="BE51" i="42"/>
  <c r="BH51" i="42"/>
  <c r="BK49" i="42"/>
  <c r="BL49" i="42"/>
  <c r="BI49" i="42"/>
  <c r="BG49" i="42"/>
  <c r="BE49" i="42"/>
  <c r="BH49" i="42"/>
  <c r="BF49" i="42"/>
  <c r="BC49" i="42"/>
  <c r="BK47" i="42"/>
  <c r="BL47" i="42"/>
  <c r="BJ47" i="42"/>
  <c r="BG47" i="42"/>
  <c r="BE47" i="42"/>
  <c r="BF47" i="42"/>
  <c r="BC47" i="42"/>
  <c r="BK45" i="42"/>
  <c r="BL45" i="42"/>
  <c r="BJ45" i="42"/>
  <c r="BI45" i="42"/>
  <c r="BG45" i="42"/>
  <c r="BE45" i="42"/>
  <c r="BH45" i="42"/>
  <c r="BC45" i="42"/>
  <c r="BK43" i="42"/>
  <c r="BL43" i="42"/>
  <c r="BJ43" i="42"/>
  <c r="BI43" i="42"/>
  <c r="BE43" i="42"/>
  <c r="BH43" i="42"/>
  <c r="BC43" i="42"/>
  <c r="BK41" i="42"/>
  <c r="BL41" i="42"/>
  <c r="BJ41" i="42"/>
  <c r="BI41" i="42"/>
  <c r="BG41" i="42"/>
  <c r="BE41" i="42"/>
  <c r="BH41" i="42"/>
  <c r="BC41" i="42"/>
  <c r="BK39" i="42"/>
  <c r="BL39" i="42"/>
  <c r="BJ39" i="42"/>
  <c r="BI39" i="42"/>
  <c r="BG39" i="42"/>
  <c r="BE39" i="42"/>
  <c r="BF39" i="42"/>
  <c r="BK37" i="42"/>
  <c r="BL37" i="42"/>
  <c r="BJ37" i="42"/>
  <c r="BI37" i="42"/>
  <c r="BG37" i="42"/>
  <c r="BE37" i="42"/>
  <c r="BH37" i="42"/>
  <c r="BK35" i="42"/>
  <c r="BL35" i="42"/>
  <c r="BJ35" i="42"/>
  <c r="BI35" i="42"/>
  <c r="BG35" i="42"/>
  <c r="BE35" i="42"/>
  <c r="BH35" i="42"/>
  <c r="BF35" i="42"/>
  <c r="BC35" i="42"/>
  <c r="BK33" i="42"/>
  <c r="BL33" i="42"/>
  <c r="BJ33" i="42"/>
  <c r="BI33" i="42"/>
  <c r="BG33" i="42"/>
  <c r="BE33" i="42"/>
  <c r="BH33" i="42"/>
  <c r="BC33" i="42"/>
  <c r="BL31" i="42"/>
  <c r="BJ31" i="42"/>
  <c r="BI31" i="42"/>
  <c r="BG31" i="42"/>
  <c r="BE31" i="42"/>
  <c r="BH31" i="42"/>
  <c r="BF31" i="42"/>
  <c r="BC31" i="42"/>
  <c r="BK29" i="42"/>
  <c r="BL29" i="42"/>
  <c r="BJ29" i="42"/>
  <c r="BI29" i="42"/>
  <c r="BG29" i="42"/>
  <c r="BE29" i="42"/>
  <c r="BH29" i="42"/>
  <c r="BF29" i="42"/>
  <c r="BC29" i="42"/>
  <c r="BK27" i="42"/>
  <c r="BL27" i="42"/>
  <c r="BJ27" i="42"/>
  <c r="BI27" i="42"/>
  <c r="BG27" i="42"/>
  <c r="BE27" i="42"/>
  <c r="BH27" i="42"/>
  <c r="BF27" i="42"/>
  <c r="BC27" i="42"/>
  <c r="BK25" i="42"/>
  <c r="BL25" i="42"/>
  <c r="BJ25" i="42"/>
  <c r="BI25" i="42"/>
  <c r="BG25" i="42"/>
  <c r="BE25" i="42"/>
  <c r="BH25" i="42"/>
  <c r="BF25" i="42"/>
  <c r="BC25" i="42"/>
  <c r="BK23" i="42"/>
  <c r="BL23" i="42"/>
  <c r="BJ23" i="42"/>
  <c r="BI23" i="42"/>
  <c r="BG23" i="42"/>
  <c r="BE23" i="42"/>
  <c r="BH23" i="42"/>
  <c r="BF23" i="42"/>
  <c r="BC23" i="42"/>
  <c r="BK21" i="42"/>
  <c r="BL21" i="42"/>
  <c r="BJ21" i="42"/>
  <c r="BI21" i="42"/>
  <c r="BG21" i="42"/>
  <c r="BE21" i="42"/>
  <c r="BH21" i="42"/>
  <c r="BF21" i="42"/>
  <c r="BC21" i="42"/>
  <c r="BK19" i="42"/>
  <c r="BL19" i="42"/>
  <c r="BJ19" i="42"/>
  <c r="BI19" i="42"/>
  <c r="BG19" i="42"/>
  <c r="BE19" i="42"/>
  <c r="BH19" i="42"/>
  <c r="BF19" i="42"/>
  <c r="BC19" i="42"/>
  <c r="BK17" i="42"/>
  <c r="BL17" i="42"/>
  <c r="BJ17" i="42"/>
  <c r="BI17" i="42"/>
  <c r="BG17" i="42"/>
  <c r="BE17" i="42"/>
  <c r="BH17" i="42"/>
  <c r="BF17" i="42"/>
  <c r="BC17" i="42"/>
  <c r="BK15" i="42"/>
  <c r="BL15" i="42"/>
  <c r="BJ15" i="42"/>
  <c r="BI15" i="42"/>
  <c r="BG15" i="42"/>
  <c r="BE15" i="42"/>
  <c r="BH15" i="42"/>
  <c r="BF15" i="42"/>
  <c r="BC15" i="42"/>
  <c r="BK13" i="42"/>
  <c r="BL13" i="42"/>
  <c r="BJ13" i="42"/>
  <c r="BI13" i="42"/>
  <c r="BG13" i="42"/>
  <c r="BE13" i="42"/>
  <c r="BH13" i="42"/>
  <c r="BF13" i="42"/>
  <c r="BC13" i="42"/>
  <c r="BK11" i="42"/>
  <c r="BL11" i="42"/>
  <c r="BJ11" i="42"/>
  <c r="BI11" i="42"/>
  <c r="BG11" i="42"/>
  <c r="BE11" i="42"/>
  <c r="BH11" i="42"/>
  <c r="BF11" i="42"/>
  <c r="BC11" i="42"/>
  <c r="BK9" i="42"/>
  <c r="BL9" i="42"/>
  <c r="BJ9" i="42"/>
  <c r="BI9" i="42"/>
  <c r="BG9" i="42"/>
  <c r="BE9" i="42"/>
  <c r="BH9" i="42"/>
  <c r="BC9" i="42"/>
  <c r="BJ71" i="42"/>
  <c r="BK71" i="42"/>
  <c r="BI71" i="42"/>
  <c r="BG71" i="42"/>
  <c r="BH71" i="42"/>
  <c r="BF71" i="42"/>
  <c r="BE71" i="42"/>
  <c r="BC71" i="42"/>
  <c r="BL70" i="42"/>
  <c r="BJ70" i="42"/>
  <c r="BK70" i="42"/>
  <c r="BI70" i="42"/>
  <c r="BG70" i="42"/>
  <c r="BE70" i="42"/>
  <c r="BH70" i="42"/>
  <c r="BF70" i="42"/>
  <c r="BC70" i="42"/>
  <c r="BL69" i="42"/>
  <c r="BJ69" i="42"/>
  <c r="BK69" i="42"/>
  <c r="BI69" i="42"/>
  <c r="BG69" i="42"/>
  <c r="BE69" i="42"/>
  <c r="BH69" i="42"/>
  <c r="BF69" i="42"/>
  <c r="BC69" i="42"/>
  <c r="BK68" i="42"/>
  <c r="BI68" i="42"/>
  <c r="BJ68" i="42"/>
  <c r="BL68" i="42"/>
  <c r="BG68" i="42"/>
  <c r="BE68" i="42"/>
  <c r="BH68" i="42"/>
  <c r="BF68" i="42"/>
  <c r="BC68" i="42"/>
  <c r="BI67" i="42"/>
  <c r="BJ67" i="42"/>
  <c r="BG67" i="42"/>
  <c r="BE67" i="42"/>
  <c r="BH67" i="42"/>
  <c r="BF67" i="42"/>
  <c r="BC67" i="42"/>
  <c r="BI66" i="42"/>
  <c r="BJ66" i="42"/>
  <c r="BG66" i="42"/>
  <c r="BE66" i="42"/>
  <c r="BH66" i="42"/>
  <c r="BF66" i="42"/>
  <c r="BC66" i="42"/>
  <c r="BI65" i="42"/>
  <c r="BH65" i="42"/>
  <c r="BF65" i="42"/>
  <c r="BG65" i="42"/>
  <c r="BE65" i="42"/>
  <c r="BC65" i="42"/>
  <c r="BI64" i="42"/>
  <c r="BG64" i="42"/>
  <c r="BE64" i="42"/>
  <c r="BH64" i="42"/>
  <c r="BF64" i="42"/>
  <c r="BC64" i="42"/>
  <c r="BH63" i="42"/>
  <c r="BF63" i="42"/>
  <c r="BE63" i="42"/>
  <c r="BC63" i="42"/>
  <c r="BE62" i="42"/>
  <c r="BF62" i="42"/>
  <c r="BC62" i="42"/>
  <c r="BC61" i="42"/>
  <c r="BC60" i="42"/>
  <c r="BC40" i="42"/>
  <c r="BC39" i="42"/>
  <c r="BC38" i="42"/>
  <c r="BC37" i="42"/>
  <c r="BC36" i="42"/>
  <c r="BH39" i="42" l="1"/>
  <c r="BE56" i="42"/>
  <c r="BH46" i="42"/>
  <c r="BG43" i="42"/>
  <c r="BJ48" i="42"/>
  <c r="BJ49" i="42" s="1"/>
  <c r="BI47" i="42"/>
  <c r="BH47" i="42"/>
  <c r="BD11" i="42"/>
  <c r="BD12" i="42" s="1"/>
  <c r="BD13" i="42" s="1"/>
  <c r="BO72" i="42"/>
  <c r="BO73" i="42" s="1"/>
  <c r="BM9" i="42"/>
  <c r="BP10" i="42"/>
  <c r="BH56" i="42"/>
  <c r="BH57" i="42" s="1"/>
  <c r="BN69" i="42"/>
  <c r="BN70" i="42" s="1"/>
  <c r="BE61" i="42"/>
  <c r="BF32" i="42"/>
  <c r="BI54" i="42"/>
  <c r="BI55" i="42" s="1"/>
  <c r="BL66" i="42"/>
  <c r="BK30" i="42"/>
  <c r="BG62" i="42"/>
  <c r="BC58" i="42"/>
  <c r="BC59" i="42" s="1"/>
  <c r="F9" i="45"/>
  <c r="E6" i="47" s="1"/>
  <c r="D89" i="47" l="1"/>
  <c r="L88" i="47"/>
  <c r="N147" i="47"/>
  <c r="BI52" i="42"/>
  <c r="BI53" i="42" s="1"/>
  <c r="BD14" i="42"/>
  <c r="I27" i="47"/>
  <c r="BP11" i="42"/>
  <c r="G91" i="47"/>
  <c r="N94" i="47"/>
  <c r="F144" i="47"/>
  <c r="N144" i="47"/>
  <c r="G144" i="47"/>
  <c r="E144" i="47"/>
  <c r="H144" i="47"/>
  <c r="H92" i="47"/>
  <c r="H97" i="47"/>
  <c r="C92" i="47"/>
  <c r="G95" i="47"/>
  <c r="H94" i="47"/>
  <c r="N89" i="47"/>
  <c r="G96" i="47"/>
  <c r="H93" i="47"/>
  <c r="J90" i="47"/>
  <c r="J148" i="47"/>
  <c r="C144" i="47"/>
  <c r="L144" i="47"/>
  <c r="K144" i="47"/>
  <c r="J144" i="47"/>
  <c r="D144" i="47"/>
  <c r="M144" i="47"/>
  <c r="J146" i="47"/>
  <c r="H149" i="47"/>
  <c r="L147" i="47"/>
  <c r="G149" i="47"/>
  <c r="I149" i="47" s="1"/>
  <c r="M96" i="47"/>
  <c r="N93" i="47"/>
  <c r="N95" i="47"/>
  <c r="C93" i="47"/>
  <c r="K90" i="47"/>
  <c r="E89" i="47"/>
  <c r="J91" i="47"/>
  <c r="K95" i="47"/>
  <c r="E94" i="47"/>
  <c r="L92" i="47"/>
  <c r="F91" i="47"/>
  <c r="M89" i="47"/>
  <c r="G97" i="47"/>
  <c r="BM68" i="42"/>
  <c r="D96" i="47"/>
  <c r="K94" i="47"/>
  <c r="E93" i="47"/>
  <c r="K96" i="47"/>
  <c r="E95" i="47"/>
  <c r="L93" i="47"/>
  <c r="F92" i="47"/>
  <c r="C91" i="47"/>
  <c r="F90" i="47"/>
  <c r="J89" i="47"/>
  <c r="M97" i="47"/>
  <c r="D97" i="47"/>
  <c r="L96" i="47"/>
  <c r="C96" i="47"/>
  <c r="F95" i="47"/>
  <c r="J94" i="47"/>
  <c r="M93" i="47"/>
  <c r="D93" i="47"/>
  <c r="G92" i="47"/>
  <c r="I92" i="47" s="1"/>
  <c r="K91" i="47"/>
  <c r="N90" i="47"/>
  <c r="E90" i="47"/>
  <c r="H89" i="47"/>
  <c r="L97" i="47"/>
  <c r="C97" i="47"/>
  <c r="H96" i="47"/>
  <c r="L95" i="47"/>
  <c r="C95" i="47"/>
  <c r="F94" i="47"/>
  <c r="J93" i="47"/>
  <c r="M92" i="47"/>
  <c r="D92" i="47"/>
  <c r="F96" i="47"/>
  <c r="J95" i="47"/>
  <c r="M94" i="47"/>
  <c r="D94" i="47"/>
  <c r="G93" i="47"/>
  <c r="K92" i="47"/>
  <c r="N91" i="47"/>
  <c r="E91" i="47"/>
  <c r="M90" i="47"/>
  <c r="O90" i="47" s="1"/>
  <c r="H90" i="47"/>
  <c r="D90" i="47"/>
  <c r="L89" i="47"/>
  <c r="G89" i="47"/>
  <c r="I89" i="47" s="1"/>
  <c r="C89" i="47"/>
  <c r="K97" i="47"/>
  <c r="F97" i="47"/>
  <c r="L91" i="47"/>
  <c r="N96" i="47"/>
  <c r="J96" i="47"/>
  <c r="E96" i="47"/>
  <c r="M95" i="47"/>
  <c r="H95" i="47"/>
  <c r="D95" i="47"/>
  <c r="L94" i="47"/>
  <c r="G94" i="47"/>
  <c r="I94" i="47" s="1"/>
  <c r="C94" i="47"/>
  <c r="K93" i="47"/>
  <c r="F93" i="47"/>
  <c r="N92" i="47"/>
  <c r="J92" i="47"/>
  <c r="E92" i="47"/>
  <c r="M91" i="47"/>
  <c r="H91" i="47"/>
  <c r="D91" i="47"/>
  <c r="L90" i="47"/>
  <c r="G90" i="47"/>
  <c r="C90" i="47"/>
  <c r="K89" i="47"/>
  <c r="F89" i="47"/>
  <c r="N97" i="47"/>
  <c r="J97" i="47"/>
  <c r="E97" i="47"/>
  <c r="C88" i="47"/>
  <c r="N88" i="47"/>
  <c r="C148" i="47"/>
  <c r="E149" i="47"/>
  <c r="F146" i="47"/>
  <c r="D147" i="47"/>
  <c r="H146" i="47"/>
  <c r="N145" i="47"/>
  <c r="L148" i="47"/>
  <c r="F147" i="47"/>
  <c r="N149" i="47"/>
  <c r="H148" i="47"/>
  <c r="C147" i="47"/>
  <c r="F149" i="47"/>
  <c r="M147" i="47"/>
  <c r="G146" i="47"/>
  <c r="E88" i="47"/>
  <c r="F88" i="47"/>
  <c r="H88" i="47"/>
  <c r="J88" i="47"/>
  <c r="K88" i="47"/>
  <c r="D88" i="47"/>
  <c r="M88" i="47"/>
  <c r="G88" i="47"/>
  <c r="BN74" i="42"/>
  <c r="N241" i="47" s="1"/>
  <c r="BK31" i="42"/>
  <c r="L192" i="47" s="1"/>
  <c r="C145" i="47"/>
  <c r="L145" i="47"/>
  <c r="F145" i="47"/>
  <c r="J145" i="47"/>
  <c r="D145" i="47"/>
  <c r="M145" i="47"/>
  <c r="D146" i="47"/>
  <c r="M146" i="47"/>
  <c r="J147" i="47"/>
  <c r="F148" i="47"/>
  <c r="C149" i="47"/>
  <c r="L149" i="47"/>
  <c r="M149" i="47"/>
  <c r="D149" i="47"/>
  <c r="G148" i="47"/>
  <c r="K147" i="47"/>
  <c r="N146" i="47"/>
  <c r="E146" i="47"/>
  <c r="J149" i="47"/>
  <c r="M148" i="47"/>
  <c r="D148" i="47"/>
  <c r="G147" i="47"/>
  <c r="K146" i="47"/>
  <c r="K149" i="47"/>
  <c r="N148" i="47"/>
  <c r="E148" i="47"/>
  <c r="H147" i="47"/>
  <c r="L146" i="47"/>
  <c r="C146" i="47"/>
  <c r="K148" i="47"/>
  <c r="E147" i="47"/>
  <c r="H145" i="47"/>
  <c r="E145" i="47"/>
  <c r="K145" i="47"/>
  <c r="G145" i="47"/>
  <c r="BG63" i="42"/>
  <c r="K128" i="47" s="1"/>
  <c r="BF33" i="42"/>
  <c r="BF34" i="42" s="1"/>
  <c r="BL67" i="42"/>
  <c r="F4" i="46"/>
  <c r="F3" i="46"/>
  <c r="C4" i="46"/>
  <c r="C3" i="46"/>
  <c r="G2" i="46"/>
  <c r="F2" i="46"/>
  <c r="AV9" i="42"/>
  <c r="AV10" i="42"/>
  <c r="AV11" i="42"/>
  <c r="AV12" i="42"/>
  <c r="AV13" i="42"/>
  <c r="AV14" i="42"/>
  <c r="AV15" i="42"/>
  <c r="AV16" i="42"/>
  <c r="AV17" i="42"/>
  <c r="AV18" i="42"/>
  <c r="AV19" i="42"/>
  <c r="AV20" i="42"/>
  <c r="AV21" i="42"/>
  <c r="AV22" i="42"/>
  <c r="AV23" i="42"/>
  <c r="AV24" i="42"/>
  <c r="AV25" i="42"/>
  <c r="AV26" i="42"/>
  <c r="AV27" i="42"/>
  <c r="AV28" i="42"/>
  <c r="AV29" i="42"/>
  <c r="AV30" i="42"/>
  <c r="AV31" i="42"/>
  <c r="AV32" i="42"/>
  <c r="AV33" i="42"/>
  <c r="AV34" i="42"/>
  <c r="AV35" i="42"/>
  <c r="AV36" i="42"/>
  <c r="AV37" i="42"/>
  <c r="AV38" i="42"/>
  <c r="AV39" i="42"/>
  <c r="AV40" i="42"/>
  <c r="AV41" i="42"/>
  <c r="AV42" i="42"/>
  <c r="AV43" i="42"/>
  <c r="AV44" i="42"/>
  <c r="AV45" i="42"/>
  <c r="AV46" i="42"/>
  <c r="AV47" i="42"/>
  <c r="AV48" i="42"/>
  <c r="AV49" i="42"/>
  <c r="AV50" i="42"/>
  <c r="AV51" i="42"/>
  <c r="AV52" i="42"/>
  <c r="AV53" i="42"/>
  <c r="AV54" i="42"/>
  <c r="AV55" i="42"/>
  <c r="AV56" i="42"/>
  <c r="AV57" i="42"/>
  <c r="AV58" i="42"/>
  <c r="AV59" i="42"/>
  <c r="AV60" i="42"/>
  <c r="AV61" i="42"/>
  <c r="AV62" i="42"/>
  <c r="AV63" i="42"/>
  <c r="AV64" i="42"/>
  <c r="AV65" i="42"/>
  <c r="AV66" i="42"/>
  <c r="AV67" i="42"/>
  <c r="AV68" i="42"/>
  <c r="AV69" i="42"/>
  <c r="AV70" i="42"/>
  <c r="AV71" i="42"/>
  <c r="AV72" i="42"/>
  <c r="AV73" i="42"/>
  <c r="AV74" i="42"/>
  <c r="AV75" i="42"/>
  <c r="AV76" i="42"/>
  <c r="AV77" i="42"/>
  <c r="AV78" i="42"/>
  <c r="AV79" i="42"/>
  <c r="AV80" i="42"/>
  <c r="AV81" i="42"/>
  <c r="AV82" i="42"/>
  <c r="AV83" i="42"/>
  <c r="AV84" i="42"/>
  <c r="AV85" i="42"/>
  <c r="AV86" i="42"/>
  <c r="AV87" i="42"/>
  <c r="AV88" i="42"/>
  <c r="AV89" i="42"/>
  <c r="AV90" i="42"/>
  <c r="AV91" i="42"/>
  <c r="AV92" i="42"/>
  <c r="AV93" i="42"/>
  <c r="AV94" i="42"/>
  <c r="AV95" i="42"/>
  <c r="AV96" i="42"/>
  <c r="AV97" i="42"/>
  <c r="AV98" i="42"/>
  <c r="AV99" i="42"/>
  <c r="AV100" i="42"/>
  <c r="AV101" i="42"/>
  <c r="AV102" i="42"/>
  <c r="AV103" i="42"/>
  <c r="AV104" i="42"/>
  <c r="AV105" i="42"/>
  <c r="AV106" i="42"/>
  <c r="AV107" i="42"/>
  <c r="AV108" i="42"/>
  <c r="AV109" i="42"/>
  <c r="AV110" i="42"/>
  <c r="AV111" i="42"/>
  <c r="AV8" i="42"/>
  <c r="AS12" i="42"/>
  <c r="AS8" i="42"/>
  <c r="AR8" i="42" s="1"/>
  <c r="AS9" i="42"/>
  <c r="AT9" i="42"/>
  <c r="AU9" i="42"/>
  <c r="AS10" i="42"/>
  <c r="AT10" i="42"/>
  <c r="AU10" i="42"/>
  <c r="AS11" i="42"/>
  <c r="AT11" i="42"/>
  <c r="AU11" i="42"/>
  <c r="AT12" i="42"/>
  <c r="AU12" i="42"/>
  <c r="AS13" i="42"/>
  <c r="AR13" i="42" s="1"/>
  <c r="AT13" i="42"/>
  <c r="AU13" i="42"/>
  <c r="AS14" i="42"/>
  <c r="AT14" i="42"/>
  <c r="AU14" i="42"/>
  <c r="AS15" i="42"/>
  <c r="AR15" i="42" s="1"/>
  <c r="AT15" i="42"/>
  <c r="AU15" i="42"/>
  <c r="AS16" i="42"/>
  <c r="AT16" i="42"/>
  <c r="AU16" i="42"/>
  <c r="AS17" i="42"/>
  <c r="AR17" i="42" s="1"/>
  <c r="AT17" i="42"/>
  <c r="AU17" i="42"/>
  <c r="AS18" i="42"/>
  <c r="AR18" i="42" s="1"/>
  <c r="AT18" i="42"/>
  <c r="AU18" i="42"/>
  <c r="AS19" i="42"/>
  <c r="AR19" i="42" s="1"/>
  <c r="AT19" i="42"/>
  <c r="AU19" i="42"/>
  <c r="AS20" i="42"/>
  <c r="AR20" i="42" s="1"/>
  <c r="AT20" i="42"/>
  <c r="AU20" i="42"/>
  <c r="AS21" i="42"/>
  <c r="AR21" i="42" s="1"/>
  <c r="AT21" i="42"/>
  <c r="AU21" i="42"/>
  <c r="AS22" i="42"/>
  <c r="AR22" i="42" s="1"/>
  <c r="AT22" i="42"/>
  <c r="AU22" i="42"/>
  <c r="AS23" i="42"/>
  <c r="AR23" i="42" s="1"/>
  <c r="AT23" i="42"/>
  <c r="AU23" i="42"/>
  <c r="AS24" i="42"/>
  <c r="AT24" i="42"/>
  <c r="AU24" i="42"/>
  <c r="AS25" i="42"/>
  <c r="AR25" i="42" s="1"/>
  <c r="AT25" i="42"/>
  <c r="AU25" i="42"/>
  <c r="AS26" i="42"/>
  <c r="AR26" i="42" s="1"/>
  <c r="AT26" i="42"/>
  <c r="AU26" i="42"/>
  <c r="AS27" i="42"/>
  <c r="AR27" i="42" s="1"/>
  <c r="AT27" i="42"/>
  <c r="AU27" i="42"/>
  <c r="AS28" i="42"/>
  <c r="AR28" i="42" s="1"/>
  <c r="AT28" i="42"/>
  <c r="AU28" i="42"/>
  <c r="AS29" i="42"/>
  <c r="AR29" i="42" s="1"/>
  <c r="AT29" i="42"/>
  <c r="AU29" i="42"/>
  <c r="AS30" i="42"/>
  <c r="AR30" i="42" s="1"/>
  <c r="AT30" i="42"/>
  <c r="AU30" i="42"/>
  <c r="AS31" i="42"/>
  <c r="AT31" i="42"/>
  <c r="AU31" i="42"/>
  <c r="AS32" i="42"/>
  <c r="AR32" i="42" s="1"/>
  <c r="AT32" i="42"/>
  <c r="AU32" i="42"/>
  <c r="AS33" i="42"/>
  <c r="AT33" i="42"/>
  <c r="AU33" i="42"/>
  <c r="AS34" i="42"/>
  <c r="AT34" i="42"/>
  <c r="AU34" i="42"/>
  <c r="AS35" i="42"/>
  <c r="AT35" i="42"/>
  <c r="AU35" i="42"/>
  <c r="AS36" i="42"/>
  <c r="AT36" i="42"/>
  <c r="AU36" i="42"/>
  <c r="AS37" i="42"/>
  <c r="AR37" i="42" s="1"/>
  <c r="AT37" i="42"/>
  <c r="AU37" i="42"/>
  <c r="AS38" i="42"/>
  <c r="AR38" i="42" s="1"/>
  <c r="AT38" i="42"/>
  <c r="AU38" i="42"/>
  <c r="AS39" i="42"/>
  <c r="AR39" i="42" s="1"/>
  <c r="AT39" i="42"/>
  <c r="AU39" i="42"/>
  <c r="AS40" i="42"/>
  <c r="AR40" i="42" s="1"/>
  <c r="AT40" i="42"/>
  <c r="AU40" i="42"/>
  <c r="AS41" i="42"/>
  <c r="AR41" i="42" s="1"/>
  <c r="AT41" i="42"/>
  <c r="AU41" i="42"/>
  <c r="AS42" i="42"/>
  <c r="AT42" i="42"/>
  <c r="AU42" i="42"/>
  <c r="AS43" i="42"/>
  <c r="AT43" i="42"/>
  <c r="AU43" i="42"/>
  <c r="AS44" i="42"/>
  <c r="AR44" i="42" s="1"/>
  <c r="AT44" i="42"/>
  <c r="AU44" i="42"/>
  <c r="AS45" i="42"/>
  <c r="AR45" i="42" s="1"/>
  <c r="AT45" i="42"/>
  <c r="AU45" i="42"/>
  <c r="AS46" i="42"/>
  <c r="AR46" i="42" s="1"/>
  <c r="AT46" i="42"/>
  <c r="AU46" i="42"/>
  <c r="AS47" i="42"/>
  <c r="AR47" i="42" s="1"/>
  <c r="AT47" i="42"/>
  <c r="AU47" i="42"/>
  <c r="AS48" i="42"/>
  <c r="AR48" i="42" s="1"/>
  <c r="AT48" i="42"/>
  <c r="AU48" i="42"/>
  <c r="AS49" i="42"/>
  <c r="AR49" i="42" s="1"/>
  <c r="AT49" i="42"/>
  <c r="AU49" i="42"/>
  <c r="AS50" i="42"/>
  <c r="AT50" i="42"/>
  <c r="AU50" i="42"/>
  <c r="AS51" i="42"/>
  <c r="AR51" i="42" s="1"/>
  <c r="AT51" i="42"/>
  <c r="AU51" i="42"/>
  <c r="AS52" i="42"/>
  <c r="AT52" i="42"/>
  <c r="AU52" i="42"/>
  <c r="AS53" i="42"/>
  <c r="AT53" i="42"/>
  <c r="AU53" i="42"/>
  <c r="AS54" i="42"/>
  <c r="AR54" i="42" s="1"/>
  <c r="AT54" i="42"/>
  <c r="AU54" i="42"/>
  <c r="AS55" i="42"/>
  <c r="AT55" i="42"/>
  <c r="AU55" i="42"/>
  <c r="AS56" i="42"/>
  <c r="AR56" i="42" s="1"/>
  <c r="AT56" i="42"/>
  <c r="AU56" i="42"/>
  <c r="AS57" i="42"/>
  <c r="AT57" i="42"/>
  <c r="AU57" i="42"/>
  <c r="AS58" i="42"/>
  <c r="AR58" i="42" s="1"/>
  <c r="AT58" i="42"/>
  <c r="AU58" i="42"/>
  <c r="AS59" i="42"/>
  <c r="AT59" i="42"/>
  <c r="AU59" i="42"/>
  <c r="AS60" i="42"/>
  <c r="AT60" i="42"/>
  <c r="AU60" i="42"/>
  <c r="AS61" i="42"/>
  <c r="AT61" i="42"/>
  <c r="AU61" i="42"/>
  <c r="AS62" i="42"/>
  <c r="AR62" i="42" s="1"/>
  <c r="AT62" i="42"/>
  <c r="AU62" i="42"/>
  <c r="AS63" i="42"/>
  <c r="AT63" i="42"/>
  <c r="AU63" i="42"/>
  <c r="AS64" i="42"/>
  <c r="AR64" i="42" s="1"/>
  <c r="AT64" i="42"/>
  <c r="AU64" i="42"/>
  <c r="AS65" i="42"/>
  <c r="AT65" i="42"/>
  <c r="AU65" i="42"/>
  <c r="AS66" i="42"/>
  <c r="AR66" i="42" s="1"/>
  <c r="AT66" i="42"/>
  <c r="AU66" i="42"/>
  <c r="AS67" i="42"/>
  <c r="AR67" i="42" s="1"/>
  <c r="AT67" i="42"/>
  <c r="AU67" i="42"/>
  <c r="AS68" i="42"/>
  <c r="AR68" i="42" s="1"/>
  <c r="AT68" i="42"/>
  <c r="AU68" i="42"/>
  <c r="AS69" i="42"/>
  <c r="AR69" i="42" s="1"/>
  <c r="AT69" i="42"/>
  <c r="AU69" i="42"/>
  <c r="AS70" i="42"/>
  <c r="AR70" i="42" s="1"/>
  <c r="AT70" i="42"/>
  <c r="AU70" i="42"/>
  <c r="AS71" i="42"/>
  <c r="AR71" i="42" s="1"/>
  <c r="AT71" i="42"/>
  <c r="AU71" i="42"/>
  <c r="AS72" i="42"/>
  <c r="AR72" i="42" s="1"/>
  <c r="AT72" i="42"/>
  <c r="AU72" i="42"/>
  <c r="AS73" i="42"/>
  <c r="AR73" i="42" s="1"/>
  <c r="AT73" i="42"/>
  <c r="AU73" i="42"/>
  <c r="AS74" i="42"/>
  <c r="AR74" i="42" s="1"/>
  <c r="AT74" i="42"/>
  <c r="AU74" i="42"/>
  <c r="AS75" i="42"/>
  <c r="AR75" i="42" s="1"/>
  <c r="AT75" i="42"/>
  <c r="AU75" i="42"/>
  <c r="AS76" i="42"/>
  <c r="AR76" i="42" s="1"/>
  <c r="AT76" i="42"/>
  <c r="AU76" i="42"/>
  <c r="AS77" i="42"/>
  <c r="AR77" i="42" s="1"/>
  <c r="AT77" i="42"/>
  <c r="AU77" i="42"/>
  <c r="AS78" i="42"/>
  <c r="AR78" i="42" s="1"/>
  <c r="AT78" i="42"/>
  <c r="AU78" i="42"/>
  <c r="AS79" i="42"/>
  <c r="AR79" i="42" s="1"/>
  <c r="AT79" i="42"/>
  <c r="AU79" i="42"/>
  <c r="AS80" i="42"/>
  <c r="AR80" i="42" s="1"/>
  <c r="AT80" i="42"/>
  <c r="AU80" i="42"/>
  <c r="AS81" i="42"/>
  <c r="AR81" i="42" s="1"/>
  <c r="AT81" i="42"/>
  <c r="AU81" i="42"/>
  <c r="AS82" i="42"/>
  <c r="AR82" i="42" s="1"/>
  <c r="AT82" i="42"/>
  <c r="AU82" i="42"/>
  <c r="AS83" i="42"/>
  <c r="AR83" i="42" s="1"/>
  <c r="AT83" i="42"/>
  <c r="AU83" i="42"/>
  <c r="AS84" i="42"/>
  <c r="AR84" i="42" s="1"/>
  <c r="AT84" i="42"/>
  <c r="AU84" i="42"/>
  <c r="AS85" i="42"/>
  <c r="AR85" i="42" s="1"/>
  <c r="AT85" i="42"/>
  <c r="AU85" i="42"/>
  <c r="AS86" i="42"/>
  <c r="AR86" i="42" s="1"/>
  <c r="AT86" i="42"/>
  <c r="AU86" i="42"/>
  <c r="AS87" i="42"/>
  <c r="AR87" i="42" s="1"/>
  <c r="AT87" i="42"/>
  <c r="AU87" i="42"/>
  <c r="AS88" i="42"/>
  <c r="AR88" i="42" s="1"/>
  <c r="AT88" i="42"/>
  <c r="AU88" i="42"/>
  <c r="AS89" i="42"/>
  <c r="AR89" i="42" s="1"/>
  <c r="AT89" i="42"/>
  <c r="AU89" i="42"/>
  <c r="AS90" i="42"/>
  <c r="AR90" i="42" s="1"/>
  <c r="AT90" i="42"/>
  <c r="AU90" i="42"/>
  <c r="AS91" i="42"/>
  <c r="AR91" i="42" s="1"/>
  <c r="AT91" i="42"/>
  <c r="AU91" i="42"/>
  <c r="AS92" i="42"/>
  <c r="AR92" i="42" s="1"/>
  <c r="AT92" i="42"/>
  <c r="AU92" i="42"/>
  <c r="AS93" i="42"/>
  <c r="AR93" i="42" s="1"/>
  <c r="AT93" i="42"/>
  <c r="AU93" i="42"/>
  <c r="AS94" i="42"/>
  <c r="AR94" i="42" s="1"/>
  <c r="AT94" i="42"/>
  <c r="AU94" i="42"/>
  <c r="AS95" i="42"/>
  <c r="AR95" i="42" s="1"/>
  <c r="AT95" i="42"/>
  <c r="AU95" i="42"/>
  <c r="AS96" i="42"/>
  <c r="AR96" i="42" s="1"/>
  <c r="AT96" i="42"/>
  <c r="AU96" i="42"/>
  <c r="AS97" i="42"/>
  <c r="AR97" i="42" s="1"/>
  <c r="AT97" i="42"/>
  <c r="AU97" i="42"/>
  <c r="AS98" i="42"/>
  <c r="AR98" i="42" s="1"/>
  <c r="AT98" i="42"/>
  <c r="AU98" i="42"/>
  <c r="AS99" i="42"/>
  <c r="AR99" i="42" s="1"/>
  <c r="AT99" i="42"/>
  <c r="AU99" i="42"/>
  <c r="AS100" i="42"/>
  <c r="AR100" i="42" s="1"/>
  <c r="AT100" i="42"/>
  <c r="AU100" i="42"/>
  <c r="AS101" i="42"/>
  <c r="AR101" i="42" s="1"/>
  <c r="AT101" i="42"/>
  <c r="AU101" i="42"/>
  <c r="AS102" i="42"/>
  <c r="AR102" i="42" s="1"/>
  <c r="AT102" i="42"/>
  <c r="AU102" i="42"/>
  <c r="AS103" i="42"/>
  <c r="AR103" i="42" s="1"/>
  <c r="AT103" i="42"/>
  <c r="AU103" i="42"/>
  <c r="AS104" i="42"/>
  <c r="AR104" i="42" s="1"/>
  <c r="AT104" i="42"/>
  <c r="AU104" i="42"/>
  <c r="AS105" i="42"/>
  <c r="AR105" i="42" s="1"/>
  <c r="AT105" i="42"/>
  <c r="AU105" i="42"/>
  <c r="AS106" i="42"/>
  <c r="AR106" i="42" s="1"/>
  <c r="AT106" i="42"/>
  <c r="AU106" i="42"/>
  <c r="AS107" i="42"/>
  <c r="AR107" i="42" s="1"/>
  <c r="AT107" i="42"/>
  <c r="AU107" i="42"/>
  <c r="AS108" i="42"/>
  <c r="AR108" i="42" s="1"/>
  <c r="AT108" i="42"/>
  <c r="AU108" i="42"/>
  <c r="AS109" i="42"/>
  <c r="AR109" i="42" s="1"/>
  <c r="AT109" i="42"/>
  <c r="AU109" i="42"/>
  <c r="AS110" i="42"/>
  <c r="AR110" i="42" s="1"/>
  <c r="AT110" i="42"/>
  <c r="AU110" i="42"/>
  <c r="AS111" i="42"/>
  <c r="AT111" i="42"/>
  <c r="AT8" i="42"/>
  <c r="AU8" i="42"/>
  <c r="I90" i="47" l="1"/>
  <c r="H158" i="47"/>
  <c r="N158" i="47"/>
  <c r="L158" i="47"/>
  <c r="C158" i="47"/>
  <c r="F158" i="47"/>
  <c r="D158" i="47"/>
  <c r="J158" i="47"/>
  <c r="K158" i="47"/>
  <c r="E158" i="47"/>
  <c r="M159" i="47"/>
  <c r="G158" i="47"/>
  <c r="M158" i="47"/>
  <c r="L159" i="47"/>
  <c r="D159" i="47"/>
  <c r="N159" i="47"/>
  <c r="G159" i="47"/>
  <c r="BF37" i="42"/>
  <c r="O147" i="47"/>
  <c r="I91" i="47"/>
  <c r="K159" i="47"/>
  <c r="J159" i="47"/>
  <c r="C159" i="47"/>
  <c r="H159" i="47"/>
  <c r="E159" i="47"/>
  <c r="F159" i="47"/>
  <c r="AR9" i="42"/>
  <c r="E161" i="47"/>
  <c r="H162" i="47"/>
  <c r="F162" i="47"/>
  <c r="D161" i="47"/>
  <c r="J164" i="47"/>
  <c r="L164" i="47"/>
  <c r="L165" i="47"/>
  <c r="G161" i="47"/>
  <c r="C160" i="47"/>
  <c r="C162" i="47"/>
  <c r="C164" i="47"/>
  <c r="H160" i="47"/>
  <c r="J161" i="47"/>
  <c r="K162" i="47"/>
  <c r="L163" i="47"/>
  <c r="M164" i="47"/>
  <c r="N165" i="47"/>
  <c r="F163" i="47"/>
  <c r="L160" i="47"/>
  <c r="N162" i="47"/>
  <c r="H165" i="47"/>
  <c r="D162" i="47"/>
  <c r="J160" i="47"/>
  <c r="L162" i="47"/>
  <c r="N164" i="47"/>
  <c r="K165" i="47"/>
  <c r="N160" i="47"/>
  <c r="M165" i="47"/>
  <c r="H161" i="47"/>
  <c r="F160" i="47"/>
  <c r="N163" i="47"/>
  <c r="L161" i="47"/>
  <c r="E164" i="47"/>
  <c r="E160" i="47"/>
  <c r="E165" i="47"/>
  <c r="K164" i="47"/>
  <c r="J162" i="47"/>
  <c r="G162" i="47"/>
  <c r="I162" i="47" s="1"/>
  <c r="D165" i="47"/>
  <c r="G160" i="47"/>
  <c r="J163" i="47"/>
  <c r="E163" i="47"/>
  <c r="C161" i="47"/>
  <c r="C163" i="47"/>
  <c r="C165" i="47"/>
  <c r="M160" i="47"/>
  <c r="N161" i="47"/>
  <c r="G163" i="47"/>
  <c r="H164" i="47"/>
  <c r="J165" i="47"/>
  <c r="F161" i="47"/>
  <c r="F165" i="47"/>
  <c r="M161" i="47"/>
  <c r="G164" i="47"/>
  <c r="D160" i="47"/>
  <c r="D164" i="47"/>
  <c r="K161" i="47"/>
  <c r="M163" i="47"/>
  <c r="H163" i="47"/>
  <c r="D163" i="47"/>
  <c r="K163" i="47"/>
  <c r="F164" i="47"/>
  <c r="G165" i="47"/>
  <c r="I165" i="47" s="1"/>
  <c r="M162" i="47"/>
  <c r="O162" i="47" s="1"/>
  <c r="K160" i="47"/>
  <c r="E162" i="47"/>
  <c r="AR10" i="42"/>
  <c r="AR11" i="42" s="1"/>
  <c r="D190" i="47"/>
  <c r="E190" i="47"/>
  <c r="J190" i="47"/>
  <c r="M190" i="47"/>
  <c r="K190" i="47"/>
  <c r="N190" i="47"/>
  <c r="D128" i="47"/>
  <c r="J128" i="47"/>
  <c r="F190" i="47"/>
  <c r="G190" i="47"/>
  <c r="H190" i="47"/>
  <c r="L190" i="47"/>
  <c r="C190" i="47"/>
  <c r="G128" i="47"/>
  <c r="M128" i="47"/>
  <c r="F128" i="47"/>
  <c r="C128" i="47"/>
  <c r="L128" i="47"/>
  <c r="H128" i="47"/>
  <c r="E128" i="47"/>
  <c r="N128" i="47"/>
  <c r="O128" i="47" s="1"/>
  <c r="BD15" i="42"/>
  <c r="BD16" i="42" s="1"/>
  <c r="P88" i="47"/>
  <c r="P89" i="47" s="1"/>
  <c r="P90" i="47" s="1"/>
  <c r="P91" i="47" s="1"/>
  <c r="P92" i="47" s="1"/>
  <c r="P93" i="47" s="1"/>
  <c r="P94" i="47" s="1"/>
  <c r="P95" i="47" s="1"/>
  <c r="P96" i="47" s="1"/>
  <c r="P97" i="47" s="1"/>
  <c r="G98" i="47"/>
  <c r="P144" i="47"/>
  <c r="P145" i="47" s="1"/>
  <c r="P146" i="47" s="1"/>
  <c r="P147" i="47" s="1"/>
  <c r="P148" i="47" s="1"/>
  <c r="P149" i="47" s="1"/>
  <c r="G150" i="47"/>
  <c r="I144" i="47"/>
  <c r="O95" i="47"/>
  <c r="O89" i="47"/>
  <c r="BP12" i="42"/>
  <c r="BP13" i="42" s="1"/>
  <c r="I95" i="47"/>
  <c r="BM71" i="42"/>
  <c r="O94" i="47"/>
  <c r="G240" i="47"/>
  <c r="L239" i="47"/>
  <c r="M240" i="47"/>
  <c r="D239" i="47"/>
  <c r="F240" i="47"/>
  <c r="L240" i="47"/>
  <c r="N240" i="47"/>
  <c r="K240" i="47"/>
  <c r="F239" i="47"/>
  <c r="J239" i="47"/>
  <c r="M239" i="47"/>
  <c r="J240" i="47"/>
  <c r="H240" i="47"/>
  <c r="E240" i="47"/>
  <c r="N239" i="47"/>
  <c r="C239" i="47"/>
  <c r="D240" i="47"/>
  <c r="C240" i="47"/>
  <c r="K239" i="47"/>
  <c r="E239" i="47"/>
  <c r="H239" i="47"/>
  <c r="G239" i="47"/>
  <c r="O144" i="47"/>
  <c r="E193" i="47"/>
  <c r="N195" i="47"/>
  <c r="I93" i="47"/>
  <c r="I97" i="47"/>
  <c r="I96" i="47"/>
  <c r="D196" i="47"/>
  <c r="E196" i="47"/>
  <c r="I146" i="47"/>
  <c r="N98" i="47"/>
  <c r="O91" i="47"/>
  <c r="O93" i="47"/>
  <c r="O97" i="47"/>
  <c r="O96" i="47"/>
  <c r="O92" i="47"/>
  <c r="L191" i="47"/>
  <c r="C191" i="47"/>
  <c r="D191" i="47"/>
  <c r="F191" i="47"/>
  <c r="N191" i="47"/>
  <c r="E191" i="47"/>
  <c r="H191" i="47"/>
  <c r="L194" i="47"/>
  <c r="G198" i="47"/>
  <c r="F194" i="47"/>
  <c r="O149" i="47"/>
  <c r="M198" i="47"/>
  <c r="J198" i="47"/>
  <c r="O88" i="47"/>
  <c r="O145" i="47"/>
  <c r="D195" i="47"/>
  <c r="H196" i="47"/>
  <c r="K192" i="47"/>
  <c r="G193" i="47"/>
  <c r="N194" i="47"/>
  <c r="I148" i="47"/>
  <c r="M98" i="47"/>
  <c r="I88" i="47"/>
  <c r="G241" i="47"/>
  <c r="E243" i="47"/>
  <c r="F245" i="47"/>
  <c r="H244" i="47"/>
  <c r="G242" i="47"/>
  <c r="C241" i="47"/>
  <c r="J241" i="47"/>
  <c r="L242" i="47"/>
  <c r="M244" i="47"/>
  <c r="H241" i="47"/>
  <c r="D241" i="47"/>
  <c r="N243" i="47"/>
  <c r="M241" i="47"/>
  <c r="O241" i="47" s="1"/>
  <c r="G191" i="47"/>
  <c r="M191" i="47"/>
  <c r="K191" i="47"/>
  <c r="J191" i="47"/>
  <c r="M197" i="47"/>
  <c r="C196" i="47"/>
  <c r="N197" i="47"/>
  <c r="J195" i="47"/>
  <c r="H197" i="47"/>
  <c r="F192" i="47"/>
  <c r="M192" i="47"/>
  <c r="D194" i="47"/>
  <c r="L195" i="47"/>
  <c r="G197" i="47"/>
  <c r="C195" i="47"/>
  <c r="E192" i="47"/>
  <c r="L196" i="47"/>
  <c r="K193" i="47"/>
  <c r="K244" i="47"/>
  <c r="F244" i="47"/>
  <c r="M245" i="47"/>
  <c r="L241" i="47"/>
  <c r="H242" i="47"/>
  <c r="M243" i="47"/>
  <c r="E244" i="47"/>
  <c r="G243" i="47"/>
  <c r="N242" i="47"/>
  <c r="D242" i="47"/>
  <c r="E245" i="47"/>
  <c r="N244" i="47"/>
  <c r="H243" i="47"/>
  <c r="L243" i="47"/>
  <c r="N192" i="47"/>
  <c r="J196" i="47"/>
  <c r="C192" i="47"/>
  <c r="G194" i="47"/>
  <c r="E197" i="47"/>
  <c r="M194" i="47"/>
  <c r="F193" i="47"/>
  <c r="H198" i="47"/>
  <c r="K198" i="47"/>
  <c r="D197" i="47"/>
  <c r="F196" i="47"/>
  <c r="H193" i="47"/>
  <c r="L197" i="47"/>
  <c r="K194" i="47"/>
  <c r="D198" i="47"/>
  <c r="F195" i="47"/>
  <c r="H192" i="47"/>
  <c r="J197" i="47"/>
  <c r="N193" i="47"/>
  <c r="E198" i="47"/>
  <c r="C197" i="47"/>
  <c r="G195" i="47"/>
  <c r="E194" i="47"/>
  <c r="C193" i="47"/>
  <c r="N198" i="47"/>
  <c r="K197" i="47"/>
  <c r="M195" i="47"/>
  <c r="J194" i="47"/>
  <c r="M242" i="47"/>
  <c r="N245" i="47"/>
  <c r="D243" i="47"/>
  <c r="H245" i="47"/>
  <c r="J244" i="47"/>
  <c r="C242" i="47"/>
  <c r="G244" i="47"/>
  <c r="J243" i="47"/>
  <c r="E241" i="47"/>
  <c r="D244" i="47"/>
  <c r="J242" i="47"/>
  <c r="K245" i="47"/>
  <c r="C243" i="47"/>
  <c r="G245" i="47"/>
  <c r="I245" i="47" s="1"/>
  <c r="C245" i="47"/>
  <c r="E242" i="47"/>
  <c r="L244" i="47"/>
  <c r="K241" i="47"/>
  <c r="F243" i="47"/>
  <c r="L245" i="47"/>
  <c r="K242" i="47"/>
  <c r="C244" i="47"/>
  <c r="F241" i="47"/>
  <c r="K243" i="47"/>
  <c r="D245" i="47"/>
  <c r="F242" i="47"/>
  <c r="J245" i="47"/>
  <c r="O146" i="47"/>
  <c r="M150" i="47"/>
  <c r="I145" i="47"/>
  <c r="O148" i="47"/>
  <c r="N150" i="47"/>
  <c r="I147" i="47"/>
  <c r="J192" i="47"/>
  <c r="M193" i="47"/>
  <c r="K195" i="47"/>
  <c r="N196" i="47"/>
  <c r="L198" i="47"/>
  <c r="G192" i="47"/>
  <c r="C194" i="47"/>
  <c r="E195" i="47"/>
  <c r="G196" i="47"/>
  <c r="C198" i="47"/>
  <c r="J193" i="47"/>
  <c r="K196" i="47"/>
  <c r="D192" i="47"/>
  <c r="H194" i="47"/>
  <c r="F197" i="47"/>
  <c r="L193" i="47"/>
  <c r="M196" i="47"/>
  <c r="D193" i="47"/>
  <c r="H195" i="47"/>
  <c r="F198" i="47"/>
  <c r="BF41" i="42"/>
  <c r="BF42" i="42" s="1"/>
  <c r="BL71" i="42"/>
  <c r="J210" i="47" s="1"/>
  <c r="F129" i="47"/>
  <c r="K129" i="47"/>
  <c r="C130" i="47"/>
  <c r="G130" i="47"/>
  <c r="L130" i="47"/>
  <c r="D131" i="47"/>
  <c r="H131" i="47"/>
  <c r="M131" i="47"/>
  <c r="E132" i="47"/>
  <c r="J132" i="47"/>
  <c r="N132" i="47"/>
  <c r="F133" i="47"/>
  <c r="K133" i="47"/>
  <c r="C134" i="47"/>
  <c r="G134" i="47"/>
  <c r="L134" i="47"/>
  <c r="D135" i="47"/>
  <c r="H135" i="47"/>
  <c r="M135" i="47"/>
  <c r="E129" i="47"/>
  <c r="J129" i="47"/>
  <c r="N129" i="47"/>
  <c r="F130" i="47"/>
  <c r="K130" i="47"/>
  <c r="C131" i="47"/>
  <c r="G131" i="47"/>
  <c r="L131" i="47"/>
  <c r="D132" i="47"/>
  <c r="H132" i="47"/>
  <c r="M132" i="47"/>
  <c r="E133" i="47"/>
  <c r="J133" i="47"/>
  <c r="N133" i="47"/>
  <c r="F134" i="47"/>
  <c r="K134" i="47"/>
  <c r="C135" i="47"/>
  <c r="G135" i="47"/>
  <c r="L135" i="47"/>
  <c r="D129" i="47"/>
  <c r="H129" i="47"/>
  <c r="M129" i="47"/>
  <c r="E130" i="47"/>
  <c r="J130" i="47"/>
  <c r="N130" i="47"/>
  <c r="F131" i="47"/>
  <c r="K131" i="47"/>
  <c r="C132" i="47"/>
  <c r="G132" i="47"/>
  <c r="L132" i="47"/>
  <c r="D133" i="47"/>
  <c r="H133" i="47"/>
  <c r="M133" i="47"/>
  <c r="E134" i="47"/>
  <c r="J134" i="47"/>
  <c r="N134" i="47"/>
  <c r="F135" i="47"/>
  <c r="K135" i="47"/>
  <c r="C129" i="47"/>
  <c r="G129" i="47"/>
  <c r="L129" i="47"/>
  <c r="D130" i="47"/>
  <c r="H130" i="47"/>
  <c r="M130" i="47"/>
  <c r="E131" i="47"/>
  <c r="J131" i="47"/>
  <c r="N131" i="47"/>
  <c r="F132" i="47"/>
  <c r="K132" i="47"/>
  <c r="C133" i="47"/>
  <c r="G133" i="47"/>
  <c r="L133" i="47"/>
  <c r="D134" i="47"/>
  <c r="H134" i="47"/>
  <c r="M134" i="47"/>
  <c r="E135" i="47"/>
  <c r="J135" i="47"/>
  <c r="N135" i="47"/>
  <c r="AR12" i="42"/>
  <c r="AR14" i="42" s="1"/>
  <c r="Q5" i="45"/>
  <c r="N5" i="45"/>
  <c r="F5" i="45"/>
  <c r="C5" i="45"/>
  <c r="F9" i="44"/>
  <c r="E9" i="44"/>
  <c r="BE3" i="44" s="1"/>
  <c r="E346" i="44"/>
  <c r="BP5" i="44" s="1"/>
  <c r="E348" i="44"/>
  <c r="P190" i="47" l="1"/>
  <c r="O161" i="47"/>
  <c r="I158" i="47"/>
  <c r="O158" i="47"/>
  <c r="O159" i="47"/>
  <c r="P158" i="47"/>
  <c r="P159" i="47" s="1"/>
  <c r="P160" i="47" s="1"/>
  <c r="P161" i="47" s="1"/>
  <c r="P162" i="47" s="1"/>
  <c r="P163" i="47" s="1"/>
  <c r="P164" i="47" s="1"/>
  <c r="P165" i="47" s="1"/>
  <c r="I159" i="47"/>
  <c r="I163" i="47"/>
  <c r="O163" i="47"/>
  <c r="I164" i="47"/>
  <c r="O160" i="47"/>
  <c r="O165" i="47"/>
  <c r="N166" i="47"/>
  <c r="I161" i="47"/>
  <c r="G166" i="47"/>
  <c r="O164" i="47"/>
  <c r="M166" i="47"/>
  <c r="I160" i="47"/>
  <c r="P239" i="47"/>
  <c r="P240" i="47" s="1"/>
  <c r="P241" i="47" s="1"/>
  <c r="P242" i="47" s="1"/>
  <c r="P243" i="47" s="1"/>
  <c r="P244" i="47" s="1"/>
  <c r="P245" i="47" s="1"/>
  <c r="D208" i="47"/>
  <c r="O190" i="47"/>
  <c r="E208" i="47"/>
  <c r="J208" i="47"/>
  <c r="F208" i="47"/>
  <c r="N208" i="47"/>
  <c r="G208" i="47"/>
  <c r="I190" i="47"/>
  <c r="I128" i="47"/>
  <c r="P128" i="47"/>
  <c r="P129" i="47" s="1"/>
  <c r="P130" i="47" s="1"/>
  <c r="P131" i="47" s="1"/>
  <c r="P132" i="47" s="1"/>
  <c r="P133" i="47" s="1"/>
  <c r="P134" i="47" s="1"/>
  <c r="P135" i="47" s="1"/>
  <c r="K208" i="47"/>
  <c r="C208" i="47"/>
  <c r="L207" i="47"/>
  <c r="H207" i="47"/>
  <c r="F207" i="47"/>
  <c r="D207" i="47"/>
  <c r="E207" i="47"/>
  <c r="M207" i="47"/>
  <c r="M208" i="47"/>
  <c r="L208" i="47"/>
  <c r="BM75" i="42"/>
  <c r="J222" i="47" s="1"/>
  <c r="N207" i="47"/>
  <c r="G207" i="47"/>
  <c r="C207" i="47"/>
  <c r="K207" i="47"/>
  <c r="J207" i="47"/>
  <c r="H208" i="47"/>
  <c r="BD17" i="42"/>
  <c r="BD18" i="42"/>
  <c r="BD19" i="42" s="1"/>
  <c r="G136" i="47"/>
  <c r="O244" i="47"/>
  <c r="G199" i="47"/>
  <c r="G246" i="47"/>
  <c r="BP14" i="42"/>
  <c r="O195" i="47"/>
  <c r="O191" i="47"/>
  <c r="O240" i="47"/>
  <c r="I240" i="47"/>
  <c r="I239" i="47"/>
  <c r="BJ64" i="42"/>
  <c r="BJ65" i="42" s="1"/>
  <c r="J174" i="47" s="1"/>
  <c r="O239" i="47"/>
  <c r="O194" i="47"/>
  <c r="I242" i="47"/>
  <c r="I191" i="47"/>
  <c r="I198" i="47"/>
  <c r="O98" i="47"/>
  <c r="I244" i="47"/>
  <c r="I196" i="47"/>
  <c r="O198" i="47"/>
  <c r="I195" i="47"/>
  <c r="I193" i="47"/>
  <c r="P191" i="47"/>
  <c r="P192" i="47" s="1"/>
  <c r="P193" i="47" s="1"/>
  <c r="P194" i="47" s="1"/>
  <c r="P195" i="47" s="1"/>
  <c r="P196" i="47" s="1"/>
  <c r="P197" i="47" s="1"/>
  <c r="P198" i="47" s="1"/>
  <c r="O242" i="47"/>
  <c r="I243" i="47"/>
  <c r="O243" i="47"/>
  <c r="O192" i="47"/>
  <c r="N246" i="47"/>
  <c r="I241" i="47"/>
  <c r="N199" i="47"/>
  <c r="I197" i="47"/>
  <c r="O197" i="47"/>
  <c r="O245" i="47"/>
  <c r="I194" i="47"/>
  <c r="M246" i="47"/>
  <c r="O150" i="47"/>
  <c r="O196" i="47"/>
  <c r="P150" i="47"/>
  <c r="O134" i="47"/>
  <c r="I133" i="47"/>
  <c r="O133" i="47"/>
  <c r="I132" i="47"/>
  <c r="O132" i="47"/>
  <c r="I131" i="47"/>
  <c r="O130" i="47"/>
  <c r="I135" i="47"/>
  <c r="I192" i="47"/>
  <c r="M199" i="47"/>
  <c r="O193" i="47"/>
  <c r="BF43" i="42"/>
  <c r="BF45" i="42" s="1"/>
  <c r="BF46" i="42" s="1"/>
  <c r="N136" i="47"/>
  <c r="O131" i="47"/>
  <c r="I130" i="47"/>
  <c r="G212" i="47"/>
  <c r="G213" i="47"/>
  <c r="C211" i="47"/>
  <c r="E209" i="47"/>
  <c r="J213" i="47"/>
  <c r="L211" i="47"/>
  <c r="N209" i="47"/>
  <c r="F213" i="47"/>
  <c r="D212" i="47"/>
  <c r="H210" i="47"/>
  <c r="F209" i="47"/>
  <c r="N212" i="47"/>
  <c r="K211" i="47"/>
  <c r="M209" i="47"/>
  <c r="C212" i="47"/>
  <c r="C213" i="47"/>
  <c r="E210" i="47"/>
  <c r="C209" i="47"/>
  <c r="M212" i="47"/>
  <c r="J211" i="47"/>
  <c r="L209" i="47"/>
  <c r="D213" i="47"/>
  <c r="H211" i="47"/>
  <c r="F210" i="47"/>
  <c r="D209" i="47"/>
  <c r="L212" i="47"/>
  <c r="N210" i="47"/>
  <c r="K209" i="47"/>
  <c r="I129" i="47"/>
  <c r="O129" i="47"/>
  <c r="M136" i="47"/>
  <c r="O135" i="47"/>
  <c r="I134" i="47"/>
  <c r="E211" i="47"/>
  <c r="E212" i="47"/>
  <c r="C210" i="47"/>
  <c r="N213" i="47"/>
  <c r="K212" i="47"/>
  <c r="M210" i="47"/>
  <c r="J209" i="47"/>
  <c r="H212" i="47"/>
  <c r="F211" i="47"/>
  <c r="D210" i="47"/>
  <c r="M213" i="47"/>
  <c r="J212" i="47"/>
  <c r="L210" i="47"/>
  <c r="E213" i="47"/>
  <c r="G210" i="47"/>
  <c r="G211" i="47"/>
  <c r="G209" i="47"/>
  <c r="L213" i="47"/>
  <c r="N211" i="47"/>
  <c r="K210" i="47"/>
  <c r="H213" i="47"/>
  <c r="F212" i="47"/>
  <c r="D211" i="47"/>
  <c r="H209" i="47"/>
  <c r="K213" i="47"/>
  <c r="M211" i="47"/>
  <c r="P98" i="47"/>
  <c r="AR16" i="42"/>
  <c r="F359" i="44"/>
  <c r="F349" i="44"/>
  <c r="F350" i="44"/>
  <c r="F351" i="44"/>
  <c r="F352" i="44"/>
  <c r="F353" i="44"/>
  <c r="F354" i="44"/>
  <c r="F355" i="44"/>
  <c r="F356" i="44"/>
  <c r="F357" i="44"/>
  <c r="F358" i="44"/>
  <c r="BD20" i="42" l="1"/>
  <c r="BD21" i="42" s="1"/>
  <c r="BD22" i="42" s="1"/>
  <c r="BD23" i="42" s="1"/>
  <c r="BD24" i="42" s="1"/>
  <c r="BD25" i="42" s="1"/>
  <c r="BD26" i="42" s="1"/>
  <c r="BD27" i="42" s="1"/>
  <c r="BC44" i="42"/>
  <c r="BC50" i="42" s="1"/>
  <c r="P166" i="47"/>
  <c r="O166" i="47"/>
  <c r="P207" i="47"/>
  <c r="P208" i="47" s="1"/>
  <c r="P209" i="47" s="1"/>
  <c r="P210" i="47" s="1"/>
  <c r="P211" i="47" s="1"/>
  <c r="P212" i="47" s="1"/>
  <c r="P213" i="47" s="1"/>
  <c r="O208" i="47"/>
  <c r="H224" i="47"/>
  <c r="M224" i="47"/>
  <c r="F222" i="47"/>
  <c r="I208" i="47"/>
  <c r="K222" i="47"/>
  <c r="J223" i="47"/>
  <c r="F224" i="47"/>
  <c r="N222" i="47"/>
  <c r="G222" i="47"/>
  <c r="F223" i="47"/>
  <c r="K223" i="47"/>
  <c r="H223" i="47"/>
  <c r="K224" i="47"/>
  <c r="N224" i="47"/>
  <c r="G224" i="47"/>
  <c r="K230" i="47"/>
  <c r="D227" i="47"/>
  <c r="H229" i="47"/>
  <c r="J226" i="47"/>
  <c r="M227" i="47"/>
  <c r="K229" i="47"/>
  <c r="N230" i="47"/>
  <c r="C226" i="47"/>
  <c r="E227" i="47"/>
  <c r="G228" i="47"/>
  <c r="C230" i="47"/>
  <c r="L225" i="47"/>
  <c r="J227" i="47"/>
  <c r="N229" i="47"/>
  <c r="H226" i="47"/>
  <c r="F229" i="47"/>
  <c r="L224" i="47"/>
  <c r="L227" i="47"/>
  <c r="D225" i="47"/>
  <c r="H227" i="47"/>
  <c r="F230" i="47"/>
  <c r="L226" i="47"/>
  <c r="J228" i="47"/>
  <c r="M229" i="47"/>
  <c r="O229" i="47" s="1"/>
  <c r="C225" i="47"/>
  <c r="E226" i="47"/>
  <c r="G227" i="47"/>
  <c r="C229" i="47"/>
  <c r="E230" i="47"/>
  <c r="N225" i="47"/>
  <c r="N227" i="47"/>
  <c r="M230" i="47"/>
  <c r="F227" i="47"/>
  <c r="D230" i="47"/>
  <c r="D223" i="47"/>
  <c r="N223" i="47"/>
  <c r="L223" i="47"/>
  <c r="C223" i="47"/>
  <c r="D224" i="47"/>
  <c r="J224" i="47"/>
  <c r="C224" i="47"/>
  <c r="M228" i="47"/>
  <c r="H225" i="47"/>
  <c r="F228" i="47"/>
  <c r="K225" i="47"/>
  <c r="N226" i="47"/>
  <c r="L228" i="47"/>
  <c r="J230" i="47"/>
  <c r="E225" i="47"/>
  <c r="G226" i="47"/>
  <c r="C228" i="47"/>
  <c r="E229" i="47"/>
  <c r="G230" i="47"/>
  <c r="K226" i="47"/>
  <c r="K228" i="47"/>
  <c r="F225" i="47"/>
  <c r="D228" i="47"/>
  <c r="H230" i="47"/>
  <c r="E224" i="47"/>
  <c r="L229" i="47"/>
  <c r="F226" i="47"/>
  <c r="D229" i="47"/>
  <c r="M225" i="47"/>
  <c r="K227" i="47"/>
  <c r="N228" i="47"/>
  <c r="L230" i="47"/>
  <c r="G225" i="47"/>
  <c r="C227" i="47"/>
  <c r="E228" i="47"/>
  <c r="G229" i="47"/>
  <c r="J225" i="47"/>
  <c r="M226" i="47"/>
  <c r="O226" i="47" s="1"/>
  <c r="J229" i="47"/>
  <c r="D226" i="47"/>
  <c r="H228" i="47"/>
  <c r="O207" i="47"/>
  <c r="H222" i="47"/>
  <c r="C222" i="47"/>
  <c r="M223" i="47"/>
  <c r="BF51" i="42"/>
  <c r="I207" i="47"/>
  <c r="D222" i="47"/>
  <c r="G223" i="47"/>
  <c r="L222" i="47"/>
  <c r="M222" i="47"/>
  <c r="E222" i="47"/>
  <c r="E223" i="47"/>
  <c r="BD28" i="42"/>
  <c r="G214" i="47"/>
  <c r="BP15" i="42"/>
  <c r="BP16" i="42" s="1"/>
  <c r="BP17" i="42" s="1"/>
  <c r="J175" i="47"/>
  <c r="K178" i="47"/>
  <c r="C178" i="47"/>
  <c r="M177" i="47"/>
  <c r="D179" i="47"/>
  <c r="F175" i="47"/>
  <c r="E176" i="47"/>
  <c r="D176" i="47"/>
  <c r="J177" i="47"/>
  <c r="G175" i="47"/>
  <c r="H179" i="47"/>
  <c r="K174" i="47"/>
  <c r="J179" i="47"/>
  <c r="G178" i="47"/>
  <c r="L178" i="47"/>
  <c r="F180" i="47"/>
  <c r="C174" i="47"/>
  <c r="G177" i="47"/>
  <c r="D178" i="47"/>
  <c r="L174" i="47"/>
  <c r="C175" i="47"/>
  <c r="L181" i="47"/>
  <c r="G180" i="47"/>
  <c r="N180" i="47"/>
  <c r="H178" i="47"/>
  <c r="K176" i="47"/>
  <c r="G181" i="47"/>
  <c r="H180" i="47"/>
  <c r="L176" i="47"/>
  <c r="F179" i="47"/>
  <c r="D175" i="47"/>
  <c r="F174" i="47"/>
  <c r="C176" i="47"/>
  <c r="E181" i="47"/>
  <c r="M181" i="47"/>
  <c r="D180" i="47"/>
  <c r="N177" i="47"/>
  <c r="K177" i="47"/>
  <c r="G179" i="47"/>
  <c r="H175" i="47"/>
  <c r="H174" i="47"/>
  <c r="M176" i="47"/>
  <c r="N179" i="47"/>
  <c r="G176" i="47"/>
  <c r="E179" i="47"/>
  <c r="J176" i="47"/>
  <c r="K179" i="47"/>
  <c r="F176" i="47"/>
  <c r="H181" i="47"/>
  <c r="F181" i="47"/>
  <c r="E175" i="47"/>
  <c r="L179" i="47"/>
  <c r="C179" i="47"/>
  <c r="N178" i="47"/>
  <c r="D181" i="47"/>
  <c r="G174" i="47"/>
  <c r="C177" i="47"/>
  <c r="D177" i="47"/>
  <c r="C181" i="47"/>
  <c r="N175" i="47"/>
  <c r="M175" i="47"/>
  <c r="E174" i="47"/>
  <c r="L175" i="47"/>
  <c r="L177" i="47"/>
  <c r="M180" i="47"/>
  <c r="E177" i="47"/>
  <c r="C180" i="47"/>
  <c r="N176" i="47"/>
  <c r="J180" i="47"/>
  <c r="H177" i="47"/>
  <c r="F177" i="47"/>
  <c r="N174" i="47"/>
  <c r="M174" i="47"/>
  <c r="J181" i="47"/>
  <c r="E180" i="47"/>
  <c r="L180" i="47"/>
  <c r="D174" i="47"/>
  <c r="N181" i="47"/>
  <c r="F178" i="47"/>
  <c r="K175" i="47"/>
  <c r="K180" i="47"/>
  <c r="H176" i="47"/>
  <c r="E178" i="47"/>
  <c r="AR24" i="42"/>
  <c r="M179" i="47"/>
  <c r="K181" i="47"/>
  <c r="J178" i="47"/>
  <c r="M178" i="47"/>
  <c r="O246" i="47"/>
  <c r="BF53" i="42"/>
  <c r="P246" i="47"/>
  <c r="O199" i="47"/>
  <c r="P199" i="47"/>
  <c r="N214" i="47"/>
  <c r="I210" i="47"/>
  <c r="O213" i="47"/>
  <c r="I211" i="47"/>
  <c r="O210" i="47"/>
  <c r="O211" i="47"/>
  <c r="O212" i="47"/>
  <c r="P136" i="47"/>
  <c r="M214" i="47"/>
  <c r="O209" i="47"/>
  <c r="I213" i="47"/>
  <c r="I209" i="47"/>
  <c r="O136" i="47"/>
  <c r="I212" i="47"/>
  <c r="AR31" i="42"/>
  <c r="K111" i="42"/>
  <c r="Q10" i="44"/>
  <c r="D22" i="45"/>
  <c r="E22" i="45"/>
  <c r="F10" i="45"/>
  <c r="E7" i="47" s="1"/>
  <c r="F11" i="45"/>
  <c r="E8" i="47" s="1"/>
  <c r="F12" i="45"/>
  <c r="E9" i="47" s="1"/>
  <c r="F13" i="45"/>
  <c r="E10" i="47" s="1"/>
  <c r="F14" i="45"/>
  <c r="E11" i="47" s="1"/>
  <c r="F15" i="45"/>
  <c r="E12" i="47" s="1"/>
  <c r="F16" i="45"/>
  <c r="E13" i="47" s="1"/>
  <c r="F17" i="45"/>
  <c r="E14" i="47" s="1"/>
  <c r="Q190" i="47" s="1"/>
  <c r="F18" i="45"/>
  <c r="E15" i="47" s="1"/>
  <c r="Q207" i="47" s="1"/>
  <c r="F19" i="45"/>
  <c r="E16" i="47" s="1"/>
  <c r="F20" i="45"/>
  <c r="E17" i="47" s="1"/>
  <c r="Q239" i="47" s="1"/>
  <c r="F21" i="45"/>
  <c r="E18" i="47" s="1"/>
  <c r="AU124" i="48" l="1"/>
  <c r="AU9" i="48"/>
  <c r="AT9" i="48"/>
  <c r="AT124" i="48"/>
  <c r="BC51" i="42"/>
  <c r="N30" i="47" s="1"/>
  <c r="Q222" i="47"/>
  <c r="Q223" i="47" s="1"/>
  <c r="Q224" i="47" s="1"/>
  <c r="Q225" i="47" s="1"/>
  <c r="Q226" i="47" s="1"/>
  <c r="Q227" i="47" s="1"/>
  <c r="Q228" i="47" s="1"/>
  <c r="Q229" i="47" s="1"/>
  <c r="Q230" i="47" s="1"/>
  <c r="I225" i="47"/>
  <c r="CB111" i="42"/>
  <c r="P174" i="47"/>
  <c r="P175" i="47" s="1"/>
  <c r="P176" i="47" s="1"/>
  <c r="P177" i="47" s="1"/>
  <c r="P178" i="47" s="1"/>
  <c r="P179" i="47" s="1"/>
  <c r="P180" i="47" s="1"/>
  <c r="P181" i="47" s="1"/>
  <c r="P222" i="47"/>
  <c r="P223" i="47" s="1"/>
  <c r="P224" i="47" s="1"/>
  <c r="P225" i="47" s="1"/>
  <c r="P226" i="47" s="1"/>
  <c r="P227" i="47" s="1"/>
  <c r="P228" i="47" s="1"/>
  <c r="P229" i="47" s="1"/>
  <c r="P230" i="47" s="1"/>
  <c r="O175" i="47"/>
  <c r="Q174" i="47"/>
  <c r="Q175" i="47" s="1"/>
  <c r="Q176" i="47" s="1"/>
  <c r="Q177" i="47" s="1"/>
  <c r="Q178" i="47" s="1"/>
  <c r="Q179" i="47" s="1"/>
  <c r="Q180" i="47" s="1"/>
  <c r="Q181" i="47" s="1"/>
  <c r="I224" i="47"/>
  <c r="O224" i="47"/>
  <c r="I229" i="47"/>
  <c r="I226" i="47"/>
  <c r="O230" i="47"/>
  <c r="I222" i="47"/>
  <c r="O225" i="47"/>
  <c r="M231" i="47"/>
  <c r="I227" i="47"/>
  <c r="BF52" i="42"/>
  <c r="I230" i="47"/>
  <c r="O227" i="47"/>
  <c r="BD29" i="42"/>
  <c r="G231" i="47"/>
  <c r="I223" i="47"/>
  <c r="O228" i="47"/>
  <c r="O223" i="47"/>
  <c r="N231" i="47"/>
  <c r="I228" i="47"/>
  <c r="O222" i="47"/>
  <c r="O180" i="47"/>
  <c r="I179" i="47"/>
  <c r="I221" i="47"/>
  <c r="H231" i="47"/>
  <c r="Q158" i="47"/>
  <c r="Q159" i="47" s="1"/>
  <c r="Q160" i="47" s="1"/>
  <c r="Q161" i="47" s="1"/>
  <c r="Q162" i="47" s="1"/>
  <c r="Q163" i="47" s="1"/>
  <c r="Q164" i="47" s="1"/>
  <c r="Q165" i="47" s="1"/>
  <c r="I157" i="47"/>
  <c r="H166" i="47"/>
  <c r="Q166" i="47" s="1"/>
  <c r="Q128" i="47"/>
  <c r="Q129" i="47" s="1"/>
  <c r="Q130" i="47" s="1"/>
  <c r="Q131" i="47" s="1"/>
  <c r="Q132" i="47" s="1"/>
  <c r="Q133" i="47" s="1"/>
  <c r="Q134" i="47" s="1"/>
  <c r="Q135" i="47" s="1"/>
  <c r="H136" i="47"/>
  <c r="Q136" i="47" s="1"/>
  <c r="I127" i="47"/>
  <c r="I253" i="47"/>
  <c r="Q191" i="47"/>
  <c r="Q192" i="47" s="1"/>
  <c r="Q193" i="47" s="1"/>
  <c r="Q194" i="47" s="1"/>
  <c r="Q195" i="47" s="1"/>
  <c r="Q196" i="47" s="1"/>
  <c r="Q197" i="47" s="1"/>
  <c r="Q198" i="47" s="1"/>
  <c r="H199" i="47"/>
  <c r="Q199" i="47" s="1"/>
  <c r="I189" i="47"/>
  <c r="R190" i="47" s="1"/>
  <c r="Q88" i="47"/>
  <c r="H98" i="47"/>
  <c r="Q240" i="47"/>
  <c r="Q241" i="47" s="1"/>
  <c r="Q242" i="47" s="1"/>
  <c r="Q243" i="47" s="1"/>
  <c r="Q244" i="47" s="1"/>
  <c r="Q245" i="47" s="1"/>
  <c r="H246" i="47"/>
  <c r="Q246" i="47" s="1"/>
  <c r="I238" i="47"/>
  <c r="R239" i="47" s="1"/>
  <c r="Q208" i="47"/>
  <c r="Q209" i="47" s="1"/>
  <c r="Q210" i="47" s="1"/>
  <c r="Q211" i="47" s="1"/>
  <c r="Q212" i="47" s="1"/>
  <c r="Q213" i="47" s="1"/>
  <c r="H214" i="47"/>
  <c r="Q214" i="47" s="1"/>
  <c r="I206" i="47"/>
  <c r="R207" i="47" s="1"/>
  <c r="H182" i="47"/>
  <c r="I173" i="47"/>
  <c r="Q144" i="47"/>
  <c r="Q145" i="47" s="1"/>
  <c r="Q146" i="47" s="1"/>
  <c r="Q147" i="47" s="1"/>
  <c r="Q148" i="47" s="1"/>
  <c r="Q149" i="47" s="1"/>
  <c r="H150" i="47"/>
  <c r="Q150" i="47" s="1"/>
  <c r="I143" i="47"/>
  <c r="I105" i="47"/>
  <c r="I44" i="47"/>
  <c r="G182" i="47"/>
  <c r="BP18" i="42"/>
  <c r="O181" i="47"/>
  <c r="O178" i="47"/>
  <c r="I176" i="47"/>
  <c r="I181" i="47"/>
  <c r="O174" i="47"/>
  <c r="O179" i="47"/>
  <c r="I178" i="47"/>
  <c r="O177" i="47"/>
  <c r="I177" i="47"/>
  <c r="I175" i="47"/>
  <c r="I180" i="47"/>
  <c r="N182" i="47"/>
  <c r="I174" i="47"/>
  <c r="O176" i="47"/>
  <c r="M182" i="47"/>
  <c r="O214" i="47"/>
  <c r="P214" i="47"/>
  <c r="AR33" i="42"/>
  <c r="E19" i="47"/>
  <c r="G10" i="44"/>
  <c r="H10" i="44"/>
  <c r="BE39" i="44" s="1"/>
  <c r="I10" i="44"/>
  <c r="G11" i="44"/>
  <c r="H11" i="44"/>
  <c r="BE40" i="44" s="1"/>
  <c r="I11" i="44"/>
  <c r="G12" i="44"/>
  <c r="H12" i="44"/>
  <c r="BE41" i="44" s="1"/>
  <c r="I12" i="44"/>
  <c r="G13" i="44"/>
  <c r="H13" i="44"/>
  <c r="BE42" i="44" s="1"/>
  <c r="I13" i="44"/>
  <c r="G14" i="44"/>
  <c r="H14" i="44"/>
  <c r="BE43" i="44" s="1"/>
  <c r="I14" i="44"/>
  <c r="G15" i="44"/>
  <c r="H15" i="44"/>
  <c r="BE44" i="44" s="1"/>
  <c r="I15" i="44"/>
  <c r="G16" i="44"/>
  <c r="H16" i="44"/>
  <c r="BE45" i="44" s="1"/>
  <c r="I16" i="44"/>
  <c r="G17" i="44"/>
  <c r="H17" i="44"/>
  <c r="BE46" i="44" s="1"/>
  <c r="I17" i="44"/>
  <c r="G18" i="44"/>
  <c r="H18" i="44"/>
  <c r="BE47" i="44" s="1"/>
  <c r="I18" i="44"/>
  <c r="G19" i="44"/>
  <c r="H19" i="44"/>
  <c r="BE48" i="44" s="1"/>
  <c r="I19" i="44"/>
  <c r="G20" i="44"/>
  <c r="H20" i="44"/>
  <c r="BE49" i="44" s="1"/>
  <c r="I20" i="44"/>
  <c r="G21" i="44"/>
  <c r="H21" i="44"/>
  <c r="BE50" i="44" s="1"/>
  <c r="I21" i="44"/>
  <c r="G22" i="44"/>
  <c r="H22" i="44"/>
  <c r="BE51" i="44" s="1"/>
  <c r="I22" i="44"/>
  <c r="G23" i="44"/>
  <c r="H23" i="44"/>
  <c r="BE52" i="44" s="1"/>
  <c r="I23" i="44"/>
  <c r="G24" i="44"/>
  <c r="H24" i="44"/>
  <c r="BE53" i="44" s="1"/>
  <c r="I24" i="44"/>
  <c r="G25" i="44"/>
  <c r="H25" i="44"/>
  <c r="BE54" i="44" s="1"/>
  <c r="I25" i="44"/>
  <c r="G26" i="44"/>
  <c r="H26" i="44"/>
  <c r="BE55" i="44" s="1"/>
  <c r="I26" i="44"/>
  <c r="G27" i="44"/>
  <c r="H27" i="44"/>
  <c r="BE56" i="44" s="1"/>
  <c r="I27" i="44"/>
  <c r="G28" i="44"/>
  <c r="H28" i="44"/>
  <c r="BE57" i="44" s="1"/>
  <c r="I28" i="44"/>
  <c r="G29" i="44"/>
  <c r="H29" i="44"/>
  <c r="BE58" i="44" s="1"/>
  <c r="I29" i="44"/>
  <c r="G30" i="44"/>
  <c r="H30" i="44"/>
  <c r="BE59" i="44" s="1"/>
  <c r="I30" i="44"/>
  <c r="G31" i="44"/>
  <c r="H31" i="44"/>
  <c r="BE60" i="44" s="1"/>
  <c r="I31" i="44"/>
  <c r="G32" i="44"/>
  <c r="H32" i="44"/>
  <c r="BE61" i="44" s="1"/>
  <c r="I32" i="44"/>
  <c r="G33" i="44"/>
  <c r="H33" i="44"/>
  <c r="BE62" i="44" s="1"/>
  <c r="I33" i="44"/>
  <c r="G34" i="44"/>
  <c r="H34" i="44"/>
  <c r="BE63" i="44" s="1"/>
  <c r="I34" i="44"/>
  <c r="G35" i="44"/>
  <c r="H35" i="44"/>
  <c r="BE64" i="44" s="1"/>
  <c r="I35" i="44"/>
  <c r="G36" i="44"/>
  <c r="H36" i="44"/>
  <c r="BE65" i="44" s="1"/>
  <c r="I36" i="44"/>
  <c r="G37" i="44"/>
  <c r="H37" i="44"/>
  <c r="BE66" i="44" s="1"/>
  <c r="I37" i="44"/>
  <c r="G38" i="44"/>
  <c r="H38" i="44"/>
  <c r="BE67" i="44" s="1"/>
  <c r="I38" i="44"/>
  <c r="G39" i="44"/>
  <c r="H39" i="44"/>
  <c r="BF38" i="44" s="1"/>
  <c r="I39" i="44"/>
  <c r="G40" i="44"/>
  <c r="H40" i="44"/>
  <c r="BF39" i="44" s="1"/>
  <c r="I40" i="44"/>
  <c r="G41" i="44"/>
  <c r="H41" i="44"/>
  <c r="BF40" i="44" s="1"/>
  <c r="I41" i="44"/>
  <c r="G42" i="44"/>
  <c r="H42" i="44"/>
  <c r="BF41" i="44" s="1"/>
  <c r="I42" i="44"/>
  <c r="G43" i="44"/>
  <c r="H43" i="44"/>
  <c r="BF42" i="44" s="1"/>
  <c r="I43" i="44"/>
  <c r="G44" i="44"/>
  <c r="H44" i="44"/>
  <c r="BF43" i="44" s="1"/>
  <c r="I44" i="44"/>
  <c r="G45" i="44"/>
  <c r="H45" i="44"/>
  <c r="BF44" i="44" s="1"/>
  <c r="I45" i="44"/>
  <c r="G46" i="44"/>
  <c r="H46" i="44"/>
  <c r="BF45" i="44" s="1"/>
  <c r="I46" i="44"/>
  <c r="G47" i="44"/>
  <c r="H47" i="44"/>
  <c r="BF46" i="44" s="1"/>
  <c r="I47" i="44"/>
  <c r="G48" i="44"/>
  <c r="H48" i="44"/>
  <c r="BF47" i="44" s="1"/>
  <c r="I48" i="44"/>
  <c r="G49" i="44"/>
  <c r="H49" i="44"/>
  <c r="BF48" i="44" s="1"/>
  <c r="I49" i="44"/>
  <c r="G50" i="44"/>
  <c r="H50" i="44"/>
  <c r="BF49" i="44" s="1"/>
  <c r="I50" i="44"/>
  <c r="G51" i="44"/>
  <c r="H51" i="44"/>
  <c r="BF50" i="44" s="1"/>
  <c r="I51" i="44"/>
  <c r="G52" i="44"/>
  <c r="H52" i="44"/>
  <c r="BF51" i="44" s="1"/>
  <c r="I52" i="44"/>
  <c r="G53" i="44"/>
  <c r="H53" i="44"/>
  <c r="BF52" i="44" s="1"/>
  <c r="I53" i="44"/>
  <c r="G54" i="44"/>
  <c r="H54" i="44"/>
  <c r="BF53" i="44" s="1"/>
  <c r="I54" i="44"/>
  <c r="G55" i="44"/>
  <c r="H55" i="44"/>
  <c r="BF54" i="44" s="1"/>
  <c r="I55" i="44"/>
  <c r="G56" i="44"/>
  <c r="H56" i="44"/>
  <c r="BF55" i="44" s="1"/>
  <c r="I56" i="44"/>
  <c r="G57" i="44"/>
  <c r="H57" i="44"/>
  <c r="BF56" i="44" s="1"/>
  <c r="I57" i="44"/>
  <c r="G58" i="44"/>
  <c r="H58" i="44"/>
  <c r="BF57" i="44" s="1"/>
  <c r="I58" i="44"/>
  <c r="G59" i="44"/>
  <c r="H59" i="44"/>
  <c r="BF58" i="44" s="1"/>
  <c r="I59" i="44"/>
  <c r="G60" i="44"/>
  <c r="H60" i="44"/>
  <c r="BF59" i="44" s="1"/>
  <c r="I60" i="44"/>
  <c r="G61" i="44"/>
  <c r="H61" i="44"/>
  <c r="BF60" i="44" s="1"/>
  <c r="I61" i="44"/>
  <c r="G62" i="44"/>
  <c r="H62" i="44"/>
  <c r="BF61" i="44" s="1"/>
  <c r="I62" i="44"/>
  <c r="G63" i="44"/>
  <c r="H63" i="44"/>
  <c r="BF62" i="44" s="1"/>
  <c r="I63" i="44"/>
  <c r="G64" i="44"/>
  <c r="H64" i="44"/>
  <c r="BF63" i="44" s="1"/>
  <c r="I64" i="44"/>
  <c r="G65" i="44"/>
  <c r="H65" i="44"/>
  <c r="BF64" i="44" s="1"/>
  <c r="I65" i="44"/>
  <c r="G66" i="44"/>
  <c r="H66" i="44"/>
  <c r="BF65" i="44" s="1"/>
  <c r="I66" i="44"/>
  <c r="G67" i="44"/>
  <c r="H67" i="44"/>
  <c r="BF66" i="44" s="1"/>
  <c r="I67" i="44"/>
  <c r="G68" i="44"/>
  <c r="H68" i="44"/>
  <c r="BF67" i="44" s="1"/>
  <c r="I68" i="44"/>
  <c r="G69" i="44"/>
  <c r="H69" i="44"/>
  <c r="BF68" i="44" s="1"/>
  <c r="I69" i="44"/>
  <c r="G70" i="44"/>
  <c r="H70" i="44"/>
  <c r="BG38" i="44" s="1"/>
  <c r="I70" i="44"/>
  <c r="G71" i="44"/>
  <c r="H71" i="44"/>
  <c r="BG39" i="44" s="1"/>
  <c r="I71" i="44"/>
  <c r="G72" i="44"/>
  <c r="H72" i="44"/>
  <c r="BG40" i="44" s="1"/>
  <c r="I72" i="44"/>
  <c r="G73" i="44"/>
  <c r="H73" i="44"/>
  <c r="BG41" i="44" s="1"/>
  <c r="I73" i="44"/>
  <c r="G74" i="44"/>
  <c r="H74" i="44"/>
  <c r="BG42" i="44" s="1"/>
  <c r="I74" i="44"/>
  <c r="G75" i="44"/>
  <c r="H75" i="44"/>
  <c r="BG43" i="44" s="1"/>
  <c r="I75" i="44"/>
  <c r="G76" i="44"/>
  <c r="H76" i="44"/>
  <c r="BG44" i="44" s="1"/>
  <c r="I76" i="44"/>
  <c r="G77" i="44"/>
  <c r="H77" i="44"/>
  <c r="BG45" i="44" s="1"/>
  <c r="I77" i="44"/>
  <c r="G78" i="44"/>
  <c r="H78" i="44"/>
  <c r="BG46" i="44" s="1"/>
  <c r="I78" i="44"/>
  <c r="G79" i="44"/>
  <c r="H79" i="44"/>
  <c r="BG47" i="44" s="1"/>
  <c r="I79" i="44"/>
  <c r="G80" i="44"/>
  <c r="H80" i="44"/>
  <c r="BG48" i="44" s="1"/>
  <c r="I80" i="44"/>
  <c r="G81" i="44"/>
  <c r="H81" i="44"/>
  <c r="BG49" i="44" s="1"/>
  <c r="I81" i="44"/>
  <c r="G82" i="44"/>
  <c r="H82" i="44"/>
  <c r="BG50" i="44" s="1"/>
  <c r="I82" i="44"/>
  <c r="G83" i="44"/>
  <c r="H83" i="44"/>
  <c r="BG51" i="44" s="1"/>
  <c r="I83" i="44"/>
  <c r="G84" i="44"/>
  <c r="H84" i="44"/>
  <c r="BG52" i="44" s="1"/>
  <c r="I84" i="44"/>
  <c r="G85" i="44"/>
  <c r="H85" i="44"/>
  <c r="BG53" i="44" s="1"/>
  <c r="I85" i="44"/>
  <c r="G86" i="44"/>
  <c r="H86" i="44"/>
  <c r="BG54" i="44" s="1"/>
  <c r="I86" i="44"/>
  <c r="G87" i="44"/>
  <c r="H87" i="44"/>
  <c r="BG55" i="44" s="1"/>
  <c r="I87" i="44"/>
  <c r="G88" i="44"/>
  <c r="H88" i="44"/>
  <c r="BG56" i="44" s="1"/>
  <c r="I88" i="44"/>
  <c r="G89" i="44"/>
  <c r="H89" i="44"/>
  <c r="BG57" i="44" s="1"/>
  <c r="I89" i="44"/>
  <c r="G90" i="44"/>
  <c r="H90" i="44"/>
  <c r="BG58" i="44" s="1"/>
  <c r="I90" i="44"/>
  <c r="G91" i="44"/>
  <c r="H91" i="44"/>
  <c r="BG59" i="44" s="1"/>
  <c r="I91" i="44"/>
  <c r="G92" i="44"/>
  <c r="H92" i="44"/>
  <c r="BG60" i="44" s="1"/>
  <c r="I92" i="44"/>
  <c r="G93" i="44"/>
  <c r="H93" i="44"/>
  <c r="BG61" i="44" s="1"/>
  <c r="I93" i="44"/>
  <c r="G94" i="44"/>
  <c r="H94" i="44"/>
  <c r="BG62" i="44" s="1"/>
  <c r="I94" i="44"/>
  <c r="G95" i="44"/>
  <c r="H95" i="44"/>
  <c r="BG63" i="44" s="1"/>
  <c r="I95" i="44"/>
  <c r="G96" i="44"/>
  <c r="H96" i="44"/>
  <c r="BG64" i="44" s="1"/>
  <c r="I96" i="44"/>
  <c r="G97" i="44"/>
  <c r="H97" i="44"/>
  <c r="BG65" i="44" s="1"/>
  <c r="I97" i="44"/>
  <c r="G98" i="44"/>
  <c r="H98" i="44"/>
  <c r="BG66" i="44" s="1"/>
  <c r="I98" i="44"/>
  <c r="G99" i="44"/>
  <c r="H99" i="44"/>
  <c r="BG67" i="44" s="1"/>
  <c r="I99" i="44"/>
  <c r="G100" i="44"/>
  <c r="H100" i="44"/>
  <c r="BH38" i="44" s="1"/>
  <c r="I100" i="44"/>
  <c r="G101" i="44"/>
  <c r="H101" i="44"/>
  <c r="BH39" i="44" s="1"/>
  <c r="I101" i="44"/>
  <c r="G102" i="44"/>
  <c r="H102" i="44"/>
  <c r="BH40" i="44" s="1"/>
  <c r="I102" i="44"/>
  <c r="G103" i="44"/>
  <c r="H103" i="44"/>
  <c r="BH41" i="44" s="1"/>
  <c r="I103" i="44"/>
  <c r="G104" i="44"/>
  <c r="H104" i="44"/>
  <c r="BH42" i="44" s="1"/>
  <c r="I104" i="44"/>
  <c r="G105" i="44"/>
  <c r="H105" i="44"/>
  <c r="BH43" i="44" s="1"/>
  <c r="I105" i="44"/>
  <c r="G106" i="44"/>
  <c r="H106" i="44"/>
  <c r="BH44" i="44" s="1"/>
  <c r="I106" i="44"/>
  <c r="G107" i="44"/>
  <c r="H107" i="44"/>
  <c r="BH45" i="44" s="1"/>
  <c r="I107" i="44"/>
  <c r="G108" i="44"/>
  <c r="H108" i="44"/>
  <c r="BH46" i="44" s="1"/>
  <c r="I108" i="44"/>
  <c r="G109" i="44"/>
  <c r="H109" i="44"/>
  <c r="BH47" i="44" s="1"/>
  <c r="I109" i="44"/>
  <c r="G110" i="44"/>
  <c r="H110" i="44"/>
  <c r="BH48" i="44" s="1"/>
  <c r="I110" i="44"/>
  <c r="G111" i="44"/>
  <c r="H111" i="44"/>
  <c r="BH49" i="44" s="1"/>
  <c r="I111" i="44"/>
  <c r="G112" i="44"/>
  <c r="H112" i="44"/>
  <c r="BH50" i="44" s="1"/>
  <c r="I112" i="44"/>
  <c r="G113" i="44"/>
  <c r="H113" i="44"/>
  <c r="BH51" i="44" s="1"/>
  <c r="I113" i="44"/>
  <c r="G114" i="44"/>
  <c r="H114" i="44"/>
  <c r="BH52" i="44" s="1"/>
  <c r="I114" i="44"/>
  <c r="G115" i="44"/>
  <c r="H115" i="44"/>
  <c r="BH53" i="44" s="1"/>
  <c r="I115" i="44"/>
  <c r="G116" i="44"/>
  <c r="H116" i="44"/>
  <c r="BH54" i="44" s="1"/>
  <c r="I116" i="44"/>
  <c r="G117" i="44"/>
  <c r="H117" i="44"/>
  <c r="BH55" i="44" s="1"/>
  <c r="I117" i="44"/>
  <c r="G118" i="44"/>
  <c r="H118" i="44"/>
  <c r="BH56" i="44" s="1"/>
  <c r="I118" i="44"/>
  <c r="G119" i="44"/>
  <c r="H119" i="44"/>
  <c r="BH57" i="44" s="1"/>
  <c r="I119" i="44"/>
  <c r="G120" i="44"/>
  <c r="H120" i="44"/>
  <c r="BH58" i="44" s="1"/>
  <c r="I120" i="44"/>
  <c r="G121" i="44"/>
  <c r="H121" i="44"/>
  <c r="BH59" i="44" s="1"/>
  <c r="I121" i="44"/>
  <c r="G122" i="44"/>
  <c r="H122" i="44"/>
  <c r="BH60" i="44" s="1"/>
  <c r="I122" i="44"/>
  <c r="G123" i="44"/>
  <c r="H123" i="44"/>
  <c r="BH61" i="44" s="1"/>
  <c r="I123" i="44"/>
  <c r="G124" i="44"/>
  <c r="H124" i="44"/>
  <c r="BH62" i="44" s="1"/>
  <c r="I124" i="44"/>
  <c r="G125" i="44"/>
  <c r="H125" i="44"/>
  <c r="BH63" i="44" s="1"/>
  <c r="I125" i="44"/>
  <c r="G126" i="44"/>
  <c r="H126" i="44"/>
  <c r="BH64" i="44" s="1"/>
  <c r="I126" i="44"/>
  <c r="G127" i="44"/>
  <c r="H127" i="44"/>
  <c r="BH65" i="44" s="1"/>
  <c r="I127" i="44"/>
  <c r="G128" i="44"/>
  <c r="H128" i="44"/>
  <c r="BH66" i="44" s="1"/>
  <c r="I128" i="44"/>
  <c r="G129" i="44"/>
  <c r="H129" i="44"/>
  <c r="BH67" i="44" s="1"/>
  <c r="I129" i="44"/>
  <c r="G130" i="44"/>
  <c r="H130" i="44"/>
  <c r="BH68" i="44" s="1"/>
  <c r="I130" i="44"/>
  <c r="G131" i="44"/>
  <c r="H131" i="44"/>
  <c r="BI38" i="44" s="1"/>
  <c r="I131" i="44"/>
  <c r="G132" i="44"/>
  <c r="H132" i="44"/>
  <c r="BI39" i="44" s="1"/>
  <c r="I132" i="44"/>
  <c r="G133" i="44"/>
  <c r="H133" i="44"/>
  <c r="BI40" i="44" s="1"/>
  <c r="I133" i="44"/>
  <c r="G134" i="44"/>
  <c r="H134" i="44"/>
  <c r="BI41" i="44" s="1"/>
  <c r="I134" i="44"/>
  <c r="G135" i="44"/>
  <c r="H135" i="44"/>
  <c r="BI42" i="44" s="1"/>
  <c r="I135" i="44"/>
  <c r="G136" i="44"/>
  <c r="H136" i="44"/>
  <c r="BI43" i="44" s="1"/>
  <c r="I136" i="44"/>
  <c r="G137" i="44"/>
  <c r="H137" i="44"/>
  <c r="BI44" i="44" s="1"/>
  <c r="I137" i="44"/>
  <c r="G138" i="44"/>
  <c r="H138" i="44"/>
  <c r="BI45" i="44" s="1"/>
  <c r="I138" i="44"/>
  <c r="G139" i="44"/>
  <c r="H139" i="44"/>
  <c r="BI46" i="44" s="1"/>
  <c r="I139" i="44"/>
  <c r="G140" i="44"/>
  <c r="H140" i="44"/>
  <c r="BI47" i="44" s="1"/>
  <c r="I140" i="44"/>
  <c r="G141" i="44"/>
  <c r="H141" i="44"/>
  <c r="BI48" i="44" s="1"/>
  <c r="I141" i="44"/>
  <c r="G142" i="44"/>
  <c r="H142" i="44"/>
  <c r="BI49" i="44" s="1"/>
  <c r="I142" i="44"/>
  <c r="G143" i="44"/>
  <c r="H143" i="44"/>
  <c r="BI50" i="44" s="1"/>
  <c r="I143" i="44"/>
  <c r="G144" i="44"/>
  <c r="H144" i="44"/>
  <c r="BI51" i="44" s="1"/>
  <c r="I144" i="44"/>
  <c r="G145" i="44"/>
  <c r="H145" i="44"/>
  <c r="BI52" i="44" s="1"/>
  <c r="I145" i="44"/>
  <c r="G146" i="44"/>
  <c r="H146" i="44"/>
  <c r="BI53" i="44" s="1"/>
  <c r="I146" i="44"/>
  <c r="G147" i="44"/>
  <c r="H147" i="44"/>
  <c r="BI54" i="44" s="1"/>
  <c r="I147" i="44"/>
  <c r="G148" i="44"/>
  <c r="H148" i="44"/>
  <c r="BI55" i="44" s="1"/>
  <c r="I148" i="44"/>
  <c r="G149" i="44"/>
  <c r="H149" i="44"/>
  <c r="BI56" i="44" s="1"/>
  <c r="I149" i="44"/>
  <c r="G150" i="44"/>
  <c r="H150" i="44"/>
  <c r="BI57" i="44" s="1"/>
  <c r="I150" i="44"/>
  <c r="G151" i="44"/>
  <c r="H151" i="44"/>
  <c r="BI58" i="44" s="1"/>
  <c r="I151" i="44"/>
  <c r="G152" i="44"/>
  <c r="H152" i="44"/>
  <c r="BI59" i="44" s="1"/>
  <c r="I152" i="44"/>
  <c r="G153" i="44"/>
  <c r="H153" i="44"/>
  <c r="BI60" i="44" s="1"/>
  <c r="I153" i="44"/>
  <c r="G154" i="44"/>
  <c r="H154" i="44"/>
  <c r="BI61" i="44" s="1"/>
  <c r="I154" i="44"/>
  <c r="G155" i="44"/>
  <c r="H155" i="44"/>
  <c r="BI62" i="44" s="1"/>
  <c r="I155" i="44"/>
  <c r="G156" i="44"/>
  <c r="H156" i="44"/>
  <c r="BI63" i="44" s="1"/>
  <c r="I156" i="44"/>
  <c r="G157" i="44"/>
  <c r="H157" i="44"/>
  <c r="BI64" i="44" s="1"/>
  <c r="I157" i="44"/>
  <c r="G158" i="44"/>
  <c r="H158" i="44"/>
  <c r="BI65" i="44" s="1"/>
  <c r="I158" i="44"/>
  <c r="G159" i="44"/>
  <c r="H159" i="44"/>
  <c r="BI66" i="44" s="1"/>
  <c r="I159" i="44"/>
  <c r="G160" i="44"/>
  <c r="H160" i="44"/>
  <c r="BI67" i="44" s="1"/>
  <c r="I160" i="44"/>
  <c r="G161" i="44"/>
  <c r="H161" i="44"/>
  <c r="BI68" i="44" s="1"/>
  <c r="I161" i="44"/>
  <c r="G162" i="44"/>
  <c r="H162" i="44"/>
  <c r="BJ38" i="44" s="1"/>
  <c r="I162" i="44"/>
  <c r="G163" i="44"/>
  <c r="H163" i="44"/>
  <c r="BJ39" i="44" s="1"/>
  <c r="I163" i="44"/>
  <c r="G164" i="44"/>
  <c r="H164" i="44"/>
  <c r="BJ40" i="44" s="1"/>
  <c r="I164" i="44"/>
  <c r="G165" i="44"/>
  <c r="H165" i="44"/>
  <c r="BJ41" i="44" s="1"/>
  <c r="I165" i="44"/>
  <c r="G166" i="44"/>
  <c r="H166" i="44"/>
  <c r="BJ42" i="44" s="1"/>
  <c r="I166" i="44"/>
  <c r="G167" i="44"/>
  <c r="H167" i="44"/>
  <c r="BJ43" i="44" s="1"/>
  <c r="I167" i="44"/>
  <c r="G168" i="44"/>
  <c r="H168" i="44"/>
  <c r="BJ44" i="44" s="1"/>
  <c r="I168" i="44"/>
  <c r="G169" i="44"/>
  <c r="H169" i="44"/>
  <c r="BJ45" i="44" s="1"/>
  <c r="I169" i="44"/>
  <c r="G170" i="44"/>
  <c r="H170" i="44"/>
  <c r="BJ46" i="44" s="1"/>
  <c r="I170" i="44"/>
  <c r="G171" i="44"/>
  <c r="H171" i="44"/>
  <c r="BJ47" i="44" s="1"/>
  <c r="I171" i="44"/>
  <c r="G172" i="44"/>
  <c r="H172" i="44"/>
  <c r="BJ48" i="44" s="1"/>
  <c r="I172" i="44"/>
  <c r="G173" i="44"/>
  <c r="H173" i="44"/>
  <c r="BJ49" i="44" s="1"/>
  <c r="I173" i="44"/>
  <c r="G174" i="44"/>
  <c r="H174" i="44"/>
  <c r="BJ50" i="44" s="1"/>
  <c r="I174" i="44"/>
  <c r="G175" i="44"/>
  <c r="H175" i="44"/>
  <c r="BJ51" i="44" s="1"/>
  <c r="I175" i="44"/>
  <c r="G176" i="44"/>
  <c r="H176" i="44"/>
  <c r="BJ52" i="44" s="1"/>
  <c r="I176" i="44"/>
  <c r="G177" i="44"/>
  <c r="H177" i="44"/>
  <c r="BJ53" i="44" s="1"/>
  <c r="I177" i="44"/>
  <c r="G178" i="44"/>
  <c r="H178" i="44"/>
  <c r="BJ54" i="44" s="1"/>
  <c r="I178" i="44"/>
  <c r="G179" i="44"/>
  <c r="H179" i="44"/>
  <c r="BJ55" i="44" s="1"/>
  <c r="I179" i="44"/>
  <c r="G180" i="44"/>
  <c r="H180" i="44"/>
  <c r="BJ56" i="44" s="1"/>
  <c r="I180" i="44"/>
  <c r="G181" i="44"/>
  <c r="H181" i="44"/>
  <c r="BJ57" i="44" s="1"/>
  <c r="I181" i="44"/>
  <c r="G182" i="44"/>
  <c r="H182" i="44"/>
  <c r="BJ58" i="44" s="1"/>
  <c r="I182" i="44"/>
  <c r="G183" i="44"/>
  <c r="H183" i="44"/>
  <c r="BJ59" i="44" s="1"/>
  <c r="I183" i="44"/>
  <c r="G184" i="44"/>
  <c r="H184" i="44"/>
  <c r="BJ60" i="44" s="1"/>
  <c r="I184" i="44"/>
  <c r="G185" i="44"/>
  <c r="H185" i="44"/>
  <c r="BJ61" i="44" s="1"/>
  <c r="I185" i="44"/>
  <c r="G186" i="44"/>
  <c r="H186" i="44"/>
  <c r="BJ62" i="44" s="1"/>
  <c r="I186" i="44"/>
  <c r="G187" i="44"/>
  <c r="H187" i="44"/>
  <c r="BJ63" i="44" s="1"/>
  <c r="I187" i="44"/>
  <c r="G188" i="44"/>
  <c r="H188" i="44"/>
  <c r="BJ64" i="44" s="1"/>
  <c r="I188" i="44"/>
  <c r="G189" i="44"/>
  <c r="H189" i="44"/>
  <c r="BJ65" i="44" s="1"/>
  <c r="I189" i="44"/>
  <c r="G190" i="44"/>
  <c r="H190" i="44"/>
  <c r="BJ66" i="44" s="1"/>
  <c r="I190" i="44"/>
  <c r="G191" i="44"/>
  <c r="H191" i="44"/>
  <c r="BJ67" i="44" s="1"/>
  <c r="I191" i="44"/>
  <c r="G192" i="44"/>
  <c r="H192" i="44"/>
  <c r="BK38" i="44" s="1"/>
  <c r="I192" i="44"/>
  <c r="G193" i="44"/>
  <c r="H193" i="44"/>
  <c r="BK39" i="44" s="1"/>
  <c r="I193" i="44"/>
  <c r="G194" i="44"/>
  <c r="H194" i="44"/>
  <c r="BK40" i="44" s="1"/>
  <c r="I194" i="44"/>
  <c r="G195" i="44"/>
  <c r="H195" i="44"/>
  <c r="BK41" i="44" s="1"/>
  <c r="I195" i="44"/>
  <c r="G196" i="44"/>
  <c r="H196" i="44"/>
  <c r="BK42" i="44" s="1"/>
  <c r="I196" i="44"/>
  <c r="G197" i="44"/>
  <c r="H197" i="44"/>
  <c r="BK43" i="44" s="1"/>
  <c r="I197" i="44"/>
  <c r="G198" i="44"/>
  <c r="H198" i="44"/>
  <c r="BK44" i="44" s="1"/>
  <c r="I198" i="44"/>
  <c r="G199" i="44"/>
  <c r="H199" i="44"/>
  <c r="BK45" i="44" s="1"/>
  <c r="I199" i="44"/>
  <c r="G200" i="44"/>
  <c r="H200" i="44"/>
  <c r="BK46" i="44" s="1"/>
  <c r="I200" i="44"/>
  <c r="G201" i="44"/>
  <c r="H201" i="44"/>
  <c r="BK47" i="44" s="1"/>
  <c r="I201" i="44"/>
  <c r="G202" i="44"/>
  <c r="H202" i="44"/>
  <c r="BK48" i="44" s="1"/>
  <c r="I202" i="44"/>
  <c r="G203" i="44"/>
  <c r="H203" i="44"/>
  <c r="BK49" i="44" s="1"/>
  <c r="I203" i="44"/>
  <c r="G204" i="44"/>
  <c r="H204" i="44"/>
  <c r="BK50" i="44" s="1"/>
  <c r="I204" i="44"/>
  <c r="G205" i="44"/>
  <c r="H205" i="44"/>
  <c r="BK51" i="44" s="1"/>
  <c r="I205" i="44"/>
  <c r="G206" i="44"/>
  <c r="H206" i="44"/>
  <c r="BK52" i="44" s="1"/>
  <c r="I206" i="44"/>
  <c r="G207" i="44"/>
  <c r="H207" i="44"/>
  <c r="BK53" i="44" s="1"/>
  <c r="I207" i="44"/>
  <c r="G208" i="44"/>
  <c r="H208" i="44"/>
  <c r="BK54" i="44" s="1"/>
  <c r="I208" i="44"/>
  <c r="G209" i="44"/>
  <c r="H209" i="44"/>
  <c r="BK55" i="44" s="1"/>
  <c r="I209" i="44"/>
  <c r="G210" i="44"/>
  <c r="H210" i="44"/>
  <c r="BK56" i="44" s="1"/>
  <c r="I210" i="44"/>
  <c r="G211" i="44"/>
  <c r="H211" i="44"/>
  <c r="BK57" i="44" s="1"/>
  <c r="I211" i="44"/>
  <c r="G212" i="44"/>
  <c r="H212" i="44"/>
  <c r="BK58" i="44" s="1"/>
  <c r="I212" i="44"/>
  <c r="G213" i="44"/>
  <c r="H213" i="44"/>
  <c r="BK59" i="44" s="1"/>
  <c r="I213" i="44"/>
  <c r="G214" i="44"/>
  <c r="H214" i="44"/>
  <c r="BK60" i="44" s="1"/>
  <c r="I214" i="44"/>
  <c r="G215" i="44"/>
  <c r="H215" i="44"/>
  <c r="BK61" i="44" s="1"/>
  <c r="I215" i="44"/>
  <c r="G216" i="44"/>
  <c r="H216" i="44"/>
  <c r="BK62" i="44" s="1"/>
  <c r="I216" i="44"/>
  <c r="G217" i="44"/>
  <c r="H217" i="44"/>
  <c r="BK63" i="44" s="1"/>
  <c r="I217" i="44"/>
  <c r="G218" i="44"/>
  <c r="H218" i="44"/>
  <c r="BK64" i="44" s="1"/>
  <c r="I218" i="44"/>
  <c r="G219" i="44"/>
  <c r="H219" i="44"/>
  <c r="BK65" i="44" s="1"/>
  <c r="I219" i="44"/>
  <c r="G220" i="44"/>
  <c r="H220" i="44"/>
  <c r="BK66" i="44" s="1"/>
  <c r="I220" i="44"/>
  <c r="G221" i="44"/>
  <c r="H221" i="44"/>
  <c r="BK67" i="44" s="1"/>
  <c r="I221" i="44"/>
  <c r="G222" i="44"/>
  <c r="H222" i="44"/>
  <c r="BK68" i="44" s="1"/>
  <c r="I222" i="44"/>
  <c r="G223" i="44"/>
  <c r="H223" i="44"/>
  <c r="BL38" i="44" s="1"/>
  <c r="I223" i="44"/>
  <c r="G224" i="44"/>
  <c r="H224" i="44"/>
  <c r="BL39" i="44" s="1"/>
  <c r="I224" i="44"/>
  <c r="G225" i="44"/>
  <c r="H225" i="44"/>
  <c r="BL40" i="44" s="1"/>
  <c r="I225" i="44"/>
  <c r="G226" i="44"/>
  <c r="H226" i="44"/>
  <c r="BL41" i="44" s="1"/>
  <c r="I226" i="44"/>
  <c r="G227" i="44"/>
  <c r="H227" i="44"/>
  <c r="BL42" i="44" s="1"/>
  <c r="I227" i="44"/>
  <c r="G228" i="44"/>
  <c r="H228" i="44"/>
  <c r="BL43" i="44" s="1"/>
  <c r="I228" i="44"/>
  <c r="G229" i="44"/>
  <c r="H229" i="44"/>
  <c r="BL44" i="44" s="1"/>
  <c r="I229" i="44"/>
  <c r="G230" i="44"/>
  <c r="H230" i="44"/>
  <c r="BL45" i="44" s="1"/>
  <c r="I230" i="44"/>
  <c r="G231" i="44"/>
  <c r="H231" i="44"/>
  <c r="BL46" i="44" s="1"/>
  <c r="I231" i="44"/>
  <c r="G232" i="44"/>
  <c r="H232" i="44"/>
  <c r="BL47" i="44" s="1"/>
  <c r="I232" i="44"/>
  <c r="G233" i="44"/>
  <c r="H233" i="44"/>
  <c r="BL48" i="44" s="1"/>
  <c r="I233" i="44"/>
  <c r="G234" i="44"/>
  <c r="H234" i="44"/>
  <c r="BL49" i="44" s="1"/>
  <c r="I234" i="44"/>
  <c r="G235" i="44"/>
  <c r="H235" i="44"/>
  <c r="BL50" i="44" s="1"/>
  <c r="I235" i="44"/>
  <c r="G236" i="44"/>
  <c r="H236" i="44"/>
  <c r="BL51" i="44" s="1"/>
  <c r="I236" i="44"/>
  <c r="G237" i="44"/>
  <c r="H237" i="44"/>
  <c r="BL52" i="44" s="1"/>
  <c r="I237" i="44"/>
  <c r="G238" i="44"/>
  <c r="H238" i="44"/>
  <c r="BL53" i="44" s="1"/>
  <c r="I238" i="44"/>
  <c r="G239" i="44"/>
  <c r="H239" i="44"/>
  <c r="BL54" i="44" s="1"/>
  <c r="I239" i="44"/>
  <c r="G240" i="44"/>
  <c r="H240" i="44"/>
  <c r="BL55" i="44" s="1"/>
  <c r="I240" i="44"/>
  <c r="G241" i="44"/>
  <c r="H241" i="44"/>
  <c r="BL56" i="44" s="1"/>
  <c r="I241" i="44"/>
  <c r="G242" i="44"/>
  <c r="H242" i="44"/>
  <c r="BL57" i="44" s="1"/>
  <c r="I242" i="44"/>
  <c r="G243" i="44"/>
  <c r="H243" i="44"/>
  <c r="BL58" i="44" s="1"/>
  <c r="I243" i="44"/>
  <c r="G244" i="44"/>
  <c r="H244" i="44"/>
  <c r="BL59" i="44" s="1"/>
  <c r="I244" i="44"/>
  <c r="G245" i="44"/>
  <c r="H245" i="44"/>
  <c r="BL60" i="44" s="1"/>
  <c r="I245" i="44"/>
  <c r="G246" i="44"/>
  <c r="H246" i="44"/>
  <c r="BL61" i="44" s="1"/>
  <c r="I246" i="44"/>
  <c r="G247" i="44"/>
  <c r="H247" i="44"/>
  <c r="BL62" i="44" s="1"/>
  <c r="I247" i="44"/>
  <c r="G248" i="44"/>
  <c r="H248" i="44"/>
  <c r="BL63" i="44" s="1"/>
  <c r="I248" i="44"/>
  <c r="G249" i="44"/>
  <c r="H249" i="44"/>
  <c r="BL64" i="44" s="1"/>
  <c r="I249" i="44"/>
  <c r="G250" i="44"/>
  <c r="H250" i="44"/>
  <c r="BL65" i="44" s="1"/>
  <c r="I250" i="44"/>
  <c r="G251" i="44"/>
  <c r="H251" i="44"/>
  <c r="BL66" i="44" s="1"/>
  <c r="I251" i="44"/>
  <c r="G252" i="44"/>
  <c r="H252" i="44"/>
  <c r="BL67" i="44" s="1"/>
  <c r="I252" i="44"/>
  <c r="G253" i="44"/>
  <c r="H253" i="44"/>
  <c r="BM38" i="44" s="1"/>
  <c r="I253" i="44"/>
  <c r="G254" i="44"/>
  <c r="H254" i="44"/>
  <c r="BM39" i="44" s="1"/>
  <c r="I254" i="44"/>
  <c r="G255" i="44"/>
  <c r="H255" i="44"/>
  <c r="BM40" i="44" s="1"/>
  <c r="I255" i="44"/>
  <c r="G256" i="44"/>
  <c r="H256" i="44"/>
  <c r="BM41" i="44" s="1"/>
  <c r="I256" i="44"/>
  <c r="G257" i="44"/>
  <c r="H257" i="44"/>
  <c r="BM42" i="44" s="1"/>
  <c r="I257" i="44"/>
  <c r="G258" i="44"/>
  <c r="H258" i="44"/>
  <c r="BM43" i="44" s="1"/>
  <c r="I258" i="44"/>
  <c r="G259" i="44"/>
  <c r="H259" i="44"/>
  <c r="BM44" i="44" s="1"/>
  <c r="I259" i="44"/>
  <c r="G260" i="44"/>
  <c r="H260" i="44"/>
  <c r="BM45" i="44" s="1"/>
  <c r="I260" i="44"/>
  <c r="G261" i="44"/>
  <c r="H261" i="44"/>
  <c r="BM46" i="44" s="1"/>
  <c r="I261" i="44"/>
  <c r="G262" i="44"/>
  <c r="H262" i="44"/>
  <c r="BM47" i="44" s="1"/>
  <c r="I262" i="44"/>
  <c r="G263" i="44"/>
  <c r="H263" i="44"/>
  <c r="BM48" i="44" s="1"/>
  <c r="I263" i="44"/>
  <c r="G264" i="44"/>
  <c r="H264" i="44"/>
  <c r="BM49" i="44" s="1"/>
  <c r="I264" i="44"/>
  <c r="G265" i="44"/>
  <c r="H265" i="44"/>
  <c r="BM50" i="44" s="1"/>
  <c r="I265" i="44"/>
  <c r="G266" i="44"/>
  <c r="H266" i="44"/>
  <c r="BM51" i="44" s="1"/>
  <c r="I266" i="44"/>
  <c r="G267" i="44"/>
  <c r="H267" i="44"/>
  <c r="BM52" i="44" s="1"/>
  <c r="I267" i="44"/>
  <c r="G268" i="44"/>
  <c r="H268" i="44"/>
  <c r="BM53" i="44" s="1"/>
  <c r="I268" i="44"/>
  <c r="G269" i="44"/>
  <c r="H269" i="44"/>
  <c r="BM54" i="44" s="1"/>
  <c r="I269" i="44"/>
  <c r="G270" i="44"/>
  <c r="H270" i="44"/>
  <c r="BM55" i="44" s="1"/>
  <c r="I270" i="44"/>
  <c r="G271" i="44"/>
  <c r="H271" i="44"/>
  <c r="BM56" i="44" s="1"/>
  <c r="I271" i="44"/>
  <c r="G272" i="44"/>
  <c r="H272" i="44"/>
  <c r="BM57" i="44" s="1"/>
  <c r="I272" i="44"/>
  <c r="G273" i="44"/>
  <c r="H273" i="44"/>
  <c r="BM58" i="44" s="1"/>
  <c r="I273" i="44"/>
  <c r="G274" i="44"/>
  <c r="H274" i="44"/>
  <c r="BM59" i="44" s="1"/>
  <c r="I274" i="44"/>
  <c r="G275" i="44"/>
  <c r="H275" i="44"/>
  <c r="BM60" i="44" s="1"/>
  <c r="I275" i="44"/>
  <c r="G276" i="44"/>
  <c r="H276" i="44"/>
  <c r="BM61" i="44" s="1"/>
  <c r="I276" i="44"/>
  <c r="G277" i="44"/>
  <c r="H277" i="44"/>
  <c r="BM62" i="44" s="1"/>
  <c r="I277" i="44"/>
  <c r="G278" i="44"/>
  <c r="H278" i="44"/>
  <c r="BM63" i="44" s="1"/>
  <c r="I278" i="44"/>
  <c r="G279" i="44"/>
  <c r="H279" i="44"/>
  <c r="BM64" i="44" s="1"/>
  <c r="I279" i="44"/>
  <c r="G280" i="44"/>
  <c r="H280" i="44"/>
  <c r="BM65" i="44" s="1"/>
  <c r="I280" i="44"/>
  <c r="G281" i="44"/>
  <c r="H281" i="44"/>
  <c r="BM66" i="44" s="1"/>
  <c r="I281" i="44"/>
  <c r="G282" i="44"/>
  <c r="H282" i="44"/>
  <c r="BM67" i="44" s="1"/>
  <c r="I282" i="44"/>
  <c r="G283" i="44"/>
  <c r="H283" i="44"/>
  <c r="BM68" i="44" s="1"/>
  <c r="I283" i="44"/>
  <c r="G284" i="44"/>
  <c r="H284" i="44"/>
  <c r="BN38" i="44" s="1"/>
  <c r="I284" i="44"/>
  <c r="G285" i="44"/>
  <c r="H285" i="44"/>
  <c r="BN39" i="44" s="1"/>
  <c r="I285" i="44"/>
  <c r="G286" i="44"/>
  <c r="H286" i="44"/>
  <c r="BN40" i="44" s="1"/>
  <c r="I286" i="44"/>
  <c r="G287" i="44"/>
  <c r="H287" i="44"/>
  <c r="BN41" i="44" s="1"/>
  <c r="I287" i="44"/>
  <c r="G288" i="44"/>
  <c r="H288" i="44"/>
  <c r="BN42" i="44" s="1"/>
  <c r="I288" i="44"/>
  <c r="G289" i="44"/>
  <c r="H289" i="44"/>
  <c r="BN43" i="44" s="1"/>
  <c r="I289" i="44"/>
  <c r="G290" i="44"/>
  <c r="H290" i="44"/>
  <c r="BN44" i="44" s="1"/>
  <c r="I290" i="44"/>
  <c r="G291" i="44"/>
  <c r="H291" i="44"/>
  <c r="BN45" i="44" s="1"/>
  <c r="I291" i="44"/>
  <c r="G292" i="44"/>
  <c r="H292" i="44"/>
  <c r="BN46" i="44" s="1"/>
  <c r="I292" i="44"/>
  <c r="G293" i="44"/>
  <c r="H293" i="44"/>
  <c r="BN47" i="44" s="1"/>
  <c r="I293" i="44"/>
  <c r="G294" i="44"/>
  <c r="H294" i="44"/>
  <c r="BN48" i="44" s="1"/>
  <c r="I294" i="44"/>
  <c r="G295" i="44"/>
  <c r="H295" i="44"/>
  <c r="BN49" i="44" s="1"/>
  <c r="I295" i="44"/>
  <c r="G296" i="44"/>
  <c r="H296" i="44"/>
  <c r="BN50" i="44" s="1"/>
  <c r="I296" i="44"/>
  <c r="G297" i="44"/>
  <c r="H297" i="44"/>
  <c r="BN51" i="44" s="1"/>
  <c r="I297" i="44"/>
  <c r="G298" i="44"/>
  <c r="H298" i="44"/>
  <c r="BN52" i="44" s="1"/>
  <c r="I298" i="44"/>
  <c r="G299" i="44"/>
  <c r="H299" i="44"/>
  <c r="BN53" i="44" s="1"/>
  <c r="I299" i="44"/>
  <c r="G300" i="44"/>
  <c r="H300" i="44"/>
  <c r="BN54" i="44" s="1"/>
  <c r="I300" i="44"/>
  <c r="G301" i="44"/>
  <c r="H301" i="44"/>
  <c r="BN55" i="44" s="1"/>
  <c r="I301" i="44"/>
  <c r="G302" i="44"/>
  <c r="H302" i="44"/>
  <c r="BN56" i="44" s="1"/>
  <c r="I302" i="44"/>
  <c r="G303" i="44"/>
  <c r="H303" i="44"/>
  <c r="BN57" i="44" s="1"/>
  <c r="I303" i="44"/>
  <c r="G304" i="44"/>
  <c r="H304" i="44"/>
  <c r="BN58" i="44" s="1"/>
  <c r="I304" i="44"/>
  <c r="G305" i="44"/>
  <c r="H305" i="44"/>
  <c r="BN59" i="44" s="1"/>
  <c r="I305" i="44"/>
  <c r="G306" i="44"/>
  <c r="H306" i="44"/>
  <c r="BN60" i="44" s="1"/>
  <c r="I306" i="44"/>
  <c r="G307" i="44"/>
  <c r="H307" i="44"/>
  <c r="BN61" i="44" s="1"/>
  <c r="I307" i="44"/>
  <c r="G308" i="44"/>
  <c r="H308" i="44"/>
  <c r="BN62" i="44" s="1"/>
  <c r="I308" i="44"/>
  <c r="G309" i="44"/>
  <c r="H309" i="44"/>
  <c r="BN63" i="44" s="1"/>
  <c r="I309" i="44"/>
  <c r="G310" i="44"/>
  <c r="H310" i="44"/>
  <c r="BN64" i="44" s="1"/>
  <c r="I310" i="44"/>
  <c r="G311" i="44"/>
  <c r="H311" i="44"/>
  <c r="BN65" i="44" s="1"/>
  <c r="I311" i="44"/>
  <c r="G312" i="44"/>
  <c r="H312" i="44"/>
  <c r="BN66" i="44" s="1"/>
  <c r="I312" i="44"/>
  <c r="G313" i="44"/>
  <c r="H313" i="44"/>
  <c r="BN67" i="44" s="1"/>
  <c r="I313" i="44"/>
  <c r="G314" i="44"/>
  <c r="H314" i="44"/>
  <c r="BN68" i="44" s="1"/>
  <c r="I314" i="44"/>
  <c r="G315" i="44"/>
  <c r="H315" i="44"/>
  <c r="BO38" i="44" s="1"/>
  <c r="I315" i="44"/>
  <c r="G316" i="44"/>
  <c r="H316" i="44"/>
  <c r="BO39" i="44" s="1"/>
  <c r="I316" i="44"/>
  <c r="G317" i="44"/>
  <c r="H317" i="44"/>
  <c r="BO40" i="44" s="1"/>
  <c r="I317" i="44"/>
  <c r="G318" i="44"/>
  <c r="H318" i="44"/>
  <c r="BO41" i="44" s="1"/>
  <c r="I318" i="44"/>
  <c r="G319" i="44"/>
  <c r="H319" i="44"/>
  <c r="BO42" i="44" s="1"/>
  <c r="I319" i="44"/>
  <c r="G320" i="44"/>
  <c r="H320" i="44"/>
  <c r="BO43" i="44" s="1"/>
  <c r="I320" i="44"/>
  <c r="G321" i="44"/>
  <c r="H321" i="44"/>
  <c r="BO44" i="44" s="1"/>
  <c r="I321" i="44"/>
  <c r="G322" i="44"/>
  <c r="H322" i="44"/>
  <c r="BO45" i="44" s="1"/>
  <c r="I322" i="44"/>
  <c r="G323" i="44"/>
  <c r="H323" i="44"/>
  <c r="BO46" i="44" s="1"/>
  <c r="I323" i="44"/>
  <c r="G324" i="44"/>
  <c r="H324" i="44"/>
  <c r="BO47" i="44" s="1"/>
  <c r="I324" i="44"/>
  <c r="G325" i="44"/>
  <c r="H325" i="44"/>
  <c r="BO48" i="44" s="1"/>
  <c r="I325" i="44"/>
  <c r="G326" i="44"/>
  <c r="H326" i="44"/>
  <c r="BO49" i="44" s="1"/>
  <c r="I326" i="44"/>
  <c r="G327" i="44"/>
  <c r="H327" i="44"/>
  <c r="BO50" i="44" s="1"/>
  <c r="I327" i="44"/>
  <c r="G328" i="44"/>
  <c r="H328" i="44"/>
  <c r="BO51" i="44" s="1"/>
  <c r="I328" i="44"/>
  <c r="G329" i="44"/>
  <c r="H329" i="44"/>
  <c r="BO52" i="44" s="1"/>
  <c r="I329" i="44"/>
  <c r="G330" i="44"/>
  <c r="H330" i="44"/>
  <c r="BO53" i="44" s="1"/>
  <c r="I330" i="44"/>
  <c r="G331" i="44"/>
  <c r="H331" i="44"/>
  <c r="BO54" i="44" s="1"/>
  <c r="I331" i="44"/>
  <c r="G332" i="44"/>
  <c r="H332" i="44"/>
  <c r="BO55" i="44" s="1"/>
  <c r="I332" i="44"/>
  <c r="G333" i="44"/>
  <c r="H333" i="44"/>
  <c r="BO56" i="44" s="1"/>
  <c r="I333" i="44"/>
  <c r="G334" i="44"/>
  <c r="H334" i="44"/>
  <c r="BO57" i="44" s="1"/>
  <c r="I334" i="44"/>
  <c r="G335" i="44"/>
  <c r="H335" i="44"/>
  <c r="BO58" i="44" s="1"/>
  <c r="I335" i="44"/>
  <c r="G336" i="44"/>
  <c r="H336" i="44"/>
  <c r="BO59" i="44" s="1"/>
  <c r="I336" i="44"/>
  <c r="G337" i="44"/>
  <c r="H337" i="44"/>
  <c r="BO60" i="44" s="1"/>
  <c r="I337" i="44"/>
  <c r="G338" i="44"/>
  <c r="H338" i="44"/>
  <c r="BO61" i="44" s="1"/>
  <c r="I338" i="44"/>
  <c r="G339" i="44"/>
  <c r="H339" i="44"/>
  <c r="BO62" i="44" s="1"/>
  <c r="I339" i="44"/>
  <c r="G340" i="44"/>
  <c r="H340" i="44"/>
  <c r="BO63" i="44" s="1"/>
  <c r="I340" i="44"/>
  <c r="G341" i="44"/>
  <c r="H341" i="44"/>
  <c r="BO64" i="44" s="1"/>
  <c r="I341" i="44"/>
  <c r="G342" i="44"/>
  <c r="H342" i="44"/>
  <c r="BO65" i="44" s="1"/>
  <c r="I342" i="44"/>
  <c r="G343" i="44"/>
  <c r="H343" i="44"/>
  <c r="BO66" i="44" s="1"/>
  <c r="I343" i="44"/>
  <c r="G344" i="44"/>
  <c r="H344" i="44"/>
  <c r="BP38" i="44" s="1"/>
  <c r="I344" i="44"/>
  <c r="G345" i="44"/>
  <c r="H345" i="44"/>
  <c r="BP39" i="44" s="1"/>
  <c r="I345" i="44"/>
  <c r="G346" i="44"/>
  <c r="H346" i="44"/>
  <c r="BP40" i="44" s="1"/>
  <c r="I346" i="44"/>
  <c r="G347" i="44"/>
  <c r="H347" i="44"/>
  <c r="BP41" i="44" s="1"/>
  <c r="I347" i="44"/>
  <c r="G348" i="44"/>
  <c r="H348" i="44"/>
  <c r="BP42" i="44" s="1"/>
  <c r="I348" i="44"/>
  <c r="G349" i="44"/>
  <c r="H349" i="44"/>
  <c r="BP43" i="44" s="1"/>
  <c r="I349" i="44"/>
  <c r="G350" i="44"/>
  <c r="H350" i="44"/>
  <c r="BP44" i="44" s="1"/>
  <c r="I350" i="44"/>
  <c r="G351" i="44"/>
  <c r="H351" i="44"/>
  <c r="BP45" i="44" s="1"/>
  <c r="I351" i="44"/>
  <c r="G352" i="44"/>
  <c r="H352" i="44"/>
  <c r="BP46" i="44" s="1"/>
  <c r="I352" i="44"/>
  <c r="G353" i="44"/>
  <c r="H353" i="44"/>
  <c r="BP47" i="44" s="1"/>
  <c r="I353" i="44"/>
  <c r="G354" i="44"/>
  <c r="H354" i="44"/>
  <c r="BP48" i="44" s="1"/>
  <c r="I354" i="44"/>
  <c r="G355" i="44"/>
  <c r="H355" i="44"/>
  <c r="BP49" i="44" s="1"/>
  <c r="I355" i="44"/>
  <c r="G356" i="44"/>
  <c r="H356" i="44"/>
  <c r="BP50" i="44" s="1"/>
  <c r="I356" i="44"/>
  <c r="G357" i="44"/>
  <c r="H357" i="44"/>
  <c r="BP51" i="44" s="1"/>
  <c r="I357" i="44"/>
  <c r="G358" i="44"/>
  <c r="H358" i="44"/>
  <c r="BP52" i="44" s="1"/>
  <c r="I358" i="44"/>
  <c r="G359" i="44"/>
  <c r="H359" i="44"/>
  <c r="BP53" i="44" s="1"/>
  <c r="I359" i="44"/>
  <c r="G360" i="44"/>
  <c r="H360" i="44"/>
  <c r="BP54" i="44" s="1"/>
  <c r="I360" i="44"/>
  <c r="G361" i="44"/>
  <c r="H361" i="44"/>
  <c r="BP55" i="44" s="1"/>
  <c r="I361" i="44"/>
  <c r="G362" i="44"/>
  <c r="H362" i="44"/>
  <c r="BP56" i="44" s="1"/>
  <c r="I362" i="44"/>
  <c r="G363" i="44"/>
  <c r="H363" i="44"/>
  <c r="BP57" i="44" s="1"/>
  <c r="I363" i="44"/>
  <c r="G364" i="44"/>
  <c r="H364" i="44"/>
  <c r="BP58" i="44" s="1"/>
  <c r="I364" i="44"/>
  <c r="G365" i="44"/>
  <c r="H365" i="44"/>
  <c r="BP59" i="44" s="1"/>
  <c r="I365" i="44"/>
  <c r="G366" i="44"/>
  <c r="H366" i="44"/>
  <c r="BP60" i="44" s="1"/>
  <c r="I366" i="44"/>
  <c r="G367" i="44"/>
  <c r="H367" i="44"/>
  <c r="BP61" i="44" s="1"/>
  <c r="I367" i="44"/>
  <c r="G368" i="44"/>
  <c r="H368" i="44"/>
  <c r="BP62" i="44" s="1"/>
  <c r="I368" i="44"/>
  <c r="G369" i="44"/>
  <c r="H369" i="44"/>
  <c r="BP63" i="44" s="1"/>
  <c r="I369" i="44"/>
  <c r="G370" i="44"/>
  <c r="H370" i="44"/>
  <c r="BP64" i="44" s="1"/>
  <c r="I370" i="44"/>
  <c r="G371" i="44"/>
  <c r="H371" i="44"/>
  <c r="BP65" i="44" s="1"/>
  <c r="I371" i="44"/>
  <c r="G372" i="44"/>
  <c r="H372" i="44"/>
  <c r="BP66" i="44" s="1"/>
  <c r="I372" i="44"/>
  <c r="G373" i="44"/>
  <c r="H373" i="44"/>
  <c r="BP67" i="44" s="1"/>
  <c r="I373" i="44"/>
  <c r="G374" i="44"/>
  <c r="H374" i="44"/>
  <c r="BP68" i="44" s="1"/>
  <c r="I374" i="44"/>
  <c r="I9" i="44"/>
  <c r="H9" i="44"/>
  <c r="BE38" i="44" s="1"/>
  <c r="G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60" i="44"/>
  <c r="F361" i="44"/>
  <c r="F362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E10" i="44"/>
  <c r="BE4" i="44" s="1"/>
  <c r="E11" i="44"/>
  <c r="BE5" i="44" s="1"/>
  <c r="E12" i="44"/>
  <c r="BE6" i="44" s="1"/>
  <c r="E13" i="44"/>
  <c r="BE7" i="44" s="1"/>
  <c r="E14" i="44"/>
  <c r="BE8" i="44" s="1"/>
  <c r="E15" i="44"/>
  <c r="BE9" i="44" s="1"/>
  <c r="E16" i="44"/>
  <c r="BE10" i="44" s="1"/>
  <c r="E17" i="44"/>
  <c r="BE11" i="44" s="1"/>
  <c r="E18" i="44"/>
  <c r="BE12" i="44" s="1"/>
  <c r="E19" i="44"/>
  <c r="BE13" i="44" s="1"/>
  <c r="E20" i="44"/>
  <c r="BE14" i="44" s="1"/>
  <c r="E21" i="44"/>
  <c r="BE15" i="44" s="1"/>
  <c r="E22" i="44"/>
  <c r="BE16" i="44" s="1"/>
  <c r="E23" i="44"/>
  <c r="BE17" i="44" s="1"/>
  <c r="E24" i="44"/>
  <c r="BE18" i="44" s="1"/>
  <c r="E25" i="44"/>
  <c r="BE19" i="44" s="1"/>
  <c r="E26" i="44"/>
  <c r="BE20" i="44" s="1"/>
  <c r="E27" i="44"/>
  <c r="BE21" i="44" s="1"/>
  <c r="E28" i="44"/>
  <c r="BE22" i="44" s="1"/>
  <c r="E29" i="44"/>
  <c r="BE23" i="44" s="1"/>
  <c r="E30" i="44"/>
  <c r="BE24" i="44" s="1"/>
  <c r="E31" i="44"/>
  <c r="BE25" i="44" s="1"/>
  <c r="E32" i="44"/>
  <c r="BE26" i="44" s="1"/>
  <c r="E33" i="44"/>
  <c r="BE27" i="44" s="1"/>
  <c r="E34" i="44"/>
  <c r="BE28" i="44" s="1"/>
  <c r="E35" i="44"/>
  <c r="BE29" i="44" s="1"/>
  <c r="E36" i="44"/>
  <c r="BE30" i="44" s="1"/>
  <c r="E37" i="44"/>
  <c r="BE31" i="44" s="1"/>
  <c r="E38" i="44"/>
  <c r="BE32" i="44" s="1"/>
  <c r="E39" i="44"/>
  <c r="BF3" i="44" s="1"/>
  <c r="E40" i="44"/>
  <c r="BF4" i="44" s="1"/>
  <c r="E41" i="44"/>
  <c r="BF5" i="44" s="1"/>
  <c r="E42" i="44"/>
  <c r="BF6" i="44" s="1"/>
  <c r="E43" i="44"/>
  <c r="BF7" i="44" s="1"/>
  <c r="E44" i="44"/>
  <c r="BF8" i="44" s="1"/>
  <c r="E45" i="44"/>
  <c r="BF9" i="44" s="1"/>
  <c r="E46" i="44"/>
  <c r="BF10" i="44" s="1"/>
  <c r="E47" i="44"/>
  <c r="BF11" i="44" s="1"/>
  <c r="E48" i="44"/>
  <c r="BF12" i="44" s="1"/>
  <c r="E49" i="44"/>
  <c r="BF13" i="44" s="1"/>
  <c r="E50" i="44"/>
  <c r="BF14" i="44" s="1"/>
  <c r="E51" i="44"/>
  <c r="BF15" i="44" s="1"/>
  <c r="E52" i="44"/>
  <c r="BF16" i="44" s="1"/>
  <c r="E53" i="44"/>
  <c r="BF17" i="44" s="1"/>
  <c r="E54" i="44"/>
  <c r="BF18" i="44" s="1"/>
  <c r="E55" i="44"/>
  <c r="BF19" i="44" s="1"/>
  <c r="E56" i="44"/>
  <c r="BF20" i="44" s="1"/>
  <c r="E57" i="44"/>
  <c r="BF21" i="44" s="1"/>
  <c r="E58" i="44"/>
  <c r="BF22" i="44" s="1"/>
  <c r="E59" i="44"/>
  <c r="BF23" i="44" s="1"/>
  <c r="E60" i="44"/>
  <c r="BF24" i="44" s="1"/>
  <c r="E61" i="44"/>
  <c r="BF25" i="44" s="1"/>
  <c r="E62" i="44"/>
  <c r="BF26" i="44" s="1"/>
  <c r="E63" i="44"/>
  <c r="BF27" i="44" s="1"/>
  <c r="E64" i="44"/>
  <c r="BF28" i="44" s="1"/>
  <c r="E65" i="44"/>
  <c r="BF29" i="44" s="1"/>
  <c r="E66" i="44"/>
  <c r="BF30" i="44" s="1"/>
  <c r="E67" i="44"/>
  <c r="BF31" i="44" s="1"/>
  <c r="E68" i="44"/>
  <c r="BF32" i="44" s="1"/>
  <c r="E69" i="44"/>
  <c r="BF33" i="44" s="1"/>
  <c r="E70" i="44"/>
  <c r="BG3" i="44" s="1"/>
  <c r="E71" i="44"/>
  <c r="BG4" i="44" s="1"/>
  <c r="E72" i="44"/>
  <c r="BG5" i="44" s="1"/>
  <c r="E73" i="44"/>
  <c r="BG6" i="44" s="1"/>
  <c r="E74" i="44"/>
  <c r="BG7" i="44" s="1"/>
  <c r="E75" i="44"/>
  <c r="BG8" i="44" s="1"/>
  <c r="E76" i="44"/>
  <c r="BG9" i="44" s="1"/>
  <c r="E77" i="44"/>
  <c r="BG10" i="44" s="1"/>
  <c r="E78" i="44"/>
  <c r="BG11" i="44" s="1"/>
  <c r="E79" i="44"/>
  <c r="BG12" i="44" s="1"/>
  <c r="E80" i="44"/>
  <c r="BG13" i="44" s="1"/>
  <c r="E81" i="44"/>
  <c r="BG14" i="44" s="1"/>
  <c r="E82" i="44"/>
  <c r="BG15" i="44" s="1"/>
  <c r="E83" i="44"/>
  <c r="BG16" i="44" s="1"/>
  <c r="E84" i="44"/>
  <c r="BG17" i="44" s="1"/>
  <c r="E85" i="44"/>
  <c r="BG18" i="44" s="1"/>
  <c r="E86" i="44"/>
  <c r="BG19" i="44" s="1"/>
  <c r="E87" i="44"/>
  <c r="BG20" i="44" s="1"/>
  <c r="E88" i="44"/>
  <c r="BG21" i="44" s="1"/>
  <c r="E89" i="44"/>
  <c r="BG22" i="44" s="1"/>
  <c r="E90" i="44"/>
  <c r="BG23" i="44" s="1"/>
  <c r="E91" i="44"/>
  <c r="BG24" i="44" s="1"/>
  <c r="E92" i="44"/>
  <c r="BG25" i="44" s="1"/>
  <c r="E93" i="44"/>
  <c r="BG26" i="44" s="1"/>
  <c r="E94" i="44"/>
  <c r="BG27" i="44" s="1"/>
  <c r="E95" i="44"/>
  <c r="BG28" i="44" s="1"/>
  <c r="E96" i="44"/>
  <c r="BG29" i="44" s="1"/>
  <c r="E97" i="44"/>
  <c r="BG30" i="44" s="1"/>
  <c r="E98" i="44"/>
  <c r="BG31" i="44" s="1"/>
  <c r="E99" i="44"/>
  <c r="BG32" i="44" s="1"/>
  <c r="E100" i="44"/>
  <c r="BH3" i="44" s="1"/>
  <c r="E101" i="44"/>
  <c r="BH4" i="44" s="1"/>
  <c r="E102" i="44"/>
  <c r="BH5" i="44" s="1"/>
  <c r="E103" i="44"/>
  <c r="BH6" i="44" s="1"/>
  <c r="E104" i="44"/>
  <c r="BH7" i="44" s="1"/>
  <c r="E105" i="44"/>
  <c r="BH8" i="44" s="1"/>
  <c r="E106" i="44"/>
  <c r="BH9" i="44" s="1"/>
  <c r="E107" i="44"/>
  <c r="BH10" i="44" s="1"/>
  <c r="E108" i="44"/>
  <c r="BH11" i="44" s="1"/>
  <c r="E109" i="44"/>
  <c r="BH12" i="44" s="1"/>
  <c r="E110" i="44"/>
  <c r="BH13" i="44" s="1"/>
  <c r="E111" i="44"/>
  <c r="BH14" i="44" s="1"/>
  <c r="E112" i="44"/>
  <c r="BH15" i="44" s="1"/>
  <c r="E113" i="44"/>
  <c r="BH16" i="44" s="1"/>
  <c r="E114" i="44"/>
  <c r="BH17" i="44" s="1"/>
  <c r="E115" i="44"/>
  <c r="BH18" i="44" s="1"/>
  <c r="E116" i="44"/>
  <c r="BH19" i="44" s="1"/>
  <c r="E117" i="44"/>
  <c r="BH20" i="44" s="1"/>
  <c r="E118" i="44"/>
  <c r="BH21" i="44" s="1"/>
  <c r="E119" i="44"/>
  <c r="BH22" i="44" s="1"/>
  <c r="E120" i="44"/>
  <c r="BH23" i="44" s="1"/>
  <c r="E121" i="44"/>
  <c r="BH24" i="44" s="1"/>
  <c r="E122" i="44"/>
  <c r="BH25" i="44" s="1"/>
  <c r="E123" i="44"/>
  <c r="BH26" i="44" s="1"/>
  <c r="E124" i="44"/>
  <c r="BH27" i="44" s="1"/>
  <c r="E125" i="44"/>
  <c r="BH28" i="44" s="1"/>
  <c r="E126" i="44"/>
  <c r="BH29" i="44" s="1"/>
  <c r="E127" i="44"/>
  <c r="BH30" i="44" s="1"/>
  <c r="E128" i="44"/>
  <c r="BH31" i="44" s="1"/>
  <c r="E129" i="44"/>
  <c r="BH32" i="44" s="1"/>
  <c r="E130" i="44"/>
  <c r="BH33" i="44" s="1"/>
  <c r="E131" i="44"/>
  <c r="BI3" i="44" s="1"/>
  <c r="E132" i="44"/>
  <c r="BI4" i="44" s="1"/>
  <c r="E133" i="44"/>
  <c r="BI5" i="44" s="1"/>
  <c r="E134" i="44"/>
  <c r="BI6" i="44" s="1"/>
  <c r="E135" i="44"/>
  <c r="BI7" i="44" s="1"/>
  <c r="E136" i="44"/>
  <c r="BI8" i="44" s="1"/>
  <c r="E137" i="44"/>
  <c r="BI9" i="44" s="1"/>
  <c r="E138" i="44"/>
  <c r="BI10" i="44" s="1"/>
  <c r="E139" i="44"/>
  <c r="BI11" i="44" s="1"/>
  <c r="E140" i="44"/>
  <c r="BI12" i="44" s="1"/>
  <c r="E141" i="44"/>
  <c r="BI13" i="44" s="1"/>
  <c r="E142" i="44"/>
  <c r="BI14" i="44" s="1"/>
  <c r="E143" i="44"/>
  <c r="BI15" i="44" s="1"/>
  <c r="E144" i="44"/>
  <c r="BI16" i="44" s="1"/>
  <c r="E145" i="44"/>
  <c r="BI17" i="44" s="1"/>
  <c r="E146" i="44"/>
  <c r="BI18" i="44" s="1"/>
  <c r="E147" i="44"/>
  <c r="BI19" i="44" s="1"/>
  <c r="E148" i="44"/>
  <c r="BI20" i="44" s="1"/>
  <c r="E149" i="44"/>
  <c r="BI21" i="44" s="1"/>
  <c r="E150" i="44"/>
  <c r="BI22" i="44" s="1"/>
  <c r="E151" i="44"/>
  <c r="BI23" i="44" s="1"/>
  <c r="E152" i="44"/>
  <c r="BI24" i="44" s="1"/>
  <c r="E153" i="44"/>
  <c r="BI25" i="44" s="1"/>
  <c r="E154" i="44"/>
  <c r="BI26" i="44" s="1"/>
  <c r="E155" i="44"/>
  <c r="BI27" i="44" s="1"/>
  <c r="E156" i="44"/>
  <c r="BI28" i="44" s="1"/>
  <c r="E157" i="44"/>
  <c r="BI29" i="44" s="1"/>
  <c r="E158" i="44"/>
  <c r="BI30" i="44" s="1"/>
  <c r="E159" i="44"/>
  <c r="BI31" i="44" s="1"/>
  <c r="E160" i="44"/>
  <c r="BI32" i="44" s="1"/>
  <c r="E161" i="44"/>
  <c r="BI33" i="44" s="1"/>
  <c r="E162" i="44"/>
  <c r="BJ3" i="44" s="1"/>
  <c r="E163" i="44"/>
  <c r="BJ4" i="44" s="1"/>
  <c r="E164" i="44"/>
  <c r="BJ5" i="44" s="1"/>
  <c r="E165" i="44"/>
  <c r="BJ6" i="44" s="1"/>
  <c r="E166" i="44"/>
  <c r="BJ7" i="44" s="1"/>
  <c r="E167" i="44"/>
  <c r="BJ8" i="44" s="1"/>
  <c r="E168" i="44"/>
  <c r="BJ9" i="44" s="1"/>
  <c r="E169" i="44"/>
  <c r="BJ10" i="44" s="1"/>
  <c r="E170" i="44"/>
  <c r="BJ11" i="44" s="1"/>
  <c r="E171" i="44"/>
  <c r="BJ12" i="44" s="1"/>
  <c r="E172" i="44"/>
  <c r="BJ13" i="44" s="1"/>
  <c r="E173" i="44"/>
  <c r="BJ14" i="44" s="1"/>
  <c r="E174" i="44"/>
  <c r="BJ15" i="44" s="1"/>
  <c r="E175" i="44"/>
  <c r="BJ16" i="44" s="1"/>
  <c r="E176" i="44"/>
  <c r="BJ17" i="44" s="1"/>
  <c r="E177" i="44"/>
  <c r="BJ18" i="44" s="1"/>
  <c r="E178" i="44"/>
  <c r="BJ19" i="44" s="1"/>
  <c r="E179" i="44"/>
  <c r="BJ20" i="44" s="1"/>
  <c r="E180" i="44"/>
  <c r="BJ21" i="44" s="1"/>
  <c r="E181" i="44"/>
  <c r="BJ22" i="44" s="1"/>
  <c r="E182" i="44"/>
  <c r="BJ23" i="44" s="1"/>
  <c r="E183" i="44"/>
  <c r="BJ24" i="44" s="1"/>
  <c r="E184" i="44"/>
  <c r="BJ25" i="44" s="1"/>
  <c r="E185" i="44"/>
  <c r="BJ26" i="44" s="1"/>
  <c r="E186" i="44"/>
  <c r="BJ27" i="44" s="1"/>
  <c r="E187" i="44"/>
  <c r="BJ28" i="44" s="1"/>
  <c r="E188" i="44"/>
  <c r="BJ29" i="44" s="1"/>
  <c r="E189" i="44"/>
  <c r="BJ30" i="44" s="1"/>
  <c r="E190" i="44"/>
  <c r="BJ31" i="44" s="1"/>
  <c r="E191" i="44"/>
  <c r="BJ32" i="44" s="1"/>
  <c r="E192" i="44"/>
  <c r="BK3" i="44" s="1"/>
  <c r="E193" i="44"/>
  <c r="BK4" i="44" s="1"/>
  <c r="E194" i="44"/>
  <c r="BK5" i="44" s="1"/>
  <c r="E195" i="44"/>
  <c r="BK6" i="44" s="1"/>
  <c r="E196" i="44"/>
  <c r="BK7" i="44" s="1"/>
  <c r="E197" i="44"/>
  <c r="BK8" i="44" s="1"/>
  <c r="E198" i="44"/>
  <c r="BK9" i="44" s="1"/>
  <c r="E199" i="44"/>
  <c r="BK10" i="44" s="1"/>
  <c r="E200" i="44"/>
  <c r="BK11" i="44" s="1"/>
  <c r="E201" i="44"/>
  <c r="BK12" i="44" s="1"/>
  <c r="E202" i="44"/>
  <c r="BK13" i="44" s="1"/>
  <c r="E203" i="44"/>
  <c r="BK14" i="44" s="1"/>
  <c r="E204" i="44"/>
  <c r="BK15" i="44" s="1"/>
  <c r="E205" i="44"/>
  <c r="BK16" i="44" s="1"/>
  <c r="E206" i="44"/>
  <c r="BK17" i="44" s="1"/>
  <c r="E207" i="44"/>
  <c r="BK18" i="44" s="1"/>
  <c r="E208" i="44"/>
  <c r="BK19" i="44" s="1"/>
  <c r="E209" i="44"/>
  <c r="BK20" i="44" s="1"/>
  <c r="E210" i="44"/>
  <c r="BK21" i="44" s="1"/>
  <c r="E211" i="44"/>
  <c r="BK22" i="44" s="1"/>
  <c r="E212" i="44"/>
  <c r="BK23" i="44" s="1"/>
  <c r="E213" i="44"/>
  <c r="BK24" i="44" s="1"/>
  <c r="E214" i="44"/>
  <c r="BK25" i="44" s="1"/>
  <c r="E215" i="44"/>
  <c r="BK26" i="44" s="1"/>
  <c r="E216" i="44"/>
  <c r="BK27" i="44" s="1"/>
  <c r="E217" i="44"/>
  <c r="BK28" i="44" s="1"/>
  <c r="E218" i="44"/>
  <c r="BK29" i="44" s="1"/>
  <c r="E219" i="44"/>
  <c r="BK30" i="44" s="1"/>
  <c r="E220" i="44"/>
  <c r="BK31" i="44" s="1"/>
  <c r="E221" i="44"/>
  <c r="BK32" i="44" s="1"/>
  <c r="E222" i="44"/>
  <c r="BK33" i="44" s="1"/>
  <c r="E223" i="44"/>
  <c r="BL3" i="44" s="1"/>
  <c r="E224" i="44"/>
  <c r="BL4" i="44" s="1"/>
  <c r="E225" i="44"/>
  <c r="BL5" i="44" s="1"/>
  <c r="E226" i="44"/>
  <c r="BL6" i="44" s="1"/>
  <c r="E227" i="44"/>
  <c r="BL7" i="44" s="1"/>
  <c r="E228" i="44"/>
  <c r="BL8" i="44" s="1"/>
  <c r="E229" i="44"/>
  <c r="BL9" i="44" s="1"/>
  <c r="E230" i="44"/>
  <c r="BL10" i="44" s="1"/>
  <c r="E231" i="44"/>
  <c r="BL11" i="44" s="1"/>
  <c r="E232" i="44"/>
  <c r="BL12" i="44" s="1"/>
  <c r="E233" i="44"/>
  <c r="BL13" i="44" s="1"/>
  <c r="E234" i="44"/>
  <c r="BL14" i="44" s="1"/>
  <c r="E235" i="44"/>
  <c r="BL15" i="44" s="1"/>
  <c r="E236" i="44"/>
  <c r="BL16" i="44" s="1"/>
  <c r="E237" i="44"/>
  <c r="BL17" i="44" s="1"/>
  <c r="E238" i="44"/>
  <c r="BL18" i="44" s="1"/>
  <c r="E239" i="44"/>
  <c r="BL19" i="44" s="1"/>
  <c r="E240" i="44"/>
  <c r="BL20" i="44" s="1"/>
  <c r="E241" i="44"/>
  <c r="BL21" i="44" s="1"/>
  <c r="E242" i="44"/>
  <c r="BL22" i="44" s="1"/>
  <c r="E243" i="44"/>
  <c r="BL23" i="44" s="1"/>
  <c r="E244" i="44"/>
  <c r="BL24" i="44" s="1"/>
  <c r="E245" i="44"/>
  <c r="BL25" i="44" s="1"/>
  <c r="E246" i="44"/>
  <c r="BL26" i="44" s="1"/>
  <c r="E247" i="44"/>
  <c r="BL27" i="44" s="1"/>
  <c r="E248" i="44"/>
  <c r="BL28" i="44" s="1"/>
  <c r="E249" i="44"/>
  <c r="BL29" i="44" s="1"/>
  <c r="E250" i="44"/>
  <c r="BL30" i="44" s="1"/>
  <c r="E251" i="44"/>
  <c r="BL31" i="44" s="1"/>
  <c r="E252" i="44"/>
  <c r="BL32" i="44" s="1"/>
  <c r="E253" i="44"/>
  <c r="BM3" i="44" s="1"/>
  <c r="E254" i="44"/>
  <c r="BM4" i="44" s="1"/>
  <c r="E255" i="44"/>
  <c r="BM5" i="44" s="1"/>
  <c r="E256" i="44"/>
  <c r="BM6" i="44" s="1"/>
  <c r="E257" i="44"/>
  <c r="BM7" i="44" s="1"/>
  <c r="E258" i="44"/>
  <c r="BM8" i="44" s="1"/>
  <c r="E259" i="44"/>
  <c r="BM9" i="44" s="1"/>
  <c r="E260" i="44"/>
  <c r="BM10" i="44" s="1"/>
  <c r="E261" i="44"/>
  <c r="BM11" i="44" s="1"/>
  <c r="E262" i="44"/>
  <c r="BM12" i="44" s="1"/>
  <c r="E263" i="44"/>
  <c r="BM13" i="44" s="1"/>
  <c r="E264" i="44"/>
  <c r="BM14" i="44" s="1"/>
  <c r="E265" i="44"/>
  <c r="BM15" i="44" s="1"/>
  <c r="E266" i="44"/>
  <c r="BM16" i="44" s="1"/>
  <c r="E267" i="44"/>
  <c r="BM17" i="44" s="1"/>
  <c r="E268" i="44"/>
  <c r="BM18" i="44" s="1"/>
  <c r="E269" i="44"/>
  <c r="BM19" i="44" s="1"/>
  <c r="E270" i="44"/>
  <c r="BM20" i="44" s="1"/>
  <c r="E271" i="44"/>
  <c r="BM21" i="44" s="1"/>
  <c r="E272" i="44"/>
  <c r="BM22" i="44" s="1"/>
  <c r="E273" i="44"/>
  <c r="BM23" i="44" s="1"/>
  <c r="E274" i="44"/>
  <c r="BM24" i="44" s="1"/>
  <c r="E275" i="44"/>
  <c r="BM25" i="44" s="1"/>
  <c r="E276" i="44"/>
  <c r="BM26" i="44" s="1"/>
  <c r="E277" i="44"/>
  <c r="BM27" i="44" s="1"/>
  <c r="E278" i="44"/>
  <c r="BM28" i="44" s="1"/>
  <c r="E279" i="44"/>
  <c r="BM29" i="44" s="1"/>
  <c r="E280" i="44"/>
  <c r="BM30" i="44" s="1"/>
  <c r="E281" i="44"/>
  <c r="BM31" i="44" s="1"/>
  <c r="E282" i="44"/>
  <c r="BM32" i="44" s="1"/>
  <c r="E283" i="44"/>
  <c r="BM33" i="44" s="1"/>
  <c r="E284" i="44"/>
  <c r="BN3" i="44" s="1"/>
  <c r="E285" i="44"/>
  <c r="BN4" i="44" s="1"/>
  <c r="E286" i="44"/>
  <c r="BN5" i="44" s="1"/>
  <c r="E287" i="44"/>
  <c r="E288" i="44"/>
  <c r="BN7" i="44" s="1"/>
  <c r="E289" i="44"/>
  <c r="BN8" i="44" s="1"/>
  <c r="E290" i="44"/>
  <c r="BN9" i="44" s="1"/>
  <c r="E291" i="44"/>
  <c r="BN10" i="44" s="1"/>
  <c r="E292" i="44"/>
  <c r="BN11" i="44" s="1"/>
  <c r="E293" i="44"/>
  <c r="BN12" i="44" s="1"/>
  <c r="E294" i="44"/>
  <c r="BN13" i="44" s="1"/>
  <c r="E295" i="44"/>
  <c r="BN14" i="44" s="1"/>
  <c r="E296" i="44"/>
  <c r="BN15" i="44" s="1"/>
  <c r="E297" i="44"/>
  <c r="BN16" i="44" s="1"/>
  <c r="E298" i="44"/>
  <c r="BN17" i="44" s="1"/>
  <c r="E299" i="44"/>
  <c r="BN18" i="44" s="1"/>
  <c r="E300" i="44"/>
  <c r="BN19" i="44" s="1"/>
  <c r="E301" i="44"/>
  <c r="BN20" i="44" s="1"/>
  <c r="E302" i="44"/>
  <c r="BN21" i="44" s="1"/>
  <c r="E303" i="44"/>
  <c r="BN22" i="44" s="1"/>
  <c r="E304" i="44"/>
  <c r="BN23" i="44" s="1"/>
  <c r="E305" i="44"/>
  <c r="BN24" i="44" s="1"/>
  <c r="E306" i="44"/>
  <c r="BN25" i="44" s="1"/>
  <c r="E307" i="44"/>
  <c r="BN26" i="44" s="1"/>
  <c r="E308" i="44"/>
  <c r="BN27" i="44" s="1"/>
  <c r="E309" i="44"/>
  <c r="BN28" i="44" s="1"/>
  <c r="E310" i="44"/>
  <c r="BN29" i="44" s="1"/>
  <c r="E311" i="44"/>
  <c r="BN30" i="44" s="1"/>
  <c r="E312" i="44"/>
  <c r="BN31" i="44" s="1"/>
  <c r="E313" i="44"/>
  <c r="BN32" i="44" s="1"/>
  <c r="E314" i="44"/>
  <c r="BN33" i="44" s="1"/>
  <c r="E315" i="44"/>
  <c r="BO3" i="44" s="1"/>
  <c r="E316" i="44"/>
  <c r="BO4" i="44" s="1"/>
  <c r="E317" i="44"/>
  <c r="BO5" i="44" s="1"/>
  <c r="E318" i="44"/>
  <c r="E319" i="44"/>
  <c r="BO7" i="44" s="1"/>
  <c r="E320" i="44"/>
  <c r="BO8" i="44" s="1"/>
  <c r="E321" i="44"/>
  <c r="BO9" i="44" s="1"/>
  <c r="E322" i="44"/>
  <c r="BO10" i="44" s="1"/>
  <c r="E323" i="44"/>
  <c r="BO11" i="44" s="1"/>
  <c r="E324" i="44"/>
  <c r="BO12" i="44" s="1"/>
  <c r="E325" i="44"/>
  <c r="BO13" i="44" s="1"/>
  <c r="E326" i="44"/>
  <c r="BO14" i="44" s="1"/>
  <c r="E327" i="44"/>
  <c r="BO15" i="44" s="1"/>
  <c r="E328" i="44"/>
  <c r="BO16" i="44" s="1"/>
  <c r="E329" i="44"/>
  <c r="BO17" i="44" s="1"/>
  <c r="E330" i="44"/>
  <c r="BO18" i="44" s="1"/>
  <c r="E331" i="44"/>
  <c r="BO19" i="44" s="1"/>
  <c r="E332" i="44"/>
  <c r="BO20" i="44" s="1"/>
  <c r="E333" i="44"/>
  <c r="BO21" i="44" s="1"/>
  <c r="E334" i="44"/>
  <c r="BO22" i="44" s="1"/>
  <c r="E335" i="44"/>
  <c r="BO23" i="44" s="1"/>
  <c r="E336" i="44"/>
  <c r="BO24" i="44" s="1"/>
  <c r="E337" i="44"/>
  <c r="BO25" i="44" s="1"/>
  <c r="E338" i="44"/>
  <c r="BO26" i="44" s="1"/>
  <c r="E339" i="44"/>
  <c r="BO27" i="44" s="1"/>
  <c r="E340" i="44"/>
  <c r="BO28" i="44" s="1"/>
  <c r="E341" i="44"/>
  <c r="BO29" i="44" s="1"/>
  <c r="E342" i="44"/>
  <c r="BO30" i="44" s="1"/>
  <c r="E343" i="44"/>
  <c r="BO31" i="44" s="1"/>
  <c r="E344" i="44"/>
  <c r="BP3" i="44" s="1"/>
  <c r="E345" i="44"/>
  <c r="BP4" i="44" s="1"/>
  <c r="E347" i="44"/>
  <c r="BP6" i="44" s="1"/>
  <c r="BP7" i="44"/>
  <c r="E349" i="44"/>
  <c r="BP8" i="44" s="1"/>
  <c r="E350" i="44"/>
  <c r="BP9" i="44" s="1"/>
  <c r="E351" i="44"/>
  <c r="BP10" i="44" s="1"/>
  <c r="E352" i="44"/>
  <c r="BP11" i="44" s="1"/>
  <c r="E353" i="44"/>
  <c r="BP12" i="44" s="1"/>
  <c r="E354" i="44"/>
  <c r="BP13" i="44" s="1"/>
  <c r="E355" i="44"/>
  <c r="BP14" i="44" s="1"/>
  <c r="E356" i="44"/>
  <c r="BP15" i="44" s="1"/>
  <c r="E357" i="44"/>
  <c r="BP16" i="44" s="1"/>
  <c r="E358" i="44"/>
  <c r="BP17" i="44" s="1"/>
  <c r="E359" i="44"/>
  <c r="BP18" i="44" s="1"/>
  <c r="E360" i="44"/>
  <c r="BP19" i="44" s="1"/>
  <c r="E361" i="44"/>
  <c r="BP20" i="44" s="1"/>
  <c r="E362" i="44"/>
  <c r="BP21" i="44" s="1"/>
  <c r="E363" i="44"/>
  <c r="BP22" i="44" s="1"/>
  <c r="E364" i="44"/>
  <c r="BP23" i="44" s="1"/>
  <c r="E365" i="44"/>
  <c r="BP24" i="44" s="1"/>
  <c r="E366" i="44"/>
  <c r="BP25" i="44" s="1"/>
  <c r="E367" i="44"/>
  <c r="BP26" i="44" s="1"/>
  <c r="E368" i="44"/>
  <c r="BP27" i="44" s="1"/>
  <c r="E369" i="44"/>
  <c r="BP28" i="44" s="1"/>
  <c r="E370" i="44"/>
  <c r="BP29" i="44" s="1"/>
  <c r="E371" i="44"/>
  <c r="BP30" i="44" s="1"/>
  <c r="E372" i="44"/>
  <c r="BP31" i="44" s="1"/>
  <c r="E373" i="44"/>
  <c r="BP32" i="44" s="1"/>
  <c r="E374" i="44"/>
  <c r="BP33" i="44" s="1"/>
  <c r="K4" i="45"/>
  <c r="J4" i="45"/>
  <c r="N36" i="47" l="1"/>
  <c r="D29" i="47"/>
  <c r="H29" i="47"/>
  <c r="J29" i="47"/>
  <c r="M29" i="47"/>
  <c r="L29" i="47"/>
  <c r="F29" i="47"/>
  <c r="N28" i="47"/>
  <c r="F28" i="47"/>
  <c r="L28" i="47"/>
  <c r="K28" i="47"/>
  <c r="E28" i="47"/>
  <c r="E29" i="47"/>
  <c r="K29" i="47"/>
  <c r="C29" i="47"/>
  <c r="G29" i="47"/>
  <c r="N29" i="47"/>
  <c r="H28" i="47"/>
  <c r="Q28" i="47" s="1"/>
  <c r="G28" i="47"/>
  <c r="D28" i="47"/>
  <c r="J28" i="47"/>
  <c r="M28" i="47"/>
  <c r="O28" i="47" s="1"/>
  <c r="C28" i="47"/>
  <c r="J33" i="47"/>
  <c r="M30" i="47"/>
  <c r="O30" i="47" s="1"/>
  <c r="E34" i="47"/>
  <c r="F32" i="47"/>
  <c r="G30" i="47"/>
  <c r="K36" i="47"/>
  <c r="H32" i="47"/>
  <c r="E31" i="47"/>
  <c r="D30" i="47"/>
  <c r="L33" i="47"/>
  <c r="H33" i="47"/>
  <c r="D35" i="47"/>
  <c r="L35" i="47"/>
  <c r="K32" i="47"/>
  <c r="D34" i="47"/>
  <c r="M31" i="47"/>
  <c r="E33" i="47"/>
  <c r="G31" i="47"/>
  <c r="M34" i="47"/>
  <c r="AY124" i="48"/>
  <c r="AY125" i="48" s="1"/>
  <c r="AY126" i="48" s="1"/>
  <c r="AY127" i="48" s="1"/>
  <c r="AY128" i="48" s="1"/>
  <c r="AY129" i="48" s="1"/>
  <c r="AY130" i="48" s="1"/>
  <c r="AY131" i="48" s="1"/>
  <c r="AY132" i="48" s="1"/>
  <c r="AY133" i="48" s="1"/>
  <c r="AY134" i="48" s="1"/>
  <c r="AY135" i="48" s="1"/>
  <c r="AY136" i="48" s="1"/>
  <c r="AY137" i="48" s="1"/>
  <c r="AY138" i="48" s="1"/>
  <c r="AY139" i="48" s="1"/>
  <c r="AY140" i="48" s="1"/>
  <c r="AY141" i="48" s="1"/>
  <c r="AY142" i="48" s="1"/>
  <c r="AY143" i="48" s="1"/>
  <c r="AY144" i="48" s="1"/>
  <c r="AY146" i="48" s="1"/>
  <c r="AY147" i="48" s="1"/>
  <c r="AY148" i="48" s="1"/>
  <c r="AY149" i="48" s="1"/>
  <c r="AY150" i="48" s="1"/>
  <c r="AY151" i="48" s="1"/>
  <c r="AY152" i="48" s="1"/>
  <c r="AY153" i="48" s="1"/>
  <c r="AY154" i="48" s="1"/>
  <c r="AY155" i="48" s="1"/>
  <c r="AY156" i="48" s="1"/>
  <c r="AY157" i="48" s="1"/>
  <c r="AY158" i="48" s="1"/>
  <c r="AY159" i="48" s="1"/>
  <c r="AY160" i="48" s="1"/>
  <c r="AY161" i="48" s="1"/>
  <c r="AY162" i="48" s="1"/>
  <c r="AY163" i="48" s="1"/>
  <c r="AY164" i="48" s="1"/>
  <c r="AY165" i="48" s="1"/>
  <c r="AY167" i="48" s="1"/>
  <c r="AY168" i="48" s="1"/>
  <c r="AY169" i="48" s="1"/>
  <c r="AY170" i="48" s="1"/>
  <c r="AY171" i="48" s="1"/>
  <c r="AY172" i="48" s="1"/>
  <c r="AY173" i="48" s="1"/>
  <c r="AY174" i="48" s="1"/>
  <c r="AY175" i="48" s="1"/>
  <c r="AY176" i="48" s="1"/>
  <c r="AY177" i="48" s="1"/>
  <c r="AY178" i="48" s="1"/>
  <c r="AY179" i="48" s="1"/>
  <c r="AY180" i="48" s="1"/>
  <c r="AY181" i="48" s="1"/>
  <c r="AY182" i="48" s="1"/>
  <c r="AY183" i="48" s="1"/>
  <c r="AY184" i="48" s="1"/>
  <c r="AY185" i="48" s="1"/>
  <c r="AY186" i="48" s="1"/>
  <c r="AY188" i="48" s="1"/>
  <c r="AY189" i="48" s="1"/>
  <c r="AY190" i="48" s="1"/>
  <c r="AY191" i="48" s="1"/>
  <c r="AY192" i="48" s="1"/>
  <c r="AY193" i="48" s="1"/>
  <c r="AY194" i="48" s="1"/>
  <c r="AY195" i="48" s="1"/>
  <c r="AY196" i="48" s="1"/>
  <c r="AY197" i="48" s="1"/>
  <c r="AY198" i="48" s="1"/>
  <c r="AY199" i="48" s="1"/>
  <c r="AY200" i="48" s="1"/>
  <c r="AY201" i="48" s="1"/>
  <c r="AY202" i="48" s="1"/>
  <c r="AY203" i="48" s="1"/>
  <c r="AY204" i="48" s="1"/>
  <c r="AY205" i="48" s="1"/>
  <c r="AY206" i="48" s="1"/>
  <c r="AY207" i="48" s="1"/>
  <c r="AY209" i="48" s="1"/>
  <c r="AY210" i="48" s="1"/>
  <c r="AY211" i="48" s="1"/>
  <c r="AY212" i="48" s="1"/>
  <c r="AY213" i="48" s="1"/>
  <c r="AY214" i="48" s="1"/>
  <c r="AY215" i="48" s="1"/>
  <c r="AY216" i="48" s="1"/>
  <c r="AY217" i="48" s="1"/>
  <c r="AY218" i="48" s="1"/>
  <c r="AY219" i="48" s="1"/>
  <c r="AY220" i="48" s="1"/>
  <c r="AY221" i="48" s="1"/>
  <c r="AY222" i="48" s="1"/>
  <c r="AY223" i="48" s="1"/>
  <c r="AY224" i="48" s="1"/>
  <c r="AY225" i="48" s="1"/>
  <c r="AY226" i="48" s="1"/>
  <c r="AY227" i="48" s="1"/>
  <c r="AY228" i="48" s="1"/>
  <c r="AY230" i="48" s="1"/>
  <c r="AY231" i="48" s="1"/>
  <c r="AY232" i="48" s="1"/>
  <c r="AY233" i="48" s="1"/>
  <c r="AY234" i="48" s="1"/>
  <c r="AY235" i="48" s="1"/>
  <c r="AY236" i="48" s="1"/>
  <c r="AY237" i="48" s="1"/>
  <c r="AY238" i="48" s="1"/>
  <c r="AY239" i="48" s="1"/>
  <c r="AY240" i="48" s="1"/>
  <c r="AY241" i="48" s="1"/>
  <c r="AY242" i="48" s="1"/>
  <c r="AY243" i="48" s="1"/>
  <c r="AY244" i="48" s="1"/>
  <c r="AY245" i="48" s="1"/>
  <c r="AY246" i="48" s="1"/>
  <c r="AY247" i="48" s="1"/>
  <c r="AY248" i="48" s="1"/>
  <c r="AY249" i="48" s="1"/>
  <c r="AY251" i="48" s="1"/>
  <c r="AY252" i="48" s="1"/>
  <c r="AY253" i="48" s="1"/>
  <c r="AY254" i="48" s="1"/>
  <c r="AY255" i="48" s="1"/>
  <c r="AY256" i="48" s="1"/>
  <c r="AY257" i="48" s="1"/>
  <c r="AY258" i="48" s="1"/>
  <c r="AY259" i="48" s="1"/>
  <c r="AY260" i="48" s="1"/>
  <c r="AY261" i="48" s="1"/>
  <c r="AY262" i="48" s="1"/>
  <c r="AY263" i="48" s="1"/>
  <c r="AY264" i="48" s="1"/>
  <c r="AY265" i="48" s="1"/>
  <c r="AY266" i="48" s="1"/>
  <c r="AY267" i="48" s="1"/>
  <c r="AY268" i="48" s="1"/>
  <c r="AY269" i="48" s="1"/>
  <c r="AY270" i="48" s="1"/>
  <c r="AY272" i="48" s="1"/>
  <c r="AY273" i="48" s="1"/>
  <c r="AY274" i="48" s="1"/>
  <c r="AY275" i="48" s="1"/>
  <c r="AY276" i="48" s="1"/>
  <c r="AY277" i="48" s="1"/>
  <c r="AY278" i="48" s="1"/>
  <c r="AY279" i="48" s="1"/>
  <c r="AY280" i="48" s="1"/>
  <c r="AY281" i="48" s="1"/>
  <c r="AY282" i="48" s="1"/>
  <c r="AY283" i="48" s="1"/>
  <c r="AY284" i="48" s="1"/>
  <c r="AY285" i="48" s="1"/>
  <c r="AY286" i="48" s="1"/>
  <c r="AY287" i="48" s="1"/>
  <c r="AY288" i="48" s="1"/>
  <c r="AY289" i="48" s="1"/>
  <c r="AY290" i="48" s="1"/>
  <c r="AY291" i="48" s="1"/>
  <c r="AY293" i="48" s="1"/>
  <c r="AY294" i="48" s="1"/>
  <c r="AY295" i="48" s="1"/>
  <c r="AY296" i="48" s="1"/>
  <c r="AY297" i="48" s="1"/>
  <c r="AY298" i="48" s="1"/>
  <c r="AY299" i="48" s="1"/>
  <c r="AY300" i="48" s="1"/>
  <c r="AY301" i="48" s="1"/>
  <c r="AY302" i="48" s="1"/>
  <c r="AY303" i="48" s="1"/>
  <c r="AY304" i="48" s="1"/>
  <c r="AY305" i="48" s="1"/>
  <c r="AY306" i="48" s="1"/>
  <c r="AY307" i="48" s="1"/>
  <c r="AY308" i="48" s="1"/>
  <c r="AY309" i="48" s="1"/>
  <c r="AY310" i="48" s="1"/>
  <c r="AY311" i="48" s="1"/>
  <c r="AY312" i="48" s="1"/>
  <c r="AY314" i="48" s="1"/>
  <c r="AY315" i="48" s="1"/>
  <c r="AY316" i="48" s="1"/>
  <c r="AY317" i="48" s="1"/>
  <c r="AY318" i="48" s="1"/>
  <c r="AY319" i="48" s="1"/>
  <c r="AY320" i="48" s="1"/>
  <c r="AY321" i="48" s="1"/>
  <c r="AY322" i="48" s="1"/>
  <c r="AY323" i="48" s="1"/>
  <c r="AY324" i="48" s="1"/>
  <c r="AY325" i="48" s="1"/>
  <c r="AY326" i="48" s="1"/>
  <c r="AY327" i="48" s="1"/>
  <c r="AY328" i="48" s="1"/>
  <c r="AY329" i="48" s="1"/>
  <c r="AY330" i="48" s="1"/>
  <c r="AY331" i="48" s="1"/>
  <c r="AY332" i="48" s="1"/>
  <c r="AY333" i="48" s="1"/>
  <c r="AY335" i="48" s="1"/>
  <c r="AY336" i="48" s="1"/>
  <c r="AY337" i="48" s="1"/>
  <c r="AY338" i="48" s="1"/>
  <c r="AY339" i="48" s="1"/>
  <c r="AY340" i="48" s="1"/>
  <c r="AY341" i="48" s="1"/>
  <c r="AY342" i="48" s="1"/>
  <c r="AY343" i="48" s="1"/>
  <c r="AY344" i="48" s="1"/>
  <c r="AY345" i="48" s="1"/>
  <c r="AY346" i="48" s="1"/>
  <c r="AY347" i="48" s="1"/>
  <c r="AY348" i="48" s="1"/>
  <c r="AY349" i="48" s="1"/>
  <c r="AY350" i="48" s="1"/>
  <c r="AY351" i="48" s="1"/>
  <c r="AY352" i="48" s="1"/>
  <c r="AY353" i="48" s="1"/>
  <c r="AY354" i="48" s="1"/>
  <c r="AY356" i="48" s="1"/>
  <c r="AY357" i="48" s="1"/>
  <c r="AY358" i="48" s="1"/>
  <c r="AY359" i="48" s="1"/>
  <c r="AY360" i="48" s="1"/>
  <c r="AY361" i="48" s="1"/>
  <c r="AY362" i="48" s="1"/>
  <c r="AY363" i="48" s="1"/>
  <c r="AY364" i="48" s="1"/>
  <c r="AY365" i="48" s="1"/>
  <c r="AY366" i="48" s="1"/>
  <c r="AY367" i="48" s="1"/>
  <c r="AY368" i="48" s="1"/>
  <c r="AY369" i="48" s="1"/>
  <c r="AY370" i="48" s="1"/>
  <c r="AY371" i="48" s="1"/>
  <c r="AY372" i="48" s="1"/>
  <c r="AY373" i="48" s="1"/>
  <c r="AY374" i="48" s="1"/>
  <c r="AY375" i="48" s="1"/>
  <c r="AU145" i="48"/>
  <c r="AY145" i="48" s="1"/>
  <c r="BF143" i="48"/>
  <c r="AU111" i="48"/>
  <c r="AY111" i="48" s="1"/>
  <c r="BE143" i="48"/>
  <c r="AT111" i="48"/>
  <c r="AX124" i="48"/>
  <c r="AX125" i="48" s="1"/>
  <c r="AX126" i="48" s="1"/>
  <c r="AX127" i="48" s="1"/>
  <c r="AX128" i="48" s="1"/>
  <c r="AT145" i="48"/>
  <c r="AX145" i="48" s="1"/>
  <c r="E35" i="47"/>
  <c r="F35" i="47"/>
  <c r="D31" i="47"/>
  <c r="J30" i="47"/>
  <c r="G35" i="47"/>
  <c r="J34" i="47"/>
  <c r="H35" i="47"/>
  <c r="D36" i="47"/>
  <c r="M35" i="47"/>
  <c r="C36" i="47"/>
  <c r="K33" i="47"/>
  <c r="E30" i="47"/>
  <c r="L32" i="47"/>
  <c r="F33" i="47"/>
  <c r="H34" i="47"/>
  <c r="J35" i="47"/>
  <c r="F34" i="47"/>
  <c r="F30" i="47"/>
  <c r="C31" i="47"/>
  <c r="G34" i="47"/>
  <c r="M36" i="47"/>
  <c r="O36" i="47" s="1"/>
  <c r="C33" i="47"/>
  <c r="K30" i="47"/>
  <c r="J36" i="47"/>
  <c r="L31" i="47"/>
  <c r="N35" i="47"/>
  <c r="K34" i="47"/>
  <c r="J31" i="47"/>
  <c r="C30" i="47"/>
  <c r="F31" i="47"/>
  <c r="M33" i="47"/>
  <c r="D32" i="47"/>
  <c r="C35" i="47"/>
  <c r="G33" i="47"/>
  <c r="L36" i="47"/>
  <c r="H31" i="47"/>
  <c r="K35" i="47"/>
  <c r="D33" i="47"/>
  <c r="L30" i="47"/>
  <c r="G36" i="47"/>
  <c r="N32" i="47"/>
  <c r="K31" i="47"/>
  <c r="H30" i="47"/>
  <c r="M32" i="47"/>
  <c r="N34" i="47"/>
  <c r="C34" i="47"/>
  <c r="N31" i="47"/>
  <c r="L34" i="47"/>
  <c r="J32" i="47"/>
  <c r="H36" i="47"/>
  <c r="C32" i="47"/>
  <c r="G32" i="47"/>
  <c r="N33" i="47"/>
  <c r="E36" i="47"/>
  <c r="E32" i="47"/>
  <c r="F36" i="47"/>
  <c r="BF54" i="42"/>
  <c r="R174" i="47"/>
  <c r="R175" i="47" s="1"/>
  <c r="R176" i="47" s="1"/>
  <c r="R177" i="47" s="1"/>
  <c r="R178" i="47" s="1"/>
  <c r="R179" i="47" s="1"/>
  <c r="R180" i="47" s="1"/>
  <c r="R181" i="47" s="1"/>
  <c r="R222" i="47"/>
  <c r="R223" i="47" s="1"/>
  <c r="R224" i="47" s="1"/>
  <c r="R225" i="47" s="1"/>
  <c r="R226" i="47" s="1"/>
  <c r="R227" i="47" s="1"/>
  <c r="R228" i="47" s="1"/>
  <c r="R229" i="47" s="1"/>
  <c r="R230" i="47" s="1"/>
  <c r="BB6" i="44"/>
  <c r="BN6" i="44"/>
  <c r="BC6" i="44"/>
  <c r="BO6" i="44"/>
  <c r="P231" i="47"/>
  <c r="Q231" i="47"/>
  <c r="O231" i="47"/>
  <c r="BD35" i="42"/>
  <c r="R144" i="47"/>
  <c r="R145" i="47" s="1"/>
  <c r="R146" i="47" s="1"/>
  <c r="R147" i="47" s="1"/>
  <c r="R148" i="47" s="1"/>
  <c r="R149" i="47" s="1"/>
  <c r="I150" i="47"/>
  <c r="R150" i="47" s="1"/>
  <c r="R208" i="47"/>
  <c r="R209" i="47" s="1"/>
  <c r="R210" i="47" s="1"/>
  <c r="R211" i="47" s="1"/>
  <c r="R212" i="47" s="1"/>
  <c r="R213" i="47" s="1"/>
  <c r="I214" i="47"/>
  <c r="R214" i="47" s="1"/>
  <c r="R191" i="47"/>
  <c r="R192" i="47" s="1"/>
  <c r="R193" i="47" s="1"/>
  <c r="R194" i="47" s="1"/>
  <c r="R195" i="47" s="1"/>
  <c r="R196" i="47" s="1"/>
  <c r="R197" i="47" s="1"/>
  <c r="R198" i="47" s="1"/>
  <c r="I199" i="47"/>
  <c r="R199" i="47" s="1"/>
  <c r="R128" i="47"/>
  <c r="R129" i="47" s="1"/>
  <c r="R130" i="47" s="1"/>
  <c r="R131" i="47" s="1"/>
  <c r="R132" i="47" s="1"/>
  <c r="R133" i="47" s="1"/>
  <c r="R134" i="47" s="1"/>
  <c r="R135" i="47" s="1"/>
  <c r="I136" i="47"/>
  <c r="R136" i="47" s="1"/>
  <c r="R158" i="47"/>
  <c r="R159" i="47" s="1"/>
  <c r="R160" i="47" s="1"/>
  <c r="R161" i="47" s="1"/>
  <c r="R162" i="47" s="1"/>
  <c r="R163" i="47" s="1"/>
  <c r="R164" i="47" s="1"/>
  <c r="R165" i="47" s="1"/>
  <c r="I166" i="47"/>
  <c r="R166" i="47" s="1"/>
  <c r="I182" i="47"/>
  <c r="R240" i="47"/>
  <c r="R241" i="47" s="1"/>
  <c r="R242" i="47" s="1"/>
  <c r="R243" i="47" s="1"/>
  <c r="R244" i="47" s="1"/>
  <c r="R245" i="47" s="1"/>
  <c r="I246" i="47"/>
  <c r="R246" i="47" s="1"/>
  <c r="Q89" i="47"/>
  <c r="Q90" i="47" s="1"/>
  <c r="Q91" i="47" s="1"/>
  <c r="Q92" i="47" s="1"/>
  <c r="Q93" i="47" s="1"/>
  <c r="Q94" i="47" s="1"/>
  <c r="Q95" i="47" s="1"/>
  <c r="Q96" i="47" s="1"/>
  <c r="Q97" i="47" s="1"/>
  <c r="I231" i="47"/>
  <c r="BP19" i="42"/>
  <c r="P182" i="47"/>
  <c r="Q182" i="47"/>
  <c r="O182" i="47"/>
  <c r="F22" i="45"/>
  <c r="AR34" i="42"/>
  <c r="O35" i="47" l="1"/>
  <c r="I32" i="47"/>
  <c r="O29" i="47"/>
  <c r="I33" i="47"/>
  <c r="Q29" i="47"/>
  <c r="I28" i="47"/>
  <c r="R28" i="47" s="1"/>
  <c r="I29" i="47"/>
  <c r="O31" i="47"/>
  <c r="P28" i="47"/>
  <c r="P29" i="47" s="1"/>
  <c r="P30" i="47" s="1"/>
  <c r="P31" i="47" s="1"/>
  <c r="P32" i="47" s="1"/>
  <c r="P33" i="47" s="1"/>
  <c r="P34" i="47" s="1"/>
  <c r="P35" i="47" s="1"/>
  <c r="P36" i="47" s="1"/>
  <c r="I30" i="47"/>
  <c r="O34" i="47"/>
  <c r="I31" i="47"/>
  <c r="BF144" i="48"/>
  <c r="AY166" i="48"/>
  <c r="BE144" i="48"/>
  <c r="AX166" i="48"/>
  <c r="AU113" i="48"/>
  <c r="AX111" i="48"/>
  <c r="AY113" i="48" s="1"/>
  <c r="AX129" i="48"/>
  <c r="AX130" i="48" s="1"/>
  <c r="AX131" i="48" s="1"/>
  <c r="AX132" i="48" s="1"/>
  <c r="AX133" i="48" s="1"/>
  <c r="AX134" i="48" s="1"/>
  <c r="AX135" i="48" s="1"/>
  <c r="AX136" i="48" s="1"/>
  <c r="AX137" i="48" s="1"/>
  <c r="AX138" i="48" s="1"/>
  <c r="AX139" i="48" s="1"/>
  <c r="AX140" i="48" s="1"/>
  <c r="AX141" i="48" s="1"/>
  <c r="AX142" i="48" s="1"/>
  <c r="AX143" i="48" s="1"/>
  <c r="AX144" i="48" s="1"/>
  <c r="AX146" i="48" s="1"/>
  <c r="AX147" i="48" s="1"/>
  <c r="AX148" i="48" s="1"/>
  <c r="AX149" i="48" s="1"/>
  <c r="AX150" i="48" s="1"/>
  <c r="AX151" i="48" s="1"/>
  <c r="AX152" i="48" s="1"/>
  <c r="AX153" i="48" s="1"/>
  <c r="AX154" i="48" s="1"/>
  <c r="AX155" i="48" s="1"/>
  <c r="AX156" i="48" s="1"/>
  <c r="AX157" i="48" s="1"/>
  <c r="AX158" i="48" s="1"/>
  <c r="AX159" i="48" s="1"/>
  <c r="AX160" i="48" s="1"/>
  <c r="AX161" i="48" s="1"/>
  <c r="AX162" i="48" s="1"/>
  <c r="AX163" i="48" s="1"/>
  <c r="AX164" i="48" s="1"/>
  <c r="AX165" i="48" s="1"/>
  <c r="AX167" i="48" s="1"/>
  <c r="AX168" i="48" s="1"/>
  <c r="AX169" i="48" s="1"/>
  <c r="AX170" i="48" s="1"/>
  <c r="AX171" i="48" s="1"/>
  <c r="AX172" i="48" s="1"/>
  <c r="AX173" i="48" s="1"/>
  <c r="AX174" i="48" s="1"/>
  <c r="AX175" i="48" s="1"/>
  <c r="AX176" i="48" s="1"/>
  <c r="AX177" i="48" s="1"/>
  <c r="AX178" i="48" s="1"/>
  <c r="AX179" i="48" s="1"/>
  <c r="AX180" i="48" s="1"/>
  <c r="AX181" i="48" s="1"/>
  <c r="AX182" i="48" s="1"/>
  <c r="AX183" i="48" s="1"/>
  <c r="AX184" i="48" s="1"/>
  <c r="AX185" i="48" s="1"/>
  <c r="AX186" i="48" s="1"/>
  <c r="AX188" i="48" s="1"/>
  <c r="AX189" i="48" s="1"/>
  <c r="AX190" i="48" s="1"/>
  <c r="AX191" i="48" s="1"/>
  <c r="AX192" i="48" s="1"/>
  <c r="AX193" i="48" s="1"/>
  <c r="AX194" i="48" s="1"/>
  <c r="AX195" i="48" s="1"/>
  <c r="AX196" i="48" s="1"/>
  <c r="AX197" i="48" s="1"/>
  <c r="AX198" i="48" s="1"/>
  <c r="AX199" i="48" s="1"/>
  <c r="AX200" i="48" s="1"/>
  <c r="AX201" i="48" s="1"/>
  <c r="AX202" i="48" s="1"/>
  <c r="AX203" i="48" s="1"/>
  <c r="AX204" i="48" s="1"/>
  <c r="AX205" i="48" s="1"/>
  <c r="AX206" i="48" s="1"/>
  <c r="AX207" i="48" s="1"/>
  <c r="AX209" i="48" s="1"/>
  <c r="AX210" i="48" s="1"/>
  <c r="AX211" i="48" s="1"/>
  <c r="AX212" i="48" s="1"/>
  <c r="AX213" i="48" s="1"/>
  <c r="AX214" i="48" s="1"/>
  <c r="AX215" i="48" s="1"/>
  <c r="AX216" i="48" s="1"/>
  <c r="AX217" i="48" s="1"/>
  <c r="AX218" i="48" s="1"/>
  <c r="AX219" i="48" s="1"/>
  <c r="AX220" i="48" s="1"/>
  <c r="AX221" i="48" s="1"/>
  <c r="AX222" i="48" s="1"/>
  <c r="AX223" i="48" s="1"/>
  <c r="AX224" i="48" s="1"/>
  <c r="AX225" i="48" s="1"/>
  <c r="AX226" i="48" s="1"/>
  <c r="AX227" i="48" s="1"/>
  <c r="AX228" i="48" s="1"/>
  <c r="AX230" i="48" s="1"/>
  <c r="AX231" i="48" s="1"/>
  <c r="AX232" i="48" s="1"/>
  <c r="AX233" i="48" s="1"/>
  <c r="AX234" i="48" s="1"/>
  <c r="AX235" i="48" s="1"/>
  <c r="AX236" i="48" s="1"/>
  <c r="AX237" i="48" s="1"/>
  <c r="AX238" i="48" s="1"/>
  <c r="AX239" i="48" s="1"/>
  <c r="AX240" i="48" s="1"/>
  <c r="AX241" i="48" s="1"/>
  <c r="AX242" i="48" s="1"/>
  <c r="AX243" i="48" s="1"/>
  <c r="AX244" i="48" s="1"/>
  <c r="AX245" i="48" s="1"/>
  <c r="AX246" i="48" s="1"/>
  <c r="AX247" i="48" s="1"/>
  <c r="AX248" i="48" s="1"/>
  <c r="AX249" i="48" s="1"/>
  <c r="AX251" i="48" s="1"/>
  <c r="AX252" i="48" s="1"/>
  <c r="AX253" i="48" s="1"/>
  <c r="AX254" i="48" s="1"/>
  <c r="AX255" i="48" s="1"/>
  <c r="AX256" i="48" s="1"/>
  <c r="AX257" i="48" s="1"/>
  <c r="AX258" i="48" s="1"/>
  <c r="AX259" i="48" s="1"/>
  <c r="AX260" i="48" s="1"/>
  <c r="AX261" i="48" s="1"/>
  <c r="AX262" i="48" s="1"/>
  <c r="AX263" i="48" s="1"/>
  <c r="AX264" i="48" s="1"/>
  <c r="AX265" i="48" s="1"/>
  <c r="AX266" i="48" s="1"/>
  <c r="AX267" i="48" s="1"/>
  <c r="AX268" i="48" s="1"/>
  <c r="AX269" i="48" s="1"/>
  <c r="AX270" i="48" s="1"/>
  <c r="AX272" i="48" s="1"/>
  <c r="AX273" i="48" s="1"/>
  <c r="AX274" i="48" s="1"/>
  <c r="AX275" i="48" s="1"/>
  <c r="AX276" i="48" s="1"/>
  <c r="AX277" i="48" s="1"/>
  <c r="AX278" i="48" s="1"/>
  <c r="AX279" i="48" s="1"/>
  <c r="AX280" i="48" s="1"/>
  <c r="AX281" i="48" s="1"/>
  <c r="AX282" i="48" s="1"/>
  <c r="AX283" i="48" s="1"/>
  <c r="AX284" i="48" s="1"/>
  <c r="AX285" i="48" s="1"/>
  <c r="AX286" i="48" s="1"/>
  <c r="AX287" i="48" s="1"/>
  <c r="AX288" i="48" s="1"/>
  <c r="AX289" i="48" s="1"/>
  <c r="AX290" i="48" s="1"/>
  <c r="AX291" i="48" s="1"/>
  <c r="AX293" i="48" s="1"/>
  <c r="AX294" i="48" s="1"/>
  <c r="AX295" i="48" s="1"/>
  <c r="AX296" i="48" s="1"/>
  <c r="AX297" i="48" s="1"/>
  <c r="AX298" i="48" s="1"/>
  <c r="AX299" i="48" s="1"/>
  <c r="AX300" i="48" s="1"/>
  <c r="AX301" i="48" s="1"/>
  <c r="AX302" i="48" s="1"/>
  <c r="AX303" i="48" s="1"/>
  <c r="AX304" i="48" s="1"/>
  <c r="AX305" i="48" s="1"/>
  <c r="AX306" i="48" s="1"/>
  <c r="AX307" i="48" s="1"/>
  <c r="AX308" i="48" s="1"/>
  <c r="AX309" i="48" s="1"/>
  <c r="AX310" i="48" s="1"/>
  <c r="AX311" i="48" s="1"/>
  <c r="AX312" i="48" s="1"/>
  <c r="AX314" i="48" s="1"/>
  <c r="AX315" i="48" s="1"/>
  <c r="AX316" i="48" s="1"/>
  <c r="AX317" i="48" s="1"/>
  <c r="AX318" i="48" s="1"/>
  <c r="AX319" i="48" s="1"/>
  <c r="AX320" i="48" s="1"/>
  <c r="AX321" i="48" s="1"/>
  <c r="AX322" i="48" s="1"/>
  <c r="AX323" i="48" s="1"/>
  <c r="AX324" i="48" s="1"/>
  <c r="AX325" i="48" s="1"/>
  <c r="AX326" i="48" s="1"/>
  <c r="AX327" i="48" s="1"/>
  <c r="AX328" i="48" s="1"/>
  <c r="AX329" i="48" s="1"/>
  <c r="AX330" i="48" s="1"/>
  <c r="AX331" i="48" s="1"/>
  <c r="AX332" i="48" s="1"/>
  <c r="AX333" i="48" s="1"/>
  <c r="AX335" i="48" s="1"/>
  <c r="AX336" i="48" s="1"/>
  <c r="AX337" i="48" s="1"/>
  <c r="AX338" i="48" s="1"/>
  <c r="AX339" i="48" s="1"/>
  <c r="AX340" i="48" s="1"/>
  <c r="AX341" i="48" s="1"/>
  <c r="AX342" i="48" s="1"/>
  <c r="AX343" i="48" s="1"/>
  <c r="AX344" i="48" s="1"/>
  <c r="AX345" i="48" s="1"/>
  <c r="AX346" i="48" s="1"/>
  <c r="AX347" i="48" s="1"/>
  <c r="AX348" i="48" s="1"/>
  <c r="AX349" i="48" s="1"/>
  <c r="AX350" i="48" s="1"/>
  <c r="AX351" i="48" s="1"/>
  <c r="AX352" i="48" s="1"/>
  <c r="AX353" i="48" s="1"/>
  <c r="AX354" i="48" s="1"/>
  <c r="AX356" i="48" s="1"/>
  <c r="AX357" i="48" s="1"/>
  <c r="AX358" i="48" s="1"/>
  <c r="AX359" i="48" s="1"/>
  <c r="AX360" i="48" s="1"/>
  <c r="AX361" i="48" s="1"/>
  <c r="AX362" i="48" s="1"/>
  <c r="AX363" i="48" s="1"/>
  <c r="AX364" i="48" s="1"/>
  <c r="AX365" i="48" s="1"/>
  <c r="AX366" i="48" s="1"/>
  <c r="AX367" i="48" s="1"/>
  <c r="AX368" i="48" s="1"/>
  <c r="AX369" i="48" s="1"/>
  <c r="AX370" i="48" s="1"/>
  <c r="AX371" i="48" s="1"/>
  <c r="AX372" i="48" s="1"/>
  <c r="AX373" i="48" s="1"/>
  <c r="AX374" i="48" s="1"/>
  <c r="AX375" i="48" s="1"/>
  <c r="I34" i="47"/>
  <c r="I35" i="47"/>
  <c r="N37" i="47"/>
  <c r="Q30" i="47"/>
  <c r="Q31" i="47" s="1"/>
  <c r="Q32" i="47" s="1"/>
  <c r="Q33" i="47" s="1"/>
  <c r="Q34" i="47" s="1"/>
  <c r="Q35" i="47" s="1"/>
  <c r="Q36" i="47" s="1"/>
  <c r="G37" i="47"/>
  <c r="H37" i="47"/>
  <c r="Q37" i="47" s="1"/>
  <c r="O32" i="47"/>
  <c r="M37" i="47"/>
  <c r="P37" i="47" s="1"/>
  <c r="I36" i="47"/>
  <c r="O33" i="47"/>
  <c r="BP20" i="42"/>
  <c r="BP21" i="42" s="1"/>
  <c r="G256" i="47"/>
  <c r="J256" i="47"/>
  <c r="D259" i="47"/>
  <c r="E259" i="47"/>
  <c r="J254" i="47"/>
  <c r="F260" i="47"/>
  <c r="N260" i="47"/>
  <c r="G260" i="47"/>
  <c r="L261" i="47"/>
  <c r="G254" i="47"/>
  <c r="M254" i="47"/>
  <c r="D261" i="47"/>
  <c r="F258" i="47"/>
  <c r="M261" i="47"/>
  <c r="L258" i="47"/>
  <c r="E261" i="47"/>
  <c r="G258" i="47"/>
  <c r="C256" i="47"/>
  <c r="J259" i="47"/>
  <c r="C254" i="47"/>
  <c r="N254" i="47"/>
  <c r="C255" i="47"/>
  <c r="H260" i="47"/>
  <c r="F259" i="47"/>
  <c r="D258" i="47"/>
  <c r="H256" i="47"/>
  <c r="K261" i="47"/>
  <c r="M259" i="47"/>
  <c r="J258" i="47"/>
  <c r="L256" i="47"/>
  <c r="C261" i="47"/>
  <c r="G259" i="47"/>
  <c r="E258" i="47"/>
  <c r="C257" i="47"/>
  <c r="N261" i="47"/>
  <c r="K260" i="47"/>
  <c r="M258" i="47"/>
  <c r="J257" i="47"/>
  <c r="E254" i="47"/>
  <c r="D255" i="47"/>
  <c r="M255" i="47"/>
  <c r="H254" i="47"/>
  <c r="K254" i="47"/>
  <c r="J255" i="47"/>
  <c r="F256" i="47"/>
  <c r="G255" i="47"/>
  <c r="H261" i="47"/>
  <c r="M256" i="47"/>
  <c r="K259" i="47"/>
  <c r="N259" i="47"/>
  <c r="H257" i="47"/>
  <c r="M257" i="47"/>
  <c r="C258" i="47"/>
  <c r="K258" i="47"/>
  <c r="K255" i="47"/>
  <c r="H259" i="47"/>
  <c r="D257" i="47"/>
  <c r="J260" i="47"/>
  <c r="N256" i="47"/>
  <c r="C260" i="47"/>
  <c r="E257" i="47"/>
  <c r="M260" i="47"/>
  <c r="L257" i="47"/>
  <c r="F255" i="47"/>
  <c r="F254" i="47"/>
  <c r="L255" i="47"/>
  <c r="D260" i="47"/>
  <c r="F257" i="47"/>
  <c r="L260" i="47"/>
  <c r="K257" i="47"/>
  <c r="E260" i="47"/>
  <c r="G257" i="47"/>
  <c r="J261" i="47"/>
  <c r="N257" i="47"/>
  <c r="H255" i="47"/>
  <c r="D254" i="47"/>
  <c r="N255" i="47"/>
  <c r="F261" i="47"/>
  <c r="H258" i="47"/>
  <c r="D256" i="47"/>
  <c r="N258" i="47"/>
  <c r="G261" i="47"/>
  <c r="C259" i="47"/>
  <c r="E256" i="47"/>
  <c r="L259" i="47"/>
  <c r="K256" i="47"/>
  <c r="L254" i="47"/>
  <c r="E255" i="47"/>
  <c r="BF55" i="42"/>
  <c r="J109" i="47" s="1"/>
  <c r="R231" i="47"/>
  <c r="BD36" i="42"/>
  <c r="Q98" i="47"/>
  <c r="R182" i="47"/>
  <c r="AR35" i="42"/>
  <c r="AR36" i="42" s="1"/>
  <c r="AR42" i="42"/>
  <c r="AR43" i="42"/>
  <c r="AU283" i="44"/>
  <c r="R29" i="47" l="1"/>
  <c r="R30" i="47" s="1"/>
  <c r="R31" i="47" s="1"/>
  <c r="R32" i="47" s="1"/>
  <c r="R33" i="47" s="1"/>
  <c r="R34" i="47" s="1"/>
  <c r="R35" i="47" s="1"/>
  <c r="R36" i="47" s="1"/>
  <c r="K109" i="47"/>
  <c r="F109" i="47"/>
  <c r="E109" i="47"/>
  <c r="E114" i="47"/>
  <c r="G106" i="47"/>
  <c r="K108" i="47"/>
  <c r="M108" i="47"/>
  <c r="F108" i="47"/>
  <c r="C107" i="47"/>
  <c r="J108" i="47"/>
  <c r="M109" i="47"/>
  <c r="H109" i="47"/>
  <c r="M106" i="47"/>
  <c r="L106" i="47"/>
  <c r="E108" i="47"/>
  <c r="D108" i="47"/>
  <c r="J107" i="47"/>
  <c r="C108" i="47"/>
  <c r="D107" i="47"/>
  <c r="N109" i="47"/>
  <c r="L109" i="47"/>
  <c r="C106" i="47"/>
  <c r="E107" i="47"/>
  <c r="H106" i="47"/>
  <c r="F107" i="47"/>
  <c r="F106" i="47"/>
  <c r="K106" i="47"/>
  <c r="G107" i="47"/>
  <c r="K107" i="47"/>
  <c r="N108" i="47"/>
  <c r="H108" i="47"/>
  <c r="G109" i="47"/>
  <c r="I109" i="47" s="1"/>
  <c r="D109" i="47"/>
  <c r="D106" i="47"/>
  <c r="E106" i="47"/>
  <c r="N107" i="47"/>
  <c r="L108" i="47"/>
  <c r="M107" i="47"/>
  <c r="H107" i="47"/>
  <c r="L107" i="47"/>
  <c r="G108" i="47"/>
  <c r="I108" i="47" s="1"/>
  <c r="C109" i="47"/>
  <c r="N106" i="47"/>
  <c r="J106" i="47"/>
  <c r="BE145" i="48"/>
  <c r="AX187" i="48"/>
  <c r="BF145" i="48"/>
  <c r="AY187" i="48"/>
  <c r="I37" i="47"/>
  <c r="BP22" i="42"/>
  <c r="BP23" i="42" s="1"/>
  <c r="BP24" i="42" s="1"/>
  <c r="O37" i="47"/>
  <c r="I261" i="47"/>
  <c r="I257" i="47"/>
  <c r="O260" i="47"/>
  <c r="I255" i="47"/>
  <c r="O255" i="47"/>
  <c r="O258" i="47"/>
  <c r="N262" i="47"/>
  <c r="I258" i="47"/>
  <c r="M262" i="47"/>
  <c r="O254" i="47"/>
  <c r="I256" i="47"/>
  <c r="O257" i="47"/>
  <c r="O256" i="47"/>
  <c r="Q254" i="47"/>
  <c r="Q255" i="47" s="1"/>
  <c r="Q256" i="47" s="1"/>
  <c r="Q257" i="47" s="1"/>
  <c r="Q258" i="47" s="1"/>
  <c r="Q259" i="47" s="1"/>
  <c r="Q260" i="47" s="1"/>
  <c r="Q261" i="47" s="1"/>
  <c r="H262" i="47"/>
  <c r="Q262" i="47" s="1"/>
  <c r="I259" i="47"/>
  <c r="O259" i="47"/>
  <c r="O261" i="47"/>
  <c r="I254" i="47"/>
  <c r="P254" i="47"/>
  <c r="P255" i="47" s="1"/>
  <c r="P256" i="47" s="1"/>
  <c r="P257" i="47" s="1"/>
  <c r="P258" i="47" s="1"/>
  <c r="P259" i="47" s="1"/>
  <c r="P260" i="47" s="1"/>
  <c r="P261" i="47" s="1"/>
  <c r="G262" i="47"/>
  <c r="P262" i="47" s="1"/>
  <c r="I260" i="47"/>
  <c r="H117" i="47"/>
  <c r="F114" i="47"/>
  <c r="G114" i="47"/>
  <c r="D110" i="47"/>
  <c r="K114" i="47"/>
  <c r="K115" i="47"/>
  <c r="K119" i="47"/>
  <c r="M119" i="47"/>
  <c r="C115" i="47"/>
  <c r="G115" i="47"/>
  <c r="C116" i="47"/>
  <c r="L115" i="47"/>
  <c r="L116" i="47"/>
  <c r="E119" i="47"/>
  <c r="J117" i="47"/>
  <c r="N116" i="47"/>
  <c r="L119" i="47"/>
  <c r="F119" i="47"/>
  <c r="G110" i="47"/>
  <c r="N118" i="47"/>
  <c r="H118" i="47"/>
  <c r="G116" i="47"/>
  <c r="G119" i="47"/>
  <c r="D117" i="47"/>
  <c r="F117" i="47"/>
  <c r="K116" i="47"/>
  <c r="G118" i="47"/>
  <c r="I118" i="47" s="1"/>
  <c r="D114" i="47"/>
  <c r="L114" i="47"/>
  <c r="M118" i="47"/>
  <c r="O118" i="47" s="1"/>
  <c r="F115" i="47"/>
  <c r="H114" i="47"/>
  <c r="D115" i="47"/>
  <c r="K118" i="47"/>
  <c r="N114" i="47"/>
  <c r="H110" i="47"/>
  <c r="L110" i="47"/>
  <c r="M110" i="47"/>
  <c r="H111" i="47"/>
  <c r="E113" i="47"/>
  <c r="J112" i="47"/>
  <c r="G112" i="47"/>
  <c r="E112" i="47"/>
  <c r="D113" i="47"/>
  <c r="L112" i="47"/>
  <c r="M113" i="47"/>
  <c r="J113" i="47"/>
  <c r="K111" i="47"/>
  <c r="D112" i="47"/>
  <c r="F111" i="47"/>
  <c r="C111" i="47"/>
  <c r="E111" i="47"/>
  <c r="G111" i="47"/>
  <c r="I111" i="47" s="1"/>
  <c r="J111" i="47"/>
  <c r="G117" i="47"/>
  <c r="I117" i="47" s="1"/>
  <c r="M114" i="47"/>
  <c r="E116" i="47"/>
  <c r="D118" i="47"/>
  <c r="M116" i="47"/>
  <c r="J115" i="47"/>
  <c r="C117" i="47"/>
  <c r="M115" i="47"/>
  <c r="J110" i="47"/>
  <c r="F116" i="47"/>
  <c r="J118" i="47"/>
  <c r="C119" i="47"/>
  <c r="L118" i="47"/>
  <c r="N119" i="47"/>
  <c r="N117" i="47"/>
  <c r="J119" i="47"/>
  <c r="E115" i="47"/>
  <c r="F110" i="47"/>
  <c r="E110" i="47"/>
  <c r="K117" i="47"/>
  <c r="H119" i="47"/>
  <c r="C114" i="47"/>
  <c r="N115" i="47"/>
  <c r="F118" i="47"/>
  <c r="H116" i="47"/>
  <c r="J116" i="47"/>
  <c r="D116" i="47"/>
  <c r="M117" i="47"/>
  <c r="D119" i="47"/>
  <c r="H115" i="47"/>
  <c r="E118" i="47"/>
  <c r="C118" i="47"/>
  <c r="L117" i="47"/>
  <c r="J114" i="47"/>
  <c r="E117" i="47"/>
  <c r="K110" i="47"/>
  <c r="N110" i="47"/>
  <c r="C110" i="47"/>
  <c r="C113" i="47"/>
  <c r="H113" i="47"/>
  <c r="L111" i="47"/>
  <c r="C112" i="47"/>
  <c r="F112" i="47"/>
  <c r="H112" i="47"/>
  <c r="K112" i="47"/>
  <c r="M112" i="47"/>
  <c r="L113" i="47"/>
  <c r="G113" i="47"/>
  <c r="I113" i="47" s="1"/>
  <c r="K113" i="47"/>
  <c r="N111" i="47"/>
  <c r="F113" i="47"/>
  <c r="N113" i="47"/>
  <c r="D111" i="47"/>
  <c r="N112" i="47"/>
  <c r="M111" i="47"/>
  <c r="BD37" i="42"/>
  <c r="AR50" i="42"/>
  <c r="L111" i="42"/>
  <c r="M111" i="42"/>
  <c r="AU111" i="42"/>
  <c r="O107" i="47" l="1"/>
  <c r="I107" i="47"/>
  <c r="Q106" i="47"/>
  <c r="Q107" i="47" s="1"/>
  <c r="Q108" i="47" s="1"/>
  <c r="Q109" i="47" s="1"/>
  <c r="Q110" i="47" s="1"/>
  <c r="Q111" i="47" s="1"/>
  <c r="Q112" i="47" s="1"/>
  <c r="Q113" i="47" s="1"/>
  <c r="Q114" i="47" s="1"/>
  <c r="Q115" i="47" s="1"/>
  <c r="Q116" i="47" s="1"/>
  <c r="Q117" i="47" s="1"/>
  <c r="Q118" i="47" s="1"/>
  <c r="Q119" i="47" s="1"/>
  <c r="O106" i="47"/>
  <c r="O109" i="47"/>
  <c r="O108" i="47"/>
  <c r="I106" i="47"/>
  <c r="P106" i="47"/>
  <c r="P107" i="47" s="1"/>
  <c r="P108" i="47" s="1"/>
  <c r="P109" i="47" s="1"/>
  <c r="P110" i="47" s="1"/>
  <c r="P111" i="47" s="1"/>
  <c r="P112" i="47" s="1"/>
  <c r="P113" i="47" s="1"/>
  <c r="P114" i="47" s="1"/>
  <c r="P115" i="47" s="1"/>
  <c r="P116" i="47" s="1"/>
  <c r="P117" i="47" s="1"/>
  <c r="P118" i="47" s="1"/>
  <c r="P119" i="47" s="1"/>
  <c r="BP25" i="42"/>
  <c r="BP26" i="42" s="1"/>
  <c r="BP27" i="42" s="1"/>
  <c r="BP28" i="42" s="1"/>
  <c r="BP29" i="42" s="1"/>
  <c r="BP30" i="42" s="1"/>
  <c r="BP31" i="42" s="1"/>
  <c r="BP32" i="42" s="1"/>
  <c r="BP33" i="42" s="1"/>
  <c r="BP34" i="42" s="1"/>
  <c r="BF146" i="48"/>
  <c r="AY208" i="48"/>
  <c r="BE146" i="48"/>
  <c r="AX208" i="48"/>
  <c r="R37" i="47"/>
  <c r="O262" i="47"/>
  <c r="R254" i="47"/>
  <c r="R255" i="47" s="1"/>
  <c r="R256" i="47" s="1"/>
  <c r="R257" i="47" s="1"/>
  <c r="R258" i="47" s="1"/>
  <c r="R259" i="47" s="1"/>
  <c r="R260" i="47" s="1"/>
  <c r="R261" i="47" s="1"/>
  <c r="I262" i="47"/>
  <c r="O111" i="47"/>
  <c r="O115" i="47"/>
  <c r="O116" i="47"/>
  <c r="O117" i="47"/>
  <c r="O114" i="47"/>
  <c r="I114" i="47"/>
  <c r="N120" i="47"/>
  <c r="I119" i="47"/>
  <c r="G120" i="47"/>
  <c r="O112" i="47"/>
  <c r="O113" i="47"/>
  <c r="I112" i="47"/>
  <c r="O110" i="47"/>
  <c r="M120" i="47"/>
  <c r="I110" i="47"/>
  <c r="H120" i="47"/>
  <c r="I116" i="47"/>
  <c r="I115" i="47"/>
  <c r="O119" i="47"/>
  <c r="BD38" i="42"/>
  <c r="AR52" i="42"/>
  <c r="R111" i="42"/>
  <c r="CD111" i="42"/>
  <c r="CC111" i="42"/>
  <c r="AR53" i="42"/>
  <c r="AR55" i="42" s="1"/>
  <c r="AR57" i="42" s="1"/>
  <c r="AR59" i="42" s="1"/>
  <c r="AR60" i="42" s="1"/>
  <c r="AR61" i="42" s="1"/>
  <c r="AR63" i="42" s="1"/>
  <c r="AR65" i="42" s="1"/>
  <c r="L10" i="44"/>
  <c r="AP214" i="44" s="1"/>
  <c r="L11" i="44"/>
  <c r="AP215" i="44" s="1"/>
  <c r="L12" i="44"/>
  <c r="AP216" i="44" s="1"/>
  <c r="L13" i="44"/>
  <c r="AP217" i="44" s="1"/>
  <c r="L14" i="44"/>
  <c r="AP218" i="44" s="1"/>
  <c r="L15" i="44"/>
  <c r="AP219" i="44" s="1"/>
  <c r="L16" i="44"/>
  <c r="AP220" i="44" s="1"/>
  <c r="L17" i="44"/>
  <c r="AP221" i="44" s="1"/>
  <c r="L18" i="44"/>
  <c r="AP222" i="44" s="1"/>
  <c r="L19" i="44"/>
  <c r="AP223" i="44" s="1"/>
  <c r="L20" i="44"/>
  <c r="AP224" i="44" s="1"/>
  <c r="L21" i="44"/>
  <c r="AP225" i="44" s="1"/>
  <c r="L22" i="44"/>
  <c r="AP226" i="44" s="1"/>
  <c r="L23" i="44"/>
  <c r="AP227" i="44" s="1"/>
  <c r="L24" i="44"/>
  <c r="AP228" i="44" s="1"/>
  <c r="L25" i="44"/>
  <c r="AP229" i="44" s="1"/>
  <c r="L26" i="44"/>
  <c r="AP230" i="44" s="1"/>
  <c r="L27" i="44"/>
  <c r="AP231" i="44" s="1"/>
  <c r="L28" i="44"/>
  <c r="AP232" i="44" s="1"/>
  <c r="L29" i="44"/>
  <c r="AP233" i="44" s="1"/>
  <c r="L30" i="44"/>
  <c r="AP234" i="44" s="1"/>
  <c r="L31" i="44"/>
  <c r="AP235" i="44" s="1"/>
  <c r="L32" i="44"/>
  <c r="AP236" i="44" s="1"/>
  <c r="L33" i="44"/>
  <c r="AP237" i="44" s="1"/>
  <c r="L34" i="44"/>
  <c r="AP238" i="44" s="1"/>
  <c r="L35" i="44"/>
  <c r="AP239" i="44" s="1"/>
  <c r="L36" i="44"/>
  <c r="AP240" i="44" s="1"/>
  <c r="L37" i="44"/>
  <c r="AP241" i="44" s="1"/>
  <c r="L38" i="44"/>
  <c r="AP242" i="44" s="1"/>
  <c r="L39" i="44"/>
  <c r="L40" i="44"/>
  <c r="AQ214" i="44" s="1"/>
  <c r="L41" i="44"/>
  <c r="AQ215" i="44" s="1"/>
  <c r="L42" i="44"/>
  <c r="AQ216" i="44" s="1"/>
  <c r="L43" i="44"/>
  <c r="AQ217" i="44" s="1"/>
  <c r="L44" i="44"/>
  <c r="AQ218" i="44" s="1"/>
  <c r="L45" i="44"/>
  <c r="AQ219" i="44" s="1"/>
  <c r="L46" i="44"/>
  <c r="AQ220" i="44" s="1"/>
  <c r="L47" i="44"/>
  <c r="AQ221" i="44" s="1"/>
  <c r="L48" i="44"/>
  <c r="AQ222" i="44" s="1"/>
  <c r="L49" i="44"/>
  <c r="AQ223" i="44" s="1"/>
  <c r="L50" i="44"/>
  <c r="AQ224" i="44" s="1"/>
  <c r="L51" i="44"/>
  <c r="L52" i="44"/>
  <c r="AQ226" i="44" s="1"/>
  <c r="L53" i="44"/>
  <c r="AQ227" i="44" s="1"/>
  <c r="L54" i="44"/>
  <c r="AQ228" i="44" s="1"/>
  <c r="L55" i="44"/>
  <c r="AQ229" i="44" s="1"/>
  <c r="L56" i="44"/>
  <c r="AQ230" i="44" s="1"/>
  <c r="L57" i="44"/>
  <c r="L58" i="44"/>
  <c r="AQ232" i="44" s="1"/>
  <c r="L59" i="44"/>
  <c r="AQ233" i="44" s="1"/>
  <c r="L60" i="44"/>
  <c r="AQ234" i="44" s="1"/>
  <c r="L61" i="44"/>
  <c r="AQ235" i="44" s="1"/>
  <c r="L62" i="44"/>
  <c r="AQ236" i="44" s="1"/>
  <c r="L63" i="44"/>
  <c r="AQ237" i="44" s="1"/>
  <c r="L64" i="44"/>
  <c r="AQ238" i="44" s="1"/>
  <c r="L65" i="44"/>
  <c r="AQ239" i="44" s="1"/>
  <c r="L66" i="44"/>
  <c r="AQ240" i="44" s="1"/>
  <c r="L67" i="44"/>
  <c r="AQ241" i="44" s="1"/>
  <c r="L68" i="44"/>
  <c r="AQ242" i="44" s="1"/>
  <c r="L69" i="44"/>
  <c r="AQ243" i="44" s="1"/>
  <c r="L70" i="44"/>
  <c r="AR213" i="44" s="1"/>
  <c r="L71" i="44"/>
  <c r="AR214" i="44" s="1"/>
  <c r="L72" i="44"/>
  <c r="AR215" i="44" s="1"/>
  <c r="L73" i="44"/>
  <c r="AR216" i="44" s="1"/>
  <c r="L74" i="44"/>
  <c r="L75" i="44"/>
  <c r="AR218" i="44" s="1"/>
  <c r="L76" i="44"/>
  <c r="AR219" i="44" s="1"/>
  <c r="L77" i="44"/>
  <c r="AR220" i="44" s="1"/>
  <c r="L78" i="44"/>
  <c r="AR221" i="44" s="1"/>
  <c r="L79" i="44"/>
  <c r="L80" i="44"/>
  <c r="AR223" i="44" s="1"/>
  <c r="L81" i="44"/>
  <c r="AR224" i="44" s="1"/>
  <c r="L82" i="44"/>
  <c r="AR225" i="44" s="1"/>
  <c r="L83" i="44"/>
  <c r="AR226" i="44" s="1"/>
  <c r="L84" i="44"/>
  <c r="L85" i="44"/>
  <c r="AR228" i="44" s="1"/>
  <c r="L86" i="44"/>
  <c r="AR229" i="44" s="1"/>
  <c r="L87" i="44"/>
  <c r="AR230" i="44" s="1"/>
  <c r="L88" i="44"/>
  <c r="AR231" i="44" s="1"/>
  <c r="L89" i="44"/>
  <c r="AR232" i="44" s="1"/>
  <c r="L90" i="44"/>
  <c r="AR233" i="44" s="1"/>
  <c r="L91" i="44"/>
  <c r="AR234" i="44" s="1"/>
  <c r="L92" i="44"/>
  <c r="AR235" i="44" s="1"/>
  <c r="L93" i="44"/>
  <c r="AR236" i="44" s="1"/>
  <c r="L94" i="44"/>
  <c r="AR237" i="44" s="1"/>
  <c r="L95" i="44"/>
  <c r="AR238" i="44" s="1"/>
  <c r="L96" i="44"/>
  <c r="AR239" i="44" s="1"/>
  <c r="L97" i="44"/>
  <c r="AR240" i="44" s="1"/>
  <c r="L98" i="44"/>
  <c r="AR241" i="44" s="1"/>
  <c r="L99" i="44"/>
  <c r="AR242" i="44" s="1"/>
  <c r="L100" i="44"/>
  <c r="L101" i="44"/>
  <c r="AS214" i="44" s="1"/>
  <c r="L102" i="44"/>
  <c r="AS215" i="44" s="1"/>
  <c r="L103" i="44"/>
  <c r="AS216" i="44" s="1"/>
  <c r="L104" i="44"/>
  <c r="AS217" i="44" s="1"/>
  <c r="L105" i="44"/>
  <c r="AS218" i="44" s="1"/>
  <c r="L106" i="44"/>
  <c r="AS219" i="44" s="1"/>
  <c r="L107" i="44"/>
  <c r="AS220" i="44" s="1"/>
  <c r="L108" i="44"/>
  <c r="AS221" i="44" s="1"/>
  <c r="L109" i="44"/>
  <c r="AS222" i="44" s="1"/>
  <c r="L110" i="44"/>
  <c r="AS223" i="44" s="1"/>
  <c r="L111" i="44"/>
  <c r="AS224" i="44" s="1"/>
  <c r="L112" i="44"/>
  <c r="AS225" i="44" s="1"/>
  <c r="L113" i="44"/>
  <c r="AS226" i="44" s="1"/>
  <c r="L114" i="44"/>
  <c r="AS227" i="44" s="1"/>
  <c r="L115" i="44"/>
  <c r="AS228" i="44" s="1"/>
  <c r="L116" i="44"/>
  <c r="AS229" i="44" s="1"/>
  <c r="L117" i="44"/>
  <c r="AS230" i="44" s="1"/>
  <c r="L118" i="44"/>
  <c r="AS231" i="44" s="1"/>
  <c r="L119" i="44"/>
  <c r="AS232" i="44" s="1"/>
  <c r="L120" i="44"/>
  <c r="AS233" i="44" s="1"/>
  <c r="L121" i="44"/>
  <c r="AS234" i="44" s="1"/>
  <c r="L122" i="44"/>
  <c r="AS235" i="44" s="1"/>
  <c r="L123" i="44"/>
  <c r="AS236" i="44" s="1"/>
  <c r="L124" i="44"/>
  <c r="AS237" i="44" s="1"/>
  <c r="L125" i="44"/>
  <c r="AS238" i="44" s="1"/>
  <c r="L126" i="44"/>
  <c r="AS239" i="44" s="1"/>
  <c r="L127" i="44"/>
  <c r="AS240" i="44" s="1"/>
  <c r="L128" i="44"/>
  <c r="AS241" i="44" s="1"/>
  <c r="L129" i="44"/>
  <c r="AS242" i="44" s="1"/>
  <c r="L130" i="44"/>
  <c r="AS243" i="44" s="1"/>
  <c r="L131" i="44"/>
  <c r="AT213" i="44" s="1"/>
  <c r="L132" i="44"/>
  <c r="AT214" i="44" s="1"/>
  <c r="L133" i="44"/>
  <c r="AT215" i="44" s="1"/>
  <c r="L134" i="44"/>
  <c r="AT216" i="44" s="1"/>
  <c r="L135" i="44"/>
  <c r="AT217" i="44" s="1"/>
  <c r="L136" i="44"/>
  <c r="AT218" i="44" s="1"/>
  <c r="L137" i="44"/>
  <c r="AT219" i="44" s="1"/>
  <c r="L138" i="44"/>
  <c r="AT220" i="44" s="1"/>
  <c r="L139" i="44"/>
  <c r="AT221" i="44" s="1"/>
  <c r="L140" i="44"/>
  <c r="AT222" i="44" s="1"/>
  <c r="L141" i="44"/>
  <c r="AT223" i="44" s="1"/>
  <c r="L142" i="44"/>
  <c r="AT224" i="44" s="1"/>
  <c r="L143" i="44"/>
  <c r="AT225" i="44" s="1"/>
  <c r="L144" i="44"/>
  <c r="AT226" i="44" s="1"/>
  <c r="L145" i="44"/>
  <c r="AT227" i="44" s="1"/>
  <c r="L146" i="44"/>
  <c r="AT228" i="44" s="1"/>
  <c r="L147" i="44"/>
  <c r="AT229" i="44" s="1"/>
  <c r="L148" i="44"/>
  <c r="AT230" i="44" s="1"/>
  <c r="L149" i="44"/>
  <c r="AT231" i="44" s="1"/>
  <c r="L150" i="44"/>
  <c r="AT232" i="44" s="1"/>
  <c r="L151" i="44"/>
  <c r="AT233" i="44" s="1"/>
  <c r="L152" i="44"/>
  <c r="AT234" i="44" s="1"/>
  <c r="L153" i="44"/>
  <c r="AT235" i="44" s="1"/>
  <c r="L154" i="44"/>
  <c r="AT236" i="44" s="1"/>
  <c r="L155" i="44"/>
  <c r="AT237" i="44" s="1"/>
  <c r="L156" i="44"/>
  <c r="AT238" i="44" s="1"/>
  <c r="L157" i="44"/>
  <c r="AT239" i="44" s="1"/>
  <c r="L158" i="44"/>
  <c r="AT240" i="44" s="1"/>
  <c r="L159" i="44"/>
  <c r="AT241" i="44" s="1"/>
  <c r="L160" i="44"/>
  <c r="AT242" i="44" s="1"/>
  <c r="L161" i="44"/>
  <c r="AT243" i="44" s="1"/>
  <c r="L162" i="44"/>
  <c r="AU213" i="44" s="1"/>
  <c r="L163" i="44"/>
  <c r="AU214" i="44" s="1"/>
  <c r="L164" i="44"/>
  <c r="AU215" i="44" s="1"/>
  <c r="L165" i="44"/>
  <c r="AU216" i="44" s="1"/>
  <c r="L166" i="44"/>
  <c r="AU217" i="44" s="1"/>
  <c r="L167" i="44"/>
  <c r="AU218" i="44" s="1"/>
  <c r="L168" i="44"/>
  <c r="AU219" i="44" s="1"/>
  <c r="L169" i="44"/>
  <c r="L170" i="44"/>
  <c r="AU221" i="44" s="1"/>
  <c r="L171" i="44"/>
  <c r="AU222" i="44" s="1"/>
  <c r="L172" i="44"/>
  <c r="AU223" i="44" s="1"/>
  <c r="L173" i="44"/>
  <c r="L174" i="44"/>
  <c r="AU225" i="44" s="1"/>
  <c r="L175" i="44"/>
  <c r="AU226" i="44" s="1"/>
  <c r="L176" i="44"/>
  <c r="AU227" i="44" s="1"/>
  <c r="L177" i="44"/>
  <c r="AU228" i="44" s="1"/>
  <c r="L178" i="44"/>
  <c r="AU229" i="44" s="1"/>
  <c r="L179" i="44"/>
  <c r="AU230" i="44" s="1"/>
  <c r="L180" i="44"/>
  <c r="AU231" i="44" s="1"/>
  <c r="L181" i="44"/>
  <c r="AU232" i="44" s="1"/>
  <c r="L182" i="44"/>
  <c r="AU233" i="44" s="1"/>
  <c r="L183" i="44"/>
  <c r="AU234" i="44" s="1"/>
  <c r="L184" i="44"/>
  <c r="AU235" i="44" s="1"/>
  <c r="L185" i="44"/>
  <c r="AU236" i="44" s="1"/>
  <c r="L186" i="44"/>
  <c r="AU237" i="44" s="1"/>
  <c r="L187" i="44"/>
  <c r="AU238" i="44" s="1"/>
  <c r="L188" i="44"/>
  <c r="AU239" i="44" s="1"/>
  <c r="L189" i="44"/>
  <c r="AU240" i="44" s="1"/>
  <c r="L190" i="44"/>
  <c r="AU241" i="44" s="1"/>
  <c r="L191" i="44"/>
  <c r="AU242" i="44" s="1"/>
  <c r="L192" i="44"/>
  <c r="L193" i="44"/>
  <c r="AV214" i="44" s="1"/>
  <c r="L194" i="44"/>
  <c r="AV215" i="44" s="1"/>
  <c r="L195" i="44"/>
  <c r="AV216" i="44" s="1"/>
  <c r="L196" i="44"/>
  <c r="AV217" i="44" s="1"/>
  <c r="L197" i="44"/>
  <c r="AV218" i="44" s="1"/>
  <c r="L198" i="44"/>
  <c r="AV219" i="44" s="1"/>
  <c r="L199" i="44"/>
  <c r="AV220" i="44" s="1"/>
  <c r="L200" i="44"/>
  <c r="AV221" i="44" s="1"/>
  <c r="L201" i="44"/>
  <c r="AV222" i="44" s="1"/>
  <c r="L202" i="44"/>
  <c r="AV223" i="44" s="1"/>
  <c r="L203" i="44"/>
  <c r="AV224" i="44" s="1"/>
  <c r="L204" i="44"/>
  <c r="AV225" i="44" s="1"/>
  <c r="L205" i="44"/>
  <c r="AV226" i="44" s="1"/>
  <c r="L206" i="44"/>
  <c r="AV227" i="44" s="1"/>
  <c r="L207" i="44"/>
  <c r="AV228" i="44" s="1"/>
  <c r="L208" i="44"/>
  <c r="AV229" i="44" s="1"/>
  <c r="L209" i="44"/>
  <c r="AV230" i="44" s="1"/>
  <c r="L210" i="44"/>
  <c r="AV231" i="44" s="1"/>
  <c r="L211" i="44"/>
  <c r="AV232" i="44" s="1"/>
  <c r="L212" i="44"/>
  <c r="AV233" i="44" s="1"/>
  <c r="L213" i="44"/>
  <c r="AV234" i="44" s="1"/>
  <c r="L214" i="44"/>
  <c r="AV235" i="44" s="1"/>
  <c r="L215" i="44"/>
  <c r="AV236" i="44" s="1"/>
  <c r="L216" i="44"/>
  <c r="AV237" i="44" s="1"/>
  <c r="L217" i="44"/>
  <c r="AV238" i="44" s="1"/>
  <c r="L218" i="44"/>
  <c r="AV239" i="44" s="1"/>
  <c r="L219" i="44"/>
  <c r="AV240" i="44" s="1"/>
  <c r="L220" i="44"/>
  <c r="AV241" i="44" s="1"/>
  <c r="L221" i="44"/>
  <c r="AV242" i="44" s="1"/>
  <c r="L222" i="44"/>
  <c r="AV243" i="44" s="1"/>
  <c r="L223" i="44"/>
  <c r="AW213" i="44" s="1"/>
  <c r="L224" i="44"/>
  <c r="AW214" i="44" s="1"/>
  <c r="L225" i="44"/>
  <c r="AW215" i="44" s="1"/>
  <c r="L226" i="44"/>
  <c r="AW216" i="44" s="1"/>
  <c r="L227" i="44"/>
  <c r="AW217" i="44" s="1"/>
  <c r="L228" i="44"/>
  <c r="AW218" i="44" s="1"/>
  <c r="L229" i="44"/>
  <c r="AW219" i="44" s="1"/>
  <c r="L230" i="44"/>
  <c r="AW220" i="44" s="1"/>
  <c r="L231" i="44"/>
  <c r="AW221" i="44" s="1"/>
  <c r="L232" i="44"/>
  <c r="AW222" i="44" s="1"/>
  <c r="L233" i="44"/>
  <c r="AW223" i="44" s="1"/>
  <c r="L234" i="44"/>
  <c r="AW224" i="44" s="1"/>
  <c r="L235" i="44"/>
  <c r="AW225" i="44" s="1"/>
  <c r="L236" i="44"/>
  <c r="AW226" i="44" s="1"/>
  <c r="L237" i="44"/>
  <c r="AW227" i="44" s="1"/>
  <c r="L238" i="44"/>
  <c r="AW228" i="44" s="1"/>
  <c r="L239" i="44"/>
  <c r="AW229" i="44" s="1"/>
  <c r="L240" i="44"/>
  <c r="AW230" i="44" s="1"/>
  <c r="L241" i="44"/>
  <c r="AW231" i="44" s="1"/>
  <c r="L242" i="44"/>
  <c r="AW232" i="44" s="1"/>
  <c r="L243" i="44"/>
  <c r="AW233" i="44" s="1"/>
  <c r="L244" i="44"/>
  <c r="AW234" i="44" s="1"/>
  <c r="L245" i="44"/>
  <c r="AW235" i="44" s="1"/>
  <c r="L246" i="44"/>
  <c r="AW236" i="44" s="1"/>
  <c r="L247" i="44"/>
  <c r="AW237" i="44" s="1"/>
  <c r="L248" i="44"/>
  <c r="AW238" i="44" s="1"/>
  <c r="L249" i="44"/>
  <c r="AW239" i="44" s="1"/>
  <c r="L250" i="44"/>
  <c r="AW240" i="44" s="1"/>
  <c r="L251" i="44"/>
  <c r="AW241" i="44" s="1"/>
  <c r="L252" i="44"/>
  <c r="AW242" i="44" s="1"/>
  <c r="L253" i="44"/>
  <c r="L254" i="44"/>
  <c r="AX214" i="44" s="1"/>
  <c r="L255" i="44"/>
  <c r="AX215" i="44" s="1"/>
  <c r="L256" i="44"/>
  <c r="AX216" i="44" s="1"/>
  <c r="L257" i="44"/>
  <c r="AX217" i="44" s="1"/>
  <c r="L258" i="44"/>
  <c r="AX218" i="44" s="1"/>
  <c r="L259" i="44"/>
  <c r="AX219" i="44" s="1"/>
  <c r="L260" i="44"/>
  <c r="AX220" i="44" s="1"/>
  <c r="L261" i="44"/>
  <c r="AX221" i="44" s="1"/>
  <c r="L262" i="44"/>
  <c r="AX222" i="44" s="1"/>
  <c r="L263" i="44"/>
  <c r="AX223" i="44" s="1"/>
  <c r="L264" i="44"/>
  <c r="AX224" i="44" s="1"/>
  <c r="L265" i="44"/>
  <c r="AX225" i="44" s="1"/>
  <c r="L266" i="44"/>
  <c r="AX226" i="44" s="1"/>
  <c r="L267" i="44"/>
  <c r="AX227" i="44" s="1"/>
  <c r="L268" i="44"/>
  <c r="AX228" i="44" s="1"/>
  <c r="L269" i="44"/>
  <c r="AX229" i="44" s="1"/>
  <c r="L270" i="44"/>
  <c r="AX230" i="44" s="1"/>
  <c r="L271" i="44"/>
  <c r="AX231" i="44" s="1"/>
  <c r="L272" i="44"/>
  <c r="AX232" i="44" s="1"/>
  <c r="L273" i="44"/>
  <c r="AX233" i="44" s="1"/>
  <c r="L274" i="44"/>
  <c r="AX234" i="44" s="1"/>
  <c r="L275" i="44"/>
  <c r="AX235" i="44" s="1"/>
  <c r="L276" i="44"/>
  <c r="AX236" i="44" s="1"/>
  <c r="L277" i="44"/>
  <c r="AX237" i="44" s="1"/>
  <c r="L278" i="44"/>
  <c r="AX238" i="44" s="1"/>
  <c r="L279" i="44"/>
  <c r="AX239" i="44" s="1"/>
  <c r="L280" i="44"/>
  <c r="AX240" i="44" s="1"/>
  <c r="L281" i="44"/>
  <c r="AX241" i="44" s="1"/>
  <c r="L282" i="44"/>
  <c r="AX242" i="44" s="1"/>
  <c r="L283" i="44"/>
  <c r="AX243" i="44" s="1"/>
  <c r="L284" i="44"/>
  <c r="L285" i="44"/>
  <c r="AY214" i="44" s="1"/>
  <c r="L286" i="44"/>
  <c r="AY215" i="44" s="1"/>
  <c r="L287" i="44"/>
  <c r="AY216" i="44" s="1"/>
  <c r="L288" i="44"/>
  <c r="AY217" i="44" s="1"/>
  <c r="L289" i="44"/>
  <c r="AY218" i="44" s="1"/>
  <c r="L290" i="44"/>
  <c r="AY219" i="44" s="1"/>
  <c r="L291" i="44"/>
  <c r="AY220" i="44" s="1"/>
  <c r="L292" i="44"/>
  <c r="AY221" i="44" s="1"/>
  <c r="L293" i="44"/>
  <c r="AY222" i="44" s="1"/>
  <c r="L294" i="44"/>
  <c r="AY223" i="44" s="1"/>
  <c r="L295" i="44"/>
  <c r="AY224" i="44" s="1"/>
  <c r="L296" i="44"/>
  <c r="AY225" i="44" s="1"/>
  <c r="L297" i="44"/>
  <c r="AY226" i="44" s="1"/>
  <c r="L298" i="44"/>
  <c r="AY227" i="44" s="1"/>
  <c r="L299" i="44"/>
  <c r="AY228" i="44" s="1"/>
  <c r="L300" i="44"/>
  <c r="AY229" i="44" s="1"/>
  <c r="L301" i="44"/>
  <c r="L302" i="44"/>
  <c r="AY231" i="44" s="1"/>
  <c r="L303" i="44"/>
  <c r="AY232" i="44" s="1"/>
  <c r="L304" i="44"/>
  <c r="AY233" i="44" s="1"/>
  <c r="L305" i="44"/>
  <c r="AY234" i="44" s="1"/>
  <c r="L306" i="44"/>
  <c r="AY235" i="44" s="1"/>
  <c r="L307" i="44"/>
  <c r="AY236" i="44" s="1"/>
  <c r="L308" i="44"/>
  <c r="AY237" i="44" s="1"/>
  <c r="L309" i="44"/>
  <c r="AY238" i="44" s="1"/>
  <c r="L310" i="44"/>
  <c r="AY239" i="44" s="1"/>
  <c r="L311" i="44"/>
  <c r="AY240" i="44" s="1"/>
  <c r="L312" i="44"/>
  <c r="AY241" i="44" s="1"/>
  <c r="L313" i="44"/>
  <c r="AY242" i="44" s="1"/>
  <c r="L314" i="44"/>
  <c r="AY243" i="44" s="1"/>
  <c r="L315" i="44"/>
  <c r="AZ213" i="44" s="1"/>
  <c r="L316" i="44"/>
  <c r="AZ214" i="44" s="1"/>
  <c r="L317" i="44"/>
  <c r="AZ215" i="44" s="1"/>
  <c r="L318" i="44"/>
  <c r="AZ216" i="44" s="1"/>
  <c r="L319" i="44"/>
  <c r="AZ217" i="44" s="1"/>
  <c r="L320" i="44"/>
  <c r="AZ218" i="44" s="1"/>
  <c r="L321" i="44"/>
  <c r="AZ219" i="44" s="1"/>
  <c r="L322" i="44"/>
  <c r="AZ220" i="44" s="1"/>
  <c r="L323" i="44"/>
  <c r="AZ221" i="44" s="1"/>
  <c r="L324" i="44"/>
  <c r="AZ222" i="44" s="1"/>
  <c r="L325" i="44"/>
  <c r="AZ223" i="44" s="1"/>
  <c r="L326" i="44"/>
  <c r="AZ224" i="44" s="1"/>
  <c r="L327" i="44"/>
  <c r="AZ225" i="44" s="1"/>
  <c r="L328" i="44"/>
  <c r="AZ226" i="44" s="1"/>
  <c r="L329" i="44"/>
  <c r="AZ227" i="44" s="1"/>
  <c r="L330" i="44"/>
  <c r="AZ228" i="44" s="1"/>
  <c r="L331" i="44"/>
  <c r="AZ229" i="44" s="1"/>
  <c r="L332" i="44"/>
  <c r="AZ230" i="44" s="1"/>
  <c r="L333" i="44"/>
  <c r="AZ231" i="44" s="1"/>
  <c r="L334" i="44"/>
  <c r="AZ232" i="44" s="1"/>
  <c r="L335" i="44"/>
  <c r="AZ233" i="44" s="1"/>
  <c r="L336" i="44"/>
  <c r="AZ234" i="44" s="1"/>
  <c r="L337" i="44"/>
  <c r="AZ235" i="44" s="1"/>
  <c r="L338" i="44"/>
  <c r="AZ236" i="44" s="1"/>
  <c r="L339" i="44"/>
  <c r="AZ237" i="44" s="1"/>
  <c r="L340" i="44"/>
  <c r="AZ238" i="44" s="1"/>
  <c r="L341" i="44"/>
  <c r="AZ239" i="44" s="1"/>
  <c r="L342" i="44"/>
  <c r="AZ240" i="44" s="1"/>
  <c r="L343" i="44"/>
  <c r="AZ241" i="44" s="1"/>
  <c r="L344" i="44"/>
  <c r="L345" i="44"/>
  <c r="L346" i="44"/>
  <c r="BA215" i="44" s="1"/>
  <c r="L347" i="44"/>
  <c r="BA216" i="44" s="1"/>
  <c r="L348" i="44"/>
  <c r="BA217" i="44" s="1"/>
  <c r="L349" i="44"/>
  <c r="BA218" i="44" s="1"/>
  <c r="L350" i="44"/>
  <c r="BA219" i="44" s="1"/>
  <c r="L351" i="44"/>
  <c r="L352" i="44"/>
  <c r="BA221" i="44" s="1"/>
  <c r="L353" i="44"/>
  <c r="BA222" i="44" s="1"/>
  <c r="L354" i="44"/>
  <c r="BA223" i="44" s="1"/>
  <c r="L355" i="44"/>
  <c r="BA224" i="44" s="1"/>
  <c r="L356" i="44"/>
  <c r="BA225" i="44" s="1"/>
  <c r="L357" i="44"/>
  <c r="BA226" i="44" s="1"/>
  <c r="L358" i="44"/>
  <c r="BA227" i="44" s="1"/>
  <c r="L359" i="44"/>
  <c r="BA228" i="44" s="1"/>
  <c r="L360" i="44"/>
  <c r="BA229" i="44" s="1"/>
  <c r="L361" i="44"/>
  <c r="BA230" i="44" s="1"/>
  <c r="L362" i="44"/>
  <c r="BA231" i="44" s="1"/>
  <c r="L363" i="44"/>
  <c r="BA232" i="44" s="1"/>
  <c r="L364" i="44"/>
  <c r="BA233" i="44" s="1"/>
  <c r="L365" i="44"/>
  <c r="BA234" i="44" s="1"/>
  <c r="L366" i="44"/>
  <c r="BA235" i="44" s="1"/>
  <c r="L367" i="44"/>
  <c r="BA236" i="44" s="1"/>
  <c r="L368" i="44"/>
  <c r="L369" i="44"/>
  <c r="BA238" i="44" s="1"/>
  <c r="L370" i="44"/>
  <c r="BA239" i="44" s="1"/>
  <c r="L371" i="44"/>
  <c r="BA240" i="44" s="1"/>
  <c r="L372" i="44"/>
  <c r="L373" i="44"/>
  <c r="BA242" i="44" s="1"/>
  <c r="L374" i="44"/>
  <c r="BA243" i="44" s="1"/>
  <c r="L9" i="44"/>
  <c r="J10" i="44"/>
  <c r="AP143" i="44" s="1"/>
  <c r="J11" i="44"/>
  <c r="AP144" i="44" s="1"/>
  <c r="J12" i="44"/>
  <c r="AP145" i="44" s="1"/>
  <c r="J13" i="44"/>
  <c r="AP146" i="44" s="1"/>
  <c r="J14" i="44"/>
  <c r="AP147" i="44" s="1"/>
  <c r="J15" i="44"/>
  <c r="AP148" i="44" s="1"/>
  <c r="J16" i="44"/>
  <c r="AP149" i="44" s="1"/>
  <c r="J17" i="44"/>
  <c r="AP150" i="44" s="1"/>
  <c r="J18" i="44"/>
  <c r="AP151" i="44" s="1"/>
  <c r="J19" i="44"/>
  <c r="AP152" i="44" s="1"/>
  <c r="J20" i="44"/>
  <c r="AP153" i="44" s="1"/>
  <c r="J21" i="44"/>
  <c r="AP154" i="44" s="1"/>
  <c r="J22" i="44"/>
  <c r="AP155" i="44" s="1"/>
  <c r="J23" i="44"/>
  <c r="AP156" i="44" s="1"/>
  <c r="J24" i="44"/>
  <c r="AP157" i="44" s="1"/>
  <c r="J25" i="44"/>
  <c r="AP158" i="44" s="1"/>
  <c r="J26" i="44"/>
  <c r="AP159" i="44" s="1"/>
  <c r="J27" i="44"/>
  <c r="AP160" i="44" s="1"/>
  <c r="J28" i="44"/>
  <c r="AP161" i="44" s="1"/>
  <c r="J29" i="44"/>
  <c r="AP162" i="44" s="1"/>
  <c r="J30" i="44"/>
  <c r="AP163" i="44" s="1"/>
  <c r="J31" i="44"/>
  <c r="AP164" i="44" s="1"/>
  <c r="J32" i="44"/>
  <c r="AP165" i="44" s="1"/>
  <c r="J33" i="44"/>
  <c r="AP166" i="44" s="1"/>
  <c r="J34" i="44"/>
  <c r="AP167" i="44" s="1"/>
  <c r="J35" i="44"/>
  <c r="AP168" i="44" s="1"/>
  <c r="J36" i="44"/>
  <c r="AP169" i="44" s="1"/>
  <c r="J37" i="44"/>
  <c r="AP170" i="44" s="1"/>
  <c r="J38" i="44"/>
  <c r="AP171" i="44" s="1"/>
  <c r="J39" i="44"/>
  <c r="AQ142" i="44" s="1"/>
  <c r="J40" i="44"/>
  <c r="AQ143" i="44" s="1"/>
  <c r="J41" i="44"/>
  <c r="AQ144" i="44" s="1"/>
  <c r="J42" i="44"/>
  <c r="AQ145" i="44" s="1"/>
  <c r="J43" i="44"/>
  <c r="AQ146" i="44" s="1"/>
  <c r="J44" i="44"/>
  <c r="AQ147" i="44" s="1"/>
  <c r="J45" i="44"/>
  <c r="AQ148" i="44" s="1"/>
  <c r="J46" i="44"/>
  <c r="AQ149" i="44" s="1"/>
  <c r="J47" i="44"/>
  <c r="AQ150" i="44" s="1"/>
  <c r="J48" i="44"/>
  <c r="AQ151" i="44" s="1"/>
  <c r="J49" i="44"/>
  <c r="AQ152" i="44" s="1"/>
  <c r="J50" i="44"/>
  <c r="AQ153" i="44" s="1"/>
  <c r="J51" i="44"/>
  <c r="AQ154" i="44" s="1"/>
  <c r="J52" i="44"/>
  <c r="AQ155" i="44" s="1"/>
  <c r="J53" i="44"/>
  <c r="J54" i="44"/>
  <c r="AQ157" i="44" s="1"/>
  <c r="J55" i="44"/>
  <c r="AQ158" i="44" s="1"/>
  <c r="J56" i="44"/>
  <c r="J57" i="44"/>
  <c r="AQ160" i="44" s="1"/>
  <c r="J58" i="44"/>
  <c r="AQ161" i="44" s="1"/>
  <c r="J59" i="44"/>
  <c r="AQ162" i="44" s="1"/>
  <c r="J60" i="44"/>
  <c r="AQ163" i="44" s="1"/>
  <c r="J61" i="44"/>
  <c r="AQ164" i="44" s="1"/>
  <c r="J62" i="44"/>
  <c r="AQ165" i="44" s="1"/>
  <c r="J63" i="44"/>
  <c r="AQ166" i="44" s="1"/>
  <c r="J64" i="44"/>
  <c r="AQ167" i="44" s="1"/>
  <c r="J65" i="44"/>
  <c r="AQ168" i="44" s="1"/>
  <c r="J66" i="44"/>
  <c r="AQ169" i="44" s="1"/>
  <c r="J67" i="44"/>
  <c r="AQ170" i="44" s="1"/>
  <c r="J68" i="44"/>
  <c r="AQ171" i="44" s="1"/>
  <c r="J69" i="44"/>
  <c r="AQ172" i="44" s="1"/>
  <c r="J70" i="44"/>
  <c r="AR142" i="44" s="1"/>
  <c r="J71" i="44"/>
  <c r="AR143" i="44" s="1"/>
  <c r="J72" i="44"/>
  <c r="AR144" i="44" s="1"/>
  <c r="J73" i="44"/>
  <c r="AR145" i="44" s="1"/>
  <c r="J74" i="44"/>
  <c r="J75" i="44"/>
  <c r="AR147" i="44" s="1"/>
  <c r="J76" i="44"/>
  <c r="AR148" i="44" s="1"/>
  <c r="J77" i="44"/>
  <c r="AR149" i="44" s="1"/>
  <c r="J78" i="44"/>
  <c r="AR150" i="44" s="1"/>
  <c r="J79" i="44"/>
  <c r="J80" i="44"/>
  <c r="AR152" i="44" s="1"/>
  <c r="J81" i="44"/>
  <c r="AR153" i="44" s="1"/>
  <c r="J82" i="44"/>
  <c r="AR154" i="44" s="1"/>
  <c r="J83" i="44"/>
  <c r="AR155" i="44" s="1"/>
  <c r="J84" i="44"/>
  <c r="J85" i="44"/>
  <c r="AR157" i="44" s="1"/>
  <c r="J86" i="44"/>
  <c r="AR158" i="44" s="1"/>
  <c r="J87" i="44"/>
  <c r="AR159" i="44" s="1"/>
  <c r="J88" i="44"/>
  <c r="AR160" i="44" s="1"/>
  <c r="J89" i="44"/>
  <c r="AR161" i="44" s="1"/>
  <c r="J90" i="44"/>
  <c r="AR162" i="44" s="1"/>
  <c r="J91" i="44"/>
  <c r="AR163" i="44" s="1"/>
  <c r="J92" i="44"/>
  <c r="AR164" i="44" s="1"/>
  <c r="J93" i="44"/>
  <c r="AR165" i="44" s="1"/>
  <c r="J94" i="44"/>
  <c r="AR166" i="44" s="1"/>
  <c r="J95" i="44"/>
  <c r="AR167" i="44" s="1"/>
  <c r="J96" i="44"/>
  <c r="AR168" i="44" s="1"/>
  <c r="J97" i="44"/>
  <c r="AR169" i="44" s="1"/>
  <c r="J98" i="44"/>
  <c r="AR170" i="44" s="1"/>
  <c r="J99" i="44"/>
  <c r="AR171" i="44" s="1"/>
  <c r="J100" i="44"/>
  <c r="AS142" i="44" s="1"/>
  <c r="J101" i="44"/>
  <c r="AS143" i="44" s="1"/>
  <c r="J102" i="44"/>
  <c r="AS144" i="44" s="1"/>
  <c r="J103" i="44"/>
  <c r="AS145" i="44" s="1"/>
  <c r="J104" i="44"/>
  <c r="AS146" i="44" s="1"/>
  <c r="J105" i="44"/>
  <c r="AS147" i="44" s="1"/>
  <c r="J106" i="44"/>
  <c r="AS148" i="44" s="1"/>
  <c r="J107" i="44"/>
  <c r="AS149" i="44" s="1"/>
  <c r="J108" i="44"/>
  <c r="AS150" i="44" s="1"/>
  <c r="J109" i="44"/>
  <c r="AS151" i="44" s="1"/>
  <c r="J110" i="44"/>
  <c r="AS152" i="44" s="1"/>
  <c r="J111" i="44"/>
  <c r="AS153" i="44" s="1"/>
  <c r="J112" i="44"/>
  <c r="AS154" i="44" s="1"/>
  <c r="J113" i="44"/>
  <c r="AS155" i="44" s="1"/>
  <c r="J114" i="44"/>
  <c r="AS156" i="44" s="1"/>
  <c r="J115" i="44"/>
  <c r="AS157" i="44" s="1"/>
  <c r="J116" i="44"/>
  <c r="AS158" i="44" s="1"/>
  <c r="J117" i="44"/>
  <c r="AS159" i="44" s="1"/>
  <c r="J118" i="44"/>
  <c r="AS160" i="44" s="1"/>
  <c r="J119" i="44"/>
  <c r="AS161" i="44" s="1"/>
  <c r="J120" i="44"/>
  <c r="AS162" i="44" s="1"/>
  <c r="J121" i="44"/>
  <c r="AS163" i="44" s="1"/>
  <c r="J122" i="44"/>
  <c r="AS164" i="44" s="1"/>
  <c r="J123" i="44"/>
  <c r="AS165" i="44" s="1"/>
  <c r="J124" i="44"/>
  <c r="AS166" i="44" s="1"/>
  <c r="J125" i="44"/>
  <c r="AS167" i="44" s="1"/>
  <c r="J126" i="44"/>
  <c r="AS168" i="44" s="1"/>
  <c r="J127" i="44"/>
  <c r="AS169" i="44" s="1"/>
  <c r="J128" i="44"/>
  <c r="AS170" i="44" s="1"/>
  <c r="J129" i="44"/>
  <c r="AS171" i="44" s="1"/>
  <c r="J130" i="44"/>
  <c r="AS172" i="44" s="1"/>
  <c r="J131" i="44"/>
  <c r="AT142" i="44" s="1"/>
  <c r="J132" i="44"/>
  <c r="AT143" i="44" s="1"/>
  <c r="J133" i="44"/>
  <c r="AT144" i="44" s="1"/>
  <c r="J134" i="44"/>
  <c r="AT145" i="44" s="1"/>
  <c r="J135" i="44"/>
  <c r="AT146" i="44" s="1"/>
  <c r="J136" i="44"/>
  <c r="AT147" i="44" s="1"/>
  <c r="J137" i="44"/>
  <c r="AT148" i="44" s="1"/>
  <c r="J138" i="44"/>
  <c r="AT149" i="44" s="1"/>
  <c r="J139" i="44"/>
  <c r="AT150" i="44" s="1"/>
  <c r="J140" i="44"/>
  <c r="AT151" i="44" s="1"/>
  <c r="J141" i="44"/>
  <c r="AT152" i="44" s="1"/>
  <c r="J142" i="44"/>
  <c r="J143" i="44"/>
  <c r="AT154" i="44" s="1"/>
  <c r="J144" i="44"/>
  <c r="AT155" i="44" s="1"/>
  <c r="J145" i="44"/>
  <c r="AT156" i="44" s="1"/>
  <c r="J146" i="44"/>
  <c r="AT157" i="44" s="1"/>
  <c r="J147" i="44"/>
  <c r="AT158" i="44" s="1"/>
  <c r="J148" i="44"/>
  <c r="AT159" i="44" s="1"/>
  <c r="J149" i="44"/>
  <c r="AT160" i="44" s="1"/>
  <c r="J150" i="44"/>
  <c r="AT161" i="44" s="1"/>
  <c r="J151" i="44"/>
  <c r="AT162" i="44" s="1"/>
  <c r="J152" i="44"/>
  <c r="AT163" i="44" s="1"/>
  <c r="J153" i="44"/>
  <c r="AT164" i="44" s="1"/>
  <c r="J154" i="44"/>
  <c r="AT165" i="44" s="1"/>
  <c r="J155" i="44"/>
  <c r="AT166" i="44" s="1"/>
  <c r="J156" i="44"/>
  <c r="AT167" i="44" s="1"/>
  <c r="J157" i="44"/>
  <c r="AT168" i="44" s="1"/>
  <c r="J158" i="44"/>
  <c r="AT169" i="44" s="1"/>
  <c r="J159" i="44"/>
  <c r="AT170" i="44" s="1"/>
  <c r="J160" i="44"/>
  <c r="AT171" i="44" s="1"/>
  <c r="J161" i="44"/>
  <c r="AT172" i="44" s="1"/>
  <c r="J162" i="44"/>
  <c r="AU142" i="44" s="1"/>
  <c r="J163" i="44"/>
  <c r="AU143" i="44" s="1"/>
  <c r="J164" i="44"/>
  <c r="AU144" i="44" s="1"/>
  <c r="J165" i="44"/>
  <c r="AU145" i="44" s="1"/>
  <c r="J166" i="44"/>
  <c r="AU146" i="44" s="1"/>
  <c r="J167" i="44"/>
  <c r="AU147" i="44" s="1"/>
  <c r="J168" i="44"/>
  <c r="AU148" i="44" s="1"/>
  <c r="J169" i="44"/>
  <c r="J170" i="44"/>
  <c r="AU150" i="44" s="1"/>
  <c r="J171" i="44"/>
  <c r="AU151" i="44" s="1"/>
  <c r="J172" i="44"/>
  <c r="AU152" i="44" s="1"/>
  <c r="J173" i="44"/>
  <c r="AU153" i="44" s="1"/>
  <c r="J174" i="44"/>
  <c r="AU154" i="44" s="1"/>
  <c r="J175" i="44"/>
  <c r="AU155" i="44" s="1"/>
  <c r="J176" i="44"/>
  <c r="AU156" i="44" s="1"/>
  <c r="J177" i="44"/>
  <c r="AU157" i="44" s="1"/>
  <c r="J178" i="44"/>
  <c r="AU158" i="44" s="1"/>
  <c r="J179" i="44"/>
  <c r="AU159" i="44" s="1"/>
  <c r="J180" i="44"/>
  <c r="AU160" i="44" s="1"/>
  <c r="J181" i="44"/>
  <c r="AU161" i="44" s="1"/>
  <c r="J182" i="44"/>
  <c r="AU162" i="44" s="1"/>
  <c r="J183" i="44"/>
  <c r="AU163" i="44" s="1"/>
  <c r="J184" i="44"/>
  <c r="AU164" i="44" s="1"/>
  <c r="J185" i="44"/>
  <c r="AU165" i="44" s="1"/>
  <c r="J186" i="44"/>
  <c r="AU166" i="44" s="1"/>
  <c r="J187" i="44"/>
  <c r="AU167" i="44" s="1"/>
  <c r="J188" i="44"/>
  <c r="AU168" i="44" s="1"/>
  <c r="J189" i="44"/>
  <c r="AU169" i="44" s="1"/>
  <c r="J190" i="44"/>
  <c r="AU170" i="44" s="1"/>
  <c r="J191" i="44"/>
  <c r="AU171" i="44" s="1"/>
  <c r="J192" i="44"/>
  <c r="AV142" i="44" s="1"/>
  <c r="J193" i="44"/>
  <c r="AV143" i="44" s="1"/>
  <c r="J194" i="44"/>
  <c r="AV144" i="44" s="1"/>
  <c r="J195" i="44"/>
  <c r="AV145" i="44" s="1"/>
  <c r="J196" i="44"/>
  <c r="AV146" i="44" s="1"/>
  <c r="J197" i="44"/>
  <c r="AV147" i="44" s="1"/>
  <c r="J198" i="44"/>
  <c r="AV148" i="44" s="1"/>
  <c r="J199" i="44"/>
  <c r="AV149" i="44" s="1"/>
  <c r="J200" i="44"/>
  <c r="AV150" i="44" s="1"/>
  <c r="J201" i="44"/>
  <c r="AV151" i="44" s="1"/>
  <c r="J202" i="44"/>
  <c r="AV152" i="44" s="1"/>
  <c r="J203" i="44"/>
  <c r="AV153" i="44" s="1"/>
  <c r="J204" i="44"/>
  <c r="AV154" i="44" s="1"/>
  <c r="J205" i="44"/>
  <c r="AV155" i="44" s="1"/>
  <c r="J206" i="44"/>
  <c r="AV156" i="44" s="1"/>
  <c r="J207" i="44"/>
  <c r="AV157" i="44" s="1"/>
  <c r="J208" i="44"/>
  <c r="AV158" i="44" s="1"/>
  <c r="J209" i="44"/>
  <c r="AV159" i="44" s="1"/>
  <c r="J210" i="44"/>
  <c r="AV160" i="44" s="1"/>
  <c r="J211" i="44"/>
  <c r="AV161" i="44" s="1"/>
  <c r="J212" i="44"/>
  <c r="AV162" i="44" s="1"/>
  <c r="J213" i="44"/>
  <c r="AV163" i="44" s="1"/>
  <c r="J214" i="44"/>
  <c r="AV164" i="44" s="1"/>
  <c r="J215" i="44"/>
  <c r="AV165" i="44" s="1"/>
  <c r="J216" i="44"/>
  <c r="AV166" i="44" s="1"/>
  <c r="J217" i="44"/>
  <c r="AV167" i="44" s="1"/>
  <c r="J218" i="44"/>
  <c r="AV168" i="44" s="1"/>
  <c r="J219" i="44"/>
  <c r="AV169" i="44" s="1"/>
  <c r="J220" i="44"/>
  <c r="AV170" i="44" s="1"/>
  <c r="J221" i="44"/>
  <c r="AV171" i="44" s="1"/>
  <c r="J222" i="44"/>
  <c r="AV172" i="44" s="1"/>
  <c r="J223" i="44"/>
  <c r="AW142" i="44" s="1"/>
  <c r="J224" i="44"/>
  <c r="AW143" i="44" s="1"/>
  <c r="J225" i="44"/>
  <c r="AW144" i="44" s="1"/>
  <c r="J226" i="44"/>
  <c r="AW145" i="44" s="1"/>
  <c r="J227" i="44"/>
  <c r="AW146" i="44" s="1"/>
  <c r="J228" i="44"/>
  <c r="AW147" i="44" s="1"/>
  <c r="J229" i="44"/>
  <c r="AW148" i="44" s="1"/>
  <c r="J230" i="44"/>
  <c r="AW149" i="44" s="1"/>
  <c r="J231" i="44"/>
  <c r="AW150" i="44" s="1"/>
  <c r="J232" i="44"/>
  <c r="AW151" i="44" s="1"/>
  <c r="J233" i="44"/>
  <c r="AW152" i="44" s="1"/>
  <c r="J234" i="44"/>
  <c r="AW153" i="44" s="1"/>
  <c r="J235" i="44"/>
  <c r="AW154" i="44" s="1"/>
  <c r="J236" i="44"/>
  <c r="AW155" i="44" s="1"/>
  <c r="J237" i="44"/>
  <c r="AW156" i="44" s="1"/>
  <c r="J238" i="44"/>
  <c r="AW157" i="44" s="1"/>
  <c r="J239" i="44"/>
  <c r="AW158" i="44" s="1"/>
  <c r="J240" i="44"/>
  <c r="AW159" i="44" s="1"/>
  <c r="J241" i="44"/>
  <c r="AW160" i="44" s="1"/>
  <c r="J242" i="44"/>
  <c r="AW161" i="44" s="1"/>
  <c r="J243" i="44"/>
  <c r="AW162" i="44" s="1"/>
  <c r="J244" i="44"/>
  <c r="AW163" i="44" s="1"/>
  <c r="J245" i="44"/>
  <c r="AW164" i="44" s="1"/>
  <c r="J246" i="44"/>
  <c r="AW165" i="44" s="1"/>
  <c r="J247" i="44"/>
  <c r="AW166" i="44" s="1"/>
  <c r="J248" i="44"/>
  <c r="AW167" i="44" s="1"/>
  <c r="J249" i="44"/>
  <c r="J250" i="44"/>
  <c r="AW169" i="44" s="1"/>
  <c r="J251" i="44"/>
  <c r="AW170" i="44" s="1"/>
  <c r="J252" i="44"/>
  <c r="AW171" i="44" s="1"/>
  <c r="J253" i="44"/>
  <c r="AX142" i="44" s="1"/>
  <c r="J254" i="44"/>
  <c r="AX143" i="44" s="1"/>
  <c r="J255" i="44"/>
  <c r="AX144" i="44" s="1"/>
  <c r="J256" i="44"/>
  <c r="AX145" i="44" s="1"/>
  <c r="J257" i="44"/>
  <c r="AX146" i="44" s="1"/>
  <c r="J258" i="44"/>
  <c r="AX147" i="44" s="1"/>
  <c r="J259" i="44"/>
  <c r="AX148" i="44" s="1"/>
  <c r="J260" i="44"/>
  <c r="AX149" i="44" s="1"/>
  <c r="J261" i="44"/>
  <c r="AX150" i="44" s="1"/>
  <c r="J262" i="44"/>
  <c r="AX151" i="44" s="1"/>
  <c r="J263" i="44"/>
  <c r="AX152" i="44" s="1"/>
  <c r="J264" i="44"/>
  <c r="J265" i="44"/>
  <c r="AX154" i="44" s="1"/>
  <c r="J266" i="44"/>
  <c r="AX155" i="44" s="1"/>
  <c r="J267" i="44"/>
  <c r="AX156" i="44" s="1"/>
  <c r="J268" i="44"/>
  <c r="AX157" i="44" s="1"/>
  <c r="J269" i="44"/>
  <c r="AX158" i="44" s="1"/>
  <c r="J270" i="44"/>
  <c r="AX159" i="44" s="1"/>
  <c r="J271" i="44"/>
  <c r="AX160" i="44" s="1"/>
  <c r="J272" i="44"/>
  <c r="AX161" i="44" s="1"/>
  <c r="J273" i="44"/>
  <c r="AX162" i="44" s="1"/>
  <c r="J274" i="44"/>
  <c r="AX163" i="44" s="1"/>
  <c r="J275" i="44"/>
  <c r="AX164" i="44" s="1"/>
  <c r="J276" i="44"/>
  <c r="AX165" i="44" s="1"/>
  <c r="J277" i="44"/>
  <c r="AX166" i="44" s="1"/>
  <c r="J278" i="44"/>
  <c r="AX167" i="44" s="1"/>
  <c r="J279" i="44"/>
  <c r="AX168" i="44" s="1"/>
  <c r="J280" i="44"/>
  <c r="AX169" i="44" s="1"/>
  <c r="J281" i="44"/>
  <c r="AX170" i="44" s="1"/>
  <c r="J282" i="44"/>
  <c r="AX171" i="44" s="1"/>
  <c r="J283" i="44"/>
  <c r="AX172" i="44" s="1"/>
  <c r="J284" i="44"/>
  <c r="AY142" i="44" s="1"/>
  <c r="J285" i="44"/>
  <c r="AY143" i="44" s="1"/>
  <c r="J286" i="44"/>
  <c r="AY144" i="44" s="1"/>
  <c r="J287" i="44"/>
  <c r="AY145" i="44" s="1"/>
  <c r="J288" i="44"/>
  <c r="AY146" i="44" s="1"/>
  <c r="J289" i="44"/>
  <c r="AY147" i="44" s="1"/>
  <c r="J290" i="44"/>
  <c r="AY148" i="44" s="1"/>
  <c r="J291" i="44"/>
  <c r="AY149" i="44" s="1"/>
  <c r="J292" i="44"/>
  <c r="AY150" i="44" s="1"/>
  <c r="J293" i="44"/>
  <c r="AY151" i="44" s="1"/>
  <c r="J294" i="44"/>
  <c r="AY152" i="44" s="1"/>
  <c r="J295" i="44"/>
  <c r="AY153" i="44" s="1"/>
  <c r="J296" i="44"/>
  <c r="AY154" i="44" s="1"/>
  <c r="J297" i="44"/>
  <c r="AY155" i="44" s="1"/>
  <c r="J298" i="44"/>
  <c r="AY156" i="44" s="1"/>
  <c r="J299" i="44"/>
  <c r="AY157" i="44" s="1"/>
  <c r="J300" i="44"/>
  <c r="AY158" i="44" s="1"/>
  <c r="J301" i="44"/>
  <c r="J302" i="44"/>
  <c r="AY160" i="44" s="1"/>
  <c r="J303" i="44"/>
  <c r="AY161" i="44" s="1"/>
  <c r="J304" i="44"/>
  <c r="AY162" i="44" s="1"/>
  <c r="J305" i="44"/>
  <c r="AY163" i="44" s="1"/>
  <c r="J306" i="44"/>
  <c r="AY164" i="44" s="1"/>
  <c r="J307" i="44"/>
  <c r="AY165" i="44" s="1"/>
  <c r="J308" i="44"/>
  <c r="AY166" i="44" s="1"/>
  <c r="J309" i="44"/>
  <c r="AY167" i="44" s="1"/>
  <c r="J310" i="44"/>
  <c r="AY168" i="44" s="1"/>
  <c r="J311" i="44"/>
  <c r="AY169" i="44" s="1"/>
  <c r="J312" i="44"/>
  <c r="AY170" i="44" s="1"/>
  <c r="J313" i="44"/>
  <c r="AY171" i="44" s="1"/>
  <c r="J314" i="44"/>
  <c r="AY172" i="44" s="1"/>
  <c r="J315" i="44"/>
  <c r="AZ142" i="44" s="1"/>
  <c r="J316" i="44"/>
  <c r="AZ143" i="44" s="1"/>
  <c r="J317" i="44"/>
  <c r="AZ144" i="44" s="1"/>
  <c r="J318" i="44"/>
  <c r="J319" i="44"/>
  <c r="AZ146" i="44" s="1"/>
  <c r="J320" i="44"/>
  <c r="AZ147" i="44" s="1"/>
  <c r="J321" i="44"/>
  <c r="AZ148" i="44" s="1"/>
  <c r="J322" i="44"/>
  <c r="AZ149" i="44" s="1"/>
  <c r="J323" i="44"/>
  <c r="AZ150" i="44" s="1"/>
  <c r="J324" i="44"/>
  <c r="AZ151" i="44" s="1"/>
  <c r="J325" i="44"/>
  <c r="AZ152" i="44" s="1"/>
  <c r="J326" i="44"/>
  <c r="AZ153" i="44" s="1"/>
  <c r="J327" i="44"/>
  <c r="AZ154" i="44" s="1"/>
  <c r="J328" i="44"/>
  <c r="AZ155" i="44" s="1"/>
  <c r="J329" i="44"/>
  <c r="AZ156" i="44" s="1"/>
  <c r="J330" i="44"/>
  <c r="AZ157" i="44" s="1"/>
  <c r="J331" i="44"/>
  <c r="AZ158" i="44" s="1"/>
  <c r="J332" i="44"/>
  <c r="AZ159" i="44" s="1"/>
  <c r="J333" i="44"/>
  <c r="AZ160" i="44" s="1"/>
  <c r="J334" i="44"/>
  <c r="AZ161" i="44" s="1"/>
  <c r="J335" i="44"/>
  <c r="AZ162" i="44" s="1"/>
  <c r="J336" i="44"/>
  <c r="AZ163" i="44" s="1"/>
  <c r="J337" i="44"/>
  <c r="AZ164" i="44" s="1"/>
  <c r="J338" i="44"/>
  <c r="AZ165" i="44" s="1"/>
  <c r="J339" i="44"/>
  <c r="AZ166" i="44" s="1"/>
  <c r="J340" i="44"/>
  <c r="AZ167" i="44" s="1"/>
  <c r="J341" i="44"/>
  <c r="AZ168" i="44" s="1"/>
  <c r="J342" i="44"/>
  <c r="AZ169" i="44" s="1"/>
  <c r="J343" i="44"/>
  <c r="AZ170" i="44" s="1"/>
  <c r="J344" i="44"/>
  <c r="BA142" i="44" s="1"/>
  <c r="J345" i="44"/>
  <c r="BA143" i="44" s="1"/>
  <c r="J346" i="44"/>
  <c r="BA144" i="44" s="1"/>
  <c r="J347" i="44"/>
  <c r="BA145" i="44" s="1"/>
  <c r="J348" i="44"/>
  <c r="BA146" i="44" s="1"/>
  <c r="J349" i="44"/>
  <c r="BA147" i="44" s="1"/>
  <c r="J350" i="44"/>
  <c r="BA148" i="44" s="1"/>
  <c r="J351" i="44"/>
  <c r="BA149" i="44" s="1"/>
  <c r="J352" i="44"/>
  <c r="BA150" i="44" s="1"/>
  <c r="J353" i="44"/>
  <c r="BA151" i="44" s="1"/>
  <c r="J354" i="44"/>
  <c r="BA152" i="44" s="1"/>
  <c r="J355" i="44"/>
  <c r="BA153" i="44" s="1"/>
  <c r="J356" i="44"/>
  <c r="BA154" i="44" s="1"/>
  <c r="J357" i="44"/>
  <c r="BA155" i="44" s="1"/>
  <c r="J358" i="44"/>
  <c r="BA156" i="44" s="1"/>
  <c r="J359" i="44"/>
  <c r="BA157" i="44" s="1"/>
  <c r="J360" i="44"/>
  <c r="BA158" i="44" s="1"/>
  <c r="J361" i="44"/>
  <c r="BA159" i="44" s="1"/>
  <c r="J362" i="44"/>
  <c r="BA160" i="44" s="1"/>
  <c r="J363" i="44"/>
  <c r="J364" i="44"/>
  <c r="BA162" i="44" s="1"/>
  <c r="J365" i="44"/>
  <c r="BA163" i="44" s="1"/>
  <c r="J366" i="44"/>
  <c r="BA164" i="44" s="1"/>
  <c r="J367" i="44"/>
  <c r="BA165" i="44" s="1"/>
  <c r="J368" i="44"/>
  <c r="BA166" i="44" s="1"/>
  <c r="J369" i="44"/>
  <c r="BA167" i="44" s="1"/>
  <c r="J370" i="44"/>
  <c r="BA168" i="44" s="1"/>
  <c r="J371" i="44"/>
  <c r="J372" i="44"/>
  <c r="BA170" i="44" s="1"/>
  <c r="J373" i="44"/>
  <c r="BA171" i="44" s="1"/>
  <c r="J374" i="44"/>
  <c r="BA172" i="44" s="1"/>
  <c r="AC33" i="42"/>
  <c r="AC32" i="42"/>
  <c r="AC31" i="42"/>
  <c r="AC30" i="42"/>
  <c r="AC29" i="42"/>
  <c r="AC28" i="42"/>
  <c r="AC27" i="42"/>
  <c r="AC26" i="42"/>
  <c r="R262" i="47" l="1"/>
  <c r="R106" i="47"/>
  <c r="R107" i="47" s="1"/>
  <c r="R108" i="47" s="1"/>
  <c r="R109" i="47" s="1"/>
  <c r="R110" i="47" s="1"/>
  <c r="R111" i="47" s="1"/>
  <c r="R112" i="47" s="1"/>
  <c r="R113" i="47" s="1"/>
  <c r="R114" i="47" s="1"/>
  <c r="R115" i="47" s="1"/>
  <c r="R116" i="47" s="1"/>
  <c r="R117" i="47" s="1"/>
  <c r="R118" i="47" s="1"/>
  <c r="R119" i="47" s="1"/>
  <c r="BP35" i="42"/>
  <c r="BP36" i="42" s="1"/>
  <c r="BE147" i="48"/>
  <c r="AX229" i="48"/>
  <c r="BF147" i="48"/>
  <c r="AY229" i="48"/>
  <c r="C34" i="46"/>
  <c r="X8" i="44"/>
  <c r="AC8" i="44"/>
  <c r="AA26" i="44"/>
  <c r="AC6" i="44"/>
  <c r="AC7" i="44" s="1"/>
  <c r="X14" i="44"/>
  <c r="V14" i="44"/>
  <c r="AA14" i="44"/>
  <c r="AA24" i="44" s="1"/>
  <c r="AC24" i="44" s="1"/>
  <c r="X25" i="44" s="1"/>
  <c r="W32" i="44"/>
  <c r="W14" i="44"/>
  <c r="AA31" i="44"/>
  <c r="E31" i="46"/>
  <c r="Q120" i="47"/>
  <c r="I120" i="47"/>
  <c r="O120" i="47"/>
  <c r="P120" i="47"/>
  <c r="E28" i="46"/>
  <c r="C30" i="46"/>
  <c r="D26" i="46"/>
  <c r="C28" i="46"/>
  <c r="F16" i="46"/>
  <c r="C31" i="46"/>
  <c r="F33" i="46"/>
  <c r="D20" i="46"/>
  <c r="D15" i="46"/>
  <c r="E20" i="46"/>
  <c r="F32" i="46"/>
  <c r="F29" i="46"/>
  <c r="C35" i="46"/>
  <c r="F15" i="46"/>
  <c r="F30" i="46"/>
  <c r="E16" i="46"/>
  <c r="C16" i="46"/>
  <c r="E15" i="46"/>
  <c r="D16" i="46"/>
  <c r="D11" i="46"/>
  <c r="F13" i="46"/>
  <c r="D10" i="46"/>
  <c r="E8" i="46"/>
  <c r="C11" i="46"/>
  <c r="E9" i="46"/>
  <c r="C9" i="46"/>
  <c r="C13" i="46"/>
  <c r="E7" i="46"/>
  <c r="C12" i="46"/>
  <c r="E12" i="46"/>
  <c r="E6" i="46"/>
  <c r="C10" i="46"/>
  <c r="F8" i="46"/>
  <c r="F7" i="46"/>
  <c r="BD39" i="42"/>
  <c r="F9" i="46"/>
  <c r="F14" i="46"/>
  <c r="F6" i="46"/>
  <c r="E10" i="46"/>
  <c r="D7" i="46"/>
  <c r="C8" i="46"/>
  <c r="D6" i="46"/>
  <c r="E14" i="46"/>
  <c r="F12" i="46"/>
  <c r="E11" i="46"/>
  <c r="D12" i="46"/>
  <c r="D8" i="46"/>
  <c r="C15" i="46"/>
  <c r="E13" i="46"/>
  <c r="C14" i="46"/>
  <c r="D14" i="46"/>
  <c r="F10" i="46"/>
  <c r="C7" i="46"/>
  <c r="D9" i="46"/>
  <c r="C6" i="46"/>
  <c r="D13" i="46"/>
  <c r="F11" i="46"/>
  <c r="C21" i="46"/>
  <c r="D34" i="46"/>
  <c r="AQ231" i="44"/>
  <c r="BB231" i="44" s="1"/>
  <c r="AQ159" i="44"/>
  <c r="AQ156" i="44"/>
  <c r="D27" i="46"/>
  <c r="D33" i="46"/>
  <c r="C32" i="46"/>
  <c r="AQ225" i="44"/>
  <c r="BB225" i="44" s="1"/>
  <c r="AZ145" i="44"/>
  <c r="BB145" i="44" s="1"/>
  <c r="BA220" i="44"/>
  <c r="AY159" i="44"/>
  <c r="AY173" i="44" s="1"/>
  <c r="AY230" i="44"/>
  <c r="BB230" i="44" s="1"/>
  <c r="AU149" i="44"/>
  <c r="AU173" i="44" s="1"/>
  <c r="AU220" i="44"/>
  <c r="AR146" i="44"/>
  <c r="BB146" i="44" s="1"/>
  <c r="AR217" i="44"/>
  <c r="BB217" i="44" s="1"/>
  <c r="AU224" i="44"/>
  <c r="AT153" i="44"/>
  <c r="AT173" i="44" s="1"/>
  <c r="J9" i="45"/>
  <c r="F23" i="46"/>
  <c r="E29" i="46"/>
  <c r="F26" i="46"/>
  <c r="D23" i="46"/>
  <c r="D21" i="46"/>
  <c r="F24" i="46"/>
  <c r="E26" i="46"/>
  <c r="F27" i="46"/>
  <c r="F35" i="46"/>
  <c r="F20" i="46"/>
  <c r="D28" i="46"/>
  <c r="F17" i="46"/>
  <c r="D29" i="46"/>
  <c r="C18" i="46"/>
  <c r="D35" i="46"/>
  <c r="C24" i="46"/>
  <c r="E30" i="46"/>
  <c r="C23" i="46"/>
  <c r="F34" i="46"/>
  <c r="D22" i="46"/>
  <c r="E27" i="46"/>
  <c r="F31" i="46"/>
  <c r="C33" i="46"/>
  <c r="D30" i="46"/>
  <c r="C26" i="46"/>
  <c r="F21" i="46"/>
  <c r="F18" i="46"/>
  <c r="E23" i="46"/>
  <c r="E33" i="46"/>
  <c r="E25" i="46"/>
  <c r="C29" i="46"/>
  <c r="C22" i="46"/>
  <c r="E17" i="46"/>
  <c r="E34" i="46"/>
  <c r="F25" i="46"/>
  <c r="E21" i="46"/>
  <c r="C25" i="46"/>
  <c r="C20" i="46"/>
  <c r="D25" i="46"/>
  <c r="C17" i="46"/>
  <c r="D17" i="46"/>
  <c r="E22" i="46"/>
  <c r="E32" i="46"/>
  <c r="E24" i="46"/>
  <c r="E35" i="46"/>
  <c r="F22" i="46"/>
  <c r="E19" i="46"/>
  <c r="C19" i="46"/>
  <c r="D18" i="46"/>
  <c r="F19" i="46"/>
  <c r="D19" i="46"/>
  <c r="D32" i="46"/>
  <c r="F28" i="46"/>
  <c r="D31" i="46"/>
  <c r="E18" i="46"/>
  <c r="D24" i="46"/>
  <c r="C27" i="46"/>
  <c r="BA241" i="44"/>
  <c r="BA169" i="44"/>
  <c r="BA237" i="44"/>
  <c r="BA161" i="44"/>
  <c r="AY213" i="44"/>
  <c r="AP142" i="44"/>
  <c r="BB142" i="44" s="1"/>
  <c r="AW168" i="44"/>
  <c r="AR151" i="44"/>
  <c r="BB151" i="44" s="1"/>
  <c r="AX153" i="44"/>
  <c r="AX173" i="44" s="1"/>
  <c r="AR156" i="44"/>
  <c r="AR227" i="44"/>
  <c r="BB227" i="44" s="1"/>
  <c r="AR222" i="44"/>
  <c r="AP213" i="44"/>
  <c r="BB243" i="44"/>
  <c r="BA214" i="44"/>
  <c r="BB214" i="44" s="1"/>
  <c r="AX213" i="44"/>
  <c r="AX244" i="44" s="1"/>
  <c r="AW244" i="44"/>
  <c r="AT244" i="44"/>
  <c r="AQ213" i="44"/>
  <c r="BB239" i="44"/>
  <c r="BB235" i="44"/>
  <c r="BB233" i="44"/>
  <c r="BB229" i="44"/>
  <c r="BB223" i="44"/>
  <c r="BB221" i="44"/>
  <c r="BB219" i="44"/>
  <c r="BB215" i="44"/>
  <c r="BA213" i="44"/>
  <c r="AZ244" i="44"/>
  <c r="AS213" i="44"/>
  <c r="AS244" i="44" s="1"/>
  <c r="BB240" i="44"/>
  <c r="BB238" i="44"/>
  <c r="BB236" i="44"/>
  <c r="BB234" i="44"/>
  <c r="BB232" i="44"/>
  <c r="BB228" i="44"/>
  <c r="BB226" i="44"/>
  <c r="BB218" i="44"/>
  <c r="BB216" i="44"/>
  <c r="AV213" i="44"/>
  <c r="AV244" i="44" s="1"/>
  <c r="AV173" i="44"/>
  <c r="AS173" i="44"/>
  <c r="BB171" i="44"/>
  <c r="BB167" i="44"/>
  <c r="BB165" i="44"/>
  <c r="BB163" i="44"/>
  <c r="BB157" i="44"/>
  <c r="BB155" i="44"/>
  <c r="BB147" i="44"/>
  <c r="BB143" i="44"/>
  <c r="BB172" i="44"/>
  <c r="BB170" i="44"/>
  <c r="BB166" i="44"/>
  <c r="BB164" i="44"/>
  <c r="BB162" i="44"/>
  <c r="BB160" i="44"/>
  <c r="BB158" i="44"/>
  <c r="BB154" i="44"/>
  <c r="BB152" i="44"/>
  <c r="BB150" i="44"/>
  <c r="BB148" i="44"/>
  <c r="BB144" i="44"/>
  <c r="L375" i="44"/>
  <c r="K10" i="44"/>
  <c r="AP177" i="44" s="1"/>
  <c r="AZ135" i="44"/>
  <c r="AZ101" i="44"/>
  <c r="AZ65" i="44"/>
  <c r="AZ31" i="44"/>
  <c r="BB220" i="44" l="1"/>
  <c r="BP37" i="42"/>
  <c r="BP38" i="42" s="1"/>
  <c r="BP39" i="42" s="1"/>
  <c r="BP40" i="42" s="1"/>
  <c r="BP41" i="42" s="1"/>
  <c r="BP42" i="42" s="1"/>
  <c r="BP43" i="42" s="1"/>
  <c r="BP44" i="42" s="1"/>
  <c r="BP45" i="42" s="1"/>
  <c r="BP46" i="42" s="1"/>
  <c r="BP47" i="42" s="1"/>
  <c r="BP48" i="42" s="1"/>
  <c r="BP49" i="42" s="1"/>
  <c r="BP50" i="42" s="1"/>
  <c r="BP51" i="42" s="1"/>
  <c r="BP52" i="42" s="1"/>
  <c r="BP53" i="42" s="1"/>
  <c r="BP54" i="42" s="1"/>
  <c r="BP55" i="42" s="1"/>
  <c r="BP56" i="42" s="1"/>
  <c r="BP57" i="42" s="1"/>
  <c r="BP58" i="42" s="1"/>
  <c r="BP59" i="42" s="1"/>
  <c r="AY250" i="48"/>
  <c r="BF148" i="48"/>
  <c r="AX250" i="48"/>
  <c r="BE148" i="48"/>
  <c r="AQ173" i="44"/>
  <c r="R120" i="47"/>
  <c r="F36" i="46"/>
  <c r="BD40" i="42"/>
  <c r="AU244" i="44"/>
  <c r="BB159" i="44"/>
  <c r="AQ244" i="44"/>
  <c r="J21" i="45"/>
  <c r="BB156" i="44"/>
  <c r="J20" i="45"/>
  <c r="P20" i="45" s="1"/>
  <c r="AZ173" i="44"/>
  <c r="BB149" i="44"/>
  <c r="AR244" i="44"/>
  <c r="J18" i="45"/>
  <c r="P18" i="45" s="1"/>
  <c r="AY244" i="44"/>
  <c r="J16" i="45"/>
  <c r="P16" i="45" s="1"/>
  <c r="J13" i="45"/>
  <c r="P13" i="45" s="1"/>
  <c r="BB224" i="44"/>
  <c r="J11" i="45"/>
  <c r="P11" i="45" s="1"/>
  <c r="P9" i="45"/>
  <c r="BB237" i="44"/>
  <c r="BB241" i="44"/>
  <c r="BB161" i="44"/>
  <c r="BB169" i="44"/>
  <c r="BA173" i="44"/>
  <c r="J14" i="45"/>
  <c r="J15" i="45"/>
  <c r="AW173" i="44"/>
  <c r="AP173" i="44"/>
  <c r="AR173" i="44"/>
  <c r="BB222" i="44"/>
  <c r="BB168" i="44"/>
  <c r="BB153" i="44"/>
  <c r="J12" i="45"/>
  <c r="G22" i="45"/>
  <c r="J10" i="45"/>
  <c r="P10" i="45" s="1"/>
  <c r="J17" i="45"/>
  <c r="J19" i="45"/>
  <c r="M22" i="45"/>
  <c r="BB213" i="44"/>
  <c r="BB242" i="44"/>
  <c r="AP244" i="44"/>
  <c r="BA244" i="44"/>
  <c r="M343" i="44"/>
  <c r="AZ275" i="44" s="1"/>
  <c r="M344" i="44"/>
  <c r="BA247" i="44" s="1"/>
  <c r="M345" i="44"/>
  <c r="BA248" i="44" s="1"/>
  <c r="M346" i="44"/>
  <c r="BA249" i="44" s="1"/>
  <c r="M347" i="44"/>
  <c r="BA250" i="44" s="1"/>
  <c r="M348" i="44"/>
  <c r="BA251" i="44" s="1"/>
  <c r="M349" i="44"/>
  <c r="BA252" i="44" s="1"/>
  <c r="M350" i="44"/>
  <c r="BA253" i="44" s="1"/>
  <c r="M351" i="44"/>
  <c r="M352" i="44"/>
  <c r="BA255" i="44" s="1"/>
  <c r="M353" i="44"/>
  <c r="BA256" i="44" s="1"/>
  <c r="M354" i="44"/>
  <c r="BA257" i="44" s="1"/>
  <c r="M355" i="44"/>
  <c r="BA258" i="44" s="1"/>
  <c r="M356" i="44"/>
  <c r="BA259" i="44" s="1"/>
  <c r="M357" i="44"/>
  <c r="BA260" i="44" s="1"/>
  <c r="M358" i="44"/>
  <c r="BA261" i="44" s="1"/>
  <c r="M359" i="44"/>
  <c r="BA262" i="44" s="1"/>
  <c r="M360" i="44"/>
  <c r="BA263" i="44" s="1"/>
  <c r="M361" i="44"/>
  <c r="BA264" i="44" s="1"/>
  <c r="M362" i="44"/>
  <c r="BA265" i="44" s="1"/>
  <c r="M363" i="44"/>
  <c r="BA266" i="44" s="1"/>
  <c r="M364" i="44"/>
  <c r="BA267" i="44" s="1"/>
  <c r="M365" i="44"/>
  <c r="BA268" i="44" s="1"/>
  <c r="M366" i="44"/>
  <c r="BA269" i="44" s="1"/>
  <c r="M367" i="44"/>
  <c r="BA270" i="44" s="1"/>
  <c r="M368" i="44"/>
  <c r="M369" i="44"/>
  <c r="BA272" i="44" s="1"/>
  <c r="M370" i="44"/>
  <c r="BA273" i="44" s="1"/>
  <c r="M371" i="44"/>
  <c r="BA274" i="44" s="1"/>
  <c r="M372" i="44"/>
  <c r="M373" i="44"/>
  <c r="BA276" i="44" s="1"/>
  <c r="M374" i="44"/>
  <c r="BA277" i="44" s="1"/>
  <c r="K343" i="44"/>
  <c r="AZ204" i="44" s="1"/>
  <c r="K344" i="44"/>
  <c r="BA176" i="44" s="1"/>
  <c r="K345" i="44"/>
  <c r="BA177" i="44" s="1"/>
  <c r="K346" i="44"/>
  <c r="BA178" i="44" s="1"/>
  <c r="K347" i="44"/>
  <c r="BA179" i="44" s="1"/>
  <c r="K348" i="44"/>
  <c r="BA180" i="44" s="1"/>
  <c r="K349" i="44"/>
  <c r="BA181" i="44" s="1"/>
  <c r="K350" i="44"/>
  <c r="BA182" i="44" s="1"/>
  <c r="K351" i="44"/>
  <c r="BA183" i="44" s="1"/>
  <c r="K352" i="44"/>
  <c r="BA184" i="44" s="1"/>
  <c r="K353" i="44"/>
  <c r="BA185" i="44" s="1"/>
  <c r="K354" i="44"/>
  <c r="BA186" i="44" s="1"/>
  <c r="K355" i="44"/>
  <c r="BA187" i="44" s="1"/>
  <c r="K356" i="44"/>
  <c r="BA188" i="44" s="1"/>
  <c r="K357" i="44"/>
  <c r="BA189" i="44" s="1"/>
  <c r="K358" i="44"/>
  <c r="BA190" i="44" s="1"/>
  <c r="K359" i="44"/>
  <c r="BA191" i="44" s="1"/>
  <c r="K360" i="44"/>
  <c r="BA192" i="44" s="1"/>
  <c r="K361" i="44"/>
  <c r="BA193" i="44" s="1"/>
  <c r="K362" i="44"/>
  <c r="BA194" i="44" s="1"/>
  <c r="K363" i="44"/>
  <c r="K364" i="44"/>
  <c r="BA196" i="44" s="1"/>
  <c r="K365" i="44"/>
  <c r="BA197" i="44" s="1"/>
  <c r="K366" i="44"/>
  <c r="BA198" i="44" s="1"/>
  <c r="K367" i="44"/>
  <c r="BA199" i="44" s="1"/>
  <c r="K368" i="44"/>
  <c r="BA200" i="44" s="1"/>
  <c r="K369" i="44"/>
  <c r="BA201" i="44" s="1"/>
  <c r="K370" i="44"/>
  <c r="BA202" i="44" s="1"/>
  <c r="K371" i="44"/>
  <c r="K372" i="44"/>
  <c r="BA204" i="44" s="1"/>
  <c r="K373" i="44"/>
  <c r="BA205" i="44" s="1"/>
  <c r="K374" i="44"/>
  <c r="BA206" i="44" s="1"/>
  <c r="AP108" i="44"/>
  <c r="AP109" i="44"/>
  <c r="AP110" i="44"/>
  <c r="AP111" i="44"/>
  <c r="AP112" i="44"/>
  <c r="AP113" i="44"/>
  <c r="AP114" i="44"/>
  <c r="AP115" i="44"/>
  <c r="AP116" i="44"/>
  <c r="AP117" i="44"/>
  <c r="AP118" i="44"/>
  <c r="AP119" i="44"/>
  <c r="AP120" i="44"/>
  <c r="AP121" i="44"/>
  <c r="AP122" i="44"/>
  <c r="AP123" i="44"/>
  <c r="AP124" i="44"/>
  <c r="AP125" i="44"/>
  <c r="AP126" i="44"/>
  <c r="AP127" i="44"/>
  <c r="AP128" i="44"/>
  <c r="AP129" i="44"/>
  <c r="AP130" i="44"/>
  <c r="AP131" i="44"/>
  <c r="AP132" i="44"/>
  <c r="AP133" i="44"/>
  <c r="AP134" i="44"/>
  <c r="AP135" i="44"/>
  <c r="AP136" i="44"/>
  <c r="AQ107" i="44"/>
  <c r="AQ108" i="44"/>
  <c r="AQ109" i="44"/>
  <c r="AQ110" i="44"/>
  <c r="AQ111" i="44"/>
  <c r="AQ112" i="44"/>
  <c r="AQ113" i="44"/>
  <c r="AQ114" i="44"/>
  <c r="AQ115" i="44"/>
  <c r="AQ116" i="44"/>
  <c r="AQ117" i="44"/>
  <c r="AQ118" i="44"/>
  <c r="AQ119" i="44"/>
  <c r="AQ120" i="44"/>
  <c r="AQ121" i="44"/>
  <c r="AQ122" i="44"/>
  <c r="AQ123" i="44"/>
  <c r="AQ124" i="44"/>
  <c r="AQ125" i="44"/>
  <c r="AQ126" i="44"/>
  <c r="AQ127" i="44"/>
  <c r="AQ128" i="44"/>
  <c r="AQ129" i="44"/>
  <c r="AQ130" i="44"/>
  <c r="AQ131" i="44"/>
  <c r="AQ132" i="44"/>
  <c r="AQ133" i="44"/>
  <c r="AQ134" i="44"/>
  <c r="AQ135" i="44"/>
  <c r="AQ136" i="44"/>
  <c r="AQ137" i="44"/>
  <c r="AR107" i="44"/>
  <c r="AR108" i="44"/>
  <c r="AR109" i="44"/>
  <c r="AR110" i="44"/>
  <c r="AR111" i="44"/>
  <c r="AR112" i="44"/>
  <c r="AR113" i="44"/>
  <c r="AR114" i="44"/>
  <c r="AR115" i="44"/>
  <c r="AR116" i="44"/>
  <c r="AR117" i="44"/>
  <c r="AR118" i="44"/>
  <c r="AR119" i="44"/>
  <c r="AR120" i="44"/>
  <c r="AR121" i="44"/>
  <c r="AR122" i="44"/>
  <c r="AR123" i="44"/>
  <c r="AR124" i="44"/>
  <c r="AR125" i="44"/>
  <c r="AR126" i="44"/>
  <c r="AR127" i="44"/>
  <c r="AR128" i="44"/>
  <c r="AR129" i="44"/>
  <c r="AR130" i="44"/>
  <c r="AR131" i="44"/>
  <c r="AR132" i="44"/>
  <c r="AR133" i="44"/>
  <c r="AR134" i="44"/>
  <c r="AR135" i="44"/>
  <c r="AR136" i="44"/>
  <c r="AS107" i="44"/>
  <c r="AS108" i="44"/>
  <c r="AS109" i="44"/>
  <c r="AS110" i="44"/>
  <c r="AS111" i="44"/>
  <c r="AS112" i="44"/>
  <c r="AS113" i="44"/>
  <c r="AS114" i="44"/>
  <c r="AS115" i="44"/>
  <c r="AS116" i="44"/>
  <c r="AS117" i="44"/>
  <c r="AS118" i="44"/>
  <c r="AS119" i="44"/>
  <c r="AS120" i="44"/>
  <c r="AS121" i="44"/>
  <c r="AS122" i="44"/>
  <c r="AS123" i="44"/>
  <c r="AS124" i="44"/>
  <c r="AS125" i="44"/>
  <c r="AS126" i="44"/>
  <c r="AS127" i="44"/>
  <c r="AS128" i="44"/>
  <c r="AS129" i="44"/>
  <c r="AS130" i="44"/>
  <c r="AS131" i="44"/>
  <c r="AS132" i="44"/>
  <c r="AS133" i="44"/>
  <c r="AS134" i="44"/>
  <c r="AS135" i="44"/>
  <c r="AS136" i="44"/>
  <c r="AS137" i="44"/>
  <c r="AT107" i="44"/>
  <c r="AT108" i="44"/>
  <c r="AT109" i="44"/>
  <c r="AT110" i="44"/>
  <c r="AT111" i="44"/>
  <c r="AT112" i="44"/>
  <c r="AT113" i="44"/>
  <c r="AT114" i="44"/>
  <c r="AT115" i="44"/>
  <c r="AT116" i="44"/>
  <c r="AT117" i="44"/>
  <c r="AT118" i="44"/>
  <c r="AT119" i="44"/>
  <c r="AT120" i="44"/>
  <c r="AT121" i="44"/>
  <c r="AT122" i="44"/>
  <c r="AT123" i="44"/>
  <c r="AT124" i="44"/>
  <c r="AT125" i="44"/>
  <c r="AT126" i="44"/>
  <c r="AT127" i="44"/>
  <c r="AT128" i="44"/>
  <c r="AT129" i="44"/>
  <c r="AT130" i="44"/>
  <c r="AT131" i="44"/>
  <c r="AT132" i="44"/>
  <c r="AT133" i="44"/>
  <c r="AT134" i="44"/>
  <c r="AT135" i="44"/>
  <c r="AT136" i="44"/>
  <c r="AT137" i="44"/>
  <c r="AU107" i="44"/>
  <c r="AU108" i="44"/>
  <c r="AU109" i="44"/>
  <c r="AU110" i="44"/>
  <c r="AU111" i="44"/>
  <c r="AU112" i="44"/>
  <c r="AU113" i="44"/>
  <c r="AU114" i="44"/>
  <c r="AU115" i="44"/>
  <c r="AU116" i="44"/>
  <c r="AU117" i="44"/>
  <c r="AU118" i="44"/>
  <c r="AU119" i="44"/>
  <c r="AU120" i="44"/>
  <c r="AU121" i="44"/>
  <c r="AU122" i="44"/>
  <c r="AU123" i="44"/>
  <c r="AU124" i="44"/>
  <c r="AU125" i="44"/>
  <c r="AU126" i="44"/>
  <c r="AU127" i="44"/>
  <c r="AU128" i="44"/>
  <c r="AU129" i="44"/>
  <c r="AU130" i="44"/>
  <c r="AU131" i="44"/>
  <c r="AU132" i="44"/>
  <c r="AU133" i="44"/>
  <c r="AU134" i="44"/>
  <c r="AU135" i="44"/>
  <c r="AU136" i="44"/>
  <c r="AV107" i="44"/>
  <c r="AV108" i="44"/>
  <c r="AV109" i="44"/>
  <c r="AV110" i="44"/>
  <c r="AV111" i="44"/>
  <c r="AV112" i="44"/>
  <c r="AV113" i="44"/>
  <c r="AV114" i="44"/>
  <c r="AV115" i="44"/>
  <c r="AV116" i="44"/>
  <c r="AV117" i="44"/>
  <c r="AV118" i="44"/>
  <c r="AV119" i="44"/>
  <c r="AV120" i="44"/>
  <c r="AV121" i="44"/>
  <c r="AV122" i="44"/>
  <c r="AV123" i="44"/>
  <c r="AV124" i="44"/>
  <c r="AV125" i="44"/>
  <c r="AV126" i="44"/>
  <c r="AV127" i="44"/>
  <c r="AV128" i="44"/>
  <c r="AV129" i="44"/>
  <c r="AV130" i="44"/>
  <c r="AV131" i="44"/>
  <c r="AV132" i="44"/>
  <c r="AV133" i="44"/>
  <c r="AV134" i="44"/>
  <c r="AV135" i="44"/>
  <c r="AV136" i="44"/>
  <c r="AV137" i="44"/>
  <c r="AW107" i="44"/>
  <c r="AW108" i="44"/>
  <c r="AW109" i="44"/>
  <c r="AW110" i="44"/>
  <c r="AW111" i="44"/>
  <c r="AW112" i="44"/>
  <c r="AW113" i="44"/>
  <c r="AW114" i="44"/>
  <c r="AW115" i="44"/>
  <c r="AW116" i="44"/>
  <c r="AW117" i="44"/>
  <c r="AW118" i="44"/>
  <c r="AW119" i="44"/>
  <c r="AW120" i="44"/>
  <c r="AW121" i="44"/>
  <c r="AW122" i="44"/>
  <c r="AW123" i="44"/>
  <c r="AW124" i="44"/>
  <c r="AW125" i="44"/>
  <c r="AW126" i="44"/>
  <c r="AW127" i="44"/>
  <c r="AW128" i="44"/>
  <c r="AW129" i="44"/>
  <c r="AW130" i="44"/>
  <c r="AW131" i="44"/>
  <c r="AW132" i="44"/>
  <c r="AW133" i="44"/>
  <c r="AW134" i="44"/>
  <c r="AW135" i="44"/>
  <c r="AW136" i="44"/>
  <c r="AX107" i="44"/>
  <c r="AX108" i="44"/>
  <c r="AX109" i="44"/>
  <c r="AX110" i="44"/>
  <c r="AX111" i="44"/>
  <c r="AX112" i="44"/>
  <c r="AX113" i="44"/>
  <c r="AX114" i="44"/>
  <c r="AX115" i="44"/>
  <c r="AX116" i="44"/>
  <c r="AX117" i="44"/>
  <c r="AX118" i="44"/>
  <c r="AX119" i="44"/>
  <c r="AX120" i="44"/>
  <c r="AX121" i="44"/>
  <c r="AX122" i="44"/>
  <c r="AX123" i="44"/>
  <c r="AX124" i="44"/>
  <c r="AX125" i="44"/>
  <c r="AX126" i="44"/>
  <c r="AX127" i="44"/>
  <c r="AX128" i="44"/>
  <c r="AX129" i="44"/>
  <c r="AX130" i="44"/>
  <c r="AX131" i="44"/>
  <c r="AX132" i="44"/>
  <c r="AX133" i="44"/>
  <c r="AX134" i="44"/>
  <c r="AX135" i="44"/>
  <c r="AX136" i="44"/>
  <c r="AX137" i="44"/>
  <c r="AY107" i="44"/>
  <c r="AY108" i="44"/>
  <c r="AY109" i="44"/>
  <c r="AY110" i="44"/>
  <c r="AY111" i="44"/>
  <c r="AY112" i="44"/>
  <c r="AY113" i="44"/>
  <c r="AY114" i="44"/>
  <c r="AY115" i="44"/>
  <c r="AY116" i="44"/>
  <c r="AY117" i="44"/>
  <c r="AY118" i="44"/>
  <c r="AY119" i="44"/>
  <c r="AY120" i="44"/>
  <c r="AY121" i="44"/>
  <c r="AY122" i="44"/>
  <c r="AY123" i="44"/>
  <c r="AY124" i="44"/>
  <c r="AY125" i="44"/>
  <c r="AY126" i="44"/>
  <c r="AY127" i="44"/>
  <c r="AY128" i="44"/>
  <c r="AY129" i="44"/>
  <c r="AY130" i="44"/>
  <c r="AY131" i="44"/>
  <c r="AY132" i="44"/>
  <c r="AY133" i="44"/>
  <c r="AY134" i="44"/>
  <c r="AY135" i="44"/>
  <c r="AY136" i="44"/>
  <c r="AY137" i="44"/>
  <c r="AZ107" i="44"/>
  <c r="AZ108" i="44"/>
  <c r="AZ109" i="44"/>
  <c r="AZ110" i="44"/>
  <c r="AZ111" i="44"/>
  <c r="AZ112" i="44"/>
  <c r="AZ113" i="44"/>
  <c r="AZ114" i="44"/>
  <c r="AZ115" i="44"/>
  <c r="AZ116" i="44"/>
  <c r="AZ117" i="44"/>
  <c r="AZ118" i="44"/>
  <c r="AZ119" i="44"/>
  <c r="AZ120" i="44"/>
  <c r="AZ121" i="44"/>
  <c r="AZ122" i="44"/>
  <c r="AZ123" i="44"/>
  <c r="AZ124" i="44"/>
  <c r="AZ125" i="44"/>
  <c r="AZ126" i="44"/>
  <c r="AZ127" i="44"/>
  <c r="AZ128" i="44"/>
  <c r="AZ129" i="44"/>
  <c r="AZ130" i="44"/>
  <c r="AZ131" i="44"/>
  <c r="AZ132" i="44"/>
  <c r="AZ133" i="44"/>
  <c r="AZ134" i="44"/>
  <c r="BA107" i="44"/>
  <c r="BA108" i="44"/>
  <c r="BA109" i="44"/>
  <c r="BA110" i="44"/>
  <c r="BA111" i="44"/>
  <c r="BA112" i="44"/>
  <c r="BA113" i="44"/>
  <c r="BA114" i="44"/>
  <c r="BA115" i="44"/>
  <c r="BA116" i="44"/>
  <c r="BA117" i="44"/>
  <c r="BA118" i="44"/>
  <c r="BA119" i="44"/>
  <c r="BA120" i="44"/>
  <c r="BA121" i="44"/>
  <c r="BA122" i="44"/>
  <c r="BA123" i="44"/>
  <c r="BA124" i="44"/>
  <c r="BA125" i="44"/>
  <c r="BA126" i="44"/>
  <c r="BA127" i="44"/>
  <c r="BA128" i="44"/>
  <c r="BA129" i="44"/>
  <c r="BA130" i="44"/>
  <c r="BA131" i="44"/>
  <c r="BA132" i="44"/>
  <c r="BA133" i="44"/>
  <c r="BA134" i="44"/>
  <c r="BA135" i="44"/>
  <c r="BA136" i="44"/>
  <c r="BA137" i="44"/>
  <c r="AP74" i="44"/>
  <c r="AP75" i="44"/>
  <c r="AP76" i="44"/>
  <c r="AP77" i="44"/>
  <c r="AP78" i="44"/>
  <c r="AP79" i="44"/>
  <c r="AP80" i="44"/>
  <c r="AP81" i="44"/>
  <c r="AP82" i="44"/>
  <c r="AP83" i="44"/>
  <c r="AP84" i="44"/>
  <c r="AP85" i="44"/>
  <c r="AP86" i="44"/>
  <c r="AP87" i="44"/>
  <c r="AP88" i="44"/>
  <c r="AP89" i="44"/>
  <c r="AP90" i="44"/>
  <c r="AP91" i="44"/>
  <c r="AP92" i="44"/>
  <c r="AP93" i="44"/>
  <c r="AP94" i="44"/>
  <c r="AP95" i="44"/>
  <c r="AP96" i="44"/>
  <c r="AP97" i="44"/>
  <c r="AP98" i="44"/>
  <c r="AP99" i="44"/>
  <c r="AP100" i="44"/>
  <c r="AP101" i="44"/>
  <c r="AP102" i="44"/>
  <c r="AQ73" i="44"/>
  <c r="AQ74" i="44"/>
  <c r="AQ75" i="44"/>
  <c r="AQ76" i="44"/>
  <c r="AQ77" i="44"/>
  <c r="AQ78" i="44"/>
  <c r="AQ79" i="44"/>
  <c r="AQ80" i="44"/>
  <c r="AQ81" i="44"/>
  <c r="AQ82" i="44"/>
  <c r="AQ83" i="44"/>
  <c r="AQ84" i="44"/>
  <c r="AQ85" i="44"/>
  <c r="AQ86" i="44"/>
  <c r="AQ87" i="44"/>
  <c r="AQ88" i="44"/>
  <c r="AQ89" i="44"/>
  <c r="AQ90" i="44"/>
  <c r="AQ91" i="44"/>
  <c r="AQ92" i="44"/>
  <c r="AQ93" i="44"/>
  <c r="AQ94" i="44"/>
  <c r="AQ95" i="44"/>
  <c r="AQ96" i="44"/>
  <c r="AQ97" i="44"/>
  <c r="AQ98" i="44"/>
  <c r="AQ99" i="44"/>
  <c r="AQ100" i="44"/>
  <c r="AQ101" i="44"/>
  <c r="AQ102" i="44"/>
  <c r="AQ103" i="44"/>
  <c r="AR73" i="44"/>
  <c r="AR74" i="44"/>
  <c r="AR75" i="44"/>
  <c r="AR76" i="44"/>
  <c r="AR77" i="44"/>
  <c r="AR78" i="44"/>
  <c r="AR79" i="44"/>
  <c r="AR80" i="44"/>
  <c r="AR81" i="44"/>
  <c r="AR82" i="44"/>
  <c r="AR83" i="44"/>
  <c r="AR84" i="44"/>
  <c r="AR85" i="44"/>
  <c r="AR86" i="44"/>
  <c r="AR87" i="44"/>
  <c r="AR88" i="44"/>
  <c r="AR89" i="44"/>
  <c r="AR90" i="44"/>
  <c r="AR91" i="44"/>
  <c r="AR92" i="44"/>
  <c r="AR93" i="44"/>
  <c r="AR94" i="44"/>
  <c r="AR95" i="44"/>
  <c r="AR96" i="44"/>
  <c r="AR97" i="44"/>
  <c r="AR98" i="44"/>
  <c r="AR99" i="44"/>
  <c r="AR100" i="44"/>
  <c r="AR101" i="44"/>
  <c r="AR102" i="44"/>
  <c r="AS73" i="44"/>
  <c r="AS74" i="44"/>
  <c r="AS75" i="44"/>
  <c r="AS76" i="44"/>
  <c r="AS77" i="44"/>
  <c r="AS78" i="44"/>
  <c r="AS79" i="44"/>
  <c r="AS80" i="44"/>
  <c r="AS81" i="44"/>
  <c r="AS82" i="44"/>
  <c r="AS83" i="44"/>
  <c r="AS84" i="44"/>
  <c r="AS85" i="44"/>
  <c r="AS86" i="44"/>
  <c r="AS87" i="44"/>
  <c r="AS88" i="44"/>
  <c r="AS89" i="44"/>
  <c r="AS90" i="44"/>
  <c r="AS91" i="44"/>
  <c r="AS92" i="44"/>
  <c r="AS93" i="44"/>
  <c r="AS94" i="44"/>
  <c r="AS95" i="44"/>
  <c r="AS96" i="44"/>
  <c r="AS97" i="44"/>
  <c r="AS98" i="44"/>
  <c r="AS99" i="44"/>
  <c r="AS100" i="44"/>
  <c r="AS101" i="44"/>
  <c r="AS102" i="44"/>
  <c r="AS103" i="44"/>
  <c r="AT73" i="44"/>
  <c r="AT74" i="44"/>
  <c r="AT75" i="44"/>
  <c r="AT76" i="44"/>
  <c r="AT77" i="44"/>
  <c r="AT78" i="44"/>
  <c r="AT79" i="44"/>
  <c r="AT80" i="44"/>
  <c r="AT81" i="44"/>
  <c r="AT82" i="44"/>
  <c r="AT83" i="44"/>
  <c r="AT84" i="44"/>
  <c r="AT85" i="44"/>
  <c r="AT86" i="44"/>
  <c r="AT87" i="44"/>
  <c r="AT88" i="44"/>
  <c r="AT89" i="44"/>
  <c r="AT90" i="44"/>
  <c r="AT91" i="44"/>
  <c r="AT92" i="44"/>
  <c r="AT93" i="44"/>
  <c r="AT94" i="44"/>
  <c r="AT95" i="44"/>
  <c r="AT96" i="44"/>
  <c r="AT97" i="44"/>
  <c r="AT98" i="44"/>
  <c r="AT99" i="44"/>
  <c r="AT100" i="44"/>
  <c r="AT101" i="44"/>
  <c r="AT102" i="44"/>
  <c r="AT103" i="44"/>
  <c r="AU73" i="44"/>
  <c r="AU74" i="44"/>
  <c r="AU75" i="44"/>
  <c r="AU76" i="44"/>
  <c r="AU77" i="44"/>
  <c r="AU78" i="44"/>
  <c r="AU79" i="44"/>
  <c r="AU80" i="44"/>
  <c r="AU81" i="44"/>
  <c r="AU82" i="44"/>
  <c r="AU83" i="44"/>
  <c r="AU84" i="44"/>
  <c r="AU85" i="44"/>
  <c r="AU86" i="44"/>
  <c r="AU87" i="44"/>
  <c r="AU88" i="44"/>
  <c r="AU89" i="44"/>
  <c r="AU90" i="44"/>
  <c r="AU91" i="44"/>
  <c r="AU92" i="44"/>
  <c r="AU93" i="44"/>
  <c r="AU94" i="44"/>
  <c r="AU95" i="44"/>
  <c r="AU96" i="44"/>
  <c r="AU97" i="44"/>
  <c r="AU98" i="44"/>
  <c r="AU99" i="44"/>
  <c r="AU100" i="44"/>
  <c r="AU101" i="44"/>
  <c r="AU102" i="44"/>
  <c r="AV73" i="44"/>
  <c r="AV74" i="44"/>
  <c r="AV75" i="44"/>
  <c r="AV76" i="44"/>
  <c r="AV77" i="44"/>
  <c r="AV78" i="44"/>
  <c r="AV79" i="44"/>
  <c r="AV80" i="44"/>
  <c r="AV81" i="44"/>
  <c r="AV82" i="44"/>
  <c r="AV83" i="44"/>
  <c r="AV84" i="44"/>
  <c r="AV85" i="44"/>
  <c r="AV86" i="44"/>
  <c r="AV87" i="44"/>
  <c r="AV88" i="44"/>
  <c r="AV89" i="44"/>
  <c r="AV90" i="44"/>
  <c r="AV91" i="44"/>
  <c r="AV92" i="44"/>
  <c r="AV93" i="44"/>
  <c r="AV94" i="44"/>
  <c r="AV95" i="44"/>
  <c r="AV96" i="44"/>
  <c r="AV97" i="44"/>
  <c r="AV98" i="44"/>
  <c r="AV99" i="44"/>
  <c r="AV100" i="44"/>
  <c r="AV101" i="44"/>
  <c r="AV102" i="44"/>
  <c r="AV103" i="44"/>
  <c r="AW73" i="44"/>
  <c r="AW74" i="44"/>
  <c r="AW75" i="44"/>
  <c r="AW76" i="44"/>
  <c r="AW77" i="44"/>
  <c r="AW78" i="44"/>
  <c r="AW79" i="44"/>
  <c r="AW80" i="44"/>
  <c r="AW81" i="44"/>
  <c r="AW82" i="44"/>
  <c r="AW83" i="44"/>
  <c r="AW84" i="44"/>
  <c r="AW85" i="44"/>
  <c r="AW86" i="44"/>
  <c r="AW87" i="44"/>
  <c r="AW88" i="44"/>
  <c r="AW89" i="44"/>
  <c r="AW90" i="44"/>
  <c r="AW91" i="44"/>
  <c r="AW92" i="44"/>
  <c r="AW93" i="44"/>
  <c r="AW94" i="44"/>
  <c r="AW95" i="44"/>
  <c r="AW96" i="44"/>
  <c r="AW97" i="44"/>
  <c r="AW98" i="44"/>
  <c r="AW99" i="44"/>
  <c r="AW100" i="44"/>
  <c r="AW101" i="44"/>
  <c r="AW102" i="44"/>
  <c r="AX73" i="44"/>
  <c r="AX74" i="44"/>
  <c r="AX75" i="44"/>
  <c r="AX76" i="44"/>
  <c r="AX77" i="44"/>
  <c r="AX78" i="44"/>
  <c r="AX79" i="44"/>
  <c r="AX80" i="44"/>
  <c r="AX81" i="44"/>
  <c r="AX82" i="44"/>
  <c r="AX83" i="44"/>
  <c r="AX84" i="44"/>
  <c r="AX85" i="44"/>
  <c r="AX86" i="44"/>
  <c r="AX87" i="44"/>
  <c r="AX88" i="44"/>
  <c r="AX89" i="44"/>
  <c r="AX90" i="44"/>
  <c r="AX91" i="44"/>
  <c r="AX92" i="44"/>
  <c r="AX93" i="44"/>
  <c r="AX94" i="44"/>
  <c r="AX95" i="44"/>
  <c r="AX96" i="44"/>
  <c r="AX97" i="44"/>
  <c r="AX98" i="44"/>
  <c r="AX99" i="44"/>
  <c r="AX100" i="44"/>
  <c r="AX101" i="44"/>
  <c r="AX102" i="44"/>
  <c r="AX103" i="44"/>
  <c r="AY73" i="44"/>
  <c r="AY74" i="44"/>
  <c r="AY75" i="44"/>
  <c r="AY76" i="44"/>
  <c r="AY77" i="44"/>
  <c r="AY78" i="44"/>
  <c r="AY79" i="44"/>
  <c r="AY80" i="44"/>
  <c r="AY81" i="44"/>
  <c r="AY82" i="44"/>
  <c r="AY83" i="44"/>
  <c r="AY84" i="44"/>
  <c r="AY85" i="44"/>
  <c r="AY86" i="44"/>
  <c r="AY87" i="44"/>
  <c r="AY88" i="44"/>
  <c r="AY89" i="44"/>
  <c r="AY90" i="44"/>
  <c r="AY91" i="44"/>
  <c r="AY92" i="44"/>
  <c r="AY93" i="44"/>
  <c r="AY94" i="44"/>
  <c r="AY95" i="44"/>
  <c r="AY96" i="44"/>
  <c r="AY97" i="44"/>
  <c r="AY98" i="44"/>
  <c r="AY99" i="44"/>
  <c r="AY100" i="44"/>
  <c r="AY101" i="44"/>
  <c r="AY102" i="44"/>
  <c r="AY103" i="44"/>
  <c r="AZ73" i="44"/>
  <c r="AZ74" i="44"/>
  <c r="AZ75" i="44"/>
  <c r="AZ76" i="44"/>
  <c r="AZ77" i="44"/>
  <c r="AZ78" i="44"/>
  <c r="AZ79" i="44"/>
  <c r="AZ80" i="44"/>
  <c r="AZ81" i="44"/>
  <c r="AZ82" i="44"/>
  <c r="AZ83" i="44"/>
  <c r="AZ84" i="44"/>
  <c r="AZ85" i="44"/>
  <c r="AZ86" i="44"/>
  <c r="AZ87" i="44"/>
  <c r="AZ88" i="44"/>
  <c r="AZ89" i="44"/>
  <c r="AZ90" i="44"/>
  <c r="AZ91" i="44"/>
  <c r="AZ92" i="44"/>
  <c r="AZ93" i="44"/>
  <c r="AZ94" i="44"/>
  <c r="AZ95" i="44"/>
  <c r="AZ96" i="44"/>
  <c r="AZ97" i="44"/>
  <c r="AZ98" i="44"/>
  <c r="AZ99" i="44"/>
  <c r="AZ100" i="44"/>
  <c r="BA73" i="44"/>
  <c r="BA74" i="44"/>
  <c r="BA75" i="44"/>
  <c r="BA76" i="44"/>
  <c r="BA77" i="44"/>
  <c r="BA78" i="44"/>
  <c r="BA79" i="44"/>
  <c r="BA80" i="44"/>
  <c r="BA81" i="44"/>
  <c r="BA82" i="44"/>
  <c r="BA83" i="44"/>
  <c r="BA84" i="44"/>
  <c r="BA85" i="44"/>
  <c r="BA86" i="44"/>
  <c r="BA87" i="44"/>
  <c r="BA88" i="44"/>
  <c r="BA89" i="44"/>
  <c r="BA90" i="44"/>
  <c r="BA91" i="44"/>
  <c r="BA92" i="44"/>
  <c r="BA93" i="44"/>
  <c r="BA94" i="44"/>
  <c r="BA95" i="44"/>
  <c r="BA96" i="44"/>
  <c r="BA97" i="44"/>
  <c r="BA98" i="44"/>
  <c r="BA99" i="44"/>
  <c r="BA100" i="44"/>
  <c r="BA101" i="44"/>
  <c r="BA102" i="44"/>
  <c r="BA103" i="44"/>
  <c r="AP73" i="44"/>
  <c r="AP107" i="44"/>
  <c r="AP37" i="44"/>
  <c r="BP60" i="42" l="1"/>
  <c r="BP61" i="42" s="1"/>
  <c r="AX271" i="48"/>
  <c r="BE149" i="48"/>
  <c r="AY271" i="48"/>
  <c r="BF149" i="48"/>
  <c r="BD44" i="42"/>
  <c r="P21" i="45"/>
  <c r="BA254" i="44"/>
  <c r="BA275" i="44"/>
  <c r="BA203" i="44"/>
  <c r="P14" i="45"/>
  <c r="BA271" i="44"/>
  <c r="BA195" i="44"/>
  <c r="P15" i="45"/>
  <c r="BB173" i="44"/>
  <c r="P17" i="45"/>
  <c r="P19" i="45"/>
  <c r="J22" i="45"/>
  <c r="P12" i="45"/>
  <c r="BB244" i="44"/>
  <c r="D10" i="44"/>
  <c r="AP4" i="44" s="1"/>
  <c r="D11" i="44"/>
  <c r="AP5" i="44" s="1"/>
  <c r="D12" i="44"/>
  <c r="AP6" i="44" s="1"/>
  <c r="D13" i="44"/>
  <c r="AP7" i="44" s="1"/>
  <c r="D14" i="44"/>
  <c r="AP8" i="44" s="1"/>
  <c r="D15" i="44"/>
  <c r="AP9" i="44" s="1"/>
  <c r="D16" i="44"/>
  <c r="AP10" i="44" s="1"/>
  <c r="D17" i="44"/>
  <c r="AP11" i="44" s="1"/>
  <c r="D18" i="44"/>
  <c r="AP12" i="44" s="1"/>
  <c r="D19" i="44"/>
  <c r="AP13" i="44" s="1"/>
  <c r="D20" i="44"/>
  <c r="AP14" i="44" s="1"/>
  <c r="D21" i="44"/>
  <c r="AP15" i="44" s="1"/>
  <c r="D22" i="44"/>
  <c r="AP16" i="44" s="1"/>
  <c r="D23" i="44"/>
  <c r="AP17" i="44" s="1"/>
  <c r="D24" i="44"/>
  <c r="AP18" i="44" s="1"/>
  <c r="D25" i="44"/>
  <c r="AP19" i="44" s="1"/>
  <c r="D26" i="44"/>
  <c r="AP20" i="44" s="1"/>
  <c r="D27" i="44"/>
  <c r="AP21" i="44" s="1"/>
  <c r="D28" i="44"/>
  <c r="AP22" i="44" s="1"/>
  <c r="D29" i="44"/>
  <c r="AP23" i="44" s="1"/>
  <c r="D30" i="44"/>
  <c r="AP24" i="44" s="1"/>
  <c r="D31" i="44"/>
  <c r="AP25" i="44" s="1"/>
  <c r="D32" i="44"/>
  <c r="AP26" i="44" s="1"/>
  <c r="D33" i="44"/>
  <c r="AP27" i="44" s="1"/>
  <c r="D34" i="44"/>
  <c r="AP28" i="44" s="1"/>
  <c r="D35" i="44"/>
  <c r="AP29" i="44" s="1"/>
  <c r="D36" i="44"/>
  <c r="AP30" i="44" s="1"/>
  <c r="D37" i="44"/>
  <c r="AP31" i="44" s="1"/>
  <c r="D38" i="44"/>
  <c r="AP32" i="44" s="1"/>
  <c r="D39" i="44"/>
  <c r="AQ3" i="44" s="1"/>
  <c r="D40" i="44"/>
  <c r="AQ4" i="44" s="1"/>
  <c r="D41" i="44"/>
  <c r="AQ5" i="44" s="1"/>
  <c r="D42" i="44"/>
  <c r="AQ6" i="44" s="1"/>
  <c r="D43" i="44"/>
  <c r="AQ7" i="44" s="1"/>
  <c r="D44" i="44"/>
  <c r="AQ8" i="44" s="1"/>
  <c r="D45" i="44"/>
  <c r="AQ9" i="44" s="1"/>
  <c r="D46" i="44"/>
  <c r="AQ10" i="44" s="1"/>
  <c r="D47" i="44"/>
  <c r="AQ11" i="44" s="1"/>
  <c r="D48" i="44"/>
  <c r="AQ12" i="44" s="1"/>
  <c r="D49" i="44"/>
  <c r="AQ13" i="44" s="1"/>
  <c r="D50" i="44"/>
  <c r="AQ14" i="44" s="1"/>
  <c r="D51" i="44"/>
  <c r="AQ15" i="44" s="1"/>
  <c r="D52" i="44"/>
  <c r="AQ16" i="44" s="1"/>
  <c r="D53" i="44"/>
  <c r="AQ17" i="44" s="1"/>
  <c r="D54" i="44"/>
  <c r="AQ18" i="44" s="1"/>
  <c r="D55" i="44"/>
  <c r="AQ19" i="44" s="1"/>
  <c r="D56" i="44"/>
  <c r="AQ20" i="44" s="1"/>
  <c r="D57" i="44"/>
  <c r="AQ21" i="44" s="1"/>
  <c r="D58" i="44"/>
  <c r="AQ22" i="44" s="1"/>
  <c r="D59" i="44"/>
  <c r="AQ23" i="44" s="1"/>
  <c r="D60" i="44"/>
  <c r="AQ24" i="44" s="1"/>
  <c r="D61" i="44"/>
  <c r="AQ25" i="44" s="1"/>
  <c r="D62" i="44"/>
  <c r="AQ26" i="44" s="1"/>
  <c r="D63" i="44"/>
  <c r="AQ27" i="44" s="1"/>
  <c r="D64" i="44"/>
  <c r="AQ28" i="44" s="1"/>
  <c r="D65" i="44"/>
  <c r="AQ29" i="44" s="1"/>
  <c r="D66" i="44"/>
  <c r="AQ30" i="44" s="1"/>
  <c r="D67" i="44"/>
  <c r="AQ31" i="44" s="1"/>
  <c r="D68" i="44"/>
  <c r="AQ32" i="44" s="1"/>
  <c r="D69" i="44"/>
  <c r="AQ33" i="44" s="1"/>
  <c r="D70" i="44"/>
  <c r="AR3" i="44" s="1"/>
  <c r="D71" i="44"/>
  <c r="AR4" i="44" s="1"/>
  <c r="D72" i="44"/>
  <c r="AR5" i="44" s="1"/>
  <c r="D73" i="44"/>
  <c r="AR6" i="44" s="1"/>
  <c r="D74" i="44"/>
  <c r="AR7" i="44" s="1"/>
  <c r="D75" i="44"/>
  <c r="AR8" i="44" s="1"/>
  <c r="D76" i="44"/>
  <c r="AR9" i="44" s="1"/>
  <c r="D77" i="44"/>
  <c r="AR10" i="44" s="1"/>
  <c r="D78" i="44"/>
  <c r="AR11" i="44" s="1"/>
  <c r="D79" i="44"/>
  <c r="AR12" i="44" s="1"/>
  <c r="D80" i="44"/>
  <c r="AR13" i="44" s="1"/>
  <c r="D81" i="44"/>
  <c r="AR14" i="44" s="1"/>
  <c r="D82" i="44"/>
  <c r="AR15" i="44" s="1"/>
  <c r="D83" i="44"/>
  <c r="AR16" i="44" s="1"/>
  <c r="D84" i="44"/>
  <c r="AR17" i="44" s="1"/>
  <c r="D85" i="44"/>
  <c r="AR18" i="44" s="1"/>
  <c r="D86" i="44"/>
  <c r="AR19" i="44" s="1"/>
  <c r="D87" i="44"/>
  <c r="AR20" i="44" s="1"/>
  <c r="D88" i="44"/>
  <c r="AR21" i="44" s="1"/>
  <c r="D89" i="44"/>
  <c r="AR22" i="44" s="1"/>
  <c r="D90" i="44"/>
  <c r="AR23" i="44" s="1"/>
  <c r="D91" i="44"/>
  <c r="AR24" i="44" s="1"/>
  <c r="D92" i="44"/>
  <c r="AR25" i="44" s="1"/>
  <c r="D93" i="44"/>
  <c r="AR26" i="44" s="1"/>
  <c r="D94" i="44"/>
  <c r="AR27" i="44" s="1"/>
  <c r="D95" i="44"/>
  <c r="AR28" i="44" s="1"/>
  <c r="D96" i="44"/>
  <c r="AR29" i="44" s="1"/>
  <c r="D97" i="44"/>
  <c r="AR30" i="44" s="1"/>
  <c r="D98" i="44"/>
  <c r="AR31" i="44" s="1"/>
  <c r="D99" i="44"/>
  <c r="AR32" i="44" s="1"/>
  <c r="D100" i="44"/>
  <c r="AS3" i="44" s="1"/>
  <c r="D101" i="44"/>
  <c r="AS4" i="44" s="1"/>
  <c r="D102" i="44"/>
  <c r="AS5" i="44" s="1"/>
  <c r="D103" i="44"/>
  <c r="AS6" i="44" s="1"/>
  <c r="D104" i="44"/>
  <c r="AS7" i="44" s="1"/>
  <c r="D105" i="44"/>
  <c r="AS8" i="44" s="1"/>
  <c r="D106" i="44"/>
  <c r="AS9" i="44" s="1"/>
  <c r="D107" i="44"/>
  <c r="AS10" i="44" s="1"/>
  <c r="D108" i="44"/>
  <c r="AS11" i="44" s="1"/>
  <c r="D109" i="44"/>
  <c r="AS12" i="44" s="1"/>
  <c r="D110" i="44"/>
  <c r="AS13" i="44" s="1"/>
  <c r="D111" i="44"/>
  <c r="AS14" i="44" s="1"/>
  <c r="D112" i="44"/>
  <c r="AS15" i="44" s="1"/>
  <c r="D113" i="44"/>
  <c r="AS16" i="44" s="1"/>
  <c r="D114" i="44"/>
  <c r="AS17" i="44" s="1"/>
  <c r="D115" i="44"/>
  <c r="AS18" i="44" s="1"/>
  <c r="D116" i="44"/>
  <c r="AS19" i="44" s="1"/>
  <c r="D117" i="44"/>
  <c r="AS20" i="44" s="1"/>
  <c r="D118" i="44"/>
  <c r="AS21" i="44" s="1"/>
  <c r="D119" i="44"/>
  <c r="AS22" i="44" s="1"/>
  <c r="D120" i="44"/>
  <c r="AS23" i="44" s="1"/>
  <c r="D121" i="44"/>
  <c r="AS24" i="44" s="1"/>
  <c r="D122" i="44"/>
  <c r="AS25" i="44" s="1"/>
  <c r="D123" i="44"/>
  <c r="AS26" i="44" s="1"/>
  <c r="D124" i="44"/>
  <c r="AS27" i="44" s="1"/>
  <c r="D125" i="44"/>
  <c r="AS28" i="44" s="1"/>
  <c r="D126" i="44"/>
  <c r="AS29" i="44" s="1"/>
  <c r="D127" i="44"/>
  <c r="AS30" i="44" s="1"/>
  <c r="D128" i="44"/>
  <c r="AS31" i="44" s="1"/>
  <c r="D129" i="44"/>
  <c r="AS32" i="44" s="1"/>
  <c r="D130" i="44"/>
  <c r="AS33" i="44" s="1"/>
  <c r="D131" i="44"/>
  <c r="AT3" i="44" s="1"/>
  <c r="D132" i="44"/>
  <c r="AT4" i="44" s="1"/>
  <c r="D133" i="44"/>
  <c r="AT5" i="44" s="1"/>
  <c r="D134" i="44"/>
  <c r="D135" i="44"/>
  <c r="AT7" i="44" s="1"/>
  <c r="D136" i="44"/>
  <c r="AT8" i="44" s="1"/>
  <c r="D137" i="44"/>
  <c r="AT9" i="44" s="1"/>
  <c r="D138" i="44"/>
  <c r="AT10" i="44" s="1"/>
  <c r="D139" i="44"/>
  <c r="AT11" i="44" s="1"/>
  <c r="D140" i="44"/>
  <c r="AT12" i="44" s="1"/>
  <c r="D141" i="44"/>
  <c r="AT13" i="44" s="1"/>
  <c r="D142" i="44"/>
  <c r="AT14" i="44" s="1"/>
  <c r="D143" i="44"/>
  <c r="AT15" i="44" s="1"/>
  <c r="D144" i="44"/>
  <c r="AT16" i="44" s="1"/>
  <c r="D145" i="44"/>
  <c r="AT17" i="44" s="1"/>
  <c r="D146" i="44"/>
  <c r="AT18" i="44" s="1"/>
  <c r="D147" i="44"/>
  <c r="AT19" i="44" s="1"/>
  <c r="D148" i="44"/>
  <c r="AT20" i="44" s="1"/>
  <c r="D149" i="44"/>
  <c r="AT21" i="44" s="1"/>
  <c r="D150" i="44"/>
  <c r="AT22" i="44" s="1"/>
  <c r="D151" i="44"/>
  <c r="AT23" i="44" s="1"/>
  <c r="D152" i="44"/>
  <c r="AT24" i="44" s="1"/>
  <c r="D153" i="44"/>
  <c r="AT25" i="44" s="1"/>
  <c r="D154" i="44"/>
  <c r="AT26" i="44" s="1"/>
  <c r="D155" i="44"/>
  <c r="AT27" i="44" s="1"/>
  <c r="D156" i="44"/>
  <c r="AT28" i="44" s="1"/>
  <c r="D157" i="44"/>
  <c r="AT29" i="44" s="1"/>
  <c r="D158" i="44"/>
  <c r="AT30" i="44" s="1"/>
  <c r="D159" i="44"/>
  <c r="AT31" i="44" s="1"/>
  <c r="D160" i="44"/>
  <c r="AT32" i="44" s="1"/>
  <c r="D161" i="44"/>
  <c r="AT33" i="44" s="1"/>
  <c r="D162" i="44"/>
  <c r="AU3" i="44" s="1"/>
  <c r="D163" i="44"/>
  <c r="AU4" i="44" s="1"/>
  <c r="D164" i="44"/>
  <c r="AU5" i="44" s="1"/>
  <c r="D165" i="44"/>
  <c r="D166" i="44"/>
  <c r="AU7" i="44" s="1"/>
  <c r="D167" i="44"/>
  <c r="AU8" i="44" s="1"/>
  <c r="D168" i="44"/>
  <c r="AU9" i="44" s="1"/>
  <c r="D169" i="44"/>
  <c r="AU10" i="44" s="1"/>
  <c r="D170" i="44"/>
  <c r="AU11" i="44" s="1"/>
  <c r="D171" i="44"/>
  <c r="AU12" i="44" s="1"/>
  <c r="D172" i="44"/>
  <c r="AU13" i="44" s="1"/>
  <c r="D173" i="44"/>
  <c r="AU14" i="44" s="1"/>
  <c r="D174" i="44"/>
  <c r="AU15" i="44" s="1"/>
  <c r="D175" i="44"/>
  <c r="AU16" i="44" s="1"/>
  <c r="D176" i="44"/>
  <c r="AU17" i="44" s="1"/>
  <c r="D177" i="44"/>
  <c r="AU18" i="44" s="1"/>
  <c r="D178" i="44"/>
  <c r="AU19" i="44" s="1"/>
  <c r="D179" i="44"/>
  <c r="AU20" i="44" s="1"/>
  <c r="D180" i="44"/>
  <c r="AU21" i="44" s="1"/>
  <c r="D181" i="44"/>
  <c r="AU22" i="44" s="1"/>
  <c r="D182" i="44"/>
  <c r="AU23" i="44" s="1"/>
  <c r="D183" i="44"/>
  <c r="AU24" i="44" s="1"/>
  <c r="D184" i="44"/>
  <c r="AU25" i="44" s="1"/>
  <c r="D185" i="44"/>
  <c r="AU26" i="44" s="1"/>
  <c r="D186" i="44"/>
  <c r="AU27" i="44" s="1"/>
  <c r="D187" i="44"/>
  <c r="AU28" i="44" s="1"/>
  <c r="D188" i="44"/>
  <c r="AU29" i="44" s="1"/>
  <c r="D189" i="44"/>
  <c r="AU30" i="44" s="1"/>
  <c r="D190" i="44"/>
  <c r="AU31" i="44" s="1"/>
  <c r="D191" i="44"/>
  <c r="AU32" i="44" s="1"/>
  <c r="D192" i="44"/>
  <c r="AV3" i="44" s="1"/>
  <c r="D193" i="44"/>
  <c r="AV4" i="44" s="1"/>
  <c r="D194" i="44"/>
  <c r="AV5" i="44" s="1"/>
  <c r="D195" i="44"/>
  <c r="D196" i="44"/>
  <c r="AV7" i="44" s="1"/>
  <c r="D197" i="44"/>
  <c r="AV8" i="44" s="1"/>
  <c r="D198" i="44"/>
  <c r="AV9" i="44" s="1"/>
  <c r="D199" i="44"/>
  <c r="AV10" i="44" s="1"/>
  <c r="D200" i="44"/>
  <c r="AV11" i="44" s="1"/>
  <c r="D201" i="44"/>
  <c r="AV12" i="44" s="1"/>
  <c r="D202" i="44"/>
  <c r="AV13" i="44" s="1"/>
  <c r="D203" i="44"/>
  <c r="AV14" i="44" s="1"/>
  <c r="D204" i="44"/>
  <c r="AV15" i="44" s="1"/>
  <c r="D205" i="44"/>
  <c r="AV16" i="44" s="1"/>
  <c r="D206" i="44"/>
  <c r="AV17" i="44" s="1"/>
  <c r="D207" i="44"/>
  <c r="AV18" i="44" s="1"/>
  <c r="D208" i="44"/>
  <c r="AV19" i="44" s="1"/>
  <c r="D209" i="44"/>
  <c r="AV20" i="44" s="1"/>
  <c r="D210" i="44"/>
  <c r="AV21" i="44" s="1"/>
  <c r="D211" i="44"/>
  <c r="AV22" i="44" s="1"/>
  <c r="D212" i="44"/>
  <c r="AV23" i="44" s="1"/>
  <c r="D213" i="44"/>
  <c r="AV24" i="44" s="1"/>
  <c r="D214" i="44"/>
  <c r="AV25" i="44" s="1"/>
  <c r="D215" i="44"/>
  <c r="AV26" i="44" s="1"/>
  <c r="D216" i="44"/>
  <c r="AV27" i="44" s="1"/>
  <c r="D217" i="44"/>
  <c r="AV28" i="44" s="1"/>
  <c r="D218" i="44"/>
  <c r="AV29" i="44" s="1"/>
  <c r="D219" i="44"/>
  <c r="AV30" i="44" s="1"/>
  <c r="D220" i="44"/>
  <c r="AV31" i="44" s="1"/>
  <c r="D221" i="44"/>
  <c r="AV32" i="44" s="1"/>
  <c r="D222" i="44"/>
  <c r="AV33" i="44" s="1"/>
  <c r="D223" i="44"/>
  <c r="AW3" i="44" s="1"/>
  <c r="D224" i="44"/>
  <c r="AW4" i="44" s="1"/>
  <c r="D225" i="44"/>
  <c r="AW5" i="44" s="1"/>
  <c r="D226" i="44"/>
  <c r="D227" i="44"/>
  <c r="AW7" i="44" s="1"/>
  <c r="D228" i="44"/>
  <c r="AW8" i="44" s="1"/>
  <c r="D229" i="44"/>
  <c r="AW9" i="44" s="1"/>
  <c r="D230" i="44"/>
  <c r="AW10" i="44" s="1"/>
  <c r="D231" i="44"/>
  <c r="AW11" i="44" s="1"/>
  <c r="D232" i="44"/>
  <c r="AW12" i="44" s="1"/>
  <c r="D233" i="44"/>
  <c r="AW13" i="44" s="1"/>
  <c r="D234" i="44"/>
  <c r="AW14" i="44" s="1"/>
  <c r="D235" i="44"/>
  <c r="AW15" i="44" s="1"/>
  <c r="D236" i="44"/>
  <c r="AW16" i="44" s="1"/>
  <c r="D237" i="44"/>
  <c r="AW17" i="44" s="1"/>
  <c r="D238" i="44"/>
  <c r="AW18" i="44" s="1"/>
  <c r="D239" i="44"/>
  <c r="AW19" i="44" s="1"/>
  <c r="D240" i="44"/>
  <c r="AW20" i="44" s="1"/>
  <c r="D241" i="44"/>
  <c r="AW21" i="44" s="1"/>
  <c r="D242" i="44"/>
  <c r="AW22" i="44" s="1"/>
  <c r="D243" i="44"/>
  <c r="AW23" i="44" s="1"/>
  <c r="D244" i="44"/>
  <c r="AW24" i="44" s="1"/>
  <c r="D245" i="44"/>
  <c r="AW25" i="44" s="1"/>
  <c r="D246" i="44"/>
  <c r="AW26" i="44" s="1"/>
  <c r="D247" i="44"/>
  <c r="AW27" i="44" s="1"/>
  <c r="D248" i="44"/>
  <c r="AW28" i="44" s="1"/>
  <c r="D249" i="44"/>
  <c r="AW29" i="44" s="1"/>
  <c r="D250" i="44"/>
  <c r="AW30" i="44" s="1"/>
  <c r="D251" i="44"/>
  <c r="AW31" i="44" s="1"/>
  <c r="D252" i="44"/>
  <c r="AW32" i="44" s="1"/>
  <c r="D253" i="44"/>
  <c r="AX3" i="44" s="1"/>
  <c r="D254" i="44"/>
  <c r="AX4" i="44" s="1"/>
  <c r="D255" i="44"/>
  <c r="AX5" i="44" s="1"/>
  <c r="D256" i="44"/>
  <c r="D257" i="44"/>
  <c r="AX7" i="44" s="1"/>
  <c r="D258" i="44"/>
  <c r="AX8" i="44" s="1"/>
  <c r="D259" i="44"/>
  <c r="AX9" i="44" s="1"/>
  <c r="D260" i="44"/>
  <c r="AX10" i="44" s="1"/>
  <c r="D261" i="44"/>
  <c r="AX11" i="44" s="1"/>
  <c r="D262" i="44"/>
  <c r="AX12" i="44" s="1"/>
  <c r="D263" i="44"/>
  <c r="AX13" i="44" s="1"/>
  <c r="D264" i="44"/>
  <c r="AX14" i="44" s="1"/>
  <c r="D265" i="44"/>
  <c r="AX15" i="44" s="1"/>
  <c r="D266" i="44"/>
  <c r="AX16" i="44" s="1"/>
  <c r="D267" i="44"/>
  <c r="AX17" i="44" s="1"/>
  <c r="D268" i="44"/>
  <c r="AX18" i="44" s="1"/>
  <c r="D269" i="44"/>
  <c r="AX19" i="44" s="1"/>
  <c r="D270" i="44"/>
  <c r="AX20" i="44" s="1"/>
  <c r="D271" i="44"/>
  <c r="AX21" i="44" s="1"/>
  <c r="D272" i="44"/>
  <c r="AX22" i="44" s="1"/>
  <c r="D273" i="44"/>
  <c r="AX23" i="44" s="1"/>
  <c r="D274" i="44"/>
  <c r="AX24" i="44" s="1"/>
  <c r="D275" i="44"/>
  <c r="AX25" i="44" s="1"/>
  <c r="D276" i="44"/>
  <c r="AX26" i="44" s="1"/>
  <c r="D277" i="44"/>
  <c r="AX27" i="44" s="1"/>
  <c r="D278" i="44"/>
  <c r="AX28" i="44" s="1"/>
  <c r="D279" i="44"/>
  <c r="AX29" i="44" s="1"/>
  <c r="D280" i="44"/>
  <c r="AX30" i="44" s="1"/>
  <c r="D281" i="44"/>
  <c r="AX31" i="44" s="1"/>
  <c r="D282" i="44"/>
  <c r="AX32" i="44" s="1"/>
  <c r="D283" i="44"/>
  <c r="AX33" i="44" s="1"/>
  <c r="D284" i="44"/>
  <c r="AY3" i="44" s="1"/>
  <c r="D285" i="44"/>
  <c r="AY4" i="44" s="1"/>
  <c r="D286" i="44"/>
  <c r="AY5" i="44" s="1"/>
  <c r="D287" i="44"/>
  <c r="D288" i="44"/>
  <c r="AY7" i="44" s="1"/>
  <c r="D289" i="44"/>
  <c r="AY8" i="44" s="1"/>
  <c r="D290" i="44"/>
  <c r="AY9" i="44" s="1"/>
  <c r="D291" i="44"/>
  <c r="AY10" i="44" s="1"/>
  <c r="D292" i="44"/>
  <c r="AY11" i="44" s="1"/>
  <c r="D293" i="44"/>
  <c r="AY12" i="44" s="1"/>
  <c r="D294" i="44"/>
  <c r="AY13" i="44" s="1"/>
  <c r="D295" i="44"/>
  <c r="AY14" i="44" s="1"/>
  <c r="D296" i="44"/>
  <c r="AY15" i="44" s="1"/>
  <c r="D297" i="44"/>
  <c r="AY16" i="44" s="1"/>
  <c r="D298" i="44"/>
  <c r="AY17" i="44" s="1"/>
  <c r="D299" i="44"/>
  <c r="AY18" i="44" s="1"/>
  <c r="D300" i="44"/>
  <c r="AY19" i="44" s="1"/>
  <c r="D301" i="44"/>
  <c r="AY20" i="44" s="1"/>
  <c r="D302" i="44"/>
  <c r="AY21" i="44" s="1"/>
  <c r="D303" i="44"/>
  <c r="AY22" i="44" s="1"/>
  <c r="D304" i="44"/>
  <c r="AY23" i="44" s="1"/>
  <c r="D305" i="44"/>
  <c r="AY24" i="44" s="1"/>
  <c r="D306" i="44"/>
  <c r="AY25" i="44" s="1"/>
  <c r="D307" i="44"/>
  <c r="AY26" i="44" s="1"/>
  <c r="D308" i="44"/>
  <c r="AY27" i="44" s="1"/>
  <c r="D309" i="44"/>
  <c r="AY28" i="44" s="1"/>
  <c r="D310" i="44"/>
  <c r="AY29" i="44" s="1"/>
  <c r="D311" i="44"/>
  <c r="AY30" i="44" s="1"/>
  <c r="D312" i="44"/>
  <c r="AY31" i="44" s="1"/>
  <c r="D313" i="44"/>
  <c r="AY32" i="44" s="1"/>
  <c r="D314" i="44"/>
  <c r="AY33" i="44" s="1"/>
  <c r="D315" i="44"/>
  <c r="AZ3" i="44" s="1"/>
  <c r="D316" i="44"/>
  <c r="AZ4" i="44" s="1"/>
  <c r="D317" i="44"/>
  <c r="AZ5" i="44" s="1"/>
  <c r="D318" i="44"/>
  <c r="D319" i="44"/>
  <c r="AZ7" i="44" s="1"/>
  <c r="D320" i="44"/>
  <c r="AZ8" i="44" s="1"/>
  <c r="D321" i="44"/>
  <c r="AZ9" i="44" s="1"/>
  <c r="D322" i="44"/>
  <c r="AZ10" i="44" s="1"/>
  <c r="D323" i="44"/>
  <c r="AZ11" i="44" s="1"/>
  <c r="D324" i="44"/>
  <c r="AZ12" i="44" s="1"/>
  <c r="D325" i="44"/>
  <c r="AZ13" i="44" s="1"/>
  <c r="D326" i="44"/>
  <c r="AZ14" i="44" s="1"/>
  <c r="D327" i="44"/>
  <c r="AZ15" i="44" s="1"/>
  <c r="D328" i="44"/>
  <c r="AZ16" i="44" s="1"/>
  <c r="D329" i="44"/>
  <c r="AZ17" i="44" s="1"/>
  <c r="D330" i="44"/>
  <c r="AZ18" i="44" s="1"/>
  <c r="D331" i="44"/>
  <c r="AZ19" i="44" s="1"/>
  <c r="D332" i="44"/>
  <c r="AZ20" i="44" s="1"/>
  <c r="D333" i="44"/>
  <c r="AZ21" i="44" s="1"/>
  <c r="D334" i="44"/>
  <c r="AZ22" i="44" s="1"/>
  <c r="D335" i="44"/>
  <c r="AZ23" i="44" s="1"/>
  <c r="D336" i="44"/>
  <c r="AZ24" i="44" s="1"/>
  <c r="D337" i="44"/>
  <c r="AZ25" i="44" s="1"/>
  <c r="D338" i="44"/>
  <c r="AZ26" i="44" s="1"/>
  <c r="D339" i="44"/>
  <c r="AZ27" i="44" s="1"/>
  <c r="D340" i="44"/>
  <c r="AZ28" i="44" s="1"/>
  <c r="D341" i="44"/>
  <c r="AZ29" i="44" s="1"/>
  <c r="D342" i="44"/>
  <c r="AZ30" i="44" s="1"/>
  <c r="D344" i="44"/>
  <c r="BA3" i="44" s="1"/>
  <c r="D345" i="44"/>
  <c r="BA4" i="44" s="1"/>
  <c r="D346" i="44"/>
  <c r="BA5" i="44" s="1"/>
  <c r="D347" i="44"/>
  <c r="BA6" i="44" s="1"/>
  <c r="D348" i="44"/>
  <c r="BA7" i="44" s="1"/>
  <c r="D349" i="44"/>
  <c r="BA8" i="44" s="1"/>
  <c r="D350" i="44"/>
  <c r="BA9" i="44" s="1"/>
  <c r="D351" i="44"/>
  <c r="BA10" i="44" s="1"/>
  <c r="D352" i="44"/>
  <c r="BA11" i="44" s="1"/>
  <c r="D353" i="44"/>
  <c r="BA12" i="44" s="1"/>
  <c r="D354" i="44"/>
  <c r="BA13" i="44" s="1"/>
  <c r="D355" i="44"/>
  <c r="BA14" i="44" s="1"/>
  <c r="D356" i="44"/>
  <c r="BA15" i="44" s="1"/>
  <c r="D357" i="44"/>
  <c r="BA16" i="44" s="1"/>
  <c r="D358" i="44"/>
  <c r="BA17" i="44" s="1"/>
  <c r="D359" i="44"/>
  <c r="BA18" i="44" s="1"/>
  <c r="D360" i="44"/>
  <c r="BA19" i="44" s="1"/>
  <c r="D361" i="44"/>
  <c r="BA20" i="44" s="1"/>
  <c r="D362" i="44"/>
  <c r="BA21" i="44" s="1"/>
  <c r="D363" i="44"/>
  <c r="BA22" i="44" s="1"/>
  <c r="D364" i="44"/>
  <c r="BA23" i="44" s="1"/>
  <c r="D365" i="44"/>
  <c r="BA24" i="44" s="1"/>
  <c r="D366" i="44"/>
  <c r="BA25" i="44" s="1"/>
  <c r="D367" i="44"/>
  <c r="BA26" i="44" s="1"/>
  <c r="D368" i="44"/>
  <c r="BA27" i="44" s="1"/>
  <c r="D369" i="44"/>
  <c r="BA28" i="44" s="1"/>
  <c r="D370" i="44"/>
  <c r="BA29" i="44" s="1"/>
  <c r="D371" i="44"/>
  <c r="BA30" i="44" s="1"/>
  <c r="D372" i="44"/>
  <c r="BA31" i="44" s="1"/>
  <c r="D373" i="44"/>
  <c r="BA32" i="44" s="1"/>
  <c r="D374" i="44"/>
  <c r="BA33" i="44" s="1"/>
  <c r="AP38" i="44"/>
  <c r="AP39" i="44"/>
  <c r="AP40" i="44"/>
  <c r="AP41" i="44"/>
  <c r="AP42" i="44"/>
  <c r="AP43" i="44"/>
  <c r="AP44" i="44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Q37" i="44"/>
  <c r="AQ38" i="44"/>
  <c r="AQ39" i="44"/>
  <c r="AQ40" i="44"/>
  <c r="AQ41" i="44"/>
  <c r="AQ42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R37" i="44"/>
  <c r="AR38" i="44"/>
  <c r="AR39" i="44"/>
  <c r="AR40" i="44"/>
  <c r="AR41" i="44"/>
  <c r="AR42" i="44"/>
  <c r="AR43" i="44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S37" i="44"/>
  <c r="AS38" i="44"/>
  <c r="AS39" i="44"/>
  <c r="AS40" i="44"/>
  <c r="AS41" i="44"/>
  <c r="AS42" i="44"/>
  <c r="AS43" i="44"/>
  <c r="AS44" i="44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65" i="44"/>
  <c r="AS66" i="44"/>
  <c r="AS67" i="44"/>
  <c r="AT37" i="44"/>
  <c r="AT38" i="44"/>
  <c r="AT39" i="44"/>
  <c r="AT40" i="44"/>
  <c r="AT41" i="44"/>
  <c r="AT42" i="44"/>
  <c r="AT43" i="44"/>
  <c r="AT44" i="44"/>
  <c r="AT45" i="44"/>
  <c r="AT46" i="44"/>
  <c r="AT47" i="44"/>
  <c r="AT48" i="44"/>
  <c r="AT49" i="44"/>
  <c r="AT50" i="44"/>
  <c r="AT51" i="44"/>
  <c r="AT52" i="44"/>
  <c r="AT53" i="44"/>
  <c r="AT54" i="44"/>
  <c r="AT55" i="44"/>
  <c r="AT56" i="44"/>
  <c r="AT57" i="44"/>
  <c r="AT58" i="44"/>
  <c r="AT59" i="44"/>
  <c r="AT60" i="44"/>
  <c r="AT61" i="44"/>
  <c r="AT62" i="44"/>
  <c r="AT63" i="44"/>
  <c r="AT64" i="44"/>
  <c r="AT65" i="44"/>
  <c r="AT66" i="44"/>
  <c r="AT67" i="44"/>
  <c r="AU37" i="44"/>
  <c r="AU38" i="44"/>
  <c r="AU39" i="44"/>
  <c r="AU40" i="44"/>
  <c r="AU41" i="44"/>
  <c r="AU42" i="44"/>
  <c r="AU43" i="44"/>
  <c r="AU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V37" i="44"/>
  <c r="AV38" i="44"/>
  <c r="AV39" i="44"/>
  <c r="AV40" i="44"/>
  <c r="AV41" i="44"/>
  <c r="AV42" i="44"/>
  <c r="AV43" i="44"/>
  <c r="AV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67" i="44"/>
  <c r="AW37" i="44"/>
  <c r="AW38" i="44"/>
  <c r="AW39" i="44"/>
  <c r="AW40" i="44"/>
  <c r="AW41" i="44"/>
  <c r="AW42" i="44"/>
  <c r="AW43" i="44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X37" i="44"/>
  <c r="AX38" i="44"/>
  <c r="AX39" i="44"/>
  <c r="AX40" i="44"/>
  <c r="AX41" i="44"/>
  <c r="AX42" i="44"/>
  <c r="AX43" i="44"/>
  <c r="AX44" i="44"/>
  <c r="AX45" i="44"/>
  <c r="AX46" i="44"/>
  <c r="AX47" i="44"/>
  <c r="AX48" i="44"/>
  <c r="AX49" i="44"/>
  <c r="AX50" i="44"/>
  <c r="AX51" i="44"/>
  <c r="AX52" i="44"/>
  <c r="AX53" i="44"/>
  <c r="AX54" i="44"/>
  <c r="AX55" i="44"/>
  <c r="AX56" i="44"/>
  <c r="AX57" i="44"/>
  <c r="AX58" i="44"/>
  <c r="AX59" i="44"/>
  <c r="AX60" i="44"/>
  <c r="AX61" i="44"/>
  <c r="AX62" i="44"/>
  <c r="AX63" i="44"/>
  <c r="AX64" i="44"/>
  <c r="AX65" i="44"/>
  <c r="AX66" i="44"/>
  <c r="AX67" i="44"/>
  <c r="AY37" i="44"/>
  <c r="AY38" i="44"/>
  <c r="AY39" i="44"/>
  <c r="AY40" i="44"/>
  <c r="AY41" i="44"/>
  <c r="AY42" i="44"/>
  <c r="AY43" i="44"/>
  <c r="AY44" i="44"/>
  <c r="AY45" i="44"/>
  <c r="AY46" i="44"/>
  <c r="AY47" i="44"/>
  <c r="AY48" i="44"/>
  <c r="AY49" i="44"/>
  <c r="AY50" i="44"/>
  <c r="AY51" i="44"/>
  <c r="AY52" i="44"/>
  <c r="AY53" i="44"/>
  <c r="AY54" i="44"/>
  <c r="AY55" i="44"/>
  <c r="AY56" i="44"/>
  <c r="AY57" i="44"/>
  <c r="AY58" i="44"/>
  <c r="AY59" i="44"/>
  <c r="AY60" i="44"/>
  <c r="AY61" i="44"/>
  <c r="AY62" i="44"/>
  <c r="AY63" i="44"/>
  <c r="AY64" i="44"/>
  <c r="AY65" i="44"/>
  <c r="AY66" i="44"/>
  <c r="AY67" i="44"/>
  <c r="AZ37" i="44"/>
  <c r="AZ38" i="44"/>
  <c r="AZ39" i="44"/>
  <c r="AZ40" i="44"/>
  <c r="AZ41" i="44"/>
  <c r="AZ42" i="44"/>
  <c r="AZ43" i="44"/>
  <c r="AZ44" i="44"/>
  <c r="AZ45" i="44"/>
  <c r="AZ46" i="44"/>
  <c r="AZ47" i="44"/>
  <c r="AZ48" i="44"/>
  <c r="AZ49" i="44"/>
  <c r="AZ50" i="44"/>
  <c r="AZ51" i="44"/>
  <c r="AZ52" i="44"/>
  <c r="AZ53" i="44"/>
  <c r="AZ54" i="44"/>
  <c r="AZ55" i="44"/>
  <c r="AZ56" i="44"/>
  <c r="AZ57" i="44"/>
  <c r="AZ58" i="44"/>
  <c r="AZ59" i="44"/>
  <c r="AZ60" i="44"/>
  <c r="AZ61" i="44"/>
  <c r="AZ62" i="44"/>
  <c r="AZ63" i="44"/>
  <c r="AZ64" i="44"/>
  <c r="BA37" i="44"/>
  <c r="BA38" i="44"/>
  <c r="BA39" i="44"/>
  <c r="BA40" i="44"/>
  <c r="BA41" i="44"/>
  <c r="BA42" i="44"/>
  <c r="BA43" i="44"/>
  <c r="BA44" i="44"/>
  <c r="BA45" i="44"/>
  <c r="BA46" i="44"/>
  <c r="BA47" i="44"/>
  <c r="BA48" i="44"/>
  <c r="BA49" i="44"/>
  <c r="BA50" i="44"/>
  <c r="BA51" i="44"/>
  <c r="BA52" i="44"/>
  <c r="BA53" i="44"/>
  <c r="BA54" i="44"/>
  <c r="BA55" i="44"/>
  <c r="BA56" i="44"/>
  <c r="BA57" i="44"/>
  <c r="BA58" i="44"/>
  <c r="BA59" i="44"/>
  <c r="BA60" i="44"/>
  <c r="BA61" i="44"/>
  <c r="BA62" i="44"/>
  <c r="BA63" i="44"/>
  <c r="BA64" i="44"/>
  <c r="BA65" i="44"/>
  <c r="BA66" i="44"/>
  <c r="BA67" i="44"/>
  <c r="BF150" i="48" l="1"/>
  <c r="AY292" i="48"/>
  <c r="BE150" i="48"/>
  <c r="AX292" i="48"/>
  <c r="AM6" i="44"/>
  <c r="AY6" i="44"/>
  <c r="AJ6" i="44"/>
  <c r="AV6" i="44"/>
  <c r="AI6" i="44"/>
  <c r="AU6" i="44"/>
  <c r="AN6" i="44"/>
  <c r="AZ6" i="44"/>
  <c r="AL6" i="44"/>
  <c r="AX6" i="44"/>
  <c r="AK6" i="44"/>
  <c r="AW6" i="44"/>
  <c r="AH6" i="44"/>
  <c r="AT6" i="44"/>
  <c r="BD45" i="42"/>
  <c r="BP62" i="42"/>
  <c r="O18" i="45"/>
  <c r="BA278" i="44"/>
  <c r="BA207" i="44"/>
  <c r="P22" i="45"/>
  <c r="AX313" i="48" l="1"/>
  <c r="BE151" i="48"/>
  <c r="AY313" i="48"/>
  <c r="BF151" i="48"/>
  <c r="BP63" i="42"/>
  <c r="BD46" i="42"/>
  <c r="H15" i="47"/>
  <c r="M10" i="44"/>
  <c r="AP248" i="44" s="1"/>
  <c r="M11" i="44"/>
  <c r="AP249" i="44" s="1"/>
  <c r="M12" i="44"/>
  <c r="AP250" i="44" s="1"/>
  <c r="M13" i="44"/>
  <c r="AP251" i="44" s="1"/>
  <c r="M14" i="44"/>
  <c r="AP252" i="44" s="1"/>
  <c r="M15" i="44"/>
  <c r="AP253" i="44" s="1"/>
  <c r="M16" i="44"/>
  <c r="AP254" i="44" s="1"/>
  <c r="M17" i="44"/>
  <c r="AP255" i="44" s="1"/>
  <c r="M18" i="44"/>
  <c r="AP256" i="44" s="1"/>
  <c r="M19" i="44"/>
  <c r="AP257" i="44" s="1"/>
  <c r="M20" i="44"/>
  <c r="AP258" i="44" s="1"/>
  <c r="M21" i="44"/>
  <c r="AP259" i="44" s="1"/>
  <c r="M22" i="44"/>
  <c r="AP260" i="44" s="1"/>
  <c r="M23" i="44"/>
  <c r="AP261" i="44" s="1"/>
  <c r="M24" i="44"/>
  <c r="AP262" i="44" s="1"/>
  <c r="M25" i="44"/>
  <c r="AP263" i="44" s="1"/>
  <c r="M26" i="44"/>
  <c r="AP264" i="44" s="1"/>
  <c r="M27" i="44"/>
  <c r="AP265" i="44" s="1"/>
  <c r="M28" i="44"/>
  <c r="AP266" i="44" s="1"/>
  <c r="M29" i="44"/>
  <c r="AP267" i="44" s="1"/>
  <c r="M30" i="44"/>
  <c r="AP268" i="44" s="1"/>
  <c r="M31" i="44"/>
  <c r="AP269" i="44" s="1"/>
  <c r="M32" i="44"/>
  <c r="AP270" i="44" s="1"/>
  <c r="M33" i="44"/>
  <c r="AP271" i="44" s="1"/>
  <c r="M34" i="44"/>
  <c r="AP272" i="44" s="1"/>
  <c r="M35" i="44"/>
  <c r="AP273" i="44" s="1"/>
  <c r="M36" i="44"/>
  <c r="AP274" i="44" s="1"/>
  <c r="M37" i="44"/>
  <c r="AP275" i="44" s="1"/>
  <c r="M38" i="44"/>
  <c r="AP276" i="44" s="1"/>
  <c r="M39" i="44"/>
  <c r="AQ247" i="44" s="1"/>
  <c r="M40" i="44"/>
  <c r="AQ248" i="44" s="1"/>
  <c r="M41" i="44"/>
  <c r="AQ249" i="44" s="1"/>
  <c r="M42" i="44"/>
  <c r="AQ250" i="44" s="1"/>
  <c r="M43" i="44"/>
  <c r="AQ251" i="44" s="1"/>
  <c r="M44" i="44"/>
  <c r="AQ252" i="44" s="1"/>
  <c r="M45" i="44"/>
  <c r="AQ253" i="44" s="1"/>
  <c r="M46" i="44"/>
  <c r="AQ254" i="44" s="1"/>
  <c r="M47" i="44"/>
  <c r="AQ255" i="44" s="1"/>
  <c r="M48" i="44"/>
  <c r="AQ256" i="44" s="1"/>
  <c r="M49" i="44"/>
  <c r="AQ257" i="44" s="1"/>
  <c r="M50" i="44"/>
  <c r="AQ258" i="44" s="1"/>
  <c r="M51" i="44"/>
  <c r="M52" i="44"/>
  <c r="AQ260" i="44" s="1"/>
  <c r="M53" i="44"/>
  <c r="AQ261" i="44" s="1"/>
  <c r="M54" i="44"/>
  <c r="AQ262" i="44" s="1"/>
  <c r="M55" i="44"/>
  <c r="AQ263" i="44" s="1"/>
  <c r="M56" i="44"/>
  <c r="AQ264" i="44" s="1"/>
  <c r="M57" i="44"/>
  <c r="M58" i="44"/>
  <c r="AQ266" i="44" s="1"/>
  <c r="M59" i="44"/>
  <c r="AQ267" i="44" s="1"/>
  <c r="M60" i="44"/>
  <c r="AQ268" i="44" s="1"/>
  <c r="M61" i="44"/>
  <c r="AQ269" i="44" s="1"/>
  <c r="M62" i="44"/>
  <c r="AQ270" i="44" s="1"/>
  <c r="M63" i="44"/>
  <c r="AQ271" i="44" s="1"/>
  <c r="M64" i="44"/>
  <c r="AQ272" i="44" s="1"/>
  <c r="M65" i="44"/>
  <c r="AQ273" i="44" s="1"/>
  <c r="M66" i="44"/>
  <c r="AQ274" i="44" s="1"/>
  <c r="M67" i="44"/>
  <c r="AQ275" i="44" s="1"/>
  <c r="M68" i="44"/>
  <c r="AQ276" i="44" s="1"/>
  <c r="M69" i="44"/>
  <c r="AQ277" i="44" s="1"/>
  <c r="M70" i="44"/>
  <c r="AR247" i="44" s="1"/>
  <c r="M71" i="44"/>
  <c r="AR248" i="44" s="1"/>
  <c r="M72" i="44"/>
  <c r="AR249" i="44" s="1"/>
  <c r="M73" i="44"/>
  <c r="AR250" i="44" s="1"/>
  <c r="M74" i="44"/>
  <c r="M75" i="44"/>
  <c r="AR252" i="44" s="1"/>
  <c r="M76" i="44"/>
  <c r="AR253" i="44" s="1"/>
  <c r="M77" i="44"/>
  <c r="AR254" i="44" s="1"/>
  <c r="M78" i="44"/>
  <c r="AR255" i="44" s="1"/>
  <c r="M79" i="44"/>
  <c r="M80" i="44"/>
  <c r="AR257" i="44" s="1"/>
  <c r="M81" i="44"/>
  <c r="AR258" i="44" s="1"/>
  <c r="M82" i="44"/>
  <c r="AR259" i="44" s="1"/>
  <c r="M83" i="44"/>
  <c r="AR260" i="44" s="1"/>
  <c r="M84" i="44"/>
  <c r="M85" i="44"/>
  <c r="AR262" i="44" s="1"/>
  <c r="M86" i="44"/>
  <c r="AR263" i="44" s="1"/>
  <c r="M87" i="44"/>
  <c r="AR264" i="44" s="1"/>
  <c r="M88" i="44"/>
  <c r="AR265" i="44" s="1"/>
  <c r="M89" i="44"/>
  <c r="AR266" i="44" s="1"/>
  <c r="M90" i="44"/>
  <c r="AR267" i="44" s="1"/>
  <c r="M91" i="44"/>
  <c r="AR268" i="44" s="1"/>
  <c r="M92" i="44"/>
  <c r="M93" i="44"/>
  <c r="AR270" i="44" s="1"/>
  <c r="M94" i="44"/>
  <c r="AR271" i="44" s="1"/>
  <c r="M95" i="44"/>
  <c r="AR272" i="44" s="1"/>
  <c r="M96" i="44"/>
  <c r="AR273" i="44" s="1"/>
  <c r="M97" i="44"/>
  <c r="AR274" i="44" s="1"/>
  <c r="M98" i="44"/>
  <c r="AR275" i="44" s="1"/>
  <c r="M99" i="44"/>
  <c r="AR276" i="44" s="1"/>
  <c r="M100" i="44"/>
  <c r="AS247" i="44" s="1"/>
  <c r="M101" i="44"/>
  <c r="AS248" i="44" s="1"/>
  <c r="M102" i="44"/>
  <c r="AS249" i="44" s="1"/>
  <c r="M103" i="44"/>
  <c r="AS250" i="44" s="1"/>
  <c r="M104" i="44"/>
  <c r="AS251" i="44" s="1"/>
  <c r="M105" i="44"/>
  <c r="AS252" i="44" s="1"/>
  <c r="M106" i="44"/>
  <c r="AS253" i="44" s="1"/>
  <c r="M107" i="44"/>
  <c r="AS254" i="44" s="1"/>
  <c r="M108" i="44"/>
  <c r="AS255" i="44" s="1"/>
  <c r="M109" i="44"/>
  <c r="AS256" i="44" s="1"/>
  <c r="M110" i="44"/>
  <c r="AS257" i="44" s="1"/>
  <c r="M111" i="44"/>
  <c r="AS258" i="44" s="1"/>
  <c r="M112" i="44"/>
  <c r="AS259" i="44" s="1"/>
  <c r="M113" i="44"/>
  <c r="AS260" i="44" s="1"/>
  <c r="M114" i="44"/>
  <c r="AS261" i="44" s="1"/>
  <c r="M115" i="44"/>
  <c r="AS262" i="44" s="1"/>
  <c r="M116" i="44"/>
  <c r="AS263" i="44" s="1"/>
  <c r="M117" i="44"/>
  <c r="AS264" i="44" s="1"/>
  <c r="M118" i="44"/>
  <c r="AS265" i="44" s="1"/>
  <c r="M119" i="44"/>
  <c r="AS266" i="44" s="1"/>
  <c r="M120" i="44"/>
  <c r="AS267" i="44" s="1"/>
  <c r="M121" i="44"/>
  <c r="AS268" i="44" s="1"/>
  <c r="M122" i="44"/>
  <c r="AS269" i="44" s="1"/>
  <c r="M123" i="44"/>
  <c r="AS270" i="44" s="1"/>
  <c r="M124" i="44"/>
  <c r="AS271" i="44" s="1"/>
  <c r="M125" i="44"/>
  <c r="AS272" i="44" s="1"/>
  <c r="M126" i="44"/>
  <c r="AS273" i="44" s="1"/>
  <c r="M127" i="44"/>
  <c r="AS274" i="44" s="1"/>
  <c r="M128" i="44"/>
  <c r="AS275" i="44" s="1"/>
  <c r="M129" i="44"/>
  <c r="AS276" i="44" s="1"/>
  <c r="M130" i="44"/>
  <c r="AS277" i="44" s="1"/>
  <c r="M131" i="44"/>
  <c r="AT247" i="44" s="1"/>
  <c r="M132" i="44"/>
  <c r="AT248" i="44" s="1"/>
  <c r="M133" i="44"/>
  <c r="AT249" i="44" s="1"/>
  <c r="M134" i="44"/>
  <c r="AT250" i="44" s="1"/>
  <c r="M135" i="44"/>
  <c r="AT251" i="44" s="1"/>
  <c r="M136" i="44"/>
  <c r="AT252" i="44" s="1"/>
  <c r="M137" i="44"/>
  <c r="AT253" i="44" s="1"/>
  <c r="M138" i="44"/>
  <c r="AT254" i="44" s="1"/>
  <c r="M139" i="44"/>
  <c r="AT255" i="44" s="1"/>
  <c r="M140" i="44"/>
  <c r="AT256" i="44" s="1"/>
  <c r="M141" i="44"/>
  <c r="AT257" i="44" s="1"/>
  <c r="M142" i="44"/>
  <c r="AT258" i="44" s="1"/>
  <c r="M143" i="44"/>
  <c r="AT259" i="44" s="1"/>
  <c r="M144" i="44"/>
  <c r="AT260" i="44" s="1"/>
  <c r="M145" i="44"/>
  <c r="AT261" i="44" s="1"/>
  <c r="M146" i="44"/>
  <c r="AT262" i="44" s="1"/>
  <c r="M147" i="44"/>
  <c r="AT263" i="44" s="1"/>
  <c r="M148" i="44"/>
  <c r="AT264" i="44" s="1"/>
  <c r="M149" i="44"/>
  <c r="AT265" i="44" s="1"/>
  <c r="M150" i="44"/>
  <c r="AT266" i="44" s="1"/>
  <c r="M151" i="44"/>
  <c r="AT267" i="44" s="1"/>
  <c r="M152" i="44"/>
  <c r="AT268" i="44" s="1"/>
  <c r="M153" i="44"/>
  <c r="AT269" i="44" s="1"/>
  <c r="M154" i="44"/>
  <c r="AT270" i="44" s="1"/>
  <c r="M155" i="44"/>
  <c r="AT271" i="44" s="1"/>
  <c r="M156" i="44"/>
  <c r="AT272" i="44" s="1"/>
  <c r="M157" i="44"/>
  <c r="AT273" i="44" s="1"/>
  <c r="M158" i="44"/>
  <c r="AT274" i="44" s="1"/>
  <c r="M159" i="44"/>
  <c r="AT275" i="44" s="1"/>
  <c r="M160" i="44"/>
  <c r="AT276" i="44" s="1"/>
  <c r="M161" i="44"/>
  <c r="AT277" i="44" s="1"/>
  <c r="M162" i="44"/>
  <c r="AU247" i="44" s="1"/>
  <c r="M163" i="44"/>
  <c r="AU248" i="44" s="1"/>
  <c r="M164" i="44"/>
  <c r="AU249" i="44" s="1"/>
  <c r="M165" i="44"/>
  <c r="AU250" i="44" s="1"/>
  <c r="M166" i="44"/>
  <c r="AU251" i="44" s="1"/>
  <c r="M167" i="44"/>
  <c r="AU252" i="44" s="1"/>
  <c r="M168" i="44"/>
  <c r="AU253" i="44" s="1"/>
  <c r="M169" i="44"/>
  <c r="M170" i="44"/>
  <c r="AU255" i="44" s="1"/>
  <c r="M171" i="44"/>
  <c r="AU256" i="44" s="1"/>
  <c r="M172" i="44"/>
  <c r="AU257" i="44" s="1"/>
  <c r="M173" i="44"/>
  <c r="M174" i="44"/>
  <c r="AU259" i="44" s="1"/>
  <c r="M175" i="44"/>
  <c r="AU260" i="44" s="1"/>
  <c r="M176" i="44"/>
  <c r="AU261" i="44" s="1"/>
  <c r="M177" i="44"/>
  <c r="AU262" i="44" s="1"/>
  <c r="M178" i="44"/>
  <c r="AU263" i="44" s="1"/>
  <c r="M179" i="44"/>
  <c r="AU264" i="44" s="1"/>
  <c r="M180" i="44"/>
  <c r="AU265" i="44" s="1"/>
  <c r="M181" i="44"/>
  <c r="AU266" i="44" s="1"/>
  <c r="M182" i="44"/>
  <c r="AU267" i="44" s="1"/>
  <c r="M183" i="44"/>
  <c r="AU268" i="44" s="1"/>
  <c r="M184" i="44"/>
  <c r="AU269" i="44" s="1"/>
  <c r="M185" i="44"/>
  <c r="AU270" i="44" s="1"/>
  <c r="M186" i="44"/>
  <c r="AU271" i="44" s="1"/>
  <c r="M187" i="44"/>
  <c r="AU272" i="44" s="1"/>
  <c r="M188" i="44"/>
  <c r="AU273" i="44" s="1"/>
  <c r="M189" i="44"/>
  <c r="AU274" i="44" s="1"/>
  <c r="M190" i="44"/>
  <c r="AU275" i="44" s="1"/>
  <c r="M191" i="44"/>
  <c r="AU276" i="44" s="1"/>
  <c r="M192" i="44"/>
  <c r="AV247" i="44" s="1"/>
  <c r="M193" i="44"/>
  <c r="AV248" i="44" s="1"/>
  <c r="M194" i="44"/>
  <c r="AV249" i="44" s="1"/>
  <c r="M195" i="44"/>
  <c r="AV250" i="44" s="1"/>
  <c r="M196" i="44"/>
  <c r="AV251" i="44" s="1"/>
  <c r="M197" i="44"/>
  <c r="AV252" i="44" s="1"/>
  <c r="M198" i="44"/>
  <c r="AV253" i="44" s="1"/>
  <c r="M199" i="44"/>
  <c r="AV254" i="44" s="1"/>
  <c r="M200" i="44"/>
  <c r="AV255" i="44" s="1"/>
  <c r="M201" i="44"/>
  <c r="AV256" i="44" s="1"/>
  <c r="M202" i="44"/>
  <c r="M203" i="44"/>
  <c r="AV258" i="44" s="1"/>
  <c r="M204" i="44"/>
  <c r="AV259" i="44" s="1"/>
  <c r="M205" i="44"/>
  <c r="AV260" i="44" s="1"/>
  <c r="M206" i="44"/>
  <c r="AV261" i="44" s="1"/>
  <c r="M207" i="44"/>
  <c r="AV262" i="44" s="1"/>
  <c r="M208" i="44"/>
  <c r="AV263" i="44" s="1"/>
  <c r="M209" i="44"/>
  <c r="AV264" i="44" s="1"/>
  <c r="M210" i="44"/>
  <c r="AV265" i="44" s="1"/>
  <c r="M211" i="44"/>
  <c r="AV266" i="44" s="1"/>
  <c r="M212" i="44"/>
  <c r="AV267" i="44" s="1"/>
  <c r="M213" i="44"/>
  <c r="AV268" i="44" s="1"/>
  <c r="M214" i="44"/>
  <c r="AV269" i="44" s="1"/>
  <c r="M215" i="44"/>
  <c r="AV270" i="44" s="1"/>
  <c r="M216" i="44"/>
  <c r="AV271" i="44" s="1"/>
  <c r="M217" i="44"/>
  <c r="AV272" i="44" s="1"/>
  <c r="M218" i="44"/>
  <c r="AV273" i="44" s="1"/>
  <c r="M219" i="44"/>
  <c r="AV274" i="44" s="1"/>
  <c r="M220" i="44"/>
  <c r="AV275" i="44" s="1"/>
  <c r="M221" i="44"/>
  <c r="AV276" i="44" s="1"/>
  <c r="M222" i="44"/>
  <c r="AV277" i="44" s="1"/>
  <c r="M223" i="44"/>
  <c r="AW247" i="44" s="1"/>
  <c r="M224" i="44"/>
  <c r="AW248" i="44" s="1"/>
  <c r="M225" i="44"/>
  <c r="AW249" i="44" s="1"/>
  <c r="M226" i="44"/>
  <c r="AW250" i="44" s="1"/>
  <c r="M227" i="44"/>
  <c r="AW251" i="44" s="1"/>
  <c r="M228" i="44"/>
  <c r="AW252" i="44" s="1"/>
  <c r="M229" i="44"/>
  <c r="AW253" i="44" s="1"/>
  <c r="M230" i="44"/>
  <c r="AW254" i="44" s="1"/>
  <c r="M231" i="44"/>
  <c r="AW255" i="44" s="1"/>
  <c r="M232" i="44"/>
  <c r="AW256" i="44" s="1"/>
  <c r="M233" i="44"/>
  <c r="AW257" i="44" s="1"/>
  <c r="M234" i="44"/>
  <c r="AW258" i="44" s="1"/>
  <c r="M235" i="44"/>
  <c r="AW259" i="44" s="1"/>
  <c r="M236" i="44"/>
  <c r="AW260" i="44" s="1"/>
  <c r="M237" i="44"/>
  <c r="AW261" i="44" s="1"/>
  <c r="M238" i="44"/>
  <c r="AW262" i="44" s="1"/>
  <c r="M239" i="44"/>
  <c r="AW263" i="44" s="1"/>
  <c r="M240" i="44"/>
  <c r="AW264" i="44" s="1"/>
  <c r="M241" i="44"/>
  <c r="AW265" i="44" s="1"/>
  <c r="M242" i="44"/>
  <c r="AW266" i="44" s="1"/>
  <c r="M243" i="44"/>
  <c r="AW267" i="44" s="1"/>
  <c r="M244" i="44"/>
  <c r="AW268" i="44" s="1"/>
  <c r="M245" i="44"/>
  <c r="AW269" i="44" s="1"/>
  <c r="M246" i="44"/>
  <c r="AW270" i="44" s="1"/>
  <c r="M247" i="44"/>
  <c r="AW271" i="44" s="1"/>
  <c r="M248" i="44"/>
  <c r="AW272" i="44" s="1"/>
  <c r="M249" i="44"/>
  <c r="AW273" i="44" s="1"/>
  <c r="M250" i="44"/>
  <c r="AW274" i="44" s="1"/>
  <c r="M251" i="44"/>
  <c r="AW275" i="44" s="1"/>
  <c r="M252" i="44"/>
  <c r="AW276" i="44" s="1"/>
  <c r="M253" i="44"/>
  <c r="M254" i="44"/>
  <c r="AX248" i="44" s="1"/>
  <c r="M255" i="44"/>
  <c r="AX249" i="44" s="1"/>
  <c r="M256" i="44"/>
  <c r="AX250" i="44" s="1"/>
  <c r="M257" i="44"/>
  <c r="AX251" i="44" s="1"/>
  <c r="M258" i="44"/>
  <c r="AX252" i="44" s="1"/>
  <c r="M259" i="44"/>
  <c r="AX253" i="44" s="1"/>
  <c r="M260" i="44"/>
  <c r="AX254" i="44" s="1"/>
  <c r="M261" i="44"/>
  <c r="AX255" i="44" s="1"/>
  <c r="M262" i="44"/>
  <c r="AX256" i="44" s="1"/>
  <c r="M263" i="44"/>
  <c r="AX257" i="44" s="1"/>
  <c r="M264" i="44"/>
  <c r="AX258" i="44" s="1"/>
  <c r="M265" i="44"/>
  <c r="AX259" i="44" s="1"/>
  <c r="M266" i="44"/>
  <c r="AX260" i="44" s="1"/>
  <c r="M267" i="44"/>
  <c r="AX261" i="44" s="1"/>
  <c r="M268" i="44"/>
  <c r="AX262" i="44" s="1"/>
  <c r="M269" i="44"/>
  <c r="AX263" i="44" s="1"/>
  <c r="M270" i="44"/>
  <c r="AX264" i="44" s="1"/>
  <c r="M271" i="44"/>
  <c r="AX265" i="44" s="1"/>
  <c r="M272" i="44"/>
  <c r="AX266" i="44" s="1"/>
  <c r="M273" i="44"/>
  <c r="AX267" i="44" s="1"/>
  <c r="M274" i="44"/>
  <c r="AX268" i="44" s="1"/>
  <c r="M275" i="44"/>
  <c r="AX269" i="44" s="1"/>
  <c r="M276" i="44"/>
  <c r="AX270" i="44" s="1"/>
  <c r="M277" i="44"/>
  <c r="AX271" i="44" s="1"/>
  <c r="M278" i="44"/>
  <c r="AX272" i="44" s="1"/>
  <c r="M279" i="44"/>
  <c r="AX273" i="44" s="1"/>
  <c r="M280" i="44"/>
  <c r="AX274" i="44" s="1"/>
  <c r="M281" i="44"/>
  <c r="AX275" i="44" s="1"/>
  <c r="M282" i="44"/>
  <c r="AX276" i="44" s="1"/>
  <c r="M283" i="44"/>
  <c r="AX277" i="44" s="1"/>
  <c r="M284" i="44"/>
  <c r="M285" i="44"/>
  <c r="AY248" i="44" s="1"/>
  <c r="M286" i="44"/>
  <c r="AY249" i="44" s="1"/>
  <c r="M287" i="44"/>
  <c r="AY250" i="44" s="1"/>
  <c r="M288" i="44"/>
  <c r="AY251" i="44" s="1"/>
  <c r="M289" i="44"/>
  <c r="AY252" i="44" s="1"/>
  <c r="M290" i="44"/>
  <c r="AY253" i="44" s="1"/>
  <c r="M291" i="44"/>
  <c r="AY254" i="44" s="1"/>
  <c r="M292" i="44"/>
  <c r="AY255" i="44" s="1"/>
  <c r="M293" i="44"/>
  <c r="AY256" i="44" s="1"/>
  <c r="M294" i="44"/>
  <c r="AY257" i="44" s="1"/>
  <c r="M295" i="44"/>
  <c r="AY258" i="44" s="1"/>
  <c r="M296" i="44"/>
  <c r="AY259" i="44" s="1"/>
  <c r="M297" i="44"/>
  <c r="AY260" i="44" s="1"/>
  <c r="M298" i="44"/>
  <c r="AY261" i="44" s="1"/>
  <c r="M299" i="44"/>
  <c r="AY262" i="44" s="1"/>
  <c r="M300" i="44"/>
  <c r="AY263" i="44" s="1"/>
  <c r="M301" i="44"/>
  <c r="M302" i="44"/>
  <c r="AY265" i="44" s="1"/>
  <c r="M303" i="44"/>
  <c r="AY266" i="44" s="1"/>
  <c r="M304" i="44"/>
  <c r="AY267" i="44" s="1"/>
  <c r="M305" i="44"/>
  <c r="AY268" i="44" s="1"/>
  <c r="M306" i="44"/>
  <c r="AY269" i="44" s="1"/>
  <c r="M307" i="44"/>
  <c r="AY270" i="44" s="1"/>
  <c r="M308" i="44"/>
  <c r="AY271" i="44" s="1"/>
  <c r="M309" i="44"/>
  <c r="AY272" i="44" s="1"/>
  <c r="M310" i="44"/>
  <c r="AY273" i="44" s="1"/>
  <c r="M311" i="44"/>
  <c r="AY274" i="44" s="1"/>
  <c r="M312" i="44"/>
  <c r="AY275" i="44" s="1"/>
  <c r="M313" i="44"/>
  <c r="AY276" i="44" s="1"/>
  <c r="M314" i="44"/>
  <c r="AY277" i="44" s="1"/>
  <c r="M315" i="44"/>
  <c r="AZ247" i="44" s="1"/>
  <c r="M316" i="44"/>
  <c r="AZ248" i="44" s="1"/>
  <c r="M317" i="44"/>
  <c r="AZ249" i="44" s="1"/>
  <c r="M318" i="44"/>
  <c r="AZ250" i="44" s="1"/>
  <c r="M319" i="44"/>
  <c r="AZ251" i="44" s="1"/>
  <c r="M320" i="44"/>
  <c r="AZ252" i="44" s="1"/>
  <c r="M321" i="44"/>
  <c r="AZ253" i="44" s="1"/>
  <c r="M322" i="44"/>
  <c r="AZ254" i="44" s="1"/>
  <c r="M323" i="44"/>
  <c r="AZ255" i="44" s="1"/>
  <c r="M324" i="44"/>
  <c r="AZ256" i="44" s="1"/>
  <c r="M325" i="44"/>
  <c r="AZ257" i="44" s="1"/>
  <c r="M326" i="44"/>
  <c r="AZ258" i="44" s="1"/>
  <c r="M327" i="44"/>
  <c r="AZ259" i="44" s="1"/>
  <c r="M328" i="44"/>
  <c r="AZ260" i="44" s="1"/>
  <c r="M329" i="44"/>
  <c r="AZ261" i="44" s="1"/>
  <c r="M330" i="44"/>
  <c r="AZ262" i="44" s="1"/>
  <c r="M331" i="44"/>
  <c r="AZ263" i="44" s="1"/>
  <c r="M332" i="44"/>
  <c r="AZ264" i="44" s="1"/>
  <c r="M333" i="44"/>
  <c r="AZ265" i="44" s="1"/>
  <c r="M334" i="44"/>
  <c r="AZ266" i="44" s="1"/>
  <c r="M335" i="44"/>
  <c r="AZ267" i="44" s="1"/>
  <c r="M336" i="44"/>
  <c r="AZ268" i="44" s="1"/>
  <c r="M337" i="44"/>
  <c r="AZ269" i="44" s="1"/>
  <c r="M338" i="44"/>
  <c r="AZ270" i="44" s="1"/>
  <c r="M339" i="44"/>
  <c r="AZ271" i="44" s="1"/>
  <c r="M340" i="44"/>
  <c r="AZ272" i="44" s="1"/>
  <c r="M341" i="44"/>
  <c r="AZ273" i="44" s="1"/>
  <c r="M342" i="44"/>
  <c r="AZ274" i="44" s="1"/>
  <c r="M9" i="44"/>
  <c r="K11" i="44"/>
  <c r="AP178" i="44" s="1"/>
  <c r="K12" i="44"/>
  <c r="AP179" i="44" s="1"/>
  <c r="K13" i="44"/>
  <c r="AP180" i="44" s="1"/>
  <c r="K14" i="44"/>
  <c r="AP181" i="44" s="1"/>
  <c r="K15" i="44"/>
  <c r="AP182" i="44" s="1"/>
  <c r="K16" i="44"/>
  <c r="AP183" i="44" s="1"/>
  <c r="K17" i="44"/>
  <c r="AP184" i="44" s="1"/>
  <c r="K18" i="44"/>
  <c r="AP185" i="44" s="1"/>
  <c r="K19" i="44"/>
  <c r="AP186" i="44" s="1"/>
  <c r="K20" i="44"/>
  <c r="AP187" i="44" s="1"/>
  <c r="K21" i="44"/>
  <c r="AP188" i="44" s="1"/>
  <c r="K22" i="44"/>
  <c r="AP189" i="44" s="1"/>
  <c r="K23" i="44"/>
  <c r="AP190" i="44" s="1"/>
  <c r="K24" i="44"/>
  <c r="AP191" i="44" s="1"/>
  <c r="K25" i="44"/>
  <c r="AP192" i="44" s="1"/>
  <c r="K26" i="44"/>
  <c r="AP193" i="44" s="1"/>
  <c r="K27" i="44"/>
  <c r="AP194" i="44" s="1"/>
  <c r="K28" i="44"/>
  <c r="AP195" i="44" s="1"/>
  <c r="K29" i="44"/>
  <c r="AP196" i="44" s="1"/>
  <c r="K30" i="44"/>
  <c r="AP197" i="44" s="1"/>
  <c r="K31" i="44"/>
  <c r="AP198" i="44" s="1"/>
  <c r="K32" i="44"/>
  <c r="AP199" i="44" s="1"/>
  <c r="K33" i="44"/>
  <c r="AP200" i="44" s="1"/>
  <c r="K34" i="44"/>
  <c r="AP201" i="44" s="1"/>
  <c r="K35" i="44"/>
  <c r="AP202" i="44" s="1"/>
  <c r="K36" i="44"/>
  <c r="AP203" i="44" s="1"/>
  <c r="K37" i="44"/>
  <c r="AP204" i="44" s="1"/>
  <c r="K38" i="44"/>
  <c r="AP205" i="44" s="1"/>
  <c r="K39" i="44"/>
  <c r="AQ176" i="44" s="1"/>
  <c r="K40" i="44"/>
  <c r="AQ177" i="44" s="1"/>
  <c r="K41" i="44"/>
  <c r="AQ178" i="44" s="1"/>
  <c r="K42" i="44"/>
  <c r="AQ179" i="44" s="1"/>
  <c r="K43" i="44"/>
  <c r="AQ180" i="44" s="1"/>
  <c r="K44" i="44"/>
  <c r="AQ181" i="44" s="1"/>
  <c r="K45" i="44"/>
  <c r="AQ182" i="44" s="1"/>
  <c r="K46" i="44"/>
  <c r="AQ183" i="44" s="1"/>
  <c r="K47" i="44"/>
  <c r="AQ184" i="44" s="1"/>
  <c r="K48" i="44"/>
  <c r="AQ185" i="44" s="1"/>
  <c r="K49" i="44"/>
  <c r="AQ186" i="44" s="1"/>
  <c r="K50" i="44"/>
  <c r="AQ187" i="44" s="1"/>
  <c r="K51" i="44"/>
  <c r="AQ188" i="44" s="1"/>
  <c r="K52" i="44"/>
  <c r="AQ189" i="44" s="1"/>
  <c r="K53" i="44"/>
  <c r="K54" i="44"/>
  <c r="AQ191" i="44" s="1"/>
  <c r="K55" i="44"/>
  <c r="AQ192" i="44" s="1"/>
  <c r="K56" i="44"/>
  <c r="K57" i="44"/>
  <c r="AQ194" i="44" s="1"/>
  <c r="K58" i="44"/>
  <c r="AQ195" i="44" s="1"/>
  <c r="K59" i="44"/>
  <c r="AQ196" i="44" s="1"/>
  <c r="K60" i="44"/>
  <c r="AQ197" i="44" s="1"/>
  <c r="K61" i="44"/>
  <c r="AQ198" i="44" s="1"/>
  <c r="K62" i="44"/>
  <c r="AQ199" i="44" s="1"/>
  <c r="K63" i="44"/>
  <c r="AQ200" i="44" s="1"/>
  <c r="K64" i="44"/>
  <c r="AQ201" i="44" s="1"/>
  <c r="K65" i="44"/>
  <c r="AQ202" i="44" s="1"/>
  <c r="K66" i="44"/>
  <c r="AQ203" i="44" s="1"/>
  <c r="K67" i="44"/>
  <c r="AQ204" i="44" s="1"/>
  <c r="K68" i="44"/>
  <c r="AQ205" i="44" s="1"/>
  <c r="K69" i="44"/>
  <c r="AQ206" i="44" s="1"/>
  <c r="K70" i="44"/>
  <c r="AR176" i="44" s="1"/>
  <c r="K71" i="44"/>
  <c r="AR177" i="44" s="1"/>
  <c r="K72" i="44"/>
  <c r="AR178" i="44" s="1"/>
  <c r="K73" i="44"/>
  <c r="AR179" i="44" s="1"/>
  <c r="K74" i="44"/>
  <c r="K75" i="44"/>
  <c r="AR181" i="44" s="1"/>
  <c r="K76" i="44"/>
  <c r="AR182" i="44" s="1"/>
  <c r="K77" i="44"/>
  <c r="AR183" i="44" s="1"/>
  <c r="K78" i="44"/>
  <c r="AR184" i="44" s="1"/>
  <c r="K79" i="44"/>
  <c r="K80" i="44"/>
  <c r="AR186" i="44" s="1"/>
  <c r="K81" i="44"/>
  <c r="AR187" i="44" s="1"/>
  <c r="K82" i="44"/>
  <c r="AR188" i="44" s="1"/>
  <c r="K83" i="44"/>
  <c r="AR189" i="44" s="1"/>
  <c r="K84" i="44"/>
  <c r="K85" i="44"/>
  <c r="AR191" i="44" s="1"/>
  <c r="K86" i="44"/>
  <c r="AR192" i="44" s="1"/>
  <c r="K87" i="44"/>
  <c r="AR193" i="44" s="1"/>
  <c r="K88" i="44"/>
  <c r="AR194" i="44" s="1"/>
  <c r="K89" i="44"/>
  <c r="AR195" i="44" s="1"/>
  <c r="K90" i="44"/>
  <c r="AR196" i="44" s="1"/>
  <c r="K91" i="44"/>
  <c r="K92" i="44"/>
  <c r="K93" i="44"/>
  <c r="AR199" i="44" s="1"/>
  <c r="K94" i="44"/>
  <c r="AR200" i="44" s="1"/>
  <c r="K95" i="44"/>
  <c r="AR201" i="44" s="1"/>
  <c r="K96" i="44"/>
  <c r="AR202" i="44" s="1"/>
  <c r="K97" i="44"/>
  <c r="AR203" i="44" s="1"/>
  <c r="K98" i="44"/>
  <c r="AR204" i="44" s="1"/>
  <c r="K99" i="44"/>
  <c r="AR205" i="44" s="1"/>
  <c r="K100" i="44"/>
  <c r="AS176" i="44" s="1"/>
  <c r="K101" i="44"/>
  <c r="AS177" i="44" s="1"/>
  <c r="K102" i="44"/>
  <c r="AS178" i="44" s="1"/>
  <c r="K103" i="44"/>
  <c r="AS179" i="44" s="1"/>
  <c r="K104" i="44"/>
  <c r="AS180" i="44" s="1"/>
  <c r="K105" i="44"/>
  <c r="AS181" i="44" s="1"/>
  <c r="K106" i="44"/>
  <c r="AS182" i="44" s="1"/>
  <c r="K107" i="44"/>
  <c r="AS183" i="44" s="1"/>
  <c r="K108" i="44"/>
  <c r="AS184" i="44" s="1"/>
  <c r="K109" i="44"/>
  <c r="AS185" i="44" s="1"/>
  <c r="K110" i="44"/>
  <c r="AS186" i="44" s="1"/>
  <c r="K111" i="44"/>
  <c r="AS187" i="44" s="1"/>
  <c r="K112" i="44"/>
  <c r="AS188" i="44" s="1"/>
  <c r="K113" i="44"/>
  <c r="AS189" i="44" s="1"/>
  <c r="K114" i="44"/>
  <c r="AS190" i="44" s="1"/>
  <c r="K115" i="44"/>
  <c r="AS191" i="44" s="1"/>
  <c r="K116" i="44"/>
  <c r="AS192" i="44" s="1"/>
  <c r="K117" i="44"/>
  <c r="AS193" i="44" s="1"/>
  <c r="K118" i="44"/>
  <c r="AS194" i="44" s="1"/>
  <c r="K119" i="44"/>
  <c r="AS195" i="44" s="1"/>
  <c r="K120" i="44"/>
  <c r="AS196" i="44" s="1"/>
  <c r="K121" i="44"/>
  <c r="AS197" i="44" s="1"/>
  <c r="K122" i="44"/>
  <c r="AS198" i="44" s="1"/>
  <c r="K123" i="44"/>
  <c r="AS199" i="44" s="1"/>
  <c r="K124" i="44"/>
  <c r="AS200" i="44" s="1"/>
  <c r="K125" i="44"/>
  <c r="AS201" i="44" s="1"/>
  <c r="K126" i="44"/>
  <c r="AS202" i="44" s="1"/>
  <c r="K127" i="44"/>
  <c r="AS203" i="44" s="1"/>
  <c r="K128" i="44"/>
  <c r="AS204" i="44" s="1"/>
  <c r="K129" i="44"/>
  <c r="AS205" i="44" s="1"/>
  <c r="K130" i="44"/>
  <c r="AS206" i="44" s="1"/>
  <c r="K131" i="44"/>
  <c r="AT176" i="44" s="1"/>
  <c r="K132" i="44"/>
  <c r="AT177" i="44" s="1"/>
  <c r="K133" i="44"/>
  <c r="AT178" i="44" s="1"/>
  <c r="K134" i="44"/>
  <c r="AT179" i="44" s="1"/>
  <c r="K135" i="44"/>
  <c r="AT180" i="44" s="1"/>
  <c r="K136" i="44"/>
  <c r="AT181" i="44" s="1"/>
  <c r="K137" i="44"/>
  <c r="AT182" i="44" s="1"/>
  <c r="K138" i="44"/>
  <c r="AT183" i="44" s="1"/>
  <c r="K139" i="44"/>
  <c r="AT184" i="44" s="1"/>
  <c r="K140" i="44"/>
  <c r="AT185" i="44" s="1"/>
  <c r="K141" i="44"/>
  <c r="AT186" i="44" s="1"/>
  <c r="K142" i="44"/>
  <c r="K143" i="44"/>
  <c r="AT188" i="44" s="1"/>
  <c r="K144" i="44"/>
  <c r="AT189" i="44" s="1"/>
  <c r="K145" i="44"/>
  <c r="AT190" i="44" s="1"/>
  <c r="K146" i="44"/>
  <c r="AT191" i="44" s="1"/>
  <c r="K147" i="44"/>
  <c r="AT192" i="44" s="1"/>
  <c r="K148" i="44"/>
  <c r="AT193" i="44" s="1"/>
  <c r="K149" i="44"/>
  <c r="AT194" i="44" s="1"/>
  <c r="K150" i="44"/>
  <c r="AT195" i="44" s="1"/>
  <c r="K151" i="44"/>
  <c r="AT196" i="44" s="1"/>
  <c r="K152" i="44"/>
  <c r="AT197" i="44" s="1"/>
  <c r="K153" i="44"/>
  <c r="AT198" i="44" s="1"/>
  <c r="K154" i="44"/>
  <c r="AT199" i="44" s="1"/>
  <c r="K155" i="44"/>
  <c r="AT200" i="44" s="1"/>
  <c r="K156" i="44"/>
  <c r="AT201" i="44" s="1"/>
  <c r="K157" i="44"/>
  <c r="AT202" i="44" s="1"/>
  <c r="K158" i="44"/>
  <c r="AT203" i="44" s="1"/>
  <c r="K159" i="44"/>
  <c r="AT204" i="44" s="1"/>
  <c r="K160" i="44"/>
  <c r="AT205" i="44" s="1"/>
  <c r="K161" i="44"/>
  <c r="AT206" i="44" s="1"/>
  <c r="K162" i="44"/>
  <c r="AU176" i="44" s="1"/>
  <c r="K163" i="44"/>
  <c r="AU177" i="44" s="1"/>
  <c r="K164" i="44"/>
  <c r="AU178" i="44" s="1"/>
  <c r="K165" i="44"/>
  <c r="AU179" i="44" s="1"/>
  <c r="K166" i="44"/>
  <c r="AU180" i="44" s="1"/>
  <c r="K167" i="44"/>
  <c r="AU181" i="44" s="1"/>
  <c r="K168" i="44"/>
  <c r="AU182" i="44" s="1"/>
  <c r="K169" i="44"/>
  <c r="K170" i="44"/>
  <c r="AU184" i="44" s="1"/>
  <c r="K171" i="44"/>
  <c r="AU185" i="44" s="1"/>
  <c r="K172" i="44"/>
  <c r="AU186" i="44" s="1"/>
  <c r="K173" i="44"/>
  <c r="AU187" i="44" s="1"/>
  <c r="K174" i="44"/>
  <c r="AU188" i="44" s="1"/>
  <c r="K175" i="44"/>
  <c r="AU189" i="44" s="1"/>
  <c r="K176" i="44"/>
  <c r="AU190" i="44" s="1"/>
  <c r="K177" i="44"/>
  <c r="AU191" i="44" s="1"/>
  <c r="K178" i="44"/>
  <c r="AU192" i="44" s="1"/>
  <c r="K179" i="44"/>
  <c r="AU193" i="44" s="1"/>
  <c r="K180" i="44"/>
  <c r="AU194" i="44" s="1"/>
  <c r="K181" i="44"/>
  <c r="AU195" i="44" s="1"/>
  <c r="K182" i="44"/>
  <c r="AU196" i="44" s="1"/>
  <c r="K183" i="44"/>
  <c r="AU197" i="44" s="1"/>
  <c r="K184" i="44"/>
  <c r="AU198" i="44" s="1"/>
  <c r="K185" i="44"/>
  <c r="AU199" i="44" s="1"/>
  <c r="K186" i="44"/>
  <c r="AU200" i="44" s="1"/>
  <c r="K187" i="44"/>
  <c r="AU201" i="44" s="1"/>
  <c r="K188" i="44"/>
  <c r="AU202" i="44" s="1"/>
  <c r="K189" i="44"/>
  <c r="AU203" i="44" s="1"/>
  <c r="K190" i="44"/>
  <c r="AU204" i="44" s="1"/>
  <c r="K191" i="44"/>
  <c r="AU205" i="44" s="1"/>
  <c r="K192" i="44"/>
  <c r="AV176" i="44" s="1"/>
  <c r="K193" i="44"/>
  <c r="AV177" i="44" s="1"/>
  <c r="K194" i="44"/>
  <c r="AV178" i="44" s="1"/>
  <c r="K195" i="44"/>
  <c r="AV179" i="44" s="1"/>
  <c r="K196" i="44"/>
  <c r="AV180" i="44" s="1"/>
  <c r="K197" i="44"/>
  <c r="AV181" i="44" s="1"/>
  <c r="K198" i="44"/>
  <c r="AV182" i="44" s="1"/>
  <c r="K199" i="44"/>
  <c r="AV183" i="44" s="1"/>
  <c r="K200" i="44"/>
  <c r="AV184" i="44" s="1"/>
  <c r="K201" i="44"/>
  <c r="AV185" i="44" s="1"/>
  <c r="K202" i="44"/>
  <c r="AV186" i="44" s="1"/>
  <c r="K203" i="44"/>
  <c r="AV187" i="44" s="1"/>
  <c r="K204" i="44"/>
  <c r="AV188" i="44" s="1"/>
  <c r="K205" i="44"/>
  <c r="AV189" i="44" s="1"/>
  <c r="K206" i="44"/>
  <c r="AV190" i="44" s="1"/>
  <c r="K207" i="44"/>
  <c r="AV191" i="44" s="1"/>
  <c r="K208" i="44"/>
  <c r="AV192" i="44" s="1"/>
  <c r="K209" i="44"/>
  <c r="AV193" i="44" s="1"/>
  <c r="K210" i="44"/>
  <c r="AV194" i="44" s="1"/>
  <c r="K211" i="44"/>
  <c r="AV195" i="44" s="1"/>
  <c r="K212" i="44"/>
  <c r="AV196" i="44" s="1"/>
  <c r="K213" i="44"/>
  <c r="AV197" i="44" s="1"/>
  <c r="K214" i="44"/>
  <c r="AV198" i="44" s="1"/>
  <c r="K215" i="44"/>
  <c r="AV199" i="44" s="1"/>
  <c r="K216" i="44"/>
  <c r="AV200" i="44" s="1"/>
  <c r="K217" i="44"/>
  <c r="AV201" i="44" s="1"/>
  <c r="K218" i="44"/>
  <c r="AV202" i="44" s="1"/>
  <c r="K219" i="44"/>
  <c r="AV203" i="44" s="1"/>
  <c r="K220" i="44"/>
  <c r="AV204" i="44" s="1"/>
  <c r="K221" i="44"/>
  <c r="AV205" i="44" s="1"/>
  <c r="K222" i="44"/>
  <c r="AV206" i="44" s="1"/>
  <c r="K223" i="44"/>
  <c r="AW176" i="44" s="1"/>
  <c r="K224" i="44"/>
  <c r="AW177" i="44" s="1"/>
  <c r="K225" i="44"/>
  <c r="AW178" i="44" s="1"/>
  <c r="K226" i="44"/>
  <c r="AW179" i="44" s="1"/>
  <c r="K227" i="44"/>
  <c r="AW180" i="44" s="1"/>
  <c r="K228" i="44"/>
  <c r="AW181" i="44" s="1"/>
  <c r="K229" i="44"/>
  <c r="AW182" i="44" s="1"/>
  <c r="K230" i="44"/>
  <c r="AW183" i="44" s="1"/>
  <c r="K231" i="44"/>
  <c r="AW184" i="44" s="1"/>
  <c r="K232" i="44"/>
  <c r="AW185" i="44" s="1"/>
  <c r="K233" i="44"/>
  <c r="AW186" i="44" s="1"/>
  <c r="K234" i="44"/>
  <c r="AW187" i="44" s="1"/>
  <c r="K235" i="44"/>
  <c r="AW188" i="44" s="1"/>
  <c r="K236" i="44"/>
  <c r="AW189" i="44" s="1"/>
  <c r="K237" i="44"/>
  <c r="AW190" i="44" s="1"/>
  <c r="K238" i="44"/>
  <c r="AW191" i="44" s="1"/>
  <c r="K239" i="44"/>
  <c r="AW192" i="44" s="1"/>
  <c r="K240" i="44"/>
  <c r="AW193" i="44" s="1"/>
  <c r="K241" i="44"/>
  <c r="AW194" i="44" s="1"/>
  <c r="K242" i="44"/>
  <c r="AW195" i="44" s="1"/>
  <c r="K243" i="44"/>
  <c r="AW196" i="44" s="1"/>
  <c r="K244" i="44"/>
  <c r="AW197" i="44" s="1"/>
  <c r="K245" i="44"/>
  <c r="AW198" i="44" s="1"/>
  <c r="K246" i="44"/>
  <c r="AW199" i="44" s="1"/>
  <c r="K247" i="44"/>
  <c r="AW200" i="44" s="1"/>
  <c r="K248" i="44"/>
  <c r="AW201" i="44" s="1"/>
  <c r="K249" i="44"/>
  <c r="K250" i="44"/>
  <c r="AW203" i="44" s="1"/>
  <c r="K251" i="44"/>
  <c r="AW204" i="44" s="1"/>
  <c r="K252" i="44"/>
  <c r="AW205" i="44" s="1"/>
  <c r="K253" i="44"/>
  <c r="AX176" i="44" s="1"/>
  <c r="K254" i="44"/>
  <c r="AX177" i="44" s="1"/>
  <c r="K255" i="44"/>
  <c r="AX178" i="44" s="1"/>
  <c r="K256" i="44"/>
  <c r="AX179" i="44" s="1"/>
  <c r="K257" i="44"/>
  <c r="AX180" i="44" s="1"/>
  <c r="K258" i="44"/>
  <c r="AX181" i="44" s="1"/>
  <c r="K259" i="44"/>
  <c r="AX182" i="44" s="1"/>
  <c r="K260" i="44"/>
  <c r="AX183" i="44" s="1"/>
  <c r="K261" i="44"/>
  <c r="AX184" i="44" s="1"/>
  <c r="K262" i="44"/>
  <c r="AX185" i="44" s="1"/>
  <c r="K263" i="44"/>
  <c r="AX186" i="44" s="1"/>
  <c r="K264" i="44"/>
  <c r="K265" i="44"/>
  <c r="AX188" i="44" s="1"/>
  <c r="K266" i="44"/>
  <c r="AX189" i="44" s="1"/>
  <c r="K267" i="44"/>
  <c r="AX190" i="44" s="1"/>
  <c r="K268" i="44"/>
  <c r="AX191" i="44" s="1"/>
  <c r="K269" i="44"/>
  <c r="AX192" i="44" s="1"/>
  <c r="K270" i="44"/>
  <c r="AX193" i="44" s="1"/>
  <c r="K271" i="44"/>
  <c r="AX194" i="44" s="1"/>
  <c r="K272" i="44"/>
  <c r="AX195" i="44" s="1"/>
  <c r="K273" i="44"/>
  <c r="AX196" i="44" s="1"/>
  <c r="K274" i="44"/>
  <c r="AX197" i="44" s="1"/>
  <c r="K275" i="44"/>
  <c r="AX198" i="44" s="1"/>
  <c r="K276" i="44"/>
  <c r="AX199" i="44" s="1"/>
  <c r="K277" i="44"/>
  <c r="AX200" i="44" s="1"/>
  <c r="K278" i="44"/>
  <c r="AX201" i="44" s="1"/>
  <c r="K279" i="44"/>
  <c r="AX202" i="44" s="1"/>
  <c r="K280" i="44"/>
  <c r="AX203" i="44" s="1"/>
  <c r="K281" i="44"/>
  <c r="AX204" i="44" s="1"/>
  <c r="K282" i="44"/>
  <c r="AX205" i="44" s="1"/>
  <c r="K283" i="44"/>
  <c r="AX206" i="44" s="1"/>
  <c r="K284" i="44"/>
  <c r="AY176" i="44" s="1"/>
  <c r="K285" i="44"/>
  <c r="AY177" i="44" s="1"/>
  <c r="K286" i="44"/>
  <c r="AY178" i="44" s="1"/>
  <c r="K287" i="44"/>
  <c r="AY179" i="44" s="1"/>
  <c r="K288" i="44"/>
  <c r="AY180" i="44" s="1"/>
  <c r="K289" i="44"/>
  <c r="AY181" i="44" s="1"/>
  <c r="K290" i="44"/>
  <c r="AY182" i="44" s="1"/>
  <c r="K291" i="44"/>
  <c r="AY183" i="44" s="1"/>
  <c r="K292" i="44"/>
  <c r="AY184" i="44" s="1"/>
  <c r="K293" i="44"/>
  <c r="AY185" i="44" s="1"/>
  <c r="K294" i="44"/>
  <c r="AY186" i="44" s="1"/>
  <c r="K295" i="44"/>
  <c r="AY187" i="44" s="1"/>
  <c r="K296" i="44"/>
  <c r="AY188" i="44" s="1"/>
  <c r="K297" i="44"/>
  <c r="AY189" i="44" s="1"/>
  <c r="K298" i="44"/>
  <c r="AY190" i="44" s="1"/>
  <c r="K299" i="44"/>
  <c r="AY191" i="44" s="1"/>
  <c r="K300" i="44"/>
  <c r="AY192" i="44" s="1"/>
  <c r="K301" i="44"/>
  <c r="K302" i="44"/>
  <c r="AY194" i="44" s="1"/>
  <c r="K303" i="44"/>
  <c r="AY195" i="44" s="1"/>
  <c r="K304" i="44"/>
  <c r="AY196" i="44" s="1"/>
  <c r="K305" i="44"/>
  <c r="AY197" i="44" s="1"/>
  <c r="K306" i="44"/>
  <c r="AY198" i="44" s="1"/>
  <c r="K307" i="44"/>
  <c r="AY199" i="44" s="1"/>
  <c r="K308" i="44"/>
  <c r="AY200" i="44" s="1"/>
  <c r="K309" i="44"/>
  <c r="AY201" i="44" s="1"/>
  <c r="K310" i="44"/>
  <c r="AY202" i="44" s="1"/>
  <c r="K311" i="44"/>
  <c r="AY203" i="44" s="1"/>
  <c r="K312" i="44"/>
  <c r="AY204" i="44" s="1"/>
  <c r="K313" i="44"/>
  <c r="AY205" i="44" s="1"/>
  <c r="K314" i="44"/>
  <c r="AY206" i="44" s="1"/>
  <c r="K315" i="44"/>
  <c r="AZ176" i="44" s="1"/>
  <c r="K316" i="44"/>
  <c r="AZ177" i="44" s="1"/>
  <c r="K317" i="44"/>
  <c r="AZ178" i="44" s="1"/>
  <c r="K318" i="44"/>
  <c r="K319" i="44"/>
  <c r="AZ180" i="44" s="1"/>
  <c r="K320" i="44"/>
  <c r="AZ181" i="44" s="1"/>
  <c r="K321" i="44"/>
  <c r="AZ182" i="44" s="1"/>
  <c r="K322" i="44"/>
  <c r="AZ183" i="44" s="1"/>
  <c r="K323" i="44"/>
  <c r="AZ184" i="44" s="1"/>
  <c r="K324" i="44"/>
  <c r="AZ185" i="44" s="1"/>
  <c r="K325" i="44"/>
  <c r="AZ186" i="44" s="1"/>
  <c r="K326" i="44"/>
  <c r="AZ187" i="44" s="1"/>
  <c r="K327" i="44"/>
  <c r="AZ188" i="44" s="1"/>
  <c r="K328" i="44"/>
  <c r="AZ189" i="44" s="1"/>
  <c r="K329" i="44"/>
  <c r="AZ190" i="44" s="1"/>
  <c r="K330" i="44"/>
  <c r="AZ191" i="44" s="1"/>
  <c r="K331" i="44"/>
  <c r="AZ192" i="44" s="1"/>
  <c r="K332" i="44"/>
  <c r="AZ193" i="44" s="1"/>
  <c r="K333" i="44"/>
  <c r="AZ194" i="44" s="1"/>
  <c r="K334" i="44"/>
  <c r="AZ195" i="44" s="1"/>
  <c r="K335" i="44"/>
  <c r="AZ196" i="44" s="1"/>
  <c r="K336" i="44"/>
  <c r="AZ197" i="44" s="1"/>
  <c r="K337" i="44"/>
  <c r="AZ198" i="44" s="1"/>
  <c r="K338" i="44"/>
  <c r="AZ199" i="44" s="1"/>
  <c r="K339" i="44"/>
  <c r="AZ200" i="44" s="1"/>
  <c r="K340" i="44"/>
  <c r="AZ201" i="44" s="1"/>
  <c r="K341" i="44"/>
  <c r="AZ202" i="44" s="1"/>
  <c r="K342" i="44"/>
  <c r="AZ203" i="44" s="1"/>
  <c r="K9" i="44"/>
  <c r="BF152" i="48" l="1"/>
  <c r="AY334" i="48"/>
  <c r="BE152" i="48"/>
  <c r="AX334" i="48"/>
  <c r="AV257" i="44"/>
  <c r="AV278" i="44" s="1"/>
  <c r="O15" i="45"/>
  <c r="H12" i="47" s="1"/>
  <c r="AR198" i="44"/>
  <c r="BB198" i="44" s="1"/>
  <c r="AR269" i="44"/>
  <c r="BB269" i="44" s="1"/>
  <c r="O14" i="45"/>
  <c r="H11" i="47" s="1"/>
  <c r="AR197" i="44"/>
  <c r="BB197" i="44" s="1"/>
  <c r="BD47" i="42"/>
  <c r="BP64" i="42"/>
  <c r="AQ265" i="44"/>
  <c r="BB265" i="44" s="1"/>
  <c r="O21" i="45"/>
  <c r="H18" i="47" s="1"/>
  <c r="AQ193" i="44"/>
  <c r="AQ190" i="44"/>
  <c r="AQ259" i="44"/>
  <c r="AQ278" i="44" s="1"/>
  <c r="AZ179" i="44"/>
  <c r="BB179" i="44" s="1"/>
  <c r="AY264" i="44"/>
  <c r="BB264" i="44" s="1"/>
  <c r="O16" i="45"/>
  <c r="H13" i="47" s="1"/>
  <c r="AY193" i="44"/>
  <c r="AY207" i="44" s="1"/>
  <c r="AU254" i="44"/>
  <c r="BB254" i="44" s="1"/>
  <c r="O13" i="45"/>
  <c r="H10" i="47" s="1"/>
  <c r="AU183" i="44"/>
  <c r="BB183" i="44" s="1"/>
  <c r="AR251" i="44"/>
  <c r="BB251" i="44" s="1"/>
  <c r="O11" i="45"/>
  <c r="H8" i="47" s="1"/>
  <c r="AR180" i="44"/>
  <c r="BB180" i="44" s="1"/>
  <c r="AU258" i="44"/>
  <c r="O9" i="45"/>
  <c r="H6" i="47" s="1"/>
  <c r="AT187" i="44"/>
  <c r="AT207" i="44" s="1"/>
  <c r="AY247" i="44"/>
  <c r="O12" i="45"/>
  <c r="H9" i="47" s="1"/>
  <c r="AP247" i="44"/>
  <c r="AP278" i="44" s="1"/>
  <c r="O19" i="45"/>
  <c r="H16" i="47" s="1"/>
  <c r="AX247" i="44"/>
  <c r="AX278" i="44" s="1"/>
  <c r="O17" i="45"/>
  <c r="H14" i="47" s="1"/>
  <c r="AR256" i="44"/>
  <c r="BB256" i="44" s="1"/>
  <c r="AR261" i="44"/>
  <c r="AR190" i="44"/>
  <c r="AX187" i="44"/>
  <c r="BB187" i="44" s="1"/>
  <c r="K375" i="44"/>
  <c r="AW202" i="44"/>
  <c r="AW207" i="44" s="1"/>
  <c r="AR185" i="44"/>
  <c r="BB185" i="44" s="1"/>
  <c r="AP176" i="44"/>
  <c r="BB176" i="44" s="1"/>
  <c r="O9" i="44"/>
  <c r="AS278" i="44"/>
  <c r="BB276" i="44"/>
  <c r="BB274" i="44"/>
  <c r="BB272" i="44"/>
  <c r="BB270" i="44"/>
  <c r="BB268" i="44"/>
  <c r="BB266" i="44"/>
  <c r="BB262" i="44"/>
  <c r="BB260" i="44"/>
  <c r="BB252" i="44"/>
  <c r="BB250" i="44"/>
  <c r="BB248" i="44"/>
  <c r="AZ278" i="44"/>
  <c r="AW278" i="44"/>
  <c r="AT278" i="44"/>
  <c r="BB277" i="44"/>
  <c r="BB275" i="44"/>
  <c r="BB273" i="44"/>
  <c r="BB271" i="44"/>
  <c r="BB267" i="44"/>
  <c r="BB263" i="44"/>
  <c r="BB257" i="44"/>
  <c r="BB255" i="44"/>
  <c r="BB253" i="44"/>
  <c r="BB249" i="44"/>
  <c r="BB206" i="44"/>
  <c r="BB204" i="44"/>
  <c r="BB200" i="44"/>
  <c r="BB196" i="44"/>
  <c r="BB194" i="44"/>
  <c r="BB192" i="44"/>
  <c r="BB188" i="44"/>
  <c r="BB186" i="44"/>
  <c r="BB184" i="44"/>
  <c r="BB182" i="44"/>
  <c r="BB178" i="44"/>
  <c r="AV207" i="44"/>
  <c r="AS207" i="44"/>
  <c r="BB205" i="44"/>
  <c r="BB203" i="44"/>
  <c r="BB201" i="44"/>
  <c r="BB199" i="44"/>
  <c r="BB195" i="44"/>
  <c r="BB191" i="44"/>
  <c r="BB189" i="44"/>
  <c r="BB181" i="44"/>
  <c r="BB177" i="44"/>
  <c r="M375" i="44"/>
  <c r="AL68" i="48"/>
  <c r="AL67" i="48"/>
  <c r="AL66" i="48"/>
  <c r="AL65" i="48"/>
  <c r="AL64" i="48"/>
  <c r="AL63" i="48"/>
  <c r="AL62" i="48"/>
  <c r="AL61" i="48"/>
  <c r="AL60" i="48"/>
  <c r="AL59" i="48"/>
  <c r="AL58" i="48"/>
  <c r="AL57" i="48"/>
  <c r="AL56" i="48"/>
  <c r="AL55" i="48"/>
  <c r="AL54" i="48"/>
  <c r="AL53" i="48"/>
  <c r="AL52" i="48"/>
  <c r="AL51" i="48"/>
  <c r="AL50" i="48"/>
  <c r="AL49" i="48"/>
  <c r="AL48" i="48"/>
  <c r="AL47" i="48"/>
  <c r="AL46" i="48"/>
  <c r="AL45" i="48"/>
  <c r="AL44" i="48"/>
  <c r="AL43" i="48"/>
  <c r="AL42" i="48"/>
  <c r="AL41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L28" i="48"/>
  <c r="AL27" i="48"/>
  <c r="AL26" i="48"/>
  <c r="AL25" i="48"/>
  <c r="AL24" i="48"/>
  <c r="AL23" i="48"/>
  <c r="AL22" i="48"/>
  <c r="AL21" i="48"/>
  <c r="AL20" i="48"/>
  <c r="AL19" i="48"/>
  <c r="AL18" i="48"/>
  <c r="AL17" i="48"/>
  <c r="AL16" i="48"/>
  <c r="AL15" i="48"/>
  <c r="AL14" i="48"/>
  <c r="AL13" i="48"/>
  <c r="AL12" i="48"/>
  <c r="AL11" i="48"/>
  <c r="AZ207" i="44" l="1"/>
  <c r="BE153" i="48"/>
  <c r="AX355" i="48"/>
  <c r="BF153" i="48"/>
  <c r="AY355" i="48"/>
  <c r="AU207" i="44"/>
  <c r="AQ207" i="44"/>
  <c r="BB193" i="44"/>
  <c r="I15" i="45"/>
  <c r="F12" i="47" s="1"/>
  <c r="K15" i="45"/>
  <c r="I14" i="45"/>
  <c r="F11" i="47" s="1"/>
  <c r="K14" i="45"/>
  <c r="BP65" i="42"/>
  <c r="BD48" i="42"/>
  <c r="BB259" i="44"/>
  <c r="BB190" i="44"/>
  <c r="AY278" i="44"/>
  <c r="AU278" i="44"/>
  <c r="K21" i="45"/>
  <c r="I21" i="45"/>
  <c r="F18" i="47" s="1"/>
  <c r="K20" i="45"/>
  <c r="L20" i="45" s="1"/>
  <c r="G17" i="47" s="1"/>
  <c r="I20" i="45"/>
  <c r="F17" i="47" s="1"/>
  <c r="O20" i="45"/>
  <c r="BB258" i="44"/>
  <c r="K18" i="45"/>
  <c r="I18" i="45"/>
  <c r="F15" i="47" s="1"/>
  <c r="K16" i="45"/>
  <c r="I16" i="45"/>
  <c r="F13" i="47" s="1"/>
  <c r="K13" i="45"/>
  <c r="I13" i="45"/>
  <c r="F10" i="47" s="1"/>
  <c r="K11" i="45"/>
  <c r="I11" i="45"/>
  <c r="F8" i="47" s="1"/>
  <c r="I9" i="45"/>
  <c r="F6" i="47" s="1"/>
  <c r="K9" i="45"/>
  <c r="BB202" i="44"/>
  <c r="AX207" i="44"/>
  <c r="BB247" i="44"/>
  <c r="AR278" i="44"/>
  <c r="AR207" i="44"/>
  <c r="BB261" i="44"/>
  <c r="N22" i="45"/>
  <c r="O10" i="45"/>
  <c r="H7" i="47" s="1"/>
  <c r="K10" i="45"/>
  <c r="H22" i="45"/>
  <c r="I10" i="45"/>
  <c r="F7" i="47" s="1"/>
  <c r="K17" i="45"/>
  <c r="I17" i="45"/>
  <c r="F14" i="47" s="1"/>
  <c r="K19" i="45"/>
  <c r="I19" i="45"/>
  <c r="F16" i="47" s="1"/>
  <c r="K12" i="45"/>
  <c r="I12" i="45"/>
  <c r="F9" i="47" s="1"/>
  <c r="AP207" i="44"/>
  <c r="O375" i="44"/>
  <c r="O10" i="44"/>
  <c r="Q20" i="45" l="1"/>
  <c r="BF154" i="48"/>
  <c r="AY376" i="48"/>
  <c r="BF157" i="48" s="1"/>
  <c r="BE154" i="48"/>
  <c r="AX376" i="48"/>
  <c r="BE157" i="48" s="1"/>
  <c r="Q15" i="45"/>
  <c r="L15" i="45"/>
  <c r="Q14" i="45"/>
  <c r="L14" i="45"/>
  <c r="BD49" i="42"/>
  <c r="BP66" i="42"/>
  <c r="BB278" i="44"/>
  <c r="Q21" i="45"/>
  <c r="L21" i="45"/>
  <c r="H17" i="47"/>
  <c r="H19" i="47" s="1"/>
  <c r="R20" i="45"/>
  <c r="I17" i="47" s="1"/>
  <c r="L18" i="45"/>
  <c r="Q18" i="45"/>
  <c r="Q16" i="45"/>
  <c r="L16" i="45"/>
  <c r="Q13" i="45"/>
  <c r="L13" i="45"/>
  <c r="Q11" i="45"/>
  <c r="L11" i="45"/>
  <c r="Q9" i="45"/>
  <c r="L9" i="45"/>
  <c r="F19" i="47"/>
  <c r="O22" i="45"/>
  <c r="BB207" i="44"/>
  <c r="I22" i="45"/>
  <c r="Q10" i="45"/>
  <c r="K22" i="45"/>
  <c r="L10" i="45"/>
  <c r="G7" i="47" s="1"/>
  <c r="Q12" i="45"/>
  <c r="L12" i="45"/>
  <c r="Q19" i="45"/>
  <c r="L19" i="45"/>
  <c r="Q17" i="45"/>
  <c r="L17" i="45"/>
  <c r="O11" i="44"/>
  <c r="L8" i="37"/>
  <c r="L7" i="37"/>
  <c r="D8" i="37"/>
  <c r="D7" i="37"/>
  <c r="I8" i="48" l="1"/>
  <c r="I30" i="48"/>
  <c r="J30" i="48"/>
  <c r="J8" i="48"/>
  <c r="G12" i="47"/>
  <c r="R15" i="45"/>
  <c r="I12" i="47" s="1"/>
  <c r="G11" i="47"/>
  <c r="R14" i="45"/>
  <c r="I11" i="47" s="1"/>
  <c r="BP67" i="42"/>
  <c r="BD50" i="42"/>
  <c r="R21" i="45"/>
  <c r="I18" i="47" s="1"/>
  <c r="G18" i="47"/>
  <c r="G15" i="47"/>
  <c r="R18" i="45"/>
  <c r="I15" i="47" s="1"/>
  <c r="G13" i="47"/>
  <c r="R16" i="45"/>
  <c r="I13" i="47" s="1"/>
  <c r="G10" i="47"/>
  <c r="R13" i="45"/>
  <c r="I10" i="47" s="1"/>
  <c r="G8" i="47"/>
  <c r="R11" i="45"/>
  <c r="I8" i="47" s="1"/>
  <c r="G6" i="47"/>
  <c r="R9" i="45"/>
  <c r="I6" i="47" s="1"/>
  <c r="R17" i="45"/>
  <c r="I14" i="47" s="1"/>
  <c r="G14" i="47"/>
  <c r="R19" i="45"/>
  <c r="I16" i="47" s="1"/>
  <c r="G16" i="47"/>
  <c r="R12" i="45"/>
  <c r="I9" i="47" s="1"/>
  <c r="G9" i="47"/>
  <c r="Q22" i="45"/>
  <c r="R10" i="45"/>
  <c r="I7" i="47" s="1"/>
  <c r="L22" i="45"/>
  <c r="O12" i="44"/>
  <c r="BD60" i="42" l="1"/>
  <c r="M53" i="47" s="1"/>
  <c r="K51" i="47"/>
  <c r="BP68" i="42"/>
  <c r="I19" i="47"/>
  <c r="G19" i="47"/>
  <c r="R22" i="45"/>
  <c r="O13" i="44"/>
  <c r="C8" i="41"/>
  <c r="D8" i="41" s="1"/>
  <c r="F5" i="41"/>
  <c r="D5" i="41"/>
  <c r="J4" i="41"/>
  <c r="D4" i="41"/>
  <c r="E3" i="41"/>
  <c r="J2" i="41"/>
  <c r="I2" i="41"/>
  <c r="C8" i="40"/>
  <c r="C9" i="40" s="1"/>
  <c r="C10" i="40" s="1"/>
  <c r="J2" i="40"/>
  <c r="I2" i="40"/>
  <c r="F79" i="47" l="1"/>
  <c r="N52" i="47"/>
  <c r="E50" i="47"/>
  <c r="E70" i="47"/>
  <c r="L71" i="47"/>
  <c r="E65" i="47"/>
  <c r="I87" i="47" s="1"/>
  <c r="R88" i="47" s="1"/>
  <c r="D65" i="47"/>
  <c r="G67" i="47"/>
  <c r="H71" i="47"/>
  <c r="C56" i="47"/>
  <c r="C78" i="47"/>
  <c r="L77" i="47"/>
  <c r="J56" i="47"/>
  <c r="M78" i="47"/>
  <c r="H62" i="47"/>
  <c r="J74" i="47"/>
  <c r="H75" i="47"/>
  <c r="K61" i="47"/>
  <c r="L72" i="47"/>
  <c r="D72" i="47"/>
  <c r="F66" i="47"/>
  <c r="D73" i="47"/>
  <c r="N59" i="47"/>
  <c r="N79" i="47"/>
  <c r="K66" i="47"/>
  <c r="L58" i="47"/>
  <c r="F56" i="47"/>
  <c r="E75" i="47"/>
  <c r="L61" i="47"/>
  <c r="F67" i="47"/>
  <c r="N64" i="47"/>
  <c r="M57" i="47"/>
  <c r="H65" i="47"/>
  <c r="E57" i="47"/>
  <c r="D75" i="47"/>
  <c r="G59" i="47"/>
  <c r="F78" i="47"/>
  <c r="K73" i="47"/>
  <c r="M70" i="47"/>
  <c r="L68" i="47"/>
  <c r="L70" i="47"/>
  <c r="F69" i="47"/>
  <c r="L69" i="47"/>
  <c r="E71" i="47"/>
  <c r="N70" i="47"/>
  <c r="E76" i="47"/>
  <c r="F60" i="47"/>
  <c r="G65" i="47"/>
  <c r="M68" i="47"/>
  <c r="N72" i="47"/>
  <c r="N78" i="47"/>
  <c r="D63" i="47"/>
  <c r="N57" i="47"/>
  <c r="H58" i="47"/>
  <c r="J62" i="47"/>
  <c r="H56" i="47"/>
  <c r="C75" i="47"/>
  <c r="N62" i="47"/>
  <c r="J61" i="47"/>
  <c r="H64" i="47"/>
  <c r="M67" i="47"/>
  <c r="G78" i="47"/>
  <c r="M77" i="47"/>
  <c r="J55" i="47"/>
  <c r="F76" i="47"/>
  <c r="C74" i="47"/>
  <c r="G54" i="47"/>
  <c r="I98" i="47"/>
  <c r="J58" i="47"/>
  <c r="G76" i="47"/>
  <c r="C55" i="47"/>
  <c r="M54" i="47"/>
  <c r="M75" i="47"/>
  <c r="D64" i="47"/>
  <c r="K59" i="47"/>
  <c r="E66" i="47"/>
  <c r="M79" i="47"/>
  <c r="O79" i="47" s="1"/>
  <c r="N68" i="47"/>
  <c r="O68" i="47" s="1"/>
  <c r="E68" i="47"/>
  <c r="N67" i="47"/>
  <c r="O67" i="47" s="1"/>
  <c r="N71" i="47"/>
  <c r="N69" i="47"/>
  <c r="C71" i="47"/>
  <c r="F70" i="47"/>
  <c r="F73" i="47"/>
  <c r="D55" i="47"/>
  <c r="H78" i="47"/>
  <c r="I78" i="47" s="1"/>
  <c r="J73" i="47"/>
  <c r="J69" i="47"/>
  <c r="G71" i="47"/>
  <c r="I71" i="47" s="1"/>
  <c r="E69" i="47"/>
  <c r="F74" i="47"/>
  <c r="N77" i="47"/>
  <c r="E55" i="47"/>
  <c r="M55" i="47"/>
  <c r="M76" i="47"/>
  <c r="D61" i="47"/>
  <c r="E79" i="47"/>
  <c r="D70" i="47"/>
  <c r="M72" i="47"/>
  <c r="C73" i="47"/>
  <c r="D79" i="47"/>
  <c r="G66" i="47"/>
  <c r="L79" i="47"/>
  <c r="L62" i="47"/>
  <c r="E62" i="47"/>
  <c r="C54" i="47"/>
  <c r="K57" i="47"/>
  <c r="L64" i="47"/>
  <c r="D58" i="47"/>
  <c r="E60" i="47"/>
  <c r="K56" i="47"/>
  <c r="C62" i="47"/>
  <c r="G61" i="47"/>
  <c r="C64" i="47"/>
  <c r="J60" i="47"/>
  <c r="G63" i="47"/>
  <c r="M61" i="47"/>
  <c r="C57" i="47"/>
  <c r="L76" i="47"/>
  <c r="L52" i="47"/>
  <c r="L53" i="47"/>
  <c r="K68" i="47"/>
  <c r="G68" i="47"/>
  <c r="M66" i="47"/>
  <c r="J66" i="47"/>
  <c r="E58" i="47"/>
  <c r="M59" i="47"/>
  <c r="O59" i="47" s="1"/>
  <c r="G60" i="47"/>
  <c r="E59" i="47"/>
  <c r="M64" i="47"/>
  <c r="E64" i="47"/>
  <c r="E54" i="47"/>
  <c r="H54" i="47"/>
  <c r="I54" i="47" s="1"/>
  <c r="M62" i="47"/>
  <c r="O62" i="47" s="1"/>
  <c r="K52" i="47"/>
  <c r="E61" i="47"/>
  <c r="H77" i="47"/>
  <c r="N76" i="47"/>
  <c r="C59" i="47"/>
  <c r="K65" i="47"/>
  <c r="J77" i="47"/>
  <c r="K60" i="47"/>
  <c r="C77" i="47"/>
  <c r="J65" i="47"/>
  <c r="G77" i="47"/>
  <c r="I77" i="47" s="1"/>
  <c r="F58" i="47"/>
  <c r="K77" i="47"/>
  <c r="D56" i="47"/>
  <c r="L55" i="47"/>
  <c r="G70" i="47"/>
  <c r="H70" i="47"/>
  <c r="E67" i="47"/>
  <c r="K78" i="47"/>
  <c r="H79" i="47"/>
  <c r="K79" i="47"/>
  <c r="G79" i="47"/>
  <c r="F65" i="47"/>
  <c r="N58" i="47"/>
  <c r="G74" i="47"/>
  <c r="N54" i="47"/>
  <c r="F61" i="47"/>
  <c r="J54" i="47"/>
  <c r="H76" i="47"/>
  <c r="G58" i="47"/>
  <c r="I58" i="47" s="1"/>
  <c r="N75" i="47"/>
  <c r="N56" i="47"/>
  <c r="D76" i="47"/>
  <c r="H61" i="47"/>
  <c r="K58" i="47"/>
  <c r="J57" i="47"/>
  <c r="F55" i="47"/>
  <c r="F77" i="47"/>
  <c r="L63" i="47"/>
  <c r="F63" i="47"/>
  <c r="J76" i="47"/>
  <c r="C65" i="47"/>
  <c r="E74" i="47"/>
  <c r="L60" i="47"/>
  <c r="D54" i="47"/>
  <c r="L74" i="47"/>
  <c r="M60" i="47"/>
  <c r="E56" i="47"/>
  <c r="N53" i="47"/>
  <c r="O53" i="47" s="1"/>
  <c r="N63" i="47"/>
  <c r="C76" i="47"/>
  <c r="L54" i="47"/>
  <c r="C63" i="47"/>
  <c r="M49" i="47"/>
  <c r="N61" i="47"/>
  <c r="K54" i="47"/>
  <c r="J53" i="47"/>
  <c r="C53" i="47"/>
  <c r="J70" i="47"/>
  <c r="H72" i="47"/>
  <c r="K69" i="47"/>
  <c r="C67" i="47"/>
  <c r="C79" i="47"/>
  <c r="E78" i="47"/>
  <c r="N66" i="47"/>
  <c r="K67" i="47"/>
  <c r="L56" i="47"/>
  <c r="E63" i="47"/>
  <c r="K55" i="47"/>
  <c r="H63" i="47"/>
  <c r="N55" i="47"/>
  <c r="G75" i="47"/>
  <c r="D57" i="47"/>
  <c r="M65" i="47"/>
  <c r="K75" i="47"/>
  <c r="D62" i="47"/>
  <c r="G57" i="47"/>
  <c r="E77" i="47"/>
  <c r="F54" i="47"/>
  <c r="D60" i="47"/>
  <c r="D77" i="47"/>
  <c r="K63" i="47"/>
  <c r="N60" i="47"/>
  <c r="K64" i="47"/>
  <c r="H74" i="47"/>
  <c r="C58" i="47"/>
  <c r="H55" i="47"/>
  <c r="D59" i="47"/>
  <c r="G53" i="47"/>
  <c r="C61" i="47"/>
  <c r="G56" i="47"/>
  <c r="L57" i="47"/>
  <c r="M56" i="47"/>
  <c r="D74" i="47"/>
  <c r="F59" i="47"/>
  <c r="G51" i="47"/>
  <c r="H60" i="47"/>
  <c r="F75" i="47"/>
  <c r="L75" i="47"/>
  <c r="BP69" i="42"/>
  <c r="BP70" i="42" s="1"/>
  <c r="BP71" i="42" s="1"/>
  <c r="BP72" i="42" s="1"/>
  <c r="BP73" i="42" s="1"/>
  <c r="BP74" i="42" s="1"/>
  <c r="BP75" i="42" s="1"/>
  <c r="BP76" i="42" s="1"/>
  <c r="BP77" i="42" s="1"/>
  <c r="BP78" i="42" s="1"/>
  <c r="BP79" i="42" s="1"/>
  <c r="K53" i="47"/>
  <c r="D53" i="47"/>
  <c r="E53" i="47"/>
  <c r="J59" i="47"/>
  <c r="J75" i="47"/>
  <c r="N65" i="47"/>
  <c r="D52" i="47"/>
  <c r="G64" i="47"/>
  <c r="M63" i="47"/>
  <c r="G55" i="47"/>
  <c r="M74" i="47"/>
  <c r="M58" i="47"/>
  <c r="H57" i="47"/>
  <c r="L65" i="47"/>
  <c r="L66" i="47"/>
  <c r="C66" i="47"/>
  <c r="H66" i="47"/>
  <c r="J79" i="47"/>
  <c r="D67" i="47"/>
  <c r="M71" i="47"/>
  <c r="D71" i="47"/>
  <c r="D69" i="47"/>
  <c r="J71" i="47"/>
  <c r="J67" i="47"/>
  <c r="K70" i="47"/>
  <c r="E73" i="47"/>
  <c r="E72" i="47"/>
  <c r="J72" i="47"/>
  <c r="K72" i="47"/>
  <c r="C72" i="47"/>
  <c r="H68" i="47"/>
  <c r="G73" i="47"/>
  <c r="K71" i="47"/>
  <c r="F71" i="47"/>
  <c r="N74" i="47"/>
  <c r="G62" i="47"/>
  <c r="J78" i="47"/>
  <c r="H67" i="47"/>
  <c r="I67" i="47" s="1"/>
  <c r="L67" i="47"/>
  <c r="F68" i="47"/>
  <c r="N73" i="47"/>
  <c r="L73" i="47"/>
  <c r="C69" i="47"/>
  <c r="M69" i="47"/>
  <c r="J68" i="47"/>
  <c r="H69" i="47"/>
  <c r="F57" i="47"/>
  <c r="H59" i="47"/>
  <c r="J63" i="47"/>
  <c r="K74" i="47"/>
  <c r="F64" i="47"/>
  <c r="K76" i="47"/>
  <c r="K62" i="47"/>
  <c r="H53" i="47"/>
  <c r="C60" i="47"/>
  <c r="L59" i="47"/>
  <c r="F62" i="47"/>
  <c r="J64" i="47"/>
  <c r="L78" i="47"/>
  <c r="D78" i="47"/>
  <c r="D66" i="47"/>
  <c r="D68" i="47"/>
  <c r="C70" i="47"/>
  <c r="G72" i="47"/>
  <c r="F72" i="47"/>
  <c r="G69" i="47"/>
  <c r="I69" i="47" s="1"/>
  <c r="M73" i="47"/>
  <c r="H73" i="47"/>
  <c r="C68" i="47"/>
  <c r="O14" i="44"/>
  <c r="C9" i="41"/>
  <c r="D8" i="40"/>
  <c r="C11" i="40"/>
  <c r="D10" i="40"/>
  <c r="D9" i="40"/>
  <c r="D22" i="35"/>
  <c r="C22" i="35"/>
  <c r="O73" i="47" l="1"/>
  <c r="O78" i="47"/>
  <c r="I62" i="47"/>
  <c r="I65" i="47"/>
  <c r="I75" i="47"/>
  <c r="O64" i="47"/>
  <c r="O57" i="47"/>
  <c r="I59" i="47"/>
  <c r="I64" i="47"/>
  <c r="I56" i="47"/>
  <c r="O72" i="47"/>
  <c r="O77" i="47"/>
  <c r="O70" i="47"/>
  <c r="R89" i="47"/>
  <c r="R90" i="47" s="1"/>
  <c r="R91" i="47" s="1"/>
  <c r="R92" i="47" s="1"/>
  <c r="R93" i="47" s="1"/>
  <c r="R94" i="47" s="1"/>
  <c r="R95" i="47" s="1"/>
  <c r="R96" i="47" s="1"/>
  <c r="R97" i="47" s="1"/>
  <c r="O69" i="47"/>
  <c r="I60" i="47"/>
  <c r="O55" i="47"/>
  <c r="O66" i="47"/>
  <c r="O75" i="47"/>
  <c r="I61" i="47"/>
  <c r="O54" i="47"/>
  <c r="I79" i="47"/>
  <c r="O61" i="47"/>
  <c r="I76" i="47"/>
  <c r="O76" i="47"/>
  <c r="I68" i="47"/>
  <c r="I66" i="47"/>
  <c r="O71" i="47"/>
  <c r="I63" i="47"/>
  <c r="I53" i="47"/>
  <c r="I55" i="47"/>
  <c r="I57" i="47"/>
  <c r="I72" i="47"/>
  <c r="O58" i="47"/>
  <c r="O65" i="47"/>
  <c r="O63" i="47"/>
  <c r="O56" i="47"/>
  <c r="I70" i="47"/>
  <c r="O60" i="47"/>
  <c r="I74" i="47"/>
  <c r="BP80" i="42"/>
  <c r="BP81" i="42" s="1"/>
  <c r="BP82" i="42" s="1"/>
  <c r="BP83" i="42" s="1"/>
  <c r="BP84" i="42" s="1"/>
  <c r="BP85" i="42" s="1"/>
  <c r="BP86" i="42" s="1"/>
  <c r="BP87" i="42" s="1"/>
  <c r="BP88" i="42" s="1"/>
  <c r="BP89" i="42" s="1"/>
  <c r="BP90" i="42" s="1"/>
  <c r="BP91" i="42" s="1"/>
  <c r="BP92" i="42" s="1"/>
  <c r="BP93" i="42" s="1"/>
  <c r="BP94" i="42" s="1"/>
  <c r="BP95" i="42" s="1"/>
  <c r="BP96" i="42" s="1"/>
  <c r="BP97" i="42" s="1"/>
  <c r="BP98" i="42" s="1"/>
  <c r="BP99" i="42" s="1"/>
  <c r="BP100" i="42" s="1"/>
  <c r="BP101" i="42" s="1"/>
  <c r="BP102" i="42" s="1"/>
  <c r="BP103" i="42" s="1"/>
  <c r="BP104" i="42" s="1"/>
  <c r="BP105" i="42" s="1"/>
  <c r="BP106" i="42" s="1"/>
  <c r="BP107" i="42" s="1"/>
  <c r="BP108" i="42" s="1"/>
  <c r="BP109" i="42" s="1"/>
  <c r="BP110" i="42" s="1"/>
  <c r="BP111" i="42" s="1"/>
  <c r="J45" i="47"/>
  <c r="F45" i="47"/>
  <c r="F47" i="47"/>
  <c r="N46" i="47"/>
  <c r="C45" i="47"/>
  <c r="H46" i="47"/>
  <c r="M45" i="47"/>
  <c r="D45" i="47"/>
  <c r="L45" i="47"/>
  <c r="F46" i="47"/>
  <c r="N45" i="47"/>
  <c r="K45" i="47"/>
  <c r="K47" i="47"/>
  <c r="G45" i="47"/>
  <c r="H45" i="47"/>
  <c r="G46" i="47"/>
  <c r="I46" i="47" s="1"/>
  <c r="E46" i="47"/>
  <c r="C46" i="47"/>
  <c r="L47" i="47"/>
  <c r="L46" i="47"/>
  <c r="M46" i="47"/>
  <c r="J46" i="47"/>
  <c r="J47" i="47"/>
  <c r="D46" i="47"/>
  <c r="K46" i="47"/>
  <c r="G48" i="47"/>
  <c r="G47" i="47"/>
  <c r="E49" i="47"/>
  <c r="C50" i="47"/>
  <c r="M47" i="47"/>
  <c r="C48" i="47"/>
  <c r="H48" i="47"/>
  <c r="L49" i="47"/>
  <c r="E45" i="47"/>
  <c r="H47" i="47"/>
  <c r="H49" i="47"/>
  <c r="K49" i="47"/>
  <c r="F48" i="47"/>
  <c r="N48" i="47"/>
  <c r="C47" i="47"/>
  <c r="C49" i="47"/>
  <c r="K50" i="47"/>
  <c r="N50" i="47"/>
  <c r="L48" i="47"/>
  <c r="D47" i="47"/>
  <c r="F49" i="47"/>
  <c r="N49" i="47"/>
  <c r="O49" i="47" s="1"/>
  <c r="N47" i="47"/>
  <c r="M48" i="47"/>
  <c r="O48" i="47" s="1"/>
  <c r="E48" i="47"/>
  <c r="E47" i="47"/>
  <c r="D48" i="47"/>
  <c r="K48" i="47"/>
  <c r="J48" i="47"/>
  <c r="J49" i="47"/>
  <c r="G49" i="47"/>
  <c r="I49" i="47" s="1"/>
  <c r="D49" i="47"/>
  <c r="C52" i="47"/>
  <c r="H50" i="47"/>
  <c r="M51" i="47"/>
  <c r="F50" i="47"/>
  <c r="H51" i="47"/>
  <c r="I51" i="47" s="1"/>
  <c r="J50" i="47"/>
  <c r="L51" i="47"/>
  <c r="G50" i="47"/>
  <c r="I50" i="47" s="1"/>
  <c r="J52" i="47"/>
  <c r="E51" i="47"/>
  <c r="G52" i="47"/>
  <c r="M52" i="47"/>
  <c r="O52" i="47" s="1"/>
  <c r="E52" i="47"/>
  <c r="M50" i="47"/>
  <c r="O50" i="47" s="1"/>
  <c r="D51" i="47"/>
  <c r="F52" i="47"/>
  <c r="J51" i="47"/>
  <c r="L50" i="47"/>
  <c r="C51" i="47"/>
  <c r="D50" i="47"/>
  <c r="F51" i="47"/>
  <c r="H52" i="47"/>
  <c r="F53" i="47"/>
  <c r="N51" i="47"/>
  <c r="I73" i="47"/>
  <c r="O74" i="47"/>
  <c r="O15" i="44"/>
  <c r="D9" i="41"/>
  <c r="C10" i="41"/>
  <c r="C12" i="40"/>
  <c r="D11" i="40"/>
  <c r="R98" i="47" l="1"/>
  <c r="O46" i="47"/>
  <c r="I52" i="47"/>
  <c r="O47" i="47"/>
  <c r="I48" i="47"/>
  <c r="P45" i="47"/>
  <c r="P46" i="47" s="1"/>
  <c r="P47" i="47" s="1"/>
  <c r="P48" i="47" s="1"/>
  <c r="P49" i="47" s="1"/>
  <c r="P50" i="47" s="1"/>
  <c r="P51" i="47" s="1"/>
  <c r="P52" i="47" s="1"/>
  <c r="P53" i="47" s="1"/>
  <c r="P54" i="47" s="1"/>
  <c r="P55" i="47" s="1"/>
  <c r="P56" i="47" s="1"/>
  <c r="P57" i="47" s="1"/>
  <c r="P58" i="47" s="1"/>
  <c r="P59" i="47" s="1"/>
  <c r="P60" i="47" s="1"/>
  <c r="P61" i="47" s="1"/>
  <c r="P62" i="47" s="1"/>
  <c r="P63" i="47" s="1"/>
  <c r="P64" i="47" s="1"/>
  <c r="P65" i="47" s="1"/>
  <c r="P66" i="47" s="1"/>
  <c r="P67" i="47" s="1"/>
  <c r="P68" i="47" s="1"/>
  <c r="P69" i="47" s="1"/>
  <c r="P70" i="47" s="1"/>
  <c r="P71" i="47" s="1"/>
  <c r="P72" i="47" s="1"/>
  <c r="P73" i="47" s="1"/>
  <c r="P74" i="47" s="1"/>
  <c r="P75" i="47" s="1"/>
  <c r="P76" i="47" s="1"/>
  <c r="P77" i="47" s="1"/>
  <c r="P78" i="47" s="1"/>
  <c r="P79" i="47" s="1"/>
  <c r="I45" i="47"/>
  <c r="G80" i="47"/>
  <c r="O51" i="47"/>
  <c r="I47" i="47"/>
  <c r="Q45" i="47"/>
  <c r="Q46" i="47" s="1"/>
  <c r="Q47" i="47" s="1"/>
  <c r="Q48" i="47" s="1"/>
  <c r="Q49" i="47" s="1"/>
  <c r="Q50" i="47" s="1"/>
  <c r="Q51" i="47" s="1"/>
  <c r="Q52" i="47" s="1"/>
  <c r="Q53" i="47" s="1"/>
  <c r="Q54" i="47" s="1"/>
  <c r="Q55" i="47" s="1"/>
  <c r="Q56" i="47" s="1"/>
  <c r="Q57" i="47" s="1"/>
  <c r="Q58" i="47" s="1"/>
  <c r="Q59" i="47" s="1"/>
  <c r="Q60" i="47" s="1"/>
  <c r="Q61" i="47" s="1"/>
  <c r="Q62" i="47" s="1"/>
  <c r="Q63" i="47" s="1"/>
  <c r="Q64" i="47" s="1"/>
  <c r="Q65" i="47" s="1"/>
  <c r="Q66" i="47" s="1"/>
  <c r="Q67" i="47" s="1"/>
  <c r="Q68" i="47" s="1"/>
  <c r="Q69" i="47" s="1"/>
  <c r="Q70" i="47" s="1"/>
  <c r="Q71" i="47" s="1"/>
  <c r="Q72" i="47" s="1"/>
  <c r="Q73" i="47" s="1"/>
  <c r="Q74" i="47" s="1"/>
  <c r="Q75" i="47" s="1"/>
  <c r="Q76" i="47" s="1"/>
  <c r="Q77" i="47" s="1"/>
  <c r="Q78" i="47" s="1"/>
  <c r="Q79" i="47" s="1"/>
  <c r="H80" i="47"/>
  <c r="N80" i="47"/>
  <c r="O45" i="47"/>
  <c r="M80" i="47"/>
  <c r="O16" i="44"/>
  <c r="D10" i="41"/>
  <c r="C11" i="41"/>
  <c r="C13" i="40"/>
  <c r="D12" i="40"/>
  <c r="H56" i="35"/>
  <c r="M29" i="35"/>
  <c r="K29" i="35"/>
  <c r="H29" i="35"/>
  <c r="H28" i="35"/>
  <c r="C30" i="35"/>
  <c r="O80" i="47" l="1"/>
  <c r="P80" i="47"/>
  <c r="Q80" i="47"/>
  <c r="R45" i="47"/>
  <c r="R46" i="47" s="1"/>
  <c r="R47" i="47" s="1"/>
  <c r="R48" i="47" s="1"/>
  <c r="R49" i="47" s="1"/>
  <c r="R50" i="47" s="1"/>
  <c r="R51" i="47" s="1"/>
  <c r="R52" i="47" s="1"/>
  <c r="R53" i="47" s="1"/>
  <c r="R54" i="47" s="1"/>
  <c r="R55" i="47" s="1"/>
  <c r="R56" i="47" s="1"/>
  <c r="R57" i="47" s="1"/>
  <c r="R58" i="47" s="1"/>
  <c r="R59" i="47" s="1"/>
  <c r="R60" i="47" s="1"/>
  <c r="R61" i="47" s="1"/>
  <c r="R62" i="47" s="1"/>
  <c r="R63" i="47" s="1"/>
  <c r="R64" i="47" s="1"/>
  <c r="R65" i="47" s="1"/>
  <c r="R66" i="47" s="1"/>
  <c r="R67" i="47" s="1"/>
  <c r="R68" i="47" s="1"/>
  <c r="R69" i="47" s="1"/>
  <c r="R70" i="47" s="1"/>
  <c r="R71" i="47" s="1"/>
  <c r="R72" i="47" s="1"/>
  <c r="R73" i="47" s="1"/>
  <c r="R74" i="47" s="1"/>
  <c r="R75" i="47" s="1"/>
  <c r="R76" i="47" s="1"/>
  <c r="R77" i="47" s="1"/>
  <c r="R78" i="47" s="1"/>
  <c r="R79" i="47" s="1"/>
  <c r="I80" i="47"/>
  <c r="R80" i="47" s="1"/>
  <c r="O17" i="44"/>
  <c r="D11" i="41"/>
  <c r="C12" i="41"/>
  <c r="C14" i="40"/>
  <c r="D13" i="40"/>
  <c r="F25" i="35"/>
  <c r="F24" i="35"/>
  <c r="L24" i="35"/>
  <c r="O18" i="44" l="1"/>
  <c r="D12" i="41"/>
  <c r="C13" i="41"/>
  <c r="C15" i="40"/>
  <c r="D14" i="40"/>
  <c r="Q4" i="34"/>
  <c r="P4" i="34"/>
  <c r="O19" i="44" l="1"/>
  <c r="D13" i="41"/>
  <c r="C14" i="41"/>
  <c r="C16" i="40"/>
  <c r="D15" i="40"/>
  <c r="O5" i="34"/>
  <c r="L6" i="34"/>
  <c r="L5" i="34"/>
  <c r="D6" i="34"/>
  <c r="H6" i="34"/>
  <c r="D5" i="34"/>
  <c r="N16" i="34"/>
  <c r="O20" i="44" l="1"/>
  <c r="D14" i="41"/>
  <c r="C15" i="41"/>
  <c r="C17" i="40"/>
  <c r="D16" i="40"/>
  <c r="O21" i="44" l="1"/>
  <c r="D15" i="41"/>
  <c r="C16" i="41"/>
  <c r="C18" i="40"/>
  <c r="D17" i="40"/>
  <c r="C7" i="18"/>
  <c r="AO7" i="13"/>
  <c r="AN7" i="13"/>
  <c r="AM7" i="13"/>
  <c r="AL7" i="13"/>
  <c r="N12" i="33" l="1"/>
  <c r="N12" i="19"/>
  <c r="N14" i="33"/>
  <c r="N14" i="19"/>
  <c r="N13" i="33"/>
  <c r="N13" i="19"/>
  <c r="N15" i="33"/>
  <c r="N15" i="19"/>
  <c r="O22" i="44"/>
  <c r="D16" i="41"/>
  <c r="C17" i="41"/>
  <c r="C19" i="40"/>
  <c r="D18" i="40"/>
  <c r="Q395" i="12"/>
  <c r="R395" i="12"/>
  <c r="S395" i="12"/>
  <c r="T395" i="12"/>
  <c r="U395" i="12"/>
  <c r="V395" i="12"/>
  <c r="W395" i="12"/>
  <c r="X395" i="12"/>
  <c r="Y395" i="12"/>
  <c r="Z395" i="12"/>
  <c r="AA395" i="12"/>
  <c r="AB395" i="12"/>
  <c r="Q396" i="12"/>
  <c r="R396" i="12"/>
  <c r="S396" i="12"/>
  <c r="T396" i="12"/>
  <c r="U396" i="12"/>
  <c r="V396" i="12"/>
  <c r="W396" i="12"/>
  <c r="X396" i="12"/>
  <c r="Y396" i="12"/>
  <c r="Z396" i="12"/>
  <c r="AA396" i="12"/>
  <c r="AB396" i="12"/>
  <c r="Q397" i="12"/>
  <c r="R397" i="12"/>
  <c r="S397" i="12"/>
  <c r="T397" i="12"/>
  <c r="U397" i="12"/>
  <c r="V397" i="12"/>
  <c r="W397" i="12"/>
  <c r="X397" i="12"/>
  <c r="Y397" i="12"/>
  <c r="Z397" i="12"/>
  <c r="AA397" i="12"/>
  <c r="AB397" i="12"/>
  <c r="Q398" i="12"/>
  <c r="R398" i="12"/>
  <c r="S398" i="12"/>
  <c r="T398" i="12"/>
  <c r="U398" i="12"/>
  <c r="V398" i="12"/>
  <c r="W398" i="12"/>
  <c r="X398" i="12"/>
  <c r="Y398" i="12"/>
  <c r="Z398" i="12"/>
  <c r="AA398" i="12"/>
  <c r="AB398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Q400" i="12"/>
  <c r="R400" i="12"/>
  <c r="S400" i="12"/>
  <c r="T400" i="12"/>
  <c r="U400" i="12"/>
  <c r="V400" i="12"/>
  <c r="W400" i="12"/>
  <c r="X400" i="12"/>
  <c r="Y400" i="12"/>
  <c r="Z400" i="12"/>
  <c r="AA400" i="12"/>
  <c r="AB400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Q402" i="12"/>
  <c r="R402" i="12"/>
  <c r="S402" i="12"/>
  <c r="T402" i="12"/>
  <c r="U402" i="12"/>
  <c r="V402" i="12"/>
  <c r="W402" i="12"/>
  <c r="X402" i="12"/>
  <c r="Y402" i="12"/>
  <c r="Z402" i="12"/>
  <c r="AA402" i="12"/>
  <c r="AB402" i="12"/>
  <c r="Q403" i="12"/>
  <c r="R403" i="12"/>
  <c r="S403" i="12"/>
  <c r="T403" i="12"/>
  <c r="U403" i="12"/>
  <c r="V403" i="12"/>
  <c r="W403" i="12"/>
  <c r="X403" i="12"/>
  <c r="Y403" i="12"/>
  <c r="Z403" i="12"/>
  <c r="AA403" i="12"/>
  <c r="AB403" i="12"/>
  <c r="Q404" i="12"/>
  <c r="R404" i="12"/>
  <c r="S404" i="12"/>
  <c r="T404" i="12"/>
  <c r="U404" i="12"/>
  <c r="V404" i="12"/>
  <c r="W404" i="12"/>
  <c r="X404" i="12"/>
  <c r="Y404" i="12"/>
  <c r="Z404" i="12"/>
  <c r="AA404" i="12"/>
  <c r="AB404" i="12"/>
  <c r="Q405" i="12"/>
  <c r="R405" i="12"/>
  <c r="S405" i="12"/>
  <c r="T405" i="12"/>
  <c r="U405" i="12"/>
  <c r="V405" i="12"/>
  <c r="W405" i="12"/>
  <c r="X405" i="12"/>
  <c r="Y405" i="12"/>
  <c r="Z405" i="12"/>
  <c r="AA405" i="12"/>
  <c r="AB405" i="12"/>
  <c r="Q406" i="12"/>
  <c r="R406" i="12"/>
  <c r="S406" i="12"/>
  <c r="T406" i="12"/>
  <c r="U406" i="12"/>
  <c r="V406" i="12"/>
  <c r="W406" i="12"/>
  <c r="X406" i="12"/>
  <c r="Y406" i="12"/>
  <c r="Z406" i="12"/>
  <c r="AA406" i="12"/>
  <c r="AB406" i="12"/>
  <c r="Q407" i="12"/>
  <c r="R407" i="12"/>
  <c r="S407" i="12"/>
  <c r="T407" i="12"/>
  <c r="U407" i="12"/>
  <c r="V407" i="12"/>
  <c r="W407" i="12"/>
  <c r="X407" i="12"/>
  <c r="Y407" i="12"/>
  <c r="Z407" i="12"/>
  <c r="AA407" i="12"/>
  <c r="AB407" i="12"/>
  <c r="Q408" i="12"/>
  <c r="R408" i="12"/>
  <c r="S408" i="12"/>
  <c r="T408" i="12"/>
  <c r="U408" i="12"/>
  <c r="V408" i="12"/>
  <c r="W408" i="12"/>
  <c r="X408" i="12"/>
  <c r="Y408" i="12"/>
  <c r="Z408" i="12"/>
  <c r="AA408" i="12"/>
  <c r="AB408" i="12"/>
  <c r="Q409" i="12"/>
  <c r="R409" i="12"/>
  <c r="S409" i="12"/>
  <c r="T409" i="12"/>
  <c r="U409" i="12"/>
  <c r="V409" i="12"/>
  <c r="W409" i="12"/>
  <c r="X409" i="12"/>
  <c r="Y409" i="12"/>
  <c r="Z409" i="12"/>
  <c r="AA409" i="12"/>
  <c r="AB409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Q413" i="12"/>
  <c r="R413" i="12"/>
  <c r="S413" i="12"/>
  <c r="T413" i="12"/>
  <c r="U413" i="12"/>
  <c r="V413" i="12"/>
  <c r="W413" i="12"/>
  <c r="X413" i="12"/>
  <c r="Y413" i="12"/>
  <c r="Z413" i="12"/>
  <c r="AA413" i="12"/>
  <c r="AB413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Q415" i="12"/>
  <c r="R415" i="12"/>
  <c r="S415" i="12"/>
  <c r="T415" i="12"/>
  <c r="U415" i="12"/>
  <c r="V415" i="12"/>
  <c r="W415" i="12"/>
  <c r="X415" i="12"/>
  <c r="Y415" i="12"/>
  <c r="Z415" i="12"/>
  <c r="AA415" i="12"/>
  <c r="AB415" i="12"/>
  <c r="Q416" i="12"/>
  <c r="R416" i="12"/>
  <c r="S416" i="12"/>
  <c r="T416" i="12"/>
  <c r="U416" i="12"/>
  <c r="V416" i="12"/>
  <c r="W416" i="12"/>
  <c r="X416" i="12"/>
  <c r="Y416" i="12"/>
  <c r="Z416" i="12"/>
  <c r="AA416" i="12"/>
  <c r="AB416" i="12"/>
  <c r="Q417" i="12"/>
  <c r="R417" i="12"/>
  <c r="S417" i="12"/>
  <c r="T417" i="12"/>
  <c r="U417" i="12"/>
  <c r="V417" i="12"/>
  <c r="W417" i="12"/>
  <c r="X417" i="12"/>
  <c r="Y417" i="12"/>
  <c r="Z417" i="12"/>
  <c r="AA417" i="12"/>
  <c r="AB417" i="12"/>
  <c r="Q418" i="12"/>
  <c r="R418" i="12"/>
  <c r="S418" i="12"/>
  <c r="T418" i="12"/>
  <c r="U418" i="12"/>
  <c r="V418" i="12"/>
  <c r="W418" i="12"/>
  <c r="X418" i="12"/>
  <c r="Y418" i="12"/>
  <c r="Z418" i="12"/>
  <c r="AA418" i="12"/>
  <c r="AB418" i="12"/>
  <c r="Q419" i="12"/>
  <c r="R419" i="12"/>
  <c r="S419" i="12"/>
  <c r="T419" i="12"/>
  <c r="U419" i="12"/>
  <c r="V419" i="12"/>
  <c r="W419" i="12"/>
  <c r="X419" i="12"/>
  <c r="Y419" i="12"/>
  <c r="Z419" i="12"/>
  <c r="AA419" i="12"/>
  <c r="AB419" i="12"/>
  <c r="Q420" i="12"/>
  <c r="R420" i="12"/>
  <c r="S420" i="12"/>
  <c r="T420" i="12"/>
  <c r="U420" i="12"/>
  <c r="V420" i="12"/>
  <c r="W420" i="12"/>
  <c r="X420" i="12"/>
  <c r="Y420" i="12"/>
  <c r="Z420" i="12"/>
  <c r="AA420" i="12"/>
  <c r="AB420" i="12"/>
  <c r="Q421" i="12"/>
  <c r="R421" i="12"/>
  <c r="S421" i="12"/>
  <c r="T421" i="12"/>
  <c r="U421" i="12"/>
  <c r="V421" i="12"/>
  <c r="W421" i="12"/>
  <c r="X421" i="12"/>
  <c r="Y421" i="12"/>
  <c r="Z421" i="12"/>
  <c r="AA421" i="12"/>
  <c r="AB421" i="12"/>
  <c r="Q422" i="12"/>
  <c r="R422" i="12"/>
  <c r="S422" i="12"/>
  <c r="T422" i="12"/>
  <c r="U422" i="12"/>
  <c r="V422" i="12"/>
  <c r="W422" i="12"/>
  <c r="X422" i="12"/>
  <c r="Y422" i="12"/>
  <c r="Z422" i="12"/>
  <c r="AA422" i="12"/>
  <c r="AB422" i="12"/>
  <c r="Q423" i="12"/>
  <c r="R423" i="12"/>
  <c r="S423" i="12"/>
  <c r="T423" i="12"/>
  <c r="U423" i="12"/>
  <c r="V423" i="12"/>
  <c r="W423" i="12"/>
  <c r="X423" i="12"/>
  <c r="Y423" i="12"/>
  <c r="Z423" i="12"/>
  <c r="AB423" i="12"/>
  <c r="R424" i="12"/>
  <c r="T424" i="12"/>
  <c r="U424" i="12"/>
  <c r="W424" i="12"/>
  <c r="Y424" i="12"/>
  <c r="Z424" i="12"/>
  <c r="AB42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C395" i="12"/>
  <c r="D395" i="12"/>
  <c r="E395" i="12"/>
  <c r="F395" i="12"/>
  <c r="G395" i="12"/>
  <c r="H395" i="12"/>
  <c r="I395" i="12"/>
  <c r="J395" i="12"/>
  <c r="K395" i="12"/>
  <c r="L395" i="12"/>
  <c r="M395" i="12"/>
  <c r="N395" i="12"/>
  <c r="C396" i="12"/>
  <c r="D396" i="12"/>
  <c r="E396" i="12"/>
  <c r="F396" i="12"/>
  <c r="G396" i="12"/>
  <c r="H396" i="12"/>
  <c r="I396" i="12"/>
  <c r="J396" i="12"/>
  <c r="K396" i="12"/>
  <c r="L396" i="12"/>
  <c r="M396" i="12"/>
  <c r="N396" i="12"/>
  <c r="C397" i="12"/>
  <c r="D397" i="12"/>
  <c r="E397" i="12"/>
  <c r="F397" i="12"/>
  <c r="G397" i="12"/>
  <c r="H397" i="12"/>
  <c r="I397" i="12"/>
  <c r="J397" i="12"/>
  <c r="K397" i="12"/>
  <c r="L397" i="12"/>
  <c r="M397" i="12"/>
  <c r="N397" i="12"/>
  <c r="C398" i="12"/>
  <c r="D398" i="12"/>
  <c r="E398" i="12"/>
  <c r="F398" i="12"/>
  <c r="G398" i="12"/>
  <c r="H398" i="12"/>
  <c r="I398" i="12"/>
  <c r="J398" i="12"/>
  <c r="K398" i="12"/>
  <c r="L398" i="12"/>
  <c r="M398" i="12"/>
  <c r="N398" i="12"/>
  <c r="C399" i="12"/>
  <c r="D399" i="12"/>
  <c r="E399" i="12"/>
  <c r="F399" i="12"/>
  <c r="G399" i="12"/>
  <c r="H399" i="12"/>
  <c r="I399" i="12"/>
  <c r="J399" i="12"/>
  <c r="K399" i="12"/>
  <c r="L399" i="12"/>
  <c r="M399" i="12"/>
  <c r="N399" i="12"/>
  <c r="C400" i="12"/>
  <c r="D400" i="12"/>
  <c r="E400" i="12"/>
  <c r="F400" i="12"/>
  <c r="G400" i="12"/>
  <c r="H400" i="12"/>
  <c r="I400" i="12"/>
  <c r="J400" i="12"/>
  <c r="K400" i="12"/>
  <c r="L400" i="12"/>
  <c r="M400" i="12"/>
  <c r="N400" i="12"/>
  <c r="C401" i="12"/>
  <c r="D401" i="12"/>
  <c r="E401" i="12"/>
  <c r="F401" i="12"/>
  <c r="G401" i="12"/>
  <c r="H401" i="12"/>
  <c r="I401" i="12"/>
  <c r="J401" i="12"/>
  <c r="K401" i="12"/>
  <c r="L401" i="12"/>
  <c r="M401" i="12"/>
  <c r="N401" i="12"/>
  <c r="C402" i="12"/>
  <c r="D402" i="12"/>
  <c r="E402" i="12"/>
  <c r="F402" i="12"/>
  <c r="G402" i="12"/>
  <c r="H402" i="12"/>
  <c r="I402" i="12"/>
  <c r="J402" i="12"/>
  <c r="K402" i="12"/>
  <c r="L402" i="12"/>
  <c r="M402" i="12"/>
  <c r="N402" i="12"/>
  <c r="C403" i="12"/>
  <c r="D403" i="12"/>
  <c r="E403" i="12"/>
  <c r="F403" i="12"/>
  <c r="G403" i="12"/>
  <c r="H403" i="12"/>
  <c r="I403" i="12"/>
  <c r="J403" i="12"/>
  <c r="K403" i="12"/>
  <c r="L403" i="12"/>
  <c r="M403" i="12"/>
  <c r="N403" i="12"/>
  <c r="C404" i="12"/>
  <c r="D404" i="12"/>
  <c r="E404" i="12"/>
  <c r="F404" i="12"/>
  <c r="G404" i="12"/>
  <c r="H404" i="12"/>
  <c r="I404" i="12"/>
  <c r="J404" i="12"/>
  <c r="K404" i="12"/>
  <c r="L404" i="12"/>
  <c r="M404" i="12"/>
  <c r="N404" i="12"/>
  <c r="C405" i="12"/>
  <c r="D405" i="12"/>
  <c r="E405" i="12"/>
  <c r="F405" i="12"/>
  <c r="G405" i="12"/>
  <c r="H405" i="12"/>
  <c r="I405" i="12"/>
  <c r="J405" i="12"/>
  <c r="K405" i="12"/>
  <c r="L405" i="12"/>
  <c r="M405" i="12"/>
  <c r="N405" i="12"/>
  <c r="C406" i="12"/>
  <c r="D406" i="12"/>
  <c r="E406" i="12"/>
  <c r="F406" i="12"/>
  <c r="G406" i="12"/>
  <c r="H406" i="12"/>
  <c r="I406" i="12"/>
  <c r="J406" i="12"/>
  <c r="K406" i="12"/>
  <c r="L406" i="12"/>
  <c r="M406" i="12"/>
  <c r="N406" i="12"/>
  <c r="C407" i="12"/>
  <c r="D407" i="12"/>
  <c r="E407" i="12"/>
  <c r="F407" i="12"/>
  <c r="G407" i="12"/>
  <c r="H407" i="12"/>
  <c r="I407" i="12"/>
  <c r="J407" i="12"/>
  <c r="K407" i="12"/>
  <c r="L407" i="12"/>
  <c r="M407" i="12"/>
  <c r="N407" i="12"/>
  <c r="C408" i="12"/>
  <c r="D408" i="12"/>
  <c r="E408" i="12"/>
  <c r="F408" i="12"/>
  <c r="G408" i="12"/>
  <c r="H408" i="12"/>
  <c r="I408" i="12"/>
  <c r="J408" i="12"/>
  <c r="K408" i="12"/>
  <c r="L408" i="12"/>
  <c r="M408" i="12"/>
  <c r="N408" i="12"/>
  <c r="C409" i="12"/>
  <c r="D409" i="12"/>
  <c r="E409" i="12"/>
  <c r="F409" i="12"/>
  <c r="G409" i="12"/>
  <c r="H409" i="12"/>
  <c r="I409" i="12"/>
  <c r="J409" i="12"/>
  <c r="K409" i="12"/>
  <c r="L409" i="12"/>
  <c r="M409" i="12"/>
  <c r="N409" i="12"/>
  <c r="C410" i="12"/>
  <c r="D410" i="12"/>
  <c r="E410" i="12"/>
  <c r="F410" i="12"/>
  <c r="G410" i="12"/>
  <c r="H410" i="12"/>
  <c r="I410" i="12"/>
  <c r="J410" i="12"/>
  <c r="K410" i="12"/>
  <c r="L410" i="12"/>
  <c r="M410" i="12"/>
  <c r="N410" i="12"/>
  <c r="C411" i="12"/>
  <c r="D411" i="12"/>
  <c r="E411" i="12"/>
  <c r="F411" i="12"/>
  <c r="G411" i="12"/>
  <c r="H411" i="12"/>
  <c r="I411" i="12"/>
  <c r="J411" i="12"/>
  <c r="K411" i="12"/>
  <c r="L411" i="12"/>
  <c r="M411" i="12"/>
  <c r="N411" i="12"/>
  <c r="C412" i="12"/>
  <c r="D412" i="12"/>
  <c r="E412" i="12"/>
  <c r="F412" i="12"/>
  <c r="G412" i="12"/>
  <c r="H412" i="12"/>
  <c r="I412" i="12"/>
  <c r="J412" i="12"/>
  <c r="K412" i="12"/>
  <c r="L412" i="12"/>
  <c r="M412" i="12"/>
  <c r="N412" i="12"/>
  <c r="C413" i="12"/>
  <c r="D413" i="12"/>
  <c r="E413" i="12"/>
  <c r="F413" i="12"/>
  <c r="G413" i="12"/>
  <c r="H413" i="12"/>
  <c r="I413" i="12"/>
  <c r="J413" i="12"/>
  <c r="K413" i="12"/>
  <c r="L413" i="12"/>
  <c r="M413" i="12"/>
  <c r="N413" i="12"/>
  <c r="C414" i="12"/>
  <c r="D414" i="12"/>
  <c r="E414" i="12"/>
  <c r="F414" i="12"/>
  <c r="G414" i="12"/>
  <c r="H414" i="12"/>
  <c r="I414" i="12"/>
  <c r="J414" i="12"/>
  <c r="K414" i="12"/>
  <c r="L414" i="12"/>
  <c r="M414" i="12"/>
  <c r="N414" i="12"/>
  <c r="C415" i="12"/>
  <c r="D415" i="12"/>
  <c r="E415" i="12"/>
  <c r="F415" i="12"/>
  <c r="G415" i="12"/>
  <c r="H415" i="12"/>
  <c r="I415" i="12"/>
  <c r="J415" i="12"/>
  <c r="K415" i="12"/>
  <c r="L415" i="12"/>
  <c r="M415" i="12"/>
  <c r="N415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C417" i="12"/>
  <c r="D417" i="12"/>
  <c r="E417" i="12"/>
  <c r="F417" i="12"/>
  <c r="G417" i="12"/>
  <c r="H417" i="12"/>
  <c r="I417" i="12"/>
  <c r="J417" i="12"/>
  <c r="K417" i="12"/>
  <c r="L417" i="12"/>
  <c r="M417" i="12"/>
  <c r="N417" i="12"/>
  <c r="C418" i="12"/>
  <c r="D418" i="12"/>
  <c r="E418" i="12"/>
  <c r="F418" i="12"/>
  <c r="G418" i="12"/>
  <c r="H418" i="12"/>
  <c r="I418" i="12"/>
  <c r="J418" i="12"/>
  <c r="K418" i="12"/>
  <c r="L418" i="12"/>
  <c r="M418" i="12"/>
  <c r="N418" i="12"/>
  <c r="C419" i="12"/>
  <c r="D419" i="12"/>
  <c r="E419" i="12"/>
  <c r="F419" i="12"/>
  <c r="G419" i="12"/>
  <c r="H419" i="12"/>
  <c r="I419" i="12"/>
  <c r="J419" i="12"/>
  <c r="K419" i="12"/>
  <c r="L419" i="12"/>
  <c r="M419" i="12"/>
  <c r="N419" i="12"/>
  <c r="C420" i="12"/>
  <c r="D420" i="12"/>
  <c r="E420" i="12"/>
  <c r="F420" i="12"/>
  <c r="G420" i="12"/>
  <c r="H420" i="12"/>
  <c r="I420" i="12"/>
  <c r="J420" i="12"/>
  <c r="K420" i="12"/>
  <c r="L420" i="12"/>
  <c r="M420" i="12"/>
  <c r="N420" i="12"/>
  <c r="C421" i="12"/>
  <c r="D421" i="12"/>
  <c r="E421" i="12"/>
  <c r="F421" i="12"/>
  <c r="G421" i="12"/>
  <c r="H421" i="12"/>
  <c r="I421" i="12"/>
  <c r="J421" i="12"/>
  <c r="K421" i="12"/>
  <c r="L421" i="12"/>
  <c r="M421" i="12"/>
  <c r="N421" i="12"/>
  <c r="C422" i="12"/>
  <c r="D422" i="12"/>
  <c r="E422" i="12"/>
  <c r="F422" i="12"/>
  <c r="G422" i="12"/>
  <c r="H422" i="12"/>
  <c r="I422" i="12"/>
  <c r="J422" i="12"/>
  <c r="K422" i="12"/>
  <c r="L422" i="12"/>
  <c r="M422" i="12"/>
  <c r="N422" i="12"/>
  <c r="C423" i="12"/>
  <c r="D423" i="12"/>
  <c r="E423" i="12"/>
  <c r="F423" i="12"/>
  <c r="G423" i="12"/>
  <c r="H423" i="12"/>
  <c r="I423" i="12"/>
  <c r="J423" i="12"/>
  <c r="K423" i="12"/>
  <c r="L423" i="12"/>
  <c r="N423" i="12"/>
  <c r="D424" i="12"/>
  <c r="F424" i="12"/>
  <c r="G424" i="12"/>
  <c r="I424" i="12"/>
  <c r="K424" i="12"/>
  <c r="L424" i="12"/>
  <c r="N424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I7" i="18" l="1"/>
  <c r="H37" i="18"/>
  <c r="I37" i="18"/>
  <c r="O23" i="44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D17" i="41"/>
  <c r="C18" i="41"/>
  <c r="C20" i="40"/>
  <c r="D19" i="40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H7" i="18"/>
  <c r="H509" i="12"/>
  <c r="I509" i="12"/>
  <c r="K509" i="12"/>
  <c r="L509" i="12"/>
  <c r="N509" i="12"/>
  <c r="O509" i="12"/>
  <c r="Q509" i="12"/>
  <c r="R509" i="12"/>
  <c r="T509" i="12"/>
  <c r="U509" i="12"/>
  <c r="W509" i="12"/>
  <c r="X509" i="12"/>
  <c r="Z509" i="12"/>
  <c r="AA509" i="12"/>
  <c r="AC509" i="12"/>
  <c r="AD509" i="12"/>
  <c r="AF509" i="12"/>
  <c r="AG509" i="12"/>
  <c r="AI509" i="12"/>
  <c r="AJ509" i="12"/>
  <c r="AL509" i="12"/>
  <c r="AM509" i="12"/>
  <c r="AO509" i="12"/>
  <c r="AP509" i="12"/>
  <c r="H510" i="12"/>
  <c r="I510" i="12"/>
  <c r="K510" i="12"/>
  <c r="L510" i="12"/>
  <c r="N510" i="12"/>
  <c r="O510" i="12"/>
  <c r="Q510" i="12"/>
  <c r="R510" i="12"/>
  <c r="T510" i="12"/>
  <c r="U510" i="12"/>
  <c r="W510" i="12"/>
  <c r="X510" i="12"/>
  <c r="Z510" i="12"/>
  <c r="AA510" i="12"/>
  <c r="AC510" i="12"/>
  <c r="AD510" i="12"/>
  <c r="AF510" i="12"/>
  <c r="AG510" i="12"/>
  <c r="AI510" i="12"/>
  <c r="AJ510" i="12"/>
  <c r="AL510" i="12"/>
  <c r="AM510" i="12"/>
  <c r="AO510" i="12"/>
  <c r="AP510" i="12"/>
  <c r="H511" i="12"/>
  <c r="I511" i="12"/>
  <c r="K511" i="12"/>
  <c r="L511" i="12"/>
  <c r="N511" i="12"/>
  <c r="O511" i="12"/>
  <c r="Q511" i="12"/>
  <c r="R511" i="12"/>
  <c r="T511" i="12"/>
  <c r="U511" i="12"/>
  <c r="W511" i="12"/>
  <c r="X511" i="12"/>
  <c r="Z511" i="12"/>
  <c r="AA511" i="12"/>
  <c r="AC511" i="12"/>
  <c r="AD511" i="12"/>
  <c r="AF511" i="12"/>
  <c r="AG511" i="12"/>
  <c r="AI511" i="12"/>
  <c r="AJ511" i="12"/>
  <c r="AL511" i="12"/>
  <c r="AM511" i="12"/>
  <c r="AO511" i="12"/>
  <c r="AP511" i="12"/>
  <c r="H512" i="12"/>
  <c r="I512" i="12"/>
  <c r="K512" i="12"/>
  <c r="L512" i="12"/>
  <c r="N512" i="12"/>
  <c r="O512" i="12"/>
  <c r="Q512" i="12"/>
  <c r="R512" i="12"/>
  <c r="T512" i="12"/>
  <c r="U512" i="12"/>
  <c r="W512" i="12"/>
  <c r="X512" i="12"/>
  <c r="Z512" i="12"/>
  <c r="AA512" i="12"/>
  <c r="AC512" i="12"/>
  <c r="AD512" i="12"/>
  <c r="AF512" i="12"/>
  <c r="AG512" i="12"/>
  <c r="AI512" i="12"/>
  <c r="AJ512" i="12"/>
  <c r="AL512" i="12"/>
  <c r="AM512" i="12"/>
  <c r="AO512" i="12"/>
  <c r="AP512" i="12"/>
  <c r="H513" i="12"/>
  <c r="I513" i="12"/>
  <c r="K513" i="12"/>
  <c r="L513" i="12"/>
  <c r="N513" i="12"/>
  <c r="O513" i="12"/>
  <c r="Q513" i="12"/>
  <c r="R513" i="12"/>
  <c r="T513" i="12"/>
  <c r="U513" i="12"/>
  <c r="W513" i="12"/>
  <c r="X513" i="12"/>
  <c r="Z513" i="12"/>
  <c r="AA513" i="12"/>
  <c r="AC513" i="12"/>
  <c r="AD513" i="12"/>
  <c r="AF513" i="12"/>
  <c r="AG513" i="12"/>
  <c r="AI513" i="12"/>
  <c r="AJ513" i="12"/>
  <c r="AL513" i="12"/>
  <c r="AM513" i="12"/>
  <c r="AO513" i="12"/>
  <c r="AP513" i="12"/>
  <c r="H514" i="12"/>
  <c r="I514" i="12"/>
  <c r="K514" i="12"/>
  <c r="L514" i="12"/>
  <c r="N514" i="12"/>
  <c r="O514" i="12"/>
  <c r="Q514" i="12"/>
  <c r="R514" i="12"/>
  <c r="T514" i="12"/>
  <c r="U514" i="12"/>
  <c r="W514" i="12"/>
  <c r="X514" i="12"/>
  <c r="Z514" i="12"/>
  <c r="AA514" i="12"/>
  <c r="AC514" i="12"/>
  <c r="AD514" i="12"/>
  <c r="AF514" i="12"/>
  <c r="AG514" i="12"/>
  <c r="AI514" i="12"/>
  <c r="AJ514" i="12"/>
  <c r="AL514" i="12"/>
  <c r="AM514" i="12"/>
  <c r="AO514" i="12"/>
  <c r="AP514" i="12"/>
  <c r="H515" i="12"/>
  <c r="I515" i="12"/>
  <c r="K515" i="12"/>
  <c r="L515" i="12"/>
  <c r="N515" i="12"/>
  <c r="O515" i="12"/>
  <c r="Q515" i="12"/>
  <c r="R515" i="12"/>
  <c r="T515" i="12"/>
  <c r="U515" i="12"/>
  <c r="W515" i="12"/>
  <c r="X515" i="12"/>
  <c r="Z515" i="12"/>
  <c r="AA515" i="12"/>
  <c r="AC515" i="12"/>
  <c r="AD515" i="12"/>
  <c r="AF515" i="12"/>
  <c r="AG515" i="12"/>
  <c r="AI515" i="12"/>
  <c r="AJ515" i="12"/>
  <c r="AL515" i="12"/>
  <c r="AM515" i="12"/>
  <c r="AO515" i="12"/>
  <c r="AP515" i="12"/>
  <c r="H516" i="12"/>
  <c r="I516" i="12"/>
  <c r="K516" i="12"/>
  <c r="L516" i="12"/>
  <c r="N516" i="12"/>
  <c r="O516" i="12"/>
  <c r="Q516" i="12"/>
  <c r="R516" i="12"/>
  <c r="T516" i="12"/>
  <c r="U516" i="12"/>
  <c r="W516" i="12"/>
  <c r="X516" i="12"/>
  <c r="Z516" i="12"/>
  <c r="AA516" i="12"/>
  <c r="AC516" i="12"/>
  <c r="AD516" i="12"/>
  <c r="AF516" i="12"/>
  <c r="AG516" i="12"/>
  <c r="AI516" i="12"/>
  <c r="AJ516" i="12"/>
  <c r="AL516" i="12"/>
  <c r="AM516" i="12"/>
  <c r="AO516" i="12"/>
  <c r="AP516" i="12"/>
  <c r="H517" i="12"/>
  <c r="I517" i="12"/>
  <c r="K517" i="12"/>
  <c r="L517" i="12"/>
  <c r="N517" i="12"/>
  <c r="O517" i="12"/>
  <c r="Q517" i="12"/>
  <c r="R517" i="12"/>
  <c r="T517" i="12"/>
  <c r="U517" i="12"/>
  <c r="W517" i="12"/>
  <c r="X517" i="12"/>
  <c r="Z517" i="12"/>
  <c r="AA517" i="12"/>
  <c r="AC517" i="12"/>
  <c r="AD517" i="12"/>
  <c r="AF517" i="12"/>
  <c r="AG517" i="12"/>
  <c r="AI517" i="12"/>
  <c r="AJ517" i="12"/>
  <c r="AL517" i="12"/>
  <c r="AM517" i="12"/>
  <c r="AO517" i="12"/>
  <c r="AP517" i="12"/>
  <c r="H518" i="12"/>
  <c r="I518" i="12"/>
  <c r="K518" i="12"/>
  <c r="L518" i="12"/>
  <c r="N518" i="12"/>
  <c r="O518" i="12"/>
  <c r="Q518" i="12"/>
  <c r="R518" i="12"/>
  <c r="T518" i="12"/>
  <c r="U518" i="12"/>
  <c r="W518" i="12"/>
  <c r="X518" i="12"/>
  <c r="Z518" i="12"/>
  <c r="AA518" i="12"/>
  <c r="AC518" i="12"/>
  <c r="AD518" i="12"/>
  <c r="AF518" i="12"/>
  <c r="AG518" i="12"/>
  <c r="AI518" i="12"/>
  <c r="AJ518" i="12"/>
  <c r="AL518" i="12"/>
  <c r="AM518" i="12"/>
  <c r="AO518" i="12"/>
  <c r="AP518" i="12"/>
  <c r="H519" i="12"/>
  <c r="I519" i="12"/>
  <c r="K519" i="12"/>
  <c r="L519" i="12"/>
  <c r="N519" i="12"/>
  <c r="O519" i="12"/>
  <c r="Q519" i="12"/>
  <c r="R519" i="12"/>
  <c r="T519" i="12"/>
  <c r="U519" i="12"/>
  <c r="W519" i="12"/>
  <c r="X519" i="12"/>
  <c r="Z519" i="12"/>
  <c r="AA519" i="12"/>
  <c r="AC519" i="12"/>
  <c r="AD519" i="12"/>
  <c r="AF519" i="12"/>
  <c r="AG519" i="12"/>
  <c r="AI519" i="12"/>
  <c r="AJ519" i="12"/>
  <c r="AL519" i="12"/>
  <c r="AM519" i="12"/>
  <c r="AO519" i="12"/>
  <c r="AP519" i="12"/>
  <c r="H520" i="12"/>
  <c r="I520" i="12"/>
  <c r="K520" i="12"/>
  <c r="L520" i="12"/>
  <c r="N520" i="12"/>
  <c r="O520" i="12"/>
  <c r="Q520" i="12"/>
  <c r="R520" i="12"/>
  <c r="T520" i="12"/>
  <c r="U520" i="12"/>
  <c r="W520" i="12"/>
  <c r="X520" i="12"/>
  <c r="Z520" i="12"/>
  <c r="AA520" i="12"/>
  <c r="AC520" i="12"/>
  <c r="AD520" i="12"/>
  <c r="AF520" i="12"/>
  <c r="AG520" i="12"/>
  <c r="AI520" i="12"/>
  <c r="AJ520" i="12"/>
  <c r="AL520" i="12"/>
  <c r="AM520" i="12"/>
  <c r="AO520" i="12"/>
  <c r="AP520" i="12"/>
  <c r="H521" i="12"/>
  <c r="I521" i="12"/>
  <c r="K521" i="12"/>
  <c r="L521" i="12"/>
  <c r="N521" i="12"/>
  <c r="O521" i="12"/>
  <c r="Q521" i="12"/>
  <c r="R521" i="12"/>
  <c r="T521" i="12"/>
  <c r="U521" i="12"/>
  <c r="W521" i="12"/>
  <c r="X521" i="12"/>
  <c r="Z521" i="12"/>
  <c r="AA521" i="12"/>
  <c r="AC521" i="12"/>
  <c r="AD521" i="12"/>
  <c r="AF521" i="12"/>
  <c r="AG521" i="12"/>
  <c r="AI521" i="12"/>
  <c r="AJ521" i="12"/>
  <c r="AL521" i="12"/>
  <c r="AM521" i="12"/>
  <c r="AO521" i="12"/>
  <c r="AP521" i="12"/>
  <c r="H522" i="12"/>
  <c r="I522" i="12"/>
  <c r="K522" i="12"/>
  <c r="L522" i="12"/>
  <c r="N522" i="12"/>
  <c r="O522" i="12"/>
  <c r="Q522" i="12"/>
  <c r="R522" i="12"/>
  <c r="T522" i="12"/>
  <c r="U522" i="12"/>
  <c r="W522" i="12"/>
  <c r="X522" i="12"/>
  <c r="Z522" i="12"/>
  <c r="AA522" i="12"/>
  <c r="AC522" i="12"/>
  <c r="AD522" i="12"/>
  <c r="AF522" i="12"/>
  <c r="AG522" i="12"/>
  <c r="AI522" i="12"/>
  <c r="AJ522" i="12"/>
  <c r="AL522" i="12"/>
  <c r="AM522" i="12"/>
  <c r="AO522" i="12"/>
  <c r="AP522" i="12"/>
  <c r="H523" i="12"/>
  <c r="I523" i="12"/>
  <c r="K523" i="12"/>
  <c r="L523" i="12"/>
  <c r="N523" i="12"/>
  <c r="O523" i="12"/>
  <c r="Q523" i="12"/>
  <c r="R523" i="12"/>
  <c r="T523" i="12"/>
  <c r="U523" i="12"/>
  <c r="W523" i="12"/>
  <c r="X523" i="12"/>
  <c r="Z523" i="12"/>
  <c r="AA523" i="12"/>
  <c r="AC523" i="12"/>
  <c r="AD523" i="12"/>
  <c r="AF523" i="12"/>
  <c r="AG523" i="12"/>
  <c r="AI523" i="12"/>
  <c r="AJ523" i="12"/>
  <c r="AL523" i="12"/>
  <c r="AM523" i="12"/>
  <c r="AO523" i="12"/>
  <c r="AP523" i="12"/>
  <c r="H524" i="12"/>
  <c r="I524" i="12"/>
  <c r="K524" i="12"/>
  <c r="L524" i="12"/>
  <c r="N524" i="12"/>
  <c r="O524" i="12"/>
  <c r="Q524" i="12"/>
  <c r="R524" i="12"/>
  <c r="T524" i="12"/>
  <c r="U524" i="12"/>
  <c r="W524" i="12"/>
  <c r="X524" i="12"/>
  <c r="Z524" i="12"/>
  <c r="AA524" i="12"/>
  <c r="AC524" i="12"/>
  <c r="AD524" i="12"/>
  <c r="AF524" i="12"/>
  <c r="AG524" i="12"/>
  <c r="AI524" i="12"/>
  <c r="AJ524" i="12"/>
  <c r="AL524" i="12"/>
  <c r="AM524" i="12"/>
  <c r="AO524" i="12"/>
  <c r="AP524" i="12"/>
  <c r="H525" i="12"/>
  <c r="I525" i="12"/>
  <c r="K525" i="12"/>
  <c r="L525" i="12"/>
  <c r="N525" i="12"/>
  <c r="O525" i="12"/>
  <c r="Q525" i="12"/>
  <c r="R525" i="12"/>
  <c r="T525" i="12"/>
  <c r="U525" i="12"/>
  <c r="W525" i="12"/>
  <c r="X525" i="12"/>
  <c r="Z525" i="12"/>
  <c r="AA525" i="12"/>
  <c r="AC525" i="12"/>
  <c r="AD525" i="12"/>
  <c r="AF525" i="12"/>
  <c r="AG525" i="12"/>
  <c r="AI525" i="12"/>
  <c r="AJ525" i="12"/>
  <c r="AL525" i="12"/>
  <c r="AM525" i="12"/>
  <c r="AO525" i="12"/>
  <c r="AP525" i="12"/>
  <c r="H526" i="12"/>
  <c r="I526" i="12"/>
  <c r="K526" i="12"/>
  <c r="L526" i="12"/>
  <c r="N526" i="12"/>
  <c r="O526" i="12"/>
  <c r="Q526" i="12"/>
  <c r="R526" i="12"/>
  <c r="T526" i="12"/>
  <c r="U526" i="12"/>
  <c r="W526" i="12"/>
  <c r="X526" i="12"/>
  <c r="Z526" i="12"/>
  <c r="AA526" i="12"/>
  <c r="AC526" i="12"/>
  <c r="AD526" i="12"/>
  <c r="AF526" i="12"/>
  <c r="AG526" i="12"/>
  <c r="AI526" i="12"/>
  <c r="AJ526" i="12"/>
  <c r="AL526" i="12"/>
  <c r="AM526" i="12"/>
  <c r="AO526" i="12"/>
  <c r="AP526" i="12"/>
  <c r="H527" i="12"/>
  <c r="I527" i="12"/>
  <c r="K527" i="12"/>
  <c r="L527" i="12"/>
  <c r="N527" i="12"/>
  <c r="O527" i="12"/>
  <c r="Q527" i="12"/>
  <c r="R527" i="12"/>
  <c r="T527" i="12"/>
  <c r="U527" i="12"/>
  <c r="W527" i="12"/>
  <c r="X527" i="12"/>
  <c r="Z527" i="12"/>
  <c r="AA527" i="12"/>
  <c r="AC527" i="12"/>
  <c r="AD527" i="12"/>
  <c r="AF527" i="12"/>
  <c r="AG527" i="12"/>
  <c r="AI527" i="12"/>
  <c r="AJ527" i="12"/>
  <c r="AL527" i="12"/>
  <c r="AM527" i="12"/>
  <c r="AO527" i="12"/>
  <c r="AP527" i="12"/>
  <c r="H528" i="12"/>
  <c r="I528" i="12"/>
  <c r="K528" i="12"/>
  <c r="L528" i="12"/>
  <c r="N528" i="12"/>
  <c r="O528" i="12"/>
  <c r="Q528" i="12"/>
  <c r="R528" i="12"/>
  <c r="T528" i="12"/>
  <c r="U528" i="12"/>
  <c r="W528" i="12"/>
  <c r="X528" i="12"/>
  <c r="Z528" i="12"/>
  <c r="AA528" i="12"/>
  <c r="AC528" i="12"/>
  <c r="AD528" i="12"/>
  <c r="AF528" i="12"/>
  <c r="AG528" i="12"/>
  <c r="AI528" i="12"/>
  <c r="AJ528" i="12"/>
  <c r="AL528" i="12"/>
  <c r="AM528" i="12"/>
  <c r="AO528" i="12"/>
  <c r="AP528" i="12"/>
  <c r="H529" i="12"/>
  <c r="I529" i="12"/>
  <c r="K529" i="12"/>
  <c r="L529" i="12"/>
  <c r="N529" i="12"/>
  <c r="O529" i="12"/>
  <c r="Q529" i="12"/>
  <c r="R529" i="12"/>
  <c r="T529" i="12"/>
  <c r="U529" i="12"/>
  <c r="W529" i="12"/>
  <c r="X529" i="12"/>
  <c r="Z529" i="12"/>
  <c r="AA529" i="12"/>
  <c r="AC529" i="12"/>
  <c r="AD529" i="12"/>
  <c r="AF529" i="12"/>
  <c r="AG529" i="12"/>
  <c r="AI529" i="12"/>
  <c r="AJ529" i="12"/>
  <c r="AL529" i="12"/>
  <c r="AM529" i="12"/>
  <c r="AO529" i="12"/>
  <c r="AP529" i="12"/>
  <c r="H530" i="12"/>
  <c r="I530" i="12"/>
  <c r="K530" i="12"/>
  <c r="L530" i="12"/>
  <c r="N530" i="12"/>
  <c r="O530" i="12"/>
  <c r="Q530" i="12"/>
  <c r="R530" i="12"/>
  <c r="T530" i="12"/>
  <c r="U530" i="12"/>
  <c r="W530" i="12"/>
  <c r="X530" i="12"/>
  <c r="Z530" i="12"/>
  <c r="AA530" i="12"/>
  <c r="AC530" i="12"/>
  <c r="AD530" i="12"/>
  <c r="AF530" i="12"/>
  <c r="AG530" i="12"/>
  <c r="AI530" i="12"/>
  <c r="AJ530" i="12"/>
  <c r="AL530" i="12"/>
  <c r="AM530" i="12"/>
  <c r="AO530" i="12"/>
  <c r="AP530" i="12"/>
  <c r="H531" i="12"/>
  <c r="I531" i="12"/>
  <c r="K531" i="12"/>
  <c r="L531" i="12"/>
  <c r="N531" i="12"/>
  <c r="O531" i="12"/>
  <c r="Q531" i="12"/>
  <c r="R531" i="12"/>
  <c r="T531" i="12"/>
  <c r="U531" i="12"/>
  <c r="W531" i="12"/>
  <c r="X531" i="12"/>
  <c r="Z531" i="12"/>
  <c r="AA531" i="12"/>
  <c r="AC531" i="12"/>
  <c r="AD531" i="12"/>
  <c r="AF531" i="12"/>
  <c r="AG531" i="12"/>
  <c r="AI531" i="12"/>
  <c r="AJ531" i="12"/>
  <c r="AL531" i="12"/>
  <c r="AM531" i="12"/>
  <c r="AO531" i="12"/>
  <c r="AP531" i="12"/>
  <c r="H532" i="12"/>
  <c r="I532" i="12"/>
  <c r="K532" i="12"/>
  <c r="L532" i="12"/>
  <c r="N532" i="12"/>
  <c r="O532" i="12"/>
  <c r="Q532" i="12"/>
  <c r="R532" i="12"/>
  <c r="T532" i="12"/>
  <c r="U532" i="12"/>
  <c r="W532" i="12"/>
  <c r="X532" i="12"/>
  <c r="Z532" i="12"/>
  <c r="AA532" i="12"/>
  <c r="AC532" i="12"/>
  <c r="AD532" i="12"/>
  <c r="AF532" i="12"/>
  <c r="AG532" i="12"/>
  <c r="AI532" i="12"/>
  <c r="AJ532" i="12"/>
  <c r="AL532" i="12"/>
  <c r="AM532" i="12"/>
  <c r="AO532" i="12"/>
  <c r="AP532" i="12"/>
  <c r="H533" i="12"/>
  <c r="I533" i="12"/>
  <c r="K533" i="12"/>
  <c r="L533" i="12"/>
  <c r="N533" i="12"/>
  <c r="O533" i="12"/>
  <c r="Q533" i="12"/>
  <c r="R533" i="12"/>
  <c r="T533" i="12"/>
  <c r="U533" i="12"/>
  <c r="W533" i="12"/>
  <c r="X533" i="12"/>
  <c r="Z533" i="12"/>
  <c r="AA533" i="12"/>
  <c r="AC533" i="12"/>
  <c r="AD533" i="12"/>
  <c r="AF533" i="12"/>
  <c r="AG533" i="12"/>
  <c r="AI533" i="12"/>
  <c r="AJ533" i="12"/>
  <c r="AL533" i="12"/>
  <c r="AM533" i="12"/>
  <c r="AO533" i="12"/>
  <c r="AP533" i="12"/>
  <c r="H534" i="12"/>
  <c r="I534" i="12"/>
  <c r="K534" i="12"/>
  <c r="L534" i="12"/>
  <c r="N534" i="12"/>
  <c r="O534" i="12"/>
  <c r="Q534" i="12"/>
  <c r="R534" i="12"/>
  <c r="T534" i="12"/>
  <c r="U534" i="12"/>
  <c r="W534" i="12"/>
  <c r="X534" i="12"/>
  <c r="Z534" i="12"/>
  <c r="AA534" i="12"/>
  <c r="AC534" i="12"/>
  <c r="AD534" i="12"/>
  <c r="AF534" i="12"/>
  <c r="AG534" i="12"/>
  <c r="AI534" i="12"/>
  <c r="AJ534" i="12"/>
  <c r="AL534" i="12"/>
  <c r="AM534" i="12"/>
  <c r="AO534" i="12"/>
  <c r="AP534" i="12"/>
  <c r="H535" i="12"/>
  <c r="I535" i="12"/>
  <c r="K535" i="12"/>
  <c r="L535" i="12"/>
  <c r="N535" i="12"/>
  <c r="O535" i="12"/>
  <c r="Q535" i="12"/>
  <c r="R535" i="12"/>
  <c r="T535" i="12"/>
  <c r="U535" i="12"/>
  <c r="W535" i="12"/>
  <c r="X535" i="12"/>
  <c r="Z535" i="12"/>
  <c r="AA535" i="12"/>
  <c r="AC535" i="12"/>
  <c r="AD535" i="12"/>
  <c r="AF535" i="12"/>
  <c r="AG535" i="12"/>
  <c r="AI535" i="12"/>
  <c r="AJ535" i="12"/>
  <c r="AL535" i="12"/>
  <c r="AM535" i="12"/>
  <c r="AO535" i="12"/>
  <c r="AP535" i="12"/>
  <c r="H536" i="12"/>
  <c r="I536" i="12"/>
  <c r="K536" i="12"/>
  <c r="L536" i="12"/>
  <c r="N536" i="12"/>
  <c r="O536" i="12"/>
  <c r="Q536" i="12"/>
  <c r="R536" i="12"/>
  <c r="T536" i="12"/>
  <c r="U536" i="12"/>
  <c r="W536" i="12"/>
  <c r="X536" i="12"/>
  <c r="Z536" i="12"/>
  <c r="AA536" i="12"/>
  <c r="AC536" i="12"/>
  <c r="AD536" i="12"/>
  <c r="AF536" i="12"/>
  <c r="AG536" i="12"/>
  <c r="AI536" i="12"/>
  <c r="AJ536" i="12"/>
  <c r="AL536" i="12"/>
  <c r="AM536" i="12"/>
  <c r="AO536" i="12"/>
  <c r="AP536" i="12"/>
  <c r="H537" i="12"/>
  <c r="I537" i="12"/>
  <c r="K537" i="12"/>
  <c r="L537" i="12"/>
  <c r="N537" i="12"/>
  <c r="O537" i="12"/>
  <c r="Q537" i="12"/>
  <c r="R537" i="12"/>
  <c r="T537" i="12"/>
  <c r="U537" i="12"/>
  <c r="W537" i="12"/>
  <c r="X537" i="12"/>
  <c r="Z537" i="12"/>
  <c r="AA537" i="12"/>
  <c r="AC537" i="12"/>
  <c r="AD537" i="12"/>
  <c r="AF537" i="12"/>
  <c r="AG537" i="12"/>
  <c r="AI537" i="12"/>
  <c r="AJ537" i="12"/>
  <c r="AN537" i="12"/>
  <c r="AO537" i="12"/>
  <c r="AP537" i="12"/>
  <c r="J538" i="12"/>
  <c r="K538" i="12"/>
  <c r="L538" i="12"/>
  <c r="P538" i="12"/>
  <c r="Q538" i="12"/>
  <c r="R538" i="12"/>
  <c r="T538" i="12"/>
  <c r="U538" i="12"/>
  <c r="Y538" i="12"/>
  <c r="Z538" i="12"/>
  <c r="AA538" i="12"/>
  <c r="AE538" i="12"/>
  <c r="AF538" i="12"/>
  <c r="AG538" i="12"/>
  <c r="AI538" i="12"/>
  <c r="AJ538" i="12"/>
  <c r="AN538" i="12"/>
  <c r="AO538" i="12"/>
  <c r="AP538" i="12"/>
  <c r="AP508" i="12"/>
  <c r="AO508" i="12"/>
  <c r="AM508" i="12"/>
  <c r="AL508" i="12"/>
  <c r="AJ508" i="12"/>
  <c r="AI508" i="12"/>
  <c r="AG508" i="12"/>
  <c r="AF508" i="12"/>
  <c r="AD508" i="12"/>
  <c r="AC508" i="12"/>
  <c r="AA508" i="12"/>
  <c r="Z508" i="12"/>
  <c r="W508" i="12"/>
  <c r="X508" i="12"/>
  <c r="U508" i="12"/>
  <c r="T508" i="12"/>
  <c r="R508" i="12"/>
  <c r="Q508" i="12"/>
  <c r="AE513" i="12" l="1"/>
  <c r="Y512" i="12"/>
  <c r="P512" i="12"/>
  <c r="V509" i="12"/>
  <c r="AK536" i="12"/>
  <c r="S512" i="12"/>
  <c r="M537" i="12"/>
  <c r="M512" i="12"/>
  <c r="J512" i="12"/>
  <c r="AB538" i="12"/>
  <c r="J537" i="12"/>
  <c r="P536" i="12"/>
  <c r="AH532" i="12"/>
  <c r="V530" i="12"/>
  <c r="V529" i="12"/>
  <c r="AH528" i="12"/>
  <c r="AN525" i="12"/>
  <c r="P525" i="12"/>
  <c r="P523" i="12"/>
  <c r="AK521" i="12"/>
  <c r="Y521" i="12"/>
  <c r="AE514" i="12"/>
  <c r="AQ517" i="12"/>
  <c r="AQ511" i="12"/>
  <c r="AQ509" i="12"/>
  <c r="AN509" i="12"/>
  <c r="V533" i="12"/>
  <c r="AN532" i="12"/>
  <c r="P529" i="12"/>
  <c r="J529" i="12"/>
  <c r="AN528" i="12"/>
  <c r="P528" i="12"/>
  <c r="AN527" i="12"/>
  <c r="AB527" i="12"/>
  <c r="J527" i="12"/>
  <c r="AB526" i="12"/>
  <c r="V526" i="12"/>
  <c r="V525" i="12"/>
  <c r="AN524" i="12"/>
  <c r="V524" i="12"/>
  <c r="AN519" i="12"/>
  <c r="AB519" i="12"/>
  <c r="J519" i="12"/>
  <c r="AN515" i="12"/>
  <c r="AB515" i="12"/>
  <c r="V515" i="12"/>
  <c r="J515" i="12"/>
  <c r="AQ513" i="12"/>
  <c r="AE510" i="12"/>
  <c r="S509" i="12"/>
  <c r="M529" i="12"/>
  <c r="AK528" i="12"/>
  <c r="M527" i="12"/>
  <c r="AQ519" i="12"/>
  <c r="AK519" i="12"/>
  <c r="M519" i="12"/>
  <c r="AQ518" i="12"/>
  <c r="AK518" i="12"/>
  <c r="AE517" i="12"/>
  <c r="AE516" i="12"/>
  <c r="AQ515" i="12"/>
  <c r="AK515" i="12"/>
  <c r="AE515" i="12"/>
  <c r="S515" i="12"/>
  <c r="M515" i="12"/>
  <c r="AQ514" i="12"/>
  <c r="AK522" i="12"/>
  <c r="AK511" i="12"/>
  <c r="AK514" i="12"/>
  <c r="AH536" i="12"/>
  <c r="AH527" i="12"/>
  <c r="AH526" i="12"/>
  <c r="AH524" i="12"/>
  <c r="AH522" i="12"/>
  <c r="AH515" i="12"/>
  <c r="AH514" i="12"/>
  <c r="AH509" i="12"/>
  <c r="AE522" i="12"/>
  <c r="AE518" i="12"/>
  <c r="AE527" i="12"/>
  <c r="AE521" i="12"/>
  <c r="AE520" i="12"/>
  <c r="AE519" i="12"/>
  <c r="AB524" i="12"/>
  <c r="AB509" i="12"/>
  <c r="Y517" i="12"/>
  <c r="Y513" i="12"/>
  <c r="Y527" i="12"/>
  <c r="Y526" i="12"/>
  <c r="Y524" i="12"/>
  <c r="Y520" i="12"/>
  <c r="Y519" i="12"/>
  <c r="Y516" i="12"/>
  <c r="Y515" i="12"/>
  <c r="V531" i="12"/>
  <c r="V519" i="12"/>
  <c r="V537" i="12"/>
  <c r="V535" i="12"/>
  <c r="V534" i="12"/>
  <c r="P537" i="12"/>
  <c r="AN536" i="12"/>
  <c r="M533" i="12"/>
  <c r="AK532" i="12"/>
  <c r="AK509" i="12"/>
  <c r="AE509" i="12"/>
  <c r="Y509" i="12"/>
  <c r="AK537" i="12"/>
  <c r="AE537" i="12"/>
  <c r="Y537" i="12"/>
  <c r="V536" i="12"/>
  <c r="J536" i="12"/>
  <c r="AN535" i="12"/>
  <c r="AH535" i="12"/>
  <c r="AB535" i="12"/>
  <c r="P535" i="12"/>
  <c r="J535" i="12"/>
  <c r="AH534" i="12"/>
  <c r="AB534" i="12"/>
  <c r="P534" i="12"/>
  <c r="J534" i="12"/>
  <c r="AN533" i="12"/>
  <c r="AH533" i="12"/>
  <c r="AB533" i="12"/>
  <c r="AE531" i="12"/>
  <c r="Y531" i="12"/>
  <c r="M531" i="12"/>
  <c r="Y530" i="12"/>
  <c r="M530" i="12"/>
  <c r="AK529" i="12"/>
  <c r="AE529" i="12"/>
  <c r="Y529" i="12"/>
  <c r="V528" i="12"/>
  <c r="AQ525" i="12"/>
  <c r="J525" i="12"/>
  <c r="M524" i="12"/>
  <c r="P522" i="12"/>
  <c r="J522" i="12"/>
  <c r="AK520" i="12"/>
  <c r="P518" i="12"/>
  <c r="J518" i="12"/>
  <c r="AK516" i="12"/>
  <c r="P514" i="12"/>
  <c r="AE512" i="12"/>
  <c r="V538" i="12"/>
  <c r="M538" i="12"/>
  <c r="AH537" i="12"/>
  <c r="AB537" i="12"/>
  <c r="AE535" i="12"/>
  <c r="Y535" i="12"/>
  <c r="M535" i="12"/>
  <c r="Y534" i="12"/>
  <c r="M534" i="12"/>
  <c r="AK533" i="12"/>
  <c r="AE533" i="12"/>
  <c r="Y533" i="12"/>
  <c r="J533" i="12"/>
  <c r="V532" i="12"/>
  <c r="P532" i="12"/>
  <c r="AN531" i="12"/>
  <c r="AH531" i="12"/>
  <c r="AB531" i="12"/>
  <c r="P531" i="12"/>
  <c r="J531" i="12"/>
  <c r="AH530" i="12"/>
  <c r="AB530" i="12"/>
  <c r="P530" i="12"/>
  <c r="AN529" i="12"/>
  <c r="AH529" i="12"/>
  <c r="AB529" i="12"/>
  <c r="V527" i="12"/>
  <c r="P526" i="12"/>
  <c r="AQ524" i="12"/>
  <c r="P524" i="12"/>
  <c r="V523" i="12"/>
  <c r="M522" i="12"/>
  <c r="AQ521" i="12"/>
  <c r="AH520" i="12"/>
  <c r="S518" i="12"/>
  <c r="M518" i="12"/>
  <c r="M514" i="12"/>
  <c r="AK510" i="12"/>
  <c r="S514" i="12"/>
  <c r="S520" i="12"/>
  <c r="S516" i="12"/>
  <c r="S522" i="12"/>
  <c r="S519" i="12"/>
  <c r="P533" i="12"/>
  <c r="P527" i="12"/>
  <c r="J524" i="12"/>
  <c r="J530" i="12"/>
  <c r="G29" i="18" s="1"/>
  <c r="J532" i="12"/>
  <c r="J528" i="12"/>
  <c r="J514" i="12"/>
  <c r="G28" i="18"/>
  <c r="J526" i="12"/>
  <c r="O24" i="44"/>
  <c r="G32" i="18"/>
  <c r="AH538" i="12"/>
  <c r="AQ537" i="12"/>
  <c r="AQ536" i="12"/>
  <c r="AB536" i="12"/>
  <c r="Y536" i="12"/>
  <c r="M536" i="12"/>
  <c r="AQ534" i="12"/>
  <c r="AN534" i="12"/>
  <c r="AQ533" i="12"/>
  <c r="AQ532" i="12"/>
  <c r="AB532" i="12"/>
  <c r="Y532" i="12"/>
  <c r="M532" i="12"/>
  <c r="AQ530" i="12"/>
  <c r="AN530" i="12"/>
  <c r="AQ529" i="12"/>
  <c r="AQ528" i="12"/>
  <c r="AB528" i="12"/>
  <c r="Y528" i="12"/>
  <c r="M528" i="12"/>
  <c r="AQ526" i="12"/>
  <c r="AN526" i="12"/>
  <c r="M526" i="12"/>
  <c r="AK525" i="12"/>
  <c r="AH525" i="12"/>
  <c r="AE525" i="12"/>
  <c r="AB525" i="12"/>
  <c r="Y525" i="12"/>
  <c r="M525" i="12"/>
  <c r="AK524" i="12"/>
  <c r="AN523" i="12"/>
  <c r="AH523" i="12"/>
  <c r="AE523" i="12"/>
  <c r="AB523" i="12"/>
  <c r="Y523" i="12"/>
  <c r="M523" i="12"/>
  <c r="J523" i="12"/>
  <c r="AQ522" i="12"/>
  <c r="Y522" i="12"/>
  <c r="V522" i="12"/>
  <c r="AH521" i="12"/>
  <c r="S521" i="12"/>
  <c r="M521" i="12"/>
  <c r="J521" i="12"/>
  <c r="AQ520" i="12"/>
  <c r="P520" i="12"/>
  <c r="M520" i="12"/>
  <c r="J520" i="12"/>
  <c r="Y518" i="12"/>
  <c r="V518" i="12"/>
  <c r="AN517" i="12"/>
  <c r="AK517" i="12"/>
  <c r="S517" i="12"/>
  <c r="M517" i="12"/>
  <c r="J517" i="12"/>
  <c r="AQ516" i="12"/>
  <c r="P516" i="12"/>
  <c r="M516" i="12"/>
  <c r="J516" i="12"/>
  <c r="Y514" i="12"/>
  <c r="V514" i="12"/>
  <c r="AN513" i="12"/>
  <c r="AK513" i="12"/>
  <c r="AH513" i="12"/>
  <c r="S513" i="12"/>
  <c r="M513" i="12"/>
  <c r="J513" i="12"/>
  <c r="AQ512" i="12"/>
  <c r="AK512" i="12"/>
  <c r="AH512" i="12"/>
  <c r="AE511" i="12"/>
  <c r="AB511" i="12"/>
  <c r="Y511" i="12"/>
  <c r="V511" i="12"/>
  <c r="S511" i="12"/>
  <c r="M511" i="12"/>
  <c r="J511" i="12"/>
  <c r="AQ510" i="12"/>
  <c r="Y510" i="12"/>
  <c r="V510" i="12"/>
  <c r="S510" i="12"/>
  <c r="P510" i="12"/>
  <c r="M510" i="12"/>
  <c r="M509" i="12"/>
  <c r="D18" i="41"/>
  <c r="C19" i="41"/>
  <c r="C21" i="40"/>
  <c r="D20" i="40"/>
  <c r="AQ538" i="12"/>
  <c r="AQ535" i="12"/>
  <c r="AQ531" i="12"/>
  <c r="AQ527" i="12"/>
  <c r="AQ523" i="12"/>
  <c r="AN522" i="12"/>
  <c r="AN521" i="12"/>
  <c r="AN520" i="12"/>
  <c r="AN518" i="12"/>
  <c r="AN516" i="12"/>
  <c r="AN514" i="12"/>
  <c r="AN512" i="12"/>
  <c r="AN511" i="12"/>
  <c r="AN510" i="12"/>
  <c r="AK538" i="12"/>
  <c r="AK535" i="12"/>
  <c r="AK534" i="12"/>
  <c r="AK531" i="12"/>
  <c r="AK530" i="12"/>
  <c r="AK527" i="12"/>
  <c r="AK526" i="12"/>
  <c r="AK523" i="12"/>
  <c r="AH519" i="12"/>
  <c r="AH518" i="12"/>
  <c r="AH517" i="12"/>
  <c r="AH516" i="12"/>
  <c r="AH511" i="12"/>
  <c r="AH510" i="12"/>
  <c r="AE536" i="12"/>
  <c r="AE534" i="12"/>
  <c r="AE532" i="12"/>
  <c r="AE530" i="12"/>
  <c r="AE528" i="12"/>
  <c r="AE526" i="12"/>
  <c r="AE524" i="12"/>
  <c r="AB522" i="12"/>
  <c r="AB521" i="12"/>
  <c r="AB520" i="12"/>
  <c r="AB518" i="12"/>
  <c r="AB517" i="12"/>
  <c r="AB516" i="12"/>
  <c r="AB514" i="12"/>
  <c r="AB513" i="12"/>
  <c r="AB512" i="12"/>
  <c r="AB510" i="12"/>
  <c r="V521" i="12"/>
  <c r="V520" i="12"/>
  <c r="V517" i="12"/>
  <c r="V516" i="12"/>
  <c r="V513" i="12"/>
  <c r="V512" i="12"/>
  <c r="S538" i="12"/>
  <c r="S537" i="12"/>
  <c r="S536" i="12"/>
  <c r="S535" i="12"/>
  <c r="S534" i="12"/>
  <c r="S533" i="12"/>
  <c r="S532" i="12"/>
  <c r="S531" i="12"/>
  <c r="S530" i="12"/>
  <c r="S529" i="12"/>
  <c r="S528" i="12"/>
  <c r="S527" i="12"/>
  <c r="S526" i="12"/>
  <c r="S525" i="12"/>
  <c r="S524" i="12"/>
  <c r="S523" i="12"/>
  <c r="P521" i="12"/>
  <c r="P519" i="12"/>
  <c r="P517" i="12"/>
  <c r="P515" i="12"/>
  <c r="P513" i="12"/>
  <c r="P511" i="12"/>
  <c r="P509" i="12"/>
  <c r="J510" i="12"/>
  <c r="J509" i="12"/>
  <c r="O508" i="12"/>
  <c r="N508" i="12"/>
  <c r="L508" i="12"/>
  <c r="K508" i="12"/>
  <c r="I508" i="12"/>
  <c r="H508" i="12"/>
  <c r="H472" i="12"/>
  <c r="I472" i="12"/>
  <c r="H473" i="12"/>
  <c r="I473" i="12"/>
  <c r="H474" i="12"/>
  <c r="I474" i="12"/>
  <c r="H475" i="12"/>
  <c r="I475" i="12"/>
  <c r="H476" i="12"/>
  <c r="I476" i="12"/>
  <c r="H477" i="12"/>
  <c r="I477" i="12"/>
  <c r="H478" i="12"/>
  <c r="I478" i="12"/>
  <c r="H479" i="12"/>
  <c r="I479" i="12"/>
  <c r="H480" i="12"/>
  <c r="I480" i="12"/>
  <c r="H481" i="12"/>
  <c r="I481" i="12"/>
  <c r="H482" i="12"/>
  <c r="I482" i="12"/>
  <c r="H483" i="12"/>
  <c r="I483" i="12"/>
  <c r="H484" i="12"/>
  <c r="I484" i="12"/>
  <c r="H485" i="12"/>
  <c r="I485" i="12"/>
  <c r="H486" i="12"/>
  <c r="I486" i="12"/>
  <c r="H487" i="12"/>
  <c r="I487" i="12"/>
  <c r="H488" i="12"/>
  <c r="I488" i="12"/>
  <c r="H489" i="12"/>
  <c r="I489" i="12"/>
  <c r="H490" i="12"/>
  <c r="I490" i="12"/>
  <c r="H491" i="12"/>
  <c r="I491" i="12"/>
  <c r="H492" i="12"/>
  <c r="I492" i="12"/>
  <c r="H493" i="12"/>
  <c r="I493" i="12"/>
  <c r="H494" i="12"/>
  <c r="I494" i="12"/>
  <c r="H495" i="12"/>
  <c r="I495" i="12"/>
  <c r="H496" i="12"/>
  <c r="I496" i="12"/>
  <c r="H497" i="12"/>
  <c r="I497" i="12"/>
  <c r="H498" i="12"/>
  <c r="I498" i="12"/>
  <c r="H499" i="12"/>
  <c r="I499" i="12"/>
  <c r="H500" i="12"/>
  <c r="I500" i="12"/>
  <c r="H501" i="12"/>
  <c r="I501" i="12"/>
  <c r="K472" i="12"/>
  <c r="L472" i="12"/>
  <c r="K473" i="12"/>
  <c r="L473" i="12"/>
  <c r="K474" i="12"/>
  <c r="L474" i="12"/>
  <c r="K475" i="12"/>
  <c r="L475" i="12"/>
  <c r="K476" i="12"/>
  <c r="L476" i="12"/>
  <c r="K477" i="12"/>
  <c r="L477" i="12"/>
  <c r="K478" i="12"/>
  <c r="L478" i="12"/>
  <c r="K479" i="12"/>
  <c r="L479" i="12"/>
  <c r="K480" i="12"/>
  <c r="L480" i="12"/>
  <c r="K481" i="12"/>
  <c r="L481" i="12"/>
  <c r="K482" i="12"/>
  <c r="L482" i="12"/>
  <c r="K483" i="12"/>
  <c r="L483" i="12"/>
  <c r="K484" i="12"/>
  <c r="L484" i="12"/>
  <c r="K485" i="12"/>
  <c r="L485" i="12"/>
  <c r="K486" i="12"/>
  <c r="L486" i="12"/>
  <c r="K487" i="12"/>
  <c r="L487" i="12"/>
  <c r="K488" i="12"/>
  <c r="L488" i="12"/>
  <c r="K489" i="12"/>
  <c r="L489" i="12"/>
  <c r="K490" i="12"/>
  <c r="L490" i="12"/>
  <c r="K491" i="12"/>
  <c r="L491" i="12"/>
  <c r="K492" i="12"/>
  <c r="L492" i="12"/>
  <c r="K493" i="12"/>
  <c r="L493" i="12"/>
  <c r="K494" i="12"/>
  <c r="L494" i="12"/>
  <c r="K495" i="12"/>
  <c r="L495" i="12"/>
  <c r="K496" i="12"/>
  <c r="L496" i="12"/>
  <c r="K497" i="12"/>
  <c r="L497" i="12"/>
  <c r="K498" i="12"/>
  <c r="L498" i="12"/>
  <c r="K499" i="12"/>
  <c r="L499" i="12"/>
  <c r="K500" i="12"/>
  <c r="L500" i="12"/>
  <c r="K501" i="12"/>
  <c r="L501" i="12"/>
  <c r="K502" i="12"/>
  <c r="L502" i="12"/>
  <c r="N472" i="12"/>
  <c r="O472" i="12"/>
  <c r="N473" i="12"/>
  <c r="O473" i="12"/>
  <c r="N474" i="12"/>
  <c r="O474" i="12"/>
  <c r="N475" i="12"/>
  <c r="O475" i="12"/>
  <c r="N476" i="12"/>
  <c r="O476" i="12"/>
  <c r="N477" i="12"/>
  <c r="O477" i="12"/>
  <c r="N478" i="12"/>
  <c r="O478" i="12"/>
  <c r="N479" i="12"/>
  <c r="O479" i="12"/>
  <c r="N480" i="12"/>
  <c r="O480" i="12"/>
  <c r="N481" i="12"/>
  <c r="O481" i="12"/>
  <c r="N482" i="12"/>
  <c r="O482" i="12"/>
  <c r="N483" i="12"/>
  <c r="O483" i="12"/>
  <c r="N484" i="12"/>
  <c r="O484" i="12"/>
  <c r="N485" i="12"/>
  <c r="O485" i="12"/>
  <c r="N486" i="12"/>
  <c r="O486" i="12"/>
  <c r="N487" i="12"/>
  <c r="O487" i="12"/>
  <c r="N488" i="12"/>
  <c r="O488" i="12"/>
  <c r="N489" i="12"/>
  <c r="O489" i="12"/>
  <c r="N490" i="12"/>
  <c r="O490" i="12"/>
  <c r="N491" i="12"/>
  <c r="O491" i="12"/>
  <c r="N492" i="12"/>
  <c r="O492" i="12"/>
  <c r="N493" i="12"/>
  <c r="O493" i="12"/>
  <c r="N494" i="12"/>
  <c r="O494" i="12"/>
  <c r="N495" i="12"/>
  <c r="O495" i="12"/>
  <c r="N496" i="12"/>
  <c r="O496" i="12"/>
  <c r="N497" i="12"/>
  <c r="O497" i="12"/>
  <c r="N498" i="12"/>
  <c r="O498" i="12"/>
  <c r="N499" i="12"/>
  <c r="O499" i="12"/>
  <c r="N500" i="12"/>
  <c r="O500" i="12"/>
  <c r="N501" i="12"/>
  <c r="O501" i="12"/>
  <c r="Q472" i="12"/>
  <c r="R472" i="12"/>
  <c r="Q473" i="12"/>
  <c r="R473" i="12"/>
  <c r="Q474" i="12"/>
  <c r="R474" i="12"/>
  <c r="Q475" i="12"/>
  <c r="R475" i="12"/>
  <c r="Q476" i="12"/>
  <c r="R476" i="12"/>
  <c r="Q477" i="12"/>
  <c r="R477" i="12"/>
  <c r="Q478" i="12"/>
  <c r="R478" i="12"/>
  <c r="Q479" i="12"/>
  <c r="R479" i="12"/>
  <c r="Q480" i="12"/>
  <c r="R480" i="12"/>
  <c r="Q481" i="12"/>
  <c r="R481" i="12"/>
  <c r="Q482" i="12"/>
  <c r="R482" i="12"/>
  <c r="Q483" i="12"/>
  <c r="R483" i="12"/>
  <c r="Q484" i="12"/>
  <c r="R484" i="12"/>
  <c r="Q485" i="12"/>
  <c r="R485" i="12"/>
  <c r="Q486" i="12"/>
  <c r="R486" i="12"/>
  <c r="Q487" i="12"/>
  <c r="R487" i="12"/>
  <c r="Q488" i="12"/>
  <c r="R488" i="12"/>
  <c r="Q489" i="12"/>
  <c r="R489" i="12"/>
  <c r="Q490" i="12"/>
  <c r="R490" i="12"/>
  <c r="Q491" i="12"/>
  <c r="R491" i="12"/>
  <c r="Q492" i="12"/>
  <c r="R492" i="12"/>
  <c r="Q493" i="12"/>
  <c r="R493" i="12"/>
  <c r="Q494" i="12"/>
  <c r="R494" i="12"/>
  <c r="Q495" i="12"/>
  <c r="R495" i="12"/>
  <c r="Q496" i="12"/>
  <c r="R496" i="12"/>
  <c r="Q497" i="12"/>
  <c r="R497" i="12"/>
  <c r="Q498" i="12"/>
  <c r="R498" i="12"/>
  <c r="Q499" i="12"/>
  <c r="R499" i="12"/>
  <c r="Q500" i="12"/>
  <c r="R500" i="12"/>
  <c r="Q501" i="12"/>
  <c r="R501" i="12"/>
  <c r="Q502" i="12"/>
  <c r="R502" i="12"/>
  <c r="T472" i="12"/>
  <c r="U472" i="12"/>
  <c r="T473" i="12"/>
  <c r="U473" i="12"/>
  <c r="T474" i="12"/>
  <c r="U474" i="12"/>
  <c r="T475" i="12"/>
  <c r="U475" i="12"/>
  <c r="T476" i="12"/>
  <c r="U476" i="12"/>
  <c r="T477" i="12"/>
  <c r="U477" i="12"/>
  <c r="T478" i="12"/>
  <c r="U478" i="12"/>
  <c r="T479" i="12"/>
  <c r="U479" i="12"/>
  <c r="T480" i="12"/>
  <c r="U480" i="12"/>
  <c r="T481" i="12"/>
  <c r="U481" i="12"/>
  <c r="T482" i="12"/>
  <c r="U482" i="12"/>
  <c r="T483" i="12"/>
  <c r="U483" i="12"/>
  <c r="T484" i="12"/>
  <c r="U484" i="12"/>
  <c r="T485" i="12"/>
  <c r="U485" i="12"/>
  <c r="T486" i="12"/>
  <c r="U486" i="12"/>
  <c r="T487" i="12"/>
  <c r="U487" i="12"/>
  <c r="T488" i="12"/>
  <c r="U488" i="12"/>
  <c r="T489" i="12"/>
  <c r="U489" i="12"/>
  <c r="T490" i="12"/>
  <c r="U490" i="12"/>
  <c r="T491" i="12"/>
  <c r="U491" i="12"/>
  <c r="T492" i="12"/>
  <c r="U492" i="12"/>
  <c r="T493" i="12"/>
  <c r="U493" i="12"/>
  <c r="T494" i="12"/>
  <c r="U494" i="12"/>
  <c r="T495" i="12"/>
  <c r="U495" i="12"/>
  <c r="T496" i="12"/>
  <c r="U496" i="12"/>
  <c r="T497" i="12"/>
  <c r="U497" i="12"/>
  <c r="T498" i="12"/>
  <c r="U498" i="12"/>
  <c r="T499" i="12"/>
  <c r="U499" i="12"/>
  <c r="T500" i="12"/>
  <c r="U500" i="12"/>
  <c r="T501" i="12"/>
  <c r="U501" i="12"/>
  <c r="T502" i="12"/>
  <c r="U502" i="12"/>
  <c r="W472" i="12"/>
  <c r="X472" i="12"/>
  <c r="W473" i="12"/>
  <c r="X473" i="12"/>
  <c r="W474" i="12"/>
  <c r="X474" i="12"/>
  <c r="W475" i="12"/>
  <c r="X475" i="12"/>
  <c r="W476" i="12"/>
  <c r="X476" i="12"/>
  <c r="W477" i="12"/>
  <c r="X477" i="12"/>
  <c r="W478" i="12"/>
  <c r="X478" i="12"/>
  <c r="W479" i="12"/>
  <c r="X479" i="12"/>
  <c r="W480" i="12"/>
  <c r="X480" i="12"/>
  <c r="W481" i="12"/>
  <c r="X481" i="12"/>
  <c r="W482" i="12"/>
  <c r="X482" i="12"/>
  <c r="W483" i="12"/>
  <c r="X483" i="12"/>
  <c r="W484" i="12"/>
  <c r="X484" i="12"/>
  <c r="W485" i="12"/>
  <c r="X485" i="12"/>
  <c r="W486" i="12"/>
  <c r="X486" i="12"/>
  <c r="W487" i="12"/>
  <c r="X487" i="12"/>
  <c r="W488" i="12"/>
  <c r="X488" i="12"/>
  <c r="W489" i="12"/>
  <c r="X489" i="12"/>
  <c r="W490" i="12"/>
  <c r="X490" i="12"/>
  <c r="W491" i="12"/>
  <c r="X491" i="12"/>
  <c r="W492" i="12"/>
  <c r="X492" i="12"/>
  <c r="W493" i="12"/>
  <c r="X493" i="12"/>
  <c r="W494" i="12"/>
  <c r="X494" i="12"/>
  <c r="W495" i="12"/>
  <c r="X495" i="12"/>
  <c r="W496" i="12"/>
  <c r="X496" i="12"/>
  <c r="W497" i="12"/>
  <c r="X497" i="12"/>
  <c r="W498" i="12"/>
  <c r="X498" i="12"/>
  <c r="W499" i="12"/>
  <c r="X499" i="12"/>
  <c r="W500" i="12"/>
  <c r="X500" i="12"/>
  <c r="W501" i="12"/>
  <c r="X501" i="12"/>
  <c r="Z472" i="12"/>
  <c r="AA472" i="12"/>
  <c r="Z473" i="12"/>
  <c r="AA473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7" i="12"/>
  <c r="AA497" i="12"/>
  <c r="Z498" i="12"/>
  <c r="AA498" i="12"/>
  <c r="Z499" i="12"/>
  <c r="AA499" i="12"/>
  <c r="Z500" i="12"/>
  <c r="AA500" i="12"/>
  <c r="Z501" i="12"/>
  <c r="AA501" i="12"/>
  <c r="Z502" i="12"/>
  <c r="AA502" i="12"/>
  <c r="AC472" i="12"/>
  <c r="AD472" i="12"/>
  <c r="AC473" i="12"/>
  <c r="AD473" i="12"/>
  <c r="AC474" i="12"/>
  <c r="AD474" i="12"/>
  <c r="AC475" i="12"/>
  <c r="AD475" i="12"/>
  <c r="AC476" i="12"/>
  <c r="AD476" i="12"/>
  <c r="AC477" i="12"/>
  <c r="AD477" i="12"/>
  <c r="AC478" i="12"/>
  <c r="AD478" i="12"/>
  <c r="AC479" i="12"/>
  <c r="AD479" i="12"/>
  <c r="AC480" i="12"/>
  <c r="AD480" i="12"/>
  <c r="AC481" i="12"/>
  <c r="AD481" i="12"/>
  <c r="AC482" i="12"/>
  <c r="AD482" i="12"/>
  <c r="AC483" i="12"/>
  <c r="AD483" i="12"/>
  <c r="AC484" i="12"/>
  <c r="AD484" i="12"/>
  <c r="AC485" i="12"/>
  <c r="AD485" i="12"/>
  <c r="AC486" i="12"/>
  <c r="AD486" i="12"/>
  <c r="AC487" i="12"/>
  <c r="AD487" i="12"/>
  <c r="AC488" i="12"/>
  <c r="AD488" i="12"/>
  <c r="AC489" i="12"/>
  <c r="AD489" i="12"/>
  <c r="AC490" i="12"/>
  <c r="AD490" i="12"/>
  <c r="AC491" i="12"/>
  <c r="AD491" i="12"/>
  <c r="AC492" i="12"/>
  <c r="AD492" i="12"/>
  <c r="AC493" i="12"/>
  <c r="AD493" i="12"/>
  <c r="AC494" i="12"/>
  <c r="AD494" i="12"/>
  <c r="AC495" i="12"/>
  <c r="AD495" i="12"/>
  <c r="AC496" i="12"/>
  <c r="AD496" i="12"/>
  <c r="AC497" i="12"/>
  <c r="AD497" i="12"/>
  <c r="AC498" i="12"/>
  <c r="AD498" i="12"/>
  <c r="AC499" i="12"/>
  <c r="AD499" i="12"/>
  <c r="AC500" i="12"/>
  <c r="AD500" i="12"/>
  <c r="AC501" i="12"/>
  <c r="AD501" i="12"/>
  <c r="AF472" i="12"/>
  <c r="AG472" i="12"/>
  <c r="AF473" i="12"/>
  <c r="AG473" i="12"/>
  <c r="AF474" i="12"/>
  <c r="AG474" i="12"/>
  <c r="AF475" i="12"/>
  <c r="AG475" i="12"/>
  <c r="AF476" i="12"/>
  <c r="AG476" i="12"/>
  <c r="AF477" i="12"/>
  <c r="AG477" i="12"/>
  <c r="AF478" i="12"/>
  <c r="AG478" i="12"/>
  <c r="AF479" i="12"/>
  <c r="AG479" i="12"/>
  <c r="AF480" i="12"/>
  <c r="AG480" i="12"/>
  <c r="AF481" i="12"/>
  <c r="AG481" i="12"/>
  <c r="AF482" i="12"/>
  <c r="AG482" i="12"/>
  <c r="AF483" i="12"/>
  <c r="AG483" i="12"/>
  <c r="AF484" i="12"/>
  <c r="AG484" i="12"/>
  <c r="AF485" i="12"/>
  <c r="AG485" i="12"/>
  <c r="AF486" i="12"/>
  <c r="AG486" i="12"/>
  <c r="AF487" i="12"/>
  <c r="AG487" i="12"/>
  <c r="AF488" i="12"/>
  <c r="AG488" i="12"/>
  <c r="AF489" i="12"/>
  <c r="AG489" i="12"/>
  <c r="AF490" i="12"/>
  <c r="AG490" i="12"/>
  <c r="AF491" i="12"/>
  <c r="AG491" i="12"/>
  <c r="AF492" i="12"/>
  <c r="AG492" i="12"/>
  <c r="AF493" i="12"/>
  <c r="AG493" i="12"/>
  <c r="AF494" i="12"/>
  <c r="AG494" i="12"/>
  <c r="AF495" i="12"/>
  <c r="AG495" i="12"/>
  <c r="AF496" i="12"/>
  <c r="AG496" i="12"/>
  <c r="AF497" i="12"/>
  <c r="AG497" i="12"/>
  <c r="AF498" i="12"/>
  <c r="AG498" i="12"/>
  <c r="AF499" i="12"/>
  <c r="AG499" i="12"/>
  <c r="AF500" i="12"/>
  <c r="AG500" i="12"/>
  <c r="AF501" i="12"/>
  <c r="AG501" i="12"/>
  <c r="AF502" i="12"/>
  <c r="AG502" i="12"/>
  <c r="AJ472" i="12"/>
  <c r="AL472" i="12"/>
  <c r="AM472" i="12"/>
  <c r="AO472" i="12"/>
  <c r="AP472" i="12"/>
  <c r="AI474" i="12"/>
  <c r="AJ474" i="12"/>
  <c r="AL474" i="12"/>
  <c r="AM474" i="12"/>
  <c r="AO474" i="12"/>
  <c r="AP474" i="12"/>
  <c r="AI475" i="12"/>
  <c r="AJ475" i="12"/>
  <c r="AL475" i="12"/>
  <c r="AM475" i="12"/>
  <c r="AO475" i="12"/>
  <c r="AP475" i="12"/>
  <c r="AI476" i="12"/>
  <c r="AJ476" i="12"/>
  <c r="AL476" i="12"/>
  <c r="AM476" i="12"/>
  <c r="AO476" i="12"/>
  <c r="AP476" i="12"/>
  <c r="AI477" i="12"/>
  <c r="AJ477" i="12"/>
  <c r="AL477" i="12"/>
  <c r="AM477" i="12"/>
  <c r="AO477" i="12"/>
  <c r="AP477" i="12"/>
  <c r="AI478" i="12"/>
  <c r="AJ478" i="12"/>
  <c r="AL478" i="12"/>
  <c r="AM478" i="12"/>
  <c r="AO478" i="12"/>
  <c r="AP478" i="12"/>
  <c r="AI479" i="12"/>
  <c r="AJ479" i="12"/>
  <c r="AL479" i="12"/>
  <c r="AM479" i="12"/>
  <c r="AO479" i="12"/>
  <c r="AP479" i="12"/>
  <c r="AI480" i="12"/>
  <c r="AJ480" i="12"/>
  <c r="AL480" i="12"/>
  <c r="AM480" i="12"/>
  <c r="AO480" i="12"/>
  <c r="AP480" i="12"/>
  <c r="AI481" i="12"/>
  <c r="AJ481" i="12"/>
  <c r="AL481" i="12"/>
  <c r="AM481" i="12"/>
  <c r="AO481" i="12"/>
  <c r="AP481" i="12"/>
  <c r="AI482" i="12"/>
  <c r="AJ482" i="12"/>
  <c r="AL482" i="12"/>
  <c r="AM482" i="12"/>
  <c r="AO482" i="12"/>
  <c r="AP482" i="12"/>
  <c r="AI483" i="12"/>
  <c r="AJ483" i="12"/>
  <c r="AL483" i="12"/>
  <c r="AM483" i="12"/>
  <c r="AO483" i="12"/>
  <c r="AP483" i="12"/>
  <c r="AI484" i="12"/>
  <c r="AJ484" i="12"/>
  <c r="AL484" i="12"/>
  <c r="AM484" i="12"/>
  <c r="AO484" i="12"/>
  <c r="AP484" i="12"/>
  <c r="AI485" i="12"/>
  <c r="AJ485" i="12"/>
  <c r="AL485" i="12"/>
  <c r="AM485" i="12"/>
  <c r="AO485" i="12"/>
  <c r="AP485" i="12"/>
  <c r="AI486" i="12"/>
  <c r="AJ486" i="12"/>
  <c r="AL486" i="12"/>
  <c r="AM486" i="12"/>
  <c r="AO486" i="12"/>
  <c r="AP486" i="12"/>
  <c r="AI487" i="12"/>
  <c r="AJ487" i="12"/>
  <c r="AL487" i="12"/>
  <c r="AM487" i="12"/>
  <c r="AO487" i="12"/>
  <c r="AP487" i="12"/>
  <c r="AI488" i="12"/>
  <c r="AJ488" i="12"/>
  <c r="AL488" i="12"/>
  <c r="AM488" i="12"/>
  <c r="AO488" i="12"/>
  <c r="AP488" i="12"/>
  <c r="AI489" i="12"/>
  <c r="AJ489" i="12"/>
  <c r="AL489" i="12"/>
  <c r="AM489" i="12"/>
  <c r="AO489" i="12"/>
  <c r="AP489" i="12"/>
  <c r="AI490" i="12"/>
  <c r="AJ490" i="12"/>
  <c r="AL490" i="12"/>
  <c r="AM490" i="12"/>
  <c r="AO490" i="12"/>
  <c r="AP490" i="12"/>
  <c r="AI491" i="12"/>
  <c r="AJ491" i="12"/>
  <c r="AL491" i="12"/>
  <c r="AM491" i="12"/>
  <c r="AO491" i="12"/>
  <c r="AP491" i="12"/>
  <c r="AI492" i="12"/>
  <c r="AJ492" i="12"/>
  <c r="AL492" i="12"/>
  <c r="AM492" i="12"/>
  <c r="AO492" i="12"/>
  <c r="AP492" i="12"/>
  <c r="AI493" i="12"/>
  <c r="AJ493" i="12"/>
  <c r="AL493" i="12"/>
  <c r="AM493" i="12"/>
  <c r="AO493" i="12"/>
  <c r="AP493" i="12"/>
  <c r="AI494" i="12"/>
  <c r="AJ494" i="12"/>
  <c r="AL494" i="12"/>
  <c r="AM494" i="12"/>
  <c r="AO494" i="12"/>
  <c r="AP494" i="12"/>
  <c r="AI495" i="12"/>
  <c r="AJ495" i="12"/>
  <c r="AL495" i="12"/>
  <c r="AM495" i="12"/>
  <c r="AO495" i="12"/>
  <c r="AP495" i="12"/>
  <c r="AI496" i="12"/>
  <c r="AJ496" i="12"/>
  <c r="AL496" i="12"/>
  <c r="AM496" i="12"/>
  <c r="AO496" i="12"/>
  <c r="AP496" i="12"/>
  <c r="AI497" i="12"/>
  <c r="AJ497" i="12"/>
  <c r="AL497" i="12"/>
  <c r="AM497" i="12"/>
  <c r="AO497" i="12"/>
  <c r="AP497" i="12"/>
  <c r="AI498" i="12"/>
  <c r="AJ498" i="12"/>
  <c r="AL498" i="12"/>
  <c r="AM498" i="12"/>
  <c r="AO498" i="12"/>
  <c r="AP498" i="12"/>
  <c r="AI499" i="12"/>
  <c r="AJ499" i="12"/>
  <c r="AL499" i="12"/>
  <c r="AM499" i="12"/>
  <c r="AO499" i="12"/>
  <c r="AP499" i="12"/>
  <c r="AI500" i="12"/>
  <c r="AJ500" i="12"/>
  <c r="AL500" i="12"/>
  <c r="AM500" i="12"/>
  <c r="AO500" i="12"/>
  <c r="AP500" i="12"/>
  <c r="AI501" i="12"/>
  <c r="AJ501" i="12"/>
  <c r="AN501" i="12"/>
  <c r="AO501" i="12"/>
  <c r="AP501" i="12"/>
  <c r="J502" i="12"/>
  <c r="P502" i="12"/>
  <c r="Y502" i="12"/>
  <c r="AE502" i="12"/>
  <c r="AI502" i="12"/>
  <c r="AJ502" i="12"/>
  <c r="AN502" i="12"/>
  <c r="AO502" i="12"/>
  <c r="AP502" i="12"/>
  <c r="AI473" i="12"/>
  <c r="AJ473" i="12"/>
  <c r="AL473" i="12"/>
  <c r="AM473" i="12"/>
  <c r="AO473" i="12"/>
  <c r="AP473" i="12"/>
  <c r="AQ508" i="12"/>
  <c r="AN508" i="12"/>
  <c r="AK508" i="12"/>
  <c r="AH508" i="12"/>
  <c r="AE508" i="12"/>
  <c r="AB508" i="12"/>
  <c r="Y508" i="12"/>
  <c r="V508" i="12"/>
  <c r="S508" i="12"/>
  <c r="AE475" i="12" l="1"/>
  <c r="P482" i="12"/>
  <c r="M497" i="12"/>
  <c r="Y493" i="12"/>
  <c r="V494" i="12"/>
  <c r="V483" i="12"/>
  <c r="P489" i="12"/>
  <c r="P487" i="12"/>
  <c r="P479" i="12"/>
  <c r="P477" i="12"/>
  <c r="M489" i="12"/>
  <c r="J482" i="12"/>
  <c r="G27" i="18"/>
  <c r="G35" i="18"/>
  <c r="AQ472" i="12"/>
  <c r="G36" i="18"/>
  <c r="G26" i="18"/>
  <c r="G18" i="18"/>
  <c r="G33" i="18"/>
  <c r="G30" i="18"/>
  <c r="M475" i="12"/>
  <c r="G34" i="18"/>
  <c r="M499" i="12"/>
  <c r="J481" i="12"/>
  <c r="P501" i="12"/>
  <c r="AK491" i="12"/>
  <c r="AN481" i="12"/>
  <c r="AK474" i="12"/>
  <c r="AH481" i="12"/>
  <c r="AE495" i="12"/>
  <c r="AE486" i="12"/>
  <c r="G24" i="18"/>
  <c r="G23" i="18"/>
  <c r="G14" i="18"/>
  <c r="AK499" i="12"/>
  <c r="AK495" i="12"/>
  <c r="AK477" i="12"/>
  <c r="AK475" i="12"/>
  <c r="AK493" i="12"/>
  <c r="AK478" i="12"/>
  <c r="AK481" i="12"/>
  <c r="AH502" i="12"/>
  <c r="AH501" i="12"/>
  <c r="AH500" i="12"/>
  <c r="AH499" i="12"/>
  <c r="AH498" i="12"/>
  <c r="AH497" i="12"/>
  <c r="AH496" i="12"/>
  <c r="AH495" i="12"/>
  <c r="AH494" i="12"/>
  <c r="AH493" i="12"/>
  <c r="AH492" i="12"/>
  <c r="AH491" i="12"/>
  <c r="AH490" i="12"/>
  <c r="AH489" i="12"/>
  <c r="AH488" i="12"/>
  <c r="AH487" i="12"/>
  <c r="AH486" i="12"/>
  <c r="AH485" i="12"/>
  <c r="AH484" i="12"/>
  <c r="AH482" i="12"/>
  <c r="AH480" i="12"/>
  <c r="AH478" i="12"/>
  <c r="AH476" i="12"/>
  <c r="AH474" i="12"/>
  <c r="AE500" i="12"/>
  <c r="AE498" i="12"/>
  <c r="AE496" i="12"/>
  <c r="AB473" i="12"/>
  <c r="V491" i="12"/>
  <c r="V479" i="12"/>
  <c r="G37" i="18"/>
  <c r="V499" i="12"/>
  <c r="V475" i="12"/>
  <c r="G17" i="18"/>
  <c r="G21" i="18"/>
  <c r="G31" i="18"/>
  <c r="G13" i="18"/>
  <c r="G11" i="18"/>
  <c r="P500" i="12"/>
  <c r="P496" i="12"/>
  <c r="P490" i="12"/>
  <c r="P483" i="12"/>
  <c r="P481" i="12"/>
  <c r="P478" i="12"/>
  <c r="P476" i="12"/>
  <c r="P475" i="12"/>
  <c r="M502" i="12"/>
  <c r="M498" i="12"/>
  <c r="M491" i="12"/>
  <c r="M483" i="12"/>
  <c r="M482" i="12"/>
  <c r="M481" i="12"/>
  <c r="J499" i="12"/>
  <c r="J498" i="12"/>
  <c r="J497" i="12"/>
  <c r="J496" i="12"/>
  <c r="J487" i="12"/>
  <c r="J483" i="12"/>
  <c r="J480" i="12"/>
  <c r="J476" i="12"/>
  <c r="S498" i="12"/>
  <c r="S496" i="12"/>
  <c r="S494" i="12"/>
  <c r="S490" i="12"/>
  <c r="S488" i="12"/>
  <c r="AH472" i="12"/>
  <c r="AE494" i="12"/>
  <c r="AE492" i="12"/>
  <c r="AE490" i="12"/>
  <c r="AE488" i="12"/>
  <c r="AE484" i="12"/>
  <c r="AE482" i="12"/>
  <c r="AE480" i="12"/>
  <c r="AE478" i="12"/>
  <c r="AE476" i="12"/>
  <c r="AE474" i="12"/>
  <c r="AE472" i="12"/>
  <c r="AB501" i="12"/>
  <c r="AB499" i="12"/>
  <c r="AB497" i="12"/>
  <c r="AB495" i="12"/>
  <c r="AB493" i="12"/>
  <c r="AB491" i="12"/>
  <c r="AB489" i="12"/>
  <c r="AB487" i="12"/>
  <c r="AB485" i="12"/>
  <c r="AB483" i="12"/>
  <c r="S499" i="12"/>
  <c r="M508" i="12"/>
  <c r="AQ498" i="12"/>
  <c r="AQ497" i="12"/>
  <c r="AQ490" i="12"/>
  <c r="AQ501" i="12"/>
  <c r="AQ485" i="12"/>
  <c r="AQ484" i="12"/>
  <c r="AQ499" i="12"/>
  <c r="AQ491" i="12"/>
  <c r="AQ481" i="12"/>
  <c r="AQ474" i="12"/>
  <c r="AQ502" i="12"/>
  <c r="AQ480" i="12"/>
  <c r="AN478" i="12"/>
  <c r="AQ475" i="12"/>
  <c r="S486" i="12"/>
  <c r="S482" i="12"/>
  <c r="S480" i="12"/>
  <c r="S474" i="12"/>
  <c r="P494" i="12"/>
  <c r="P492" i="12"/>
  <c r="P508" i="12"/>
  <c r="AQ489" i="12"/>
  <c r="AQ478" i="12"/>
  <c r="AB500" i="12"/>
  <c r="AB492" i="12"/>
  <c r="AB484" i="12"/>
  <c r="AB476" i="12"/>
  <c r="AB472" i="12"/>
  <c r="Y496" i="12"/>
  <c r="Y488" i="12"/>
  <c r="V495" i="12"/>
  <c r="AK501" i="12"/>
  <c r="AK500" i="12"/>
  <c r="AK484" i="12"/>
  <c r="Y490" i="12"/>
  <c r="Y501" i="12"/>
  <c r="Y495" i="12"/>
  <c r="AN499" i="12"/>
  <c r="AK494" i="12"/>
  <c r="AN491" i="12"/>
  <c r="AH483" i="12"/>
  <c r="AH479" i="12"/>
  <c r="AH477" i="12"/>
  <c r="AH475" i="12"/>
  <c r="AH473" i="12"/>
  <c r="AE501" i="12"/>
  <c r="AE499" i="12"/>
  <c r="AE497" i="12"/>
  <c r="AE493" i="12"/>
  <c r="AE491" i="12"/>
  <c r="AE489" i="12"/>
  <c r="AE487" i="12"/>
  <c r="AE485" i="12"/>
  <c r="AE483" i="12"/>
  <c r="AE481" i="12"/>
  <c r="AE479" i="12"/>
  <c r="AE477" i="12"/>
  <c r="AE473" i="12"/>
  <c r="AB502" i="12"/>
  <c r="AB498" i="12"/>
  <c r="AB496" i="12"/>
  <c r="AB494" i="12"/>
  <c r="AB490" i="12"/>
  <c r="AB488" i="12"/>
  <c r="AB486" i="12"/>
  <c r="AB480" i="12"/>
  <c r="P488" i="12"/>
  <c r="AQ473" i="12"/>
  <c r="AK473" i="12"/>
  <c r="AK497" i="12"/>
  <c r="AN495" i="12"/>
  <c r="AN493" i="12"/>
  <c r="AK489" i="12"/>
  <c r="AQ487" i="12"/>
  <c r="AK487" i="12"/>
  <c r="AQ486" i="12"/>
  <c r="AK486" i="12"/>
  <c r="AQ482" i="12"/>
  <c r="AK482" i="12"/>
  <c r="AN473" i="12"/>
  <c r="AQ495" i="12"/>
  <c r="AQ493" i="12"/>
  <c r="AK492" i="12"/>
  <c r="AN486" i="12"/>
  <c r="AQ476" i="12"/>
  <c r="AK476" i="12"/>
  <c r="V480" i="12"/>
  <c r="V478" i="12"/>
  <c r="P491" i="12"/>
  <c r="J492" i="12"/>
  <c r="G19" i="18"/>
  <c r="G20" i="18"/>
  <c r="V488" i="12"/>
  <c r="S478" i="12"/>
  <c r="S501" i="12"/>
  <c r="S495" i="12"/>
  <c r="S493" i="12"/>
  <c r="S491" i="12"/>
  <c r="S487" i="12"/>
  <c r="S485" i="12"/>
  <c r="S483" i="12"/>
  <c r="S479" i="12"/>
  <c r="S477" i="12"/>
  <c r="S475" i="12"/>
  <c r="P498" i="12"/>
  <c r="P499" i="12"/>
  <c r="E34" i="18" s="1"/>
  <c r="P497" i="12"/>
  <c r="P495" i="12"/>
  <c r="P493" i="12"/>
  <c r="G25" i="18"/>
  <c r="G12" i="18"/>
  <c r="G15" i="18"/>
  <c r="G22" i="18"/>
  <c r="O25" i="44"/>
  <c r="G10" i="18"/>
  <c r="AK502" i="12"/>
  <c r="AQ500" i="12"/>
  <c r="AN500" i="12"/>
  <c r="AK498" i="12"/>
  <c r="AQ496" i="12"/>
  <c r="AN496" i="12"/>
  <c r="AK496" i="12"/>
  <c r="AQ494" i="12"/>
  <c r="AN494" i="12"/>
  <c r="AQ492" i="12"/>
  <c r="AN492" i="12"/>
  <c r="AK490" i="12"/>
  <c r="AQ488" i="12"/>
  <c r="AN488" i="12"/>
  <c r="AK488" i="12"/>
  <c r="AK485" i="12"/>
  <c r="AQ483" i="12"/>
  <c r="AN483" i="12"/>
  <c r="AK483" i="12"/>
  <c r="E18" i="18"/>
  <c r="AK480" i="12"/>
  <c r="AQ479" i="12"/>
  <c r="AN479" i="12"/>
  <c r="AK479" i="12"/>
  <c r="AQ477" i="12"/>
  <c r="AN477" i="12"/>
  <c r="AN472" i="12"/>
  <c r="Y498" i="12"/>
  <c r="Y487" i="12"/>
  <c r="Y485" i="12"/>
  <c r="Y482" i="12"/>
  <c r="Y480" i="12"/>
  <c r="Y479" i="12"/>
  <c r="Y477" i="12"/>
  <c r="Y474" i="12"/>
  <c r="Y473" i="12"/>
  <c r="Y472" i="12"/>
  <c r="V496" i="12"/>
  <c r="V487" i="12"/>
  <c r="V486" i="12"/>
  <c r="P486" i="12"/>
  <c r="P485" i="12"/>
  <c r="P484" i="12"/>
  <c r="P480" i="12"/>
  <c r="P474" i="12"/>
  <c r="P473" i="12"/>
  <c r="P472" i="12"/>
  <c r="M490" i="12"/>
  <c r="M474" i="12"/>
  <c r="J501" i="12"/>
  <c r="J494" i="12"/>
  <c r="J485" i="12"/>
  <c r="J478" i="12"/>
  <c r="G9" i="18"/>
  <c r="G8" i="18"/>
  <c r="G16" i="18"/>
  <c r="D19" i="41"/>
  <c r="C20" i="41"/>
  <c r="C22" i="40"/>
  <c r="D21" i="40"/>
  <c r="J508" i="12"/>
  <c r="AN498" i="12"/>
  <c r="AN497" i="12"/>
  <c r="AN490" i="12"/>
  <c r="AN489" i="12"/>
  <c r="AN487" i="12"/>
  <c r="AN485" i="12"/>
  <c r="AN484" i="12"/>
  <c r="AN482" i="12"/>
  <c r="AN480" i="12"/>
  <c r="AN476" i="12"/>
  <c r="AN475" i="12"/>
  <c r="AN474" i="12"/>
  <c r="AB482" i="12"/>
  <c r="AB481" i="12"/>
  <c r="AB479" i="12"/>
  <c r="AB478" i="12"/>
  <c r="AB477" i="12"/>
  <c r="AB475" i="12"/>
  <c r="AB474" i="12"/>
  <c r="Y500" i="12"/>
  <c r="Y499" i="12"/>
  <c r="Y497" i="12"/>
  <c r="Y494" i="12"/>
  <c r="Y492" i="12"/>
  <c r="Y491" i="12"/>
  <c r="Y489" i="12"/>
  <c r="Y486" i="12"/>
  <c r="Y484" i="12"/>
  <c r="Y483" i="12"/>
  <c r="Y481" i="12"/>
  <c r="Y478" i="12"/>
  <c r="Y476" i="12"/>
  <c r="Y475" i="12"/>
  <c r="V502" i="12"/>
  <c r="E37" i="18" s="1"/>
  <c r="V501" i="12"/>
  <c r="V500" i="12"/>
  <c r="V498" i="12"/>
  <c r="E33" i="18" s="1"/>
  <c r="V497" i="12"/>
  <c r="V493" i="12"/>
  <c r="V492" i="12"/>
  <c r="V490" i="12"/>
  <c r="V489" i="12"/>
  <c r="V485" i="12"/>
  <c r="V484" i="12"/>
  <c r="V482" i="12"/>
  <c r="V481" i="12"/>
  <c r="V477" i="12"/>
  <c r="V476" i="12"/>
  <c r="V474" i="12"/>
  <c r="V473" i="12"/>
  <c r="V472" i="12"/>
  <c r="S502" i="12"/>
  <c r="S500" i="12"/>
  <c r="S497" i="12"/>
  <c r="S492" i="12"/>
  <c r="S489" i="12"/>
  <c r="S484" i="12"/>
  <c r="S481" i="12"/>
  <c r="S476" i="12"/>
  <c r="S473" i="12"/>
  <c r="S472" i="12"/>
  <c r="M501" i="12"/>
  <c r="M500" i="12"/>
  <c r="M496" i="12"/>
  <c r="M495" i="12"/>
  <c r="M494" i="12"/>
  <c r="M493" i="12"/>
  <c r="M492" i="12"/>
  <c r="M488" i="12"/>
  <c r="M487" i="12"/>
  <c r="E22" i="18" s="1"/>
  <c r="M486" i="12"/>
  <c r="M485" i="12"/>
  <c r="M484" i="12"/>
  <c r="M480" i="12"/>
  <c r="M479" i="12"/>
  <c r="M478" i="12"/>
  <c r="M477" i="12"/>
  <c r="M476" i="12"/>
  <c r="M473" i="12"/>
  <c r="M472" i="12"/>
  <c r="J500" i="12"/>
  <c r="J495" i="12"/>
  <c r="J493" i="12"/>
  <c r="J491" i="12"/>
  <c r="J490" i="12"/>
  <c r="J489" i="12"/>
  <c r="J488" i="12"/>
  <c r="J486" i="12"/>
  <c r="J484" i="12"/>
  <c r="J479" i="12"/>
  <c r="J477" i="12"/>
  <c r="J475" i="12"/>
  <c r="J474" i="12"/>
  <c r="J473" i="12"/>
  <c r="J472" i="12"/>
  <c r="AP503" i="12"/>
  <c r="AP539" i="12"/>
  <c r="AM503" i="12"/>
  <c r="AM539" i="12"/>
  <c r="AJ503" i="12"/>
  <c r="AJ539" i="12"/>
  <c r="AG503" i="12"/>
  <c r="AG539" i="12"/>
  <c r="AD503" i="12"/>
  <c r="AD539" i="12"/>
  <c r="AA503" i="12"/>
  <c r="AA539" i="12"/>
  <c r="X503" i="12"/>
  <c r="X539" i="12"/>
  <c r="U503" i="12"/>
  <c r="U539" i="12"/>
  <c r="R503" i="12"/>
  <c r="R539" i="12"/>
  <c r="O503" i="12"/>
  <c r="O539" i="12"/>
  <c r="L503" i="12"/>
  <c r="L539" i="12"/>
  <c r="I503" i="12"/>
  <c r="I539" i="12"/>
  <c r="H503" i="12"/>
  <c r="H539" i="12"/>
  <c r="K503" i="12"/>
  <c r="K539" i="12"/>
  <c r="N503" i="12"/>
  <c r="N539" i="12"/>
  <c r="Q503" i="12"/>
  <c r="Q539" i="12"/>
  <c r="T503" i="12"/>
  <c r="T539" i="12"/>
  <c r="W503" i="12"/>
  <c r="W539" i="12"/>
  <c r="Z503" i="12"/>
  <c r="Z539" i="12"/>
  <c r="AC503" i="12"/>
  <c r="AC539" i="12"/>
  <c r="AF503" i="12"/>
  <c r="AF539" i="12"/>
  <c r="AI539" i="12"/>
  <c r="AL503" i="12"/>
  <c r="AL539" i="12"/>
  <c r="AO503" i="12"/>
  <c r="AO539" i="12"/>
  <c r="E17" i="18" l="1"/>
  <c r="E9" i="18"/>
  <c r="E10" i="18"/>
  <c r="E24" i="18"/>
  <c r="E26" i="18"/>
  <c r="E29" i="18"/>
  <c r="E32" i="18"/>
  <c r="G7" i="18"/>
  <c r="E11" i="18"/>
  <c r="E15" i="18"/>
  <c r="E27" i="18"/>
  <c r="E16" i="18"/>
  <c r="E13" i="18"/>
  <c r="E31" i="18"/>
  <c r="AQ503" i="12"/>
  <c r="AN539" i="12"/>
  <c r="Y503" i="12"/>
  <c r="Y539" i="12"/>
  <c r="S503" i="12"/>
  <c r="E30" i="18"/>
  <c r="E14" i="18"/>
  <c r="E21" i="18"/>
  <c r="V503" i="12"/>
  <c r="O26" i="44"/>
  <c r="E12" i="18"/>
  <c r="E23" i="18"/>
  <c r="E28" i="18"/>
  <c r="E35" i="18"/>
  <c r="E25" i="18"/>
  <c r="AH539" i="12"/>
  <c r="AH503" i="12"/>
  <c r="AB539" i="12"/>
  <c r="AB503" i="12"/>
  <c r="P539" i="12"/>
  <c r="P503" i="12"/>
  <c r="AE503" i="12"/>
  <c r="E20" i="18"/>
  <c r="E36" i="18"/>
  <c r="D20" i="41"/>
  <c r="C21" i="41"/>
  <c r="C23" i="40"/>
  <c r="D22" i="40"/>
  <c r="E8" i="18"/>
  <c r="M539" i="12"/>
  <c r="E19" i="18"/>
  <c r="J539" i="12"/>
  <c r="E7" i="18"/>
  <c r="J503" i="12"/>
  <c r="AQ539" i="12"/>
  <c r="AN503" i="12"/>
  <c r="AK539" i="12"/>
  <c r="AE539" i="12"/>
  <c r="V539" i="12"/>
  <c r="S539" i="12"/>
  <c r="M503" i="12"/>
  <c r="O6" i="12"/>
  <c r="N6" i="12"/>
  <c r="G38" i="18" l="1"/>
  <c r="C355" i="12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25" i="12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293" i="12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40" i="12"/>
  <c r="C261" i="12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30" i="12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198" i="12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167" i="12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35" i="12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03" i="12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72" i="12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9" i="12"/>
  <c r="O27" i="44"/>
  <c r="D21" i="41"/>
  <c r="C22" i="41"/>
  <c r="C24" i="40"/>
  <c r="D23" i="40"/>
  <c r="E38" i="18"/>
  <c r="P2" i="14"/>
  <c r="C10" i="12" l="1"/>
  <c r="D9" i="12"/>
  <c r="O28" i="44"/>
  <c r="D22" i="41"/>
  <c r="C23" i="41"/>
  <c r="C25" i="40"/>
  <c r="D24" i="40"/>
  <c r="H8" i="25"/>
  <c r="H9" i="25"/>
  <c r="G9" i="25"/>
  <c r="O29" i="44" l="1"/>
  <c r="D23" i="41"/>
  <c r="C24" i="41"/>
  <c r="C26" i="40"/>
  <c r="D25" i="40"/>
  <c r="G9" i="5"/>
  <c r="F9" i="5"/>
  <c r="G8" i="5"/>
  <c r="O30" i="44" l="1"/>
  <c r="D24" i="41"/>
  <c r="C25" i="41"/>
  <c r="C27" i="40"/>
  <c r="D26" i="40"/>
  <c r="Q6" i="19"/>
  <c r="G6" i="19"/>
  <c r="G6" i="33"/>
  <c r="Q6" i="33"/>
  <c r="B12" i="19"/>
  <c r="B14" i="19" s="1"/>
  <c r="O31" i="44" l="1"/>
  <c r="D25" i="41"/>
  <c r="C26" i="41"/>
  <c r="C28" i="40"/>
  <c r="D27" i="40"/>
  <c r="O32" i="44" l="1"/>
  <c r="D26" i="41"/>
  <c r="C27" i="41"/>
  <c r="C29" i="40"/>
  <c r="D28" i="40"/>
  <c r="AZ3" i="30"/>
  <c r="AY3" i="30"/>
  <c r="L12" i="33"/>
  <c r="B12" i="33"/>
  <c r="S9" i="33"/>
  <c r="P9" i="33"/>
  <c r="M9" i="33"/>
  <c r="I9" i="33"/>
  <c r="F9" i="33"/>
  <c r="C9" i="33"/>
  <c r="M8" i="33"/>
  <c r="P26" i="33" s="1"/>
  <c r="C8" i="33"/>
  <c r="G26" i="33" s="1"/>
  <c r="T6" i="33"/>
  <c r="J6" i="33"/>
  <c r="L5" i="33"/>
  <c r="B5" i="33"/>
  <c r="F37" i="30"/>
  <c r="BF305" i="12"/>
  <c r="BG305" i="12"/>
  <c r="BH305" i="12"/>
  <c r="BI305" i="12"/>
  <c r="BJ305" i="12"/>
  <c r="BK305" i="12"/>
  <c r="BL305" i="12"/>
  <c r="BM305" i="12"/>
  <c r="BN305" i="12"/>
  <c r="BO305" i="12"/>
  <c r="BP305" i="12"/>
  <c r="BQ305" i="12"/>
  <c r="BF306" i="12"/>
  <c r="BG306" i="12"/>
  <c r="BH306" i="12"/>
  <c r="BI306" i="12"/>
  <c r="BJ306" i="12"/>
  <c r="BK306" i="12"/>
  <c r="BL306" i="12"/>
  <c r="BM306" i="12"/>
  <c r="BN306" i="12"/>
  <c r="BO306" i="12"/>
  <c r="BP306" i="12"/>
  <c r="BQ306" i="12"/>
  <c r="BF307" i="12"/>
  <c r="BG307" i="12"/>
  <c r="BH307" i="12"/>
  <c r="BI307" i="12"/>
  <c r="BJ307" i="12"/>
  <c r="BK307" i="12"/>
  <c r="BL307" i="12"/>
  <c r="BM307" i="12"/>
  <c r="BN307" i="12"/>
  <c r="BO307" i="12"/>
  <c r="BP307" i="12"/>
  <c r="BQ307" i="12"/>
  <c r="BF308" i="12"/>
  <c r="BG308" i="12"/>
  <c r="BH308" i="12"/>
  <c r="BI308" i="12"/>
  <c r="BJ308" i="12"/>
  <c r="BK308" i="12"/>
  <c r="BL308" i="12"/>
  <c r="BM308" i="12"/>
  <c r="BN308" i="12"/>
  <c r="BO308" i="12"/>
  <c r="BP308" i="12"/>
  <c r="BQ308" i="12"/>
  <c r="BF309" i="12"/>
  <c r="BG309" i="12"/>
  <c r="BH309" i="12"/>
  <c r="BI309" i="12"/>
  <c r="BJ309" i="12"/>
  <c r="BK309" i="12"/>
  <c r="BL309" i="12"/>
  <c r="BM309" i="12"/>
  <c r="BN309" i="12"/>
  <c r="BO309" i="12"/>
  <c r="BP309" i="12"/>
  <c r="BQ309" i="12"/>
  <c r="BF310" i="12"/>
  <c r="BG310" i="12"/>
  <c r="BH310" i="12"/>
  <c r="BI310" i="12"/>
  <c r="BJ310" i="12"/>
  <c r="BK310" i="12"/>
  <c r="BL310" i="12"/>
  <c r="BM310" i="12"/>
  <c r="BN310" i="12"/>
  <c r="BO310" i="12"/>
  <c r="BP310" i="12"/>
  <c r="BQ310" i="12"/>
  <c r="BF311" i="12"/>
  <c r="BG311" i="12"/>
  <c r="BH311" i="12"/>
  <c r="BI311" i="12"/>
  <c r="BJ311" i="12"/>
  <c r="BK311" i="12"/>
  <c r="BL311" i="12"/>
  <c r="BM311" i="12"/>
  <c r="BN311" i="12"/>
  <c r="BO311" i="12"/>
  <c r="BP311" i="12"/>
  <c r="BQ311" i="12"/>
  <c r="BF312" i="12"/>
  <c r="BG312" i="12"/>
  <c r="BH312" i="12"/>
  <c r="BI312" i="12"/>
  <c r="BJ312" i="12"/>
  <c r="BK312" i="12"/>
  <c r="BL312" i="12"/>
  <c r="BM312" i="12"/>
  <c r="BN312" i="12"/>
  <c r="BO312" i="12"/>
  <c r="BP312" i="12"/>
  <c r="BQ312" i="12"/>
  <c r="BF313" i="12"/>
  <c r="BG313" i="12"/>
  <c r="BH313" i="12"/>
  <c r="BI313" i="12"/>
  <c r="BJ313" i="12"/>
  <c r="BK313" i="12"/>
  <c r="BL313" i="12"/>
  <c r="BM313" i="12"/>
  <c r="BN313" i="12"/>
  <c r="BO313" i="12"/>
  <c r="BP313" i="12"/>
  <c r="BQ313" i="12"/>
  <c r="BF314" i="12"/>
  <c r="BG314" i="12"/>
  <c r="BH314" i="12"/>
  <c r="BI314" i="12"/>
  <c r="BJ314" i="12"/>
  <c r="BK314" i="12"/>
  <c r="BL314" i="12"/>
  <c r="BM314" i="12"/>
  <c r="BN314" i="12"/>
  <c r="BO314" i="12"/>
  <c r="BP314" i="12"/>
  <c r="BQ314" i="12"/>
  <c r="BF315" i="12"/>
  <c r="BG315" i="12"/>
  <c r="BH315" i="12"/>
  <c r="BI315" i="12"/>
  <c r="BJ315" i="12"/>
  <c r="BK315" i="12"/>
  <c r="BL315" i="12"/>
  <c r="BM315" i="12"/>
  <c r="BN315" i="12"/>
  <c r="BO315" i="12"/>
  <c r="BP315" i="12"/>
  <c r="BQ315" i="12"/>
  <c r="BF316" i="12"/>
  <c r="BG316" i="12"/>
  <c r="BH316" i="12"/>
  <c r="BI316" i="12"/>
  <c r="BJ316" i="12"/>
  <c r="BK316" i="12"/>
  <c r="BL316" i="12"/>
  <c r="BM316" i="12"/>
  <c r="BN316" i="12"/>
  <c r="BO316" i="12"/>
  <c r="BP316" i="12"/>
  <c r="BQ316" i="12"/>
  <c r="BF317" i="12"/>
  <c r="BG317" i="12"/>
  <c r="BH317" i="12"/>
  <c r="BI317" i="12"/>
  <c r="BJ317" i="12"/>
  <c r="BK317" i="12"/>
  <c r="BL317" i="12"/>
  <c r="BM317" i="12"/>
  <c r="BN317" i="12"/>
  <c r="BO317" i="12"/>
  <c r="BP317" i="12"/>
  <c r="BQ317" i="12"/>
  <c r="BF318" i="12"/>
  <c r="BG318" i="12"/>
  <c r="BH318" i="12"/>
  <c r="BI318" i="12"/>
  <c r="BJ318" i="12"/>
  <c r="BK318" i="12"/>
  <c r="BL318" i="12"/>
  <c r="BM318" i="12"/>
  <c r="BN318" i="12"/>
  <c r="BO318" i="12"/>
  <c r="BP318" i="12"/>
  <c r="BQ318" i="12"/>
  <c r="BF319" i="12"/>
  <c r="BG319" i="12"/>
  <c r="BH319" i="12"/>
  <c r="BI319" i="12"/>
  <c r="BJ319" i="12"/>
  <c r="BK319" i="12"/>
  <c r="BL319" i="12"/>
  <c r="BM319" i="12"/>
  <c r="BN319" i="12"/>
  <c r="BO319" i="12"/>
  <c r="BP319" i="12"/>
  <c r="BQ319" i="12"/>
  <c r="BF320" i="12"/>
  <c r="BG320" i="12"/>
  <c r="BH320" i="12"/>
  <c r="BI320" i="12"/>
  <c r="BJ320" i="12"/>
  <c r="BK320" i="12"/>
  <c r="BL320" i="12"/>
  <c r="BM320" i="12"/>
  <c r="BN320" i="12"/>
  <c r="BO320" i="12"/>
  <c r="BP320" i="12"/>
  <c r="BQ320" i="12"/>
  <c r="BF321" i="12"/>
  <c r="BG321" i="12"/>
  <c r="BH321" i="12"/>
  <c r="BI321" i="12"/>
  <c r="BJ321" i="12"/>
  <c r="BK321" i="12"/>
  <c r="BL321" i="12"/>
  <c r="BM321" i="12"/>
  <c r="BN321" i="12"/>
  <c r="BO321" i="12"/>
  <c r="BP321" i="12"/>
  <c r="BQ321" i="12"/>
  <c r="BF322" i="12"/>
  <c r="BG322" i="12"/>
  <c r="BH322" i="12"/>
  <c r="BI322" i="12"/>
  <c r="BJ322" i="12"/>
  <c r="BK322" i="12"/>
  <c r="BL322" i="12"/>
  <c r="BM322" i="12"/>
  <c r="BN322" i="12"/>
  <c r="BO322" i="12"/>
  <c r="BP322" i="12"/>
  <c r="BQ322" i="12"/>
  <c r="BF323" i="12"/>
  <c r="BG323" i="12"/>
  <c r="BH323" i="12"/>
  <c r="BI323" i="12"/>
  <c r="BJ323" i="12"/>
  <c r="BK323" i="12"/>
  <c r="BL323" i="12"/>
  <c r="BM323" i="12"/>
  <c r="BN323" i="12"/>
  <c r="BO323" i="12"/>
  <c r="BP323" i="12"/>
  <c r="BQ323" i="12"/>
  <c r="BF324" i="12"/>
  <c r="BG324" i="12"/>
  <c r="BH324" i="12"/>
  <c r="BI324" i="12"/>
  <c r="BJ324" i="12"/>
  <c r="BK324" i="12"/>
  <c r="BL324" i="12"/>
  <c r="BM324" i="12"/>
  <c r="BN324" i="12"/>
  <c r="BO324" i="12"/>
  <c r="BP324" i="12"/>
  <c r="BQ324" i="12"/>
  <c r="BF325" i="12"/>
  <c r="BG325" i="12"/>
  <c r="BH325" i="12"/>
  <c r="BI325" i="12"/>
  <c r="BJ325" i="12"/>
  <c r="BK325" i="12"/>
  <c r="BL325" i="12"/>
  <c r="BM325" i="12"/>
  <c r="BN325" i="12"/>
  <c r="BO325" i="12"/>
  <c r="BP325" i="12"/>
  <c r="BQ325" i="12"/>
  <c r="BF326" i="12"/>
  <c r="BG326" i="12"/>
  <c r="BH326" i="12"/>
  <c r="BI326" i="12"/>
  <c r="BJ326" i="12"/>
  <c r="BK326" i="12"/>
  <c r="BL326" i="12"/>
  <c r="BM326" i="12"/>
  <c r="BN326" i="12"/>
  <c r="BO326" i="12"/>
  <c r="BP326" i="12"/>
  <c r="BQ326" i="12"/>
  <c r="BF327" i="12"/>
  <c r="BG327" i="12"/>
  <c r="BH327" i="12"/>
  <c r="BI327" i="12"/>
  <c r="BJ327" i="12"/>
  <c r="BK327" i="12"/>
  <c r="BL327" i="12"/>
  <c r="BM327" i="12"/>
  <c r="BN327" i="12"/>
  <c r="BO327" i="12"/>
  <c r="BP327" i="12"/>
  <c r="BQ327" i="12"/>
  <c r="BF328" i="12"/>
  <c r="BG328" i="12"/>
  <c r="BH328" i="12"/>
  <c r="BI328" i="12"/>
  <c r="BJ328" i="12"/>
  <c r="BK328" i="12"/>
  <c r="BL328" i="12"/>
  <c r="BM328" i="12"/>
  <c r="BN328" i="12"/>
  <c r="BO328" i="12"/>
  <c r="BP328" i="12"/>
  <c r="BQ328" i="12"/>
  <c r="BF329" i="12"/>
  <c r="BG329" i="12"/>
  <c r="BH329" i="12"/>
  <c r="BI329" i="12"/>
  <c r="BJ329" i="12"/>
  <c r="BK329" i="12"/>
  <c r="BL329" i="12"/>
  <c r="BM329" i="12"/>
  <c r="BN329" i="12"/>
  <c r="BO329" i="12"/>
  <c r="BP329" i="12"/>
  <c r="BQ329" i="12"/>
  <c r="BF330" i="12"/>
  <c r="BG330" i="12"/>
  <c r="BH330" i="12"/>
  <c r="BI330" i="12"/>
  <c r="BJ330" i="12"/>
  <c r="BK330" i="12"/>
  <c r="BL330" i="12"/>
  <c r="BM330" i="12"/>
  <c r="BN330" i="12"/>
  <c r="BO330" i="12"/>
  <c r="BP330" i="12"/>
  <c r="BQ330" i="12"/>
  <c r="BF331" i="12"/>
  <c r="BG331" i="12"/>
  <c r="BH331" i="12"/>
  <c r="BI331" i="12"/>
  <c r="BJ331" i="12"/>
  <c r="BK331" i="12"/>
  <c r="BL331" i="12"/>
  <c r="BM331" i="12"/>
  <c r="BN331" i="12"/>
  <c r="BO331" i="12"/>
  <c r="BP331" i="12"/>
  <c r="BQ331" i="12"/>
  <c r="BF332" i="12"/>
  <c r="BG332" i="12"/>
  <c r="BH332" i="12"/>
  <c r="BI332" i="12"/>
  <c r="BJ332" i="12"/>
  <c r="BK332" i="12"/>
  <c r="BL332" i="12"/>
  <c r="BM332" i="12"/>
  <c r="BN332" i="12"/>
  <c r="BO332" i="12"/>
  <c r="BP332" i="12"/>
  <c r="BQ332" i="12"/>
  <c r="BF333" i="12"/>
  <c r="BG333" i="12"/>
  <c r="BH333" i="12"/>
  <c r="BI333" i="12"/>
  <c r="BJ333" i="12"/>
  <c r="BK333" i="12"/>
  <c r="BL333" i="12"/>
  <c r="BM333" i="12"/>
  <c r="BN333" i="12"/>
  <c r="BO333" i="12"/>
  <c r="BQ333" i="12"/>
  <c r="BG334" i="12"/>
  <c r="BI334" i="12"/>
  <c r="BJ334" i="12"/>
  <c r="BL334" i="12"/>
  <c r="BN334" i="12"/>
  <c r="BO334" i="12"/>
  <c r="BQ334" i="12"/>
  <c r="BQ304" i="12"/>
  <c r="BP304" i="12"/>
  <c r="BO304" i="12"/>
  <c r="BN304" i="12"/>
  <c r="BM304" i="12"/>
  <c r="BL304" i="12"/>
  <c r="BK304" i="12"/>
  <c r="BJ304" i="12"/>
  <c r="BI304" i="12"/>
  <c r="BH304" i="12"/>
  <c r="BG304" i="12"/>
  <c r="BF304" i="12"/>
  <c r="BH340" i="12"/>
  <c r="BI340" i="12"/>
  <c r="BJ340" i="12"/>
  <c r="BK340" i="12"/>
  <c r="BL340" i="12"/>
  <c r="BM340" i="12"/>
  <c r="BN340" i="12"/>
  <c r="BO340" i="12"/>
  <c r="BP340" i="12"/>
  <c r="BQ340" i="12"/>
  <c r="BH341" i="12"/>
  <c r="BI341" i="12"/>
  <c r="BJ341" i="12"/>
  <c r="BK341" i="12"/>
  <c r="BL341" i="12"/>
  <c r="BM341" i="12"/>
  <c r="BN341" i="12"/>
  <c r="BO341" i="12"/>
  <c r="BP341" i="12"/>
  <c r="BQ341" i="12"/>
  <c r="BH342" i="12"/>
  <c r="BI342" i="12"/>
  <c r="BJ342" i="12"/>
  <c r="BK342" i="12"/>
  <c r="BL342" i="12"/>
  <c r="BM342" i="12"/>
  <c r="BN342" i="12"/>
  <c r="BO342" i="12"/>
  <c r="BP342" i="12"/>
  <c r="BQ342" i="12"/>
  <c r="BH343" i="12"/>
  <c r="BI343" i="12"/>
  <c r="BJ343" i="12"/>
  <c r="BK343" i="12"/>
  <c r="BL343" i="12"/>
  <c r="BM343" i="12"/>
  <c r="BN343" i="12"/>
  <c r="BO343" i="12"/>
  <c r="BP343" i="12"/>
  <c r="BQ343" i="12"/>
  <c r="BH344" i="12"/>
  <c r="BI344" i="12"/>
  <c r="BJ344" i="12"/>
  <c r="BK344" i="12"/>
  <c r="BL344" i="12"/>
  <c r="BM344" i="12"/>
  <c r="BN344" i="12"/>
  <c r="BO344" i="12"/>
  <c r="BP344" i="12"/>
  <c r="BQ344" i="12"/>
  <c r="BH345" i="12"/>
  <c r="BI345" i="12"/>
  <c r="BJ345" i="12"/>
  <c r="BK345" i="12"/>
  <c r="BL345" i="12"/>
  <c r="BM345" i="12"/>
  <c r="BN345" i="12"/>
  <c r="BO345" i="12"/>
  <c r="BP345" i="12"/>
  <c r="BQ345" i="12"/>
  <c r="BH346" i="12"/>
  <c r="BI346" i="12"/>
  <c r="BJ346" i="12"/>
  <c r="BK346" i="12"/>
  <c r="BL346" i="12"/>
  <c r="BM346" i="12"/>
  <c r="BN346" i="12"/>
  <c r="BO346" i="12"/>
  <c r="BP346" i="12"/>
  <c r="BQ346" i="12"/>
  <c r="BH347" i="12"/>
  <c r="BI347" i="12"/>
  <c r="BJ347" i="12"/>
  <c r="BK347" i="12"/>
  <c r="BL347" i="12"/>
  <c r="BM347" i="12"/>
  <c r="BN347" i="12"/>
  <c r="BO347" i="12"/>
  <c r="BP347" i="12"/>
  <c r="BQ347" i="12"/>
  <c r="BH348" i="12"/>
  <c r="BI348" i="12"/>
  <c r="BJ348" i="12"/>
  <c r="BK348" i="12"/>
  <c r="BL348" i="12"/>
  <c r="BM348" i="12"/>
  <c r="BN348" i="12"/>
  <c r="BO348" i="12"/>
  <c r="BP348" i="12"/>
  <c r="BQ348" i="12"/>
  <c r="BH349" i="12"/>
  <c r="BI349" i="12"/>
  <c r="BJ349" i="12"/>
  <c r="BK349" i="12"/>
  <c r="BL349" i="12"/>
  <c r="BM349" i="12"/>
  <c r="BN349" i="12"/>
  <c r="BO349" i="12"/>
  <c r="BP349" i="12"/>
  <c r="BQ349" i="12"/>
  <c r="BH350" i="12"/>
  <c r="BI350" i="12"/>
  <c r="BJ350" i="12"/>
  <c r="BK350" i="12"/>
  <c r="BL350" i="12"/>
  <c r="BM350" i="12"/>
  <c r="BN350" i="12"/>
  <c r="BO350" i="12"/>
  <c r="BP350" i="12"/>
  <c r="BQ350" i="12"/>
  <c r="BH351" i="12"/>
  <c r="BI351" i="12"/>
  <c r="BJ351" i="12"/>
  <c r="BK351" i="12"/>
  <c r="BL351" i="12"/>
  <c r="BM351" i="12"/>
  <c r="BN351" i="12"/>
  <c r="BO351" i="12"/>
  <c r="BP351" i="12"/>
  <c r="BQ351" i="12"/>
  <c r="BH352" i="12"/>
  <c r="BI352" i="12"/>
  <c r="BJ352" i="12"/>
  <c r="BK352" i="12"/>
  <c r="BL352" i="12"/>
  <c r="BM352" i="12"/>
  <c r="BN352" i="12"/>
  <c r="BO352" i="12"/>
  <c r="BP352" i="12"/>
  <c r="BQ352" i="12"/>
  <c r="BH353" i="12"/>
  <c r="BI353" i="12"/>
  <c r="BJ353" i="12"/>
  <c r="BK353" i="12"/>
  <c r="BL353" i="12"/>
  <c r="BM353" i="12"/>
  <c r="BN353" i="12"/>
  <c r="BO353" i="12"/>
  <c r="BP353" i="12"/>
  <c r="BQ353" i="12"/>
  <c r="BH354" i="12"/>
  <c r="BI354" i="12"/>
  <c r="BJ354" i="12"/>
  <c r="BK354" i="12"/>
  <c r="BL354" i="12"/>
  <c r="BM354" i="12"/>
  <c r="BN354" i="12"/>
  <c r="BO354" i="12"/>
  <c r="BP354" i="12"/>
  <c r="BQ354" i="12"/>
  <c r="BH355" i="12"/>
  <c r="BI355" i="12"/>
  <c r="BJ355" i="12"/>
  <c r="BK355" i="12"/>
  <c r="BL355" i="12"/>
  <c r="BM355" i="12"/>
  <c r="BN355" i="12"/>
  <c r="BO355" i="12"/>
  <c r="BP355" i="12"/>
  <c r="BQ355" i="12"/>
  <c r="BH356" i="12"/>
  <c r="BI356" i="12"/>
  <c r="BJ356" i="12"/>
  <c r="BK356" i="12"/>
  <c r="BL356" i="12"/>
  <c r="BM356" i="12"/>
  <c r="BN356" i="12"/>
  <c r="BO356" i="12"/>
  <c r="BP356" i="12"/>
  <c r="BQ356" i="12"/>
  <c r="BH357" i="12"/>
  <c r="BI357" i="12"/>
  <c r="BJ357" i="12"/>
  <c r="BK357" i="12"/>
  <c r="BL357" i="12"/>
  <c r="BM357" i="12"/>
  <c r="BN357" i="12"/>
  <c r="BO357" i="12"/>
  <c r="BP357" i="12"/>
  <c r="BQ357" i="12"/>
  <c r="BH358" i="12"/>
  <c r="BI358" i="12"/>
  <c r="BJ358" i="12"/>
  <c r="BK358" i="12"/>
  <c r="BL358" i="12"/>
  <c r="BM358" i="12"/>
  <c r="BN358" i="12"/>
  <c r="BO358" i="12"/>
  <c r="BP358" i="12"/>
  <c r="BQ358" i="12"/>
  <c r="BH359" i="12"/>
  <c r="BI359" i="12"/>
  <c r="BJ359" i="12"/>
  <c r="BK359" i="12"/>
  <c r="BL359" i="12"/>
  <c r="BM359" i="12"/>
  <c r="BN359" i="12"/>
  <c r="BO359" i="12"/>
  <c r="BP359" i="12"/>
  <c r="BQ359" i="12"/>
  <c r="BH360" i="12"/>
  <c r="BI360" i="12"/>
  <c r="BJ360" i="12"/>
  <c r="BK360" i="12"/>
  <c r="BL360" i="12"/>
  <c r="BM360" i="12"/>
  <c r="BN360" i="12"/>
  <c r="BO360" i="12"/>
  <c r="BP360" i="12"/>
  <c r="BQ360" i="12"/>
  <c r="BH361" i="12"/>
  <c r="BI361" i="12"/>
  <c r="BJ361" i="12"/>
  <c r="BK361" i="12"/>
  <c r="BL361" i="12"/>
  <c r="BM361" i="12"/>
  <c r="BN361" i="12"/>
  <c r="BO361" i="12"/>
  <c r="BP361" i="12"/>
  <c r="BQ361" i="12"/>
  <c r="BH362" i="12"/>
  <c r="BI362" i="12"/>
  <c r="BJ362" i="12"/>
  <c r="BK362" i="12"/>
  <c r="BL362" i="12"/>
  <c r="BM362" i="12"/>
  <c r="BN362" i="12"/>
  <c r="BO362" i="12"/>
  <c r="BP362" i="12"/>
  <c r="BQ362" i="12"/>
  <c r="BH363" i="12"/>
  <c r="BI363" i="12"/>
  <c r="BJ363" i="12"/>
  <c r="BK363" i="12"/>
  <c r="BL363" i="12"/>
  <c r="BM363" i="12"/>
  <c r="BN363" i="12"/>
  <c r="BO363" i="12"/>
  <c r="BP363" i="12"/>
  <c r="BQ363" i="12"/>
  <c r="BH364" i="12"/>
  <c r="BI364" i="12"/>
  <c r="BJ364" i="12"/>
  <c r="BK364" i="12"/>
  <c r="BL364" i="12"/>
  <c r="BM364" i="12"/>
  <c r="BN364" i="12"/>
  <c r="BO364" i="12"/>
  <c r="BP364" i="12"/>
  <c r="BQ364" i="12"/>
  <c r="BH365" i="12"/>
  <c r="BI365" i="12"/>
  <c r="BJ365" i="12"/>
  <c r="BK365" i="12"/>
  <c r="BL365" i="12"/>
  <c r="BM365" i="12"/>
  <c r="BN365" i="12"/>
  <c r="BO365" i="12"/>
  <c r="BP365" i="12"/>
  <c r="BQ365" i="12"/>
  <c r="BH366" i="12"/>
  <c r="BI366" i="12"/>
  <c r="BJ366" i="12"/>
  <c r="BK366" i="12"/>
  <c r="BL366" i="12"/>
  <c r="BM366" i="12"/>
  <c r="BN366" i="12"/>
  <c r="BO366" i="12"/>
  <c r="BP366" i="12"/>
  <c r="BQ366" i="12"/>
  <c r="BH367" i="12"/>
  <c r="BI367" i="12"/>
  <c r="BJ367" i="12"/>
  <c r="BK367" i="12"/>
  <c r="BL367" i="12"/>
  <c r="BM367" i="12"/>
  <c r="BN367" i="12"/>
  <c r="BO367" i="12"/>
  <c r="BP367" i="12"/>
  <c r="BQ367" i="12"/>
  <c r="BH368" i="12"/>
  <c r="BI368" i="12"/>
  <c r="BJ368" i="12"/>
  <c r="BK368" i="12"/>
  <c r="BL368" i="12"/>
  <c r="BM368" i="12"/>
  <c r="BN368" i="12"/>
  <c r="BO368" i="12"/>
  <c r="BQ368" i="12"/>
  <c r="BI369" i="12"/>
  <c r="F37" i="29" s="1"/>
  <c r="BJ369" i="12"/>
  <c r="BL369" i="12"/>
  <c r="BN369" i="12"/>
  <c r="BO369" i="12"/>
  <c r="BQ369" i="12"/>
  <c r="BQ339" i="12"/>
  <c r="BP339" i="12"/>
  <c r="BO339" i="12"/>
  <c r="BN339" i="12"/>
  <c r="BM339" i="12"/>
  <c r="BL339" i="12"/>
  <c r="BK339" i="12"/>
  <c r="BJ339" i="12"/>
  <c r="BI339" i="12"/>
  <c r="BH339" i="12"/>
  <c r="BG340" i="12"/>
  <c r="BG341" i="12"/>
  <c r="BG342" i="12"/>
  <c r="BG343" i="12"/>
  <c r="BG344" i="12"/>
  <c r="BG345" i="12"/>
  <c r="BG346" i="12"/>
  <c r="BG347" i="12"/>
  <c r="BG348" i="12"/>
  <c r="BG349" i="12"/>
  <c r="BG350" i="12"/>
  <c r="BG351" i="12"/>
  <c r="BG352" i="12"/>
  <c r="BG353" i="12"/>
  <c r="BG354" i="12"/>
  <c r="BG355" i="12"/>
  <c r="BG356" i="12"/>
  <c r="BG357" i="12"/>
  <c r="BG358" i="12"/>
  <c r="BG359" i="12"/>
  <c r="BG360" i="12"/>
  <c r="BG361" i="12"/>
  <c r="BG362" i="12"/>
  <c r="BG363" i="12"/>
  <c r="BG364" i="12"/>
  <c r="BG365" i="12"/>
  <c r="BG366" i="12"/>
  <c r="BG367" i="12"/>
  <c r="BG368" i="12"/>
  <c r="BG369" i="12"/>
  <c r="BF340" i="12"/>
  <c r="BF341" i="12"/>
  <c r="BF342" i="12"/>
  <c r="BF343" i="12"/>
  <c r="BF344" i="12"/>
  <c r="BF345" i="12"/>
  <c r="BF346" i="12"/>
  <c r="BF347" i="12"/>
  <c r="BF348" i="12"/>
  <c r="BF349" i="12"/>
  <c r="BF350" i="12"/>
  <c r="BF351" i="12"/>
  <c r="BF352" i="12"/>
  <c r="BF353" i="12"/>
  <c r="BF354" i="12"/>
  <c r="BF355" i="12"/>
  <c r="BF356" i="12"/>
  <c r="BF357" i="12"/>
  <c r="BF358" i="12"/>
  <c r="BF359" i="12"/>
  <c r="BF360" i="12"/>
  <c r="BF361" i="12"/>
  <c r="BF362" i="12"/>
  <c r="BF363" i="12"/>
  <c r="BF364" i="12"/>
  <c r="BF365" i="12"/>
  <c r="BF366" i="12"/>
  <c r="BF367" i="12"/>
  <c r="BF368" i="12"/>
  <c r="BG339" i="12"/>
  <c r="BF339" i="12"/>
  <c r="F33" i="29" l="1"/>
  <c r="F31" i="29"/>
  <c r="F27" i="29"/>
  <c r="F23" i="29"/>
  <c r="F19" i="29"/>
  <c r="F15" i="29"/>
  <c r="AY51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9" i="30"/>
  <c r="F35" i="29"/>
  <c r="F29" i="29"/>
  <c r="F25" i="29"/>
  <c r="F21" i="29"/>
  <c r="F13" i="29"/>
  <c r="F17" i="29"/>
  <c r="F8" i="30"/>
  <c r="F11" i="29"/>
  <c r="F9" i="29"/>
  <c r="O33" i="44"/>
  <c r="D27" i="41"/>
  <c r="C28" i="41"/>
  <c r="C30" i="40"/>
  <c r="D29" i="40"/>
  <c r="F36" i="29"/>
  <c r="F34" i="29"/>
  <c r="F32" i="29"/>
  <c r="F30" i="29"/>
  <c r="F10" i="29"/>
  <c r="F8" i="29"/>
  <c r="F28" i="29"/>
  <c r="F26" i="29"/>
  <c r="F24" i="29"/>
  <c r="F22" i="29"/>
  <c r="F20" i="29"/>
  <c r="F18" i="29"/>
  <c r="F16" i="29"/>
  <c r="F14" i="29"/>
  <c r="F12" i="29"/>
  <c r="F7" i="30"/>
  <c r="F7" i="29"/>
  <c r="AY7" i="30"/>
  <c r="AY8" i="30" s="1"/>
  <c r="AY9" i="30" s="1"/>
  <c r="AY10" i="30" s="1"/>
  <c r="L14" i="33"/>
  <c r="B14" i="33"/>
  <c r="AZ51" i="30" l="1"/>
  <c r="AY52" i="30"/>
  <c r="O34" i="44"/>
  <c r="D28" i="41"/>
  <c r="C29" i="41"/>
  <c r="C31" i="40"/>
  <c r="D30" i="40"/>
  <c r="AZ8" i="30"/>
  <c r="AZ7" i="30"/>
  <c r="AZ9" i="30"/>
  <c r="AY11" i="30"/>
  <c r="AZ10" i="30"/>
  <c r="BH3" i="29"/>
  <c r="T6" i="19"/>
  <c r="J6" i="19"/>
  <c r="BY6" i="29"/>
  <c r="BZ6" i="29"/>
  <c r="CA6" i="29"/>
  <c r="CB6" i="29"/>
  <c r="BI3" i="29"/>
  <c r="BL2" i="29"/>
  <c r="BJ3" i="29"/>
  <c r="L12" i="19"/>
  <c r="AZ52" i="30" l="1"/>
  <c r="AY53" i="30"/>
  <c r="O35" i="44"/>
  <c r="D29" i="41"/>
  <c r="C30" i="41"/>
  <c r="C32" i="40"/>
  <c r="D31" i="40"/>
  <c r="AY12" i="30"/>
  <c r="AZ11" i="30"/>
  <c r="BH7" i="29"/>
  <c r="BI7" i="29" s="1"/>
  <c r="AZ53" i="30" l="1"/>
  <c r="AY54" i="30"/>
  <c r="O36" i="44"/>
  <c r="BH8" i="29"/>
  <c r="BI8" i="29" s="1"/>
  <c r="D30" i="41"/>
  <c r="C31" i="41"/>
  <c r="C33" i="40"/>
  <c r="D32" i="40"/>
  <c r="AY13" i="30"/>
  <c r="AZ12" i="30"/>
  <c r="L14" i="19"/>
  <c r="BH9" i="29"/>
  <c r="S9" i="19"/>
  <c r="P9" i="19"/>
  <c r="M9" i="19"/>
  <c r="M8" i="19"/>
  <c r="AZ54" i="30" l="1"/>
  <c r="AY55" i="30"/>
  <c r="O37" i="44"/>
  <c r="D31" i="41"/>
  <c r="C32" i="41"/>
  <c r="C34" i="40"/>
  <c r="D33" i="40"/>
  <c r="AY14" i="30"/>
  <c r="AZ13" i="30"/>
  <c r="BH10" i="29"/>
  <c r="BI9" i="29"/>
  <c r="L5" i="19"/>
  <c r="P26" i="19"/>
  <c r="AZ55" i="30" l="1"/>
  <c r="AY56" i="30"/>
  <c r="O38" i="44"/>
  <c r="AU284" i="44" s="1"/>
  <c r="D32" i="41"/>
  <c r="C33" i="41"/>
  <c r="C35" i="40"/>
  <c r="D34" i="40"/>
  <c r="AY15" i="30"/>
  <c r="AZ14" i="30"/>
  <c r="BH11" i="29"/>
  <c r="BI10" i="29"/>
  <c r="G24" i="31"/>
  <c r="G25" i="31"/>
  <c r="G26" i="31"/>
  <c r="G27" i="31"/>
  <c r="G28" i="31"/>
  <c r="G29" i="31"/>
  <c r="G30" i="31"/>
  <c r="G31" i="31"/>
  <c r="G32" i="31"/>
  <c r="G33" i="31"/>
  <c r="G34" i="31"/>
  <c r="G23" i="31"/>
  <c r="G40" i="31" s="1"/>
  <c r="AZ56" i="30" l="1"/>
  <c r="AY57" i="30"/>
  <c r="O39" i="44"/>
  <c r="D33" i="41"/>
  <c r="C34" i="41"/>
  <c r="C36" i="40"/>
  <c r="D35" i="40"/>
  <c r="AY16" i="30"/>
  <c r="AZ15" i="30"/>
  <c r="BH12" i="29"/>
  <c r="BI11" i="29"/>
  <c r="AZ57" i="30" l="1"/>
  <c r="AY58" i="30"/>
  <c r="O40" i="44"/>
  <c r="D34" i="41"/>
  <c r="C35" i="41"/>
  <c r="C37" i="40"/>
  <c r="D36" i="40"/>
  <c r="AY17" i="30"/>
  <c r="AZ16" i="30"/>
  <c r="BH13" i="29"/>
  <c r="BI12" i="29"/>
  <c r="G7" i="31"/>
  <c r="G41" i="31" s="1"/>
  <c r="G8" i="31"/>
  <c r="G42" i="31" s="1"/>
  <c r="G9" i="31"/>
  <c r="G43" i="31" s="1"/>
  <c r="G10" i="31"/>
  <c r="G44" i="31" s="1"/>
  <c r="G11" i="31"/>
  <c r="G45" i="31" s="1"/>
  <c r="G12" i="31"/>
  <c r="G46" i="31" s="1"/>
  <c r="G13" i="31"/>
  <c r="G47" i="31" s="1"/>
  <c r="G14" i="31"/>
  <c r="G48" i="31" s="1"/>
  <c r="G15" i="31"/>
  <c r="G49" i="31" s="1"/>
  <c r="G16" i="31"/>
  <c r="G50" i="31" s="1"/>
  <c r="G17" i="31"/>
  <c r="G51" i="31" s="1"/>
  <c r="AZ58" i="30" l="1"/>
  <c r="AY59" i="30"/>
  <c r="O41" i="44"/>
  <c r="D35" i="41"/>
  <c r="C36" i="41"/>
  <c r="C38" i="40"/>
  <c r="D38" i="40" s="1"/>
  <c r="D37" i="40"/>
  <c r="AY18" i="30"/>
  <c r="AZ17" i="30"/>
  <c r="BH14" i="29"/>
  <c r="BI13" i="29"/>
  <c r="M2" i="31"/>
  <c r="I2" i="31"/>
  <c r="D2" i="31"/>
  <c r="AZ59" i="30" l="1"/>
  <c r="AY60" i="30"/>
  <c r="O42" i="44"/>
  <c r="D36" i="41"/>
  <c r="C37" i="41"/>
  <c r="AY19" i="30"/>
  <c r="AZ18" i="30"/>
  <c r="BH15" i="29"/>
  <c r="BI14" i="29"/>
  <c r="P2" i="31"/>
  <c r="AZ60" i="30" l="1"/>
  <c r="AY61" i="30"/>
  <c r="O43" i="44"/>
  <c r="D37" i="41"/>
  <c r="C38" i="41"/>
  <c r="D38" i="41" s="1"/>
  <c r="AY20" i="30"/>
  <c r="AZ19" i="30"/>
  <c r="BH16" i="29"/>
  <c r="BI15" i="29"/>
  <c r="T2" i="30"/>
  <c r="W6" i="30"/>
  <c r="V6" i="30"/>
  <c r="U6" i="30"/>
  <c r="T6" i="30"/>
  <c r="BW6" i="30"/>
  <c r="X6" i="30"/>
  <c r="Y6" i="30"/>
  <c r="BO6" i="30"/>
  <c r="BN6" i="30"/>
  <c r="BM6" i="30"/>
  <c r="BL6" i="30"/>
  <c r="BK6" i="30"/>
  <c r="BJ6" i="30"/>
  <c r="BI6" i="30"/>
  <c r="BF6" i="30"/>
  <c r="BU6" i="30" l="1"/>
  <c r="BU50" i="30"/>
  <c r="BQ6" i="30"/>
  <c r="BQ50" i="30"/>
  <c r="BS6" i="30"/>
  <c r="BS50" i="30"/>
  <c r="BT6" i="30"/>
  <c r="BT50" i="30"/>
  <c r="BP6" i="30"/>
  <c r="BP50" i="30"/>
  <c r="BR6" i="30"/>
  <c r="BR50" i="30"/>
  <c r="AY62" i="30"/>
  <c r="AZ61" i="30"/>
  <c r="O44" i="44"/>
  <c r="BP2" i="30"/>
  <c r="BH6" i="30"/>
  <c r="BG6" i="30"/>
  <c r="AY21" i="30"/>
  <c r="AZ20" i="30"/>
  <c r="BH17" i="29"/>
  <c r="BI16" i="29"/>
  <c r="Y3" i="30"/>
  <c r="E3" i="30"/>
  <c r="Y3" i="29"/>
  <c r="CD3" i="29" s="1"/>
  <c r="E3" i="29"/>
  <c r="D4" i="29"/>
  <c r="C7" i="30"/>
  <c r="D7" i="30" s="1"/>
  <c r="W5" i="30"/>
  <c r="BS5" i="30" s="1"/>
  <c r="V5" i="30"/>
  <c r="BR5" i="30" s="1"/>
  <c r="U5" i="30"/>
  <c r="BQ5" i="30" s="1"/>
  <c r="T5" i="30"/>
  <c r="BP5" i="30" s="1"/>
  <c r="R5" i="30"/>
  <c r="BN5" i="30" s="1"/>
  <c r="Q5" i="30"/>
  <c r="BM5" i="30" s="1"/>
  <c r="P5" i="30"/>
  <c r="BL5" i="30" s="1"/>
  <c r="O5" i="30"/>
  <c r="BK5" i="30" s="1"/>
  <c r="N5" i="30"/>
  <c r="BJ5" i="30" s="1"/>
  <c r="M5" i="30"/>
  <c r="BI5" i="30" s="1"/>
  <c r="L5" i="30"/>
  <c r="BH5" i="30" s="1"/>
  <c r="K5" i="30"/>
  <c r="BG5" i="30" s="1"/>
  <c r="J5" i="30"/>
  <c r="BF5" i="30" s="1"/>
  <c r="D4" i="30"/>
  <c r="U2" i="30"/>
  <c r="BQ2" i="30" s="1"/>
  <c r="Q2" i="30"/>
  <c r="BM2" i="30" s="1"/>
  <c r="P2" i="30"/>
  <c r="BL2" i="30" s="1"/>
  <c r="O2" i="30"/>
  <c r="BK2" i="30" s="1"/>
  <c r="N2" i="30"/>
  <c r="BJ2" i="30" s="1"/>
  <c r="M2" i="30"/>
  <c r="BI2" i="30" s="1"/>
  <c r="L2" i="30"/>
  <c r="BH2" i="30" s="1"/>
  <c r="K2" i="30"/>
  <c r="BG2" i="30" s="1"/>
  <c r="J2" i="30"/>
  <c r="BF2" i="30" s="1"/>
  <c r="AZ62" i="30" l="1"/>
  <c r="AY63" i="30"/>
  <c r="O45" i="44"/>
  <c r="AY22" i="30"/>
  <c r="AZ21" i="30"/>
  <c r="BH18" i="29"/>
  <c r="BI17" i="29"/>
  <c r="C8" i="30"/>
  <c r="AY64" i="30" l="1"/>
  <c r="AZ63" i="30"/>
  <c r="O46" i="44"/>
  <c r="AY23" i="30"/>
  <c r="AZ22" i="30"/>
  <c r="BH19" i="29"/>
  <c r="BI18" i="29"/>
  <c r="D8" i="30"/>
  <c r="C9" i="30"/>
  <c r="AY65" i="30" l="1"/>
  <c r="AZ64" i="30"/>
  <c r="O47" i="44"/>
  <c r="AZ23" i="30"/>
  <c r="AY24" i="30"/>
  <c r="BH20" i="29"/>
  <c r="BI19" i="29"/>
  <c r="D9" i="30"/>
  <c r="C10" i="30"/>
  <c r="U2" i="29"/>
  <c r="BZ2" i="29" s="1"/>
  <c r="AY66" i="30" l="1"/>
  <c r="AZ65" i="30"/>
  <c r="O48" i="44"/>
  <c r="AY25" i="30"/>
  <c r="AZ24" i="30"/>
  <c r="BH21" i="29"/>
  <c r="BI20" i="29"/>
  <c r="D10" i="30"/>
  <c r="C11" i="30"/>
  <c r="T2" i="29"/>
  <c r="BY2" i="29" s="1"/>
  <c r="BR6" i="29"/>
  <c r="BS6" i="29"/>
  <c r="BT6" i="29"/>
  <c r="BV6" i="29"/>
  <c r="BU6" i="29"/>
  <c r="BO6" i="29"/>
  <c r="BP6" i="29"/>
  <c r="BQ6" i="29"/>
  <c r="K2" i="29"/>
  <c r="BP2" i="29" s="1"/>
  <c r="L2" i="29"/>
  <c r="M2" i="29"/>
  <c r="BR2" i="29" s="1"/>
  <c r="N2" i="29"/>
  <c r="BS2" i="29" s="1"/>
  <c r="O2" i="29"/>
  <c r="P2" i="29"/>
  <c r="BU2" i="29" s="1"/>
  <c r="Q2" i="29"/>
  <c r="BV2" i="29" s="1"/>
  <c r="J2" i="29"/>
  <c r="BO2" i="29" l="1"/>
  <c r="BO77" i="29"/>
  <c r="BT2" i="29"/>
  <c r="BQ77" i="29"/>
  <c r="BQ2" i="29"/>
  <c r="BP77" i="29"/>
  <c r="BL77" i="29"/>
  <c r="CB77" i="29" s="1"/>
  <c r="CC77" i="29" s="1"/>
  <c r="AY67" i="30"/>
  <c r="AZ66" i="30"/>
  <c r="O49" i="44"/>
  <c r="AY26" i="30"/>
  <c r="AZ25" i="30"/>
  <c r="BH22" i="29"/>
  <c r="BI21" i="29"/>
  <c r="D11" i="30"/>
  <c r="C12" i="30"/>
  <c r="C7" i="29"/>
  <c r="D7" i="29" s="1"/>
  <c r="BW6" i="29"/>
  <c r="S6" i="29"/>
  <c r="X6" i="29"/>
  <c r="BX77" i="29" l="1"/>
  <c r="BX6" i="29"/>
  <c r="BX46" i="29"/>
  <c r="CC6" i="29"/>
  <c r="CC46" i="29"/>
  <c r="AZ67" i="30"/>
  <c r="AY68" i="30"/>
  <c r="O50" i="44"/>
  <c r="AY27" i="30"/>
  <c r="AZ26" i="30"/>
  <c r="BI22" i="29"/>
  <c r="BH23" i="29"/>
  <c r="D12" i="30"/>
  <c r="C13" i="30"/>
  <c r="K5" i="29"/>
  <c r="BP5" i="29" s="1"/>
  <c r="L5" i="29"/>
  <c r="BQ5" i="29" s="1"/>
  <c r="M5" i="29"/>
  <c r="BR5" i="29" s="1"/>
  <c r="N5" i="29"/>
  <c r="BS5" i="29" s="1"/>
  <c r="O5" i="29"/>
  <c r="BT5" i="29" s="1"/>
  <c r="P5" i="29"/>
  <c r="BU5" i="29" s="1"/>
  <c r="Q5" i="29"/>
  <c r="BV5" i="29" s="1"/>
  <c r="R5" i="29"/>
  <c r="BW5" i="29" s="1"/>
  <c r="CF6" i="29"/>
  <c r="Y6" i="29"/>
  <c r="CD6" i="29" l="1"/>
  <c r="CD46" i="29"/>
  <c r="CD77" i="29"/>
  <c r="CF77" i="29" s="1"/>
  <c r="AY69" i="30"/>
  <c r="AZ68" i="30"/>
  <c r="O51" i="44"/>
  <c r="AY28" i="30"/>
  <c r="AZ27" i="30"/>
  <c r="BH24" i="29"/>
  <c r="BI23" i="29"/>
  <c r="D13" i="30"/>
  <c r="C14" i="30"/>
  <c r="U5" i="29"/>
  <c r="V5" i="29"/>
  <c r="W5" i="29"/>
  <c r="T5" i="29"/>
  <c r="AY70" i="30" l="1"/>
  <c r="AZ69" i="30"/>
  <c r="O52" i="44"/>
  <c r="AY29" i="30"/>
  <c r="AZ28" i="30"/>
  <c r="BI24" i="29"/>
  <c r="BH25" i="29"/>
  <c r="D14" i="30"/>
  <c r="C15" i="30"/>
  <c r="J5" i="29"/>
  <c r="BO5" i="29" s="1"/>
  <c r="AY71" i="30" l="1"/>
  <c r="AZ70" i="30"/>
  <c r="O53" i="44"/>
  <c r="AY30" i="30"/>
  <c r="AZ29" i="30"/>
  <c r="BH26" i="29"/>
  <c r="BI25" i="29"/>
  <c r="C16" i="30"/>
  <c r="D15" i="30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C10" i="11"/>
  <c r="NP90" i="24"/>
  <c r="NQ90" i="24"/>
  <c r="NR90" i="24"/>
  <c r="NS90" i="24"/>
  <c r="NT90" i="24"/>
  <c r="NU90" i="24"/>
  <c r="NV90" i="24"/>
  <c r="NW90" i="24"/>
  <c r="NX90" i="24"/>
  <c r="NY90" i="24"/>
  <c r="NZ90" i="24"/>
  <c r="OA90" i="24"/>
  <c r="OB90" i="24"/>
  <c r="OC90" i="24"/>
  <c r="OD90" i="24"/>
  <c r="OE90" i="24"/>
  <c r="OF90" i="24"/>
  <c r="NO90" i="24"/>
  <c r="MM90" i="24"/>
  <c r="MN90" i="24"/>
  <c r="MO90" i="24"/>
  <c r="MP90" i="24"/>
  <c r="MQ90" i="24"/>
  <c r="MR90" i="24"/>
  <c r="MS90" i="24"/>
  <c r="MT90" i="24"/>
  <c r="MU90" i="24"/>
  <c r="MV90" i="24"/>
  <c r="MW90" i="24"/>
  <c r="MX90" i="24"/>
  <c r="MY90" i="24"/>
  <c r="MZ90" i="24"/>
  <c r="NA90" i="24"/>
  <c r="NB90" i="24"/>
  <c r="NC90" i="24"/>
  <c r="ML90" i="24"/>
  <c r="LJ90" i="24"/>
  <c r="LK90" i="24"/>
  <c r="LL90" i="24"/>
  <c r="LM90" i="24"/>
  <c r="LN90" i="24"/>
  <c r="LO90" i="24"/>
  <c r="LP90" i="24"/>
  <c r="LQ90" i="24"/>
  <c r="LR90" i="24"/>
  <c r="LS90" i="24"/>
  <c r="LT90" i="24"/>
  <c r="LU90" i="24"/>
  <c r="LV90" i="24"/>
  <c r="LW90" i="24"/>
  <c r="LX90" i="24"/>
  <c r="LY90" i="24"/>
  <c r="LZ90" i="24"/>
  <c r="LI90" i="24"/>
  <c r="KG90" i="24"/>
  <c r="KH90" i="24"/>
  <c r="KI90" i="24"/>
  <c r="KJ90" i="24"/>
  <c r="KK90" i="24"/>
  <c r="KL90" i="24"/>
  <c r="KM90" i="24"/>
  <c r="KN90" i="24"/>
  <c r="KO90" i="24"/>
  <c r="KP90" i="24"/>
  <c r="KQ90" i="24"/>
  <c r="KR90" i="24"/>
  <c r="KS90" i="24"/>
  <c r="KT90" i="24"/>
  <c r="KU90" i="24"/>
  <c r="KV90" i="24"/>
  <c r="KW90" i="24"/>
  <c r="KF90" i="24"/>
  <c r="JD90" i="24"/>
  <c r="JE90" i="24"/>
  <c r="JF90" i="24"/>
  <c r="JG90" i="24"/>
  <c r="JH90" i="24"/>
  <c r="JI90" i="24"/>
  <c r="JJ90" i="24"/>
  <c r="JK90" i="24"/>
  <c r="JL90" i="24"/>
  <c r="JM90" i="24"/>
  <c r="JN90" i="24"/>
  <c r="JO90" i="24"/>
  <c r="JP90" i="24"/>
  <c r="JQ90" i="24"/>
  <c r="JR90" i="24"/>
  <c r="JS90" i="24"/>
  <c r="JT90" i="24"/>
  <c r="JC90" i="24"/>
  <c r="IA90" i="24"/>
  <c r="IB90" i="24"/>
  <c r="IC90" i="24"/>
  <c r="ID90" i="24"/>
  <c r="IE90" i="24"/>
  <c r="IF90" i="24"/>
  <c r="IG90" i="24"/>
  <c r="IH90" i="24"/>
  <c r="II90" i="24"/>
  <c r="IJ90" i="24"/>
  <c r="IK90" i="24"/>
  <c r="IL90" i="24"/>
  <c r="IM90" i="24"/>
  <c r="IN90" i="24"/>
  <c r="IO90" i="24"/>
  <c r="IP90" i="24"/>
  <c r="IQ90" i="24"/>
  <c r="HZ90" i="24"/>
  <c r="GX90" i="24"/>
  <c r="GY90" i="24"/>
  <c r="GZ90" i="24"/>
  <c r="HA90" i="24"/>
  <c r="HB90" i="24"/>
  <c r="HC90" i="24"/>
  <c r="HD90" i="24"/>
  <c r="HE90" i="24"/>
  <c r="HF90" i="24"/>
  <c r="HG90" i="24"/>
  <c r="HH90" i="24"/>
  <c r="HI90" i="24"/>
  <c r="HJ90" i="24"/>
  <c r="HK90" i="24"/>
  <c r="HL90" i="24"/>
  <c r="HM90" i="24"/>
  <c r="HN90" i="24"/>
  <c r="GW90" i="24"/>
  <c r="FU90" i="24"/>
  <c r="FV90" i="24"/>
  <c r="FW90" i="24"/>
  <c r="FX90" i="24"/>
  <c r="FY90" i="24"/>
  <c r="FZ90" i="24"/>
  <c r="GA90" i="24"/>
  <c r="GB90" i="24"/>
  <c r="GC90" i="24"/>
  <c r="GD90" i="24"/>
  <c r="GE90" i="24"/>
  <c r="GF90" i="24"/>
  <c r="GG90" i="24"/>
  <c r="GH90" i="24"/>
  <c r="GI90" i="24"/>
  <c r="GJ90" i="24"/>
  <c r="GK90" i="24"/>
  <c r="FT90" i="24"/>
  <c r="ER90" i="24"/>
  <c r="ES90" i="24"/>
  <c r="ET90" i="24"/>
  <c r="EU90" i="24"/>
  <c r="EV90" i="24"/>
  <c r="EW90" i="24"/>
  <c r="EX90" i="24"/>
  <c r="EY90" i="24"/>
  <c r="EZ90" i="24"/>
  <c r="FA90" i="24"/>
  <c r="FB90" i="24"/>
  <c r="FC90" i="24"/>
  <c r="FD90" i="24"/>
  <c r="FE90" i="24"/>
  <c r="FF90" i="24"/>
  <c r="FG90" i="24"/>
  <c r="FH90" i="24"/>
  <c r="EQ90" i="24"/>
  <c r="DO90" i="24"/>
  <c r="DP90" i="24"/>
  <c r="DQ90" i="24"/>
  <c r="DR90" i="24"/>
  <c r="DS90" i="24"/>
  <c r="DT90" i="24"/>
  <c r="DU90" i="24"/>
  <c r="DV90" i="24"/>
  <c r="DW90" i="24"/>
  <c r="DX90" i="24"/>
  <c r="DY90" i="24"/>
  <c r="DZ90" i="24"/>
  <c r="EA90" i="24"/>
  <c r="EB90" i="24"/>
  <c r="EC90" i="24"/>
  <c r="ED90" i="24"/>
  <c r="EE90" i="24"/>
  <c r="DN90" i="24"/>
  <c r="CL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CZ90" i="24"/>
  <c r="DA90" i="24"/>
  <c r="DB90" i="24"/>
  <c r="CK90" i="24"/>
  <c r="BI90" i="24"/>
  <c r="BJ90" i="24"/>
  <c r="BK90" i="24"/>
  <c r="BL90" i="24"/>
  <c r="BM90" i="24"/>
  <c r="BN90" i="24"/>
  <c r="BO90" i="24"/>
  <c r="BP90" i="24"/>
  <c r="BQ90" i="24"/>
  <c r="BR90" i="24"/>
  <c r="BS90" i="24"/>
  <c r="BT90" i="24"/>
  <c r="BU90" i="24"/>
  <c r="BV90" i="24"/>
  <c r="BW90" i="24"/>
  <c r="BX90" i="24"/>
  <c r="BY90" i="24"/>
  <c r="BH90" i="24"/>
  <c r="G8" i="26"/>
  <c r="H8" i="26"/>
  <c r="I8" i="26"/>
  <c r="I69" i="26" s="1"/>
  <c r="J8" i="26"/>
  <c r="J69" i="26" s="1"/>
  <c r="K8" i="26"/>
  <c r="K69" i="26" s="1"/>
  <c r="L8" i="26"/>
  <c r="L69" i="26" s="1"/>
  <c r="M8" i="26"/>
  <c r="N8" i="26"/>
  <c r="N69" i="26" s="1"/>
  <c r="O8" i="26"/>
  <c r="P8" i="26"/>
  <c r="P69" i="26" s="1"/>
  <c r="Q8" i="26"/>
  <c r="R8" i="26"/>
  <c r="R69" i="26" s="1"/>
  <c r="S8" i="26"/>
  <c r="T8" i="26"/>
  <c r="T69" i="26" s="1"/>
  <c r="U8" i="26"/>
  <c r="V8" i="26"/>
  <c r="V69" i="26" s="1"/>
  <c r="W8" i="26"/>
  <c r="W69" i="26" s="1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R42" i="26" s="1"/>
  <c r="S41" i="26"/>
  <c r="T41" i="26"/>
  <c r="U41" i="26"/>
  <c r="V41" i="26"/>
  <c r="W41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G60" i="26"/>
  <c r="H60" i="26"/>
  <c r="H62" i="26" s="1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G69" i="26"/>
  <c r="H69" i="26"/>
  <c r="M69" i="26"/>
  <c r="O69" i="26"/>
  <c r="Q69" i="26"/>
  <c r="S69" i="26"/>
  <c r="U69" i="26"/>
  <c r="N71" i="26"/>
  <c r="F66" i="26"/>
  <c r="F61" i="26"/>
  <c r="F56" i="26"/>
  <c r="F51" i="26"/>
  <c r="F46" i="26"/>
  <c r="F41" i="26"/>
  <c r="F36" i="26"/>
  <c r="F31" i="26"/>
  <c r="F26" i="26"/>
  <c r="F21" i="26"/>
  <c r="F16" i="26"/>
  <c r="F11" i="26"/>
  <c r="V71" i="26" l="1"/>
  <c r="R71" i="26"/>
  <c r="J71" i="26"/>
  <c r="W70" i="26"/>
  <c r="J22" i="26"/>
  <c r="W57" i="26"/>
  <c r="O57" i="26"/>
  <c r="G57" i="26"/>
  <c r="V22" i="26"/>
  <c r="N22" i="26"/>
  <c r="V62" i="26"/>
  <c r="R62" i="26"/>
  <c r="N62" i="26"/>
  <c r="J62" i="26"/>
  <c r="W17" i="26"/>
  <c r="O17" i="26"/>
  <c r="G17" i="26"/>
  <c r="AY72" i="30"/>
  <c r="AZ71" i="30"/>
  <c r="H52" i="26"/>
  <c r="J32" i="26"/>
  <c r="S47" i="26"/>
  <c r="R32" i="26"/>
  <c r="U27" i="26"/>
  <c r="M27" i="26"/>
  <c r="T71" i="26"/>
  <c r="P71" i="26"/>
  <c r="L71" i="26"/>
  <c r="H71" i="26"/>
  <c r="O54" i="44"/>
  <c r="S67" i="26"/>
  <c r="T52" i="26"/>
  <c r="P52" i="26"/>
  <c r="L52" i="26"/>
  <c r="S57" i="26"/>
  <c r="K47" i="26"/>
  <c r="N70" i="26"/>
  <c r="H12" i="26"/>
  <c r="L62" i="26"/>
  <c r="W27" i="26"/>
  <c r="G27" i="26"/>
  <c r="T62" i="26"/>
  <c r="P62" i="26"/>
  <c r="K37" i="26"/>
  <c r="V32" i="26"/>
  <c r="N32" i="26"/>
  <c r="S27" i="26"/>
  <c r="Q27" i="26"/>
  <c r="O27" i="26"/>
  <c r="K27" i="26"/>
  <c r="I27" i="26"/>
  <c r="W67" i="26"/>
  <c r="O67" i="26"/>
  <c r="K67" i="26"/>
  <c r="G67" i="26"/>
  <c r="K57" i="26"/>
  <c r="V52" i="26"/>
  <c r="R52" i="26"/>
  <c r="N52" i="26"/>
  <c r="J52" i="26"/>
  <c r="W47" i="26"/>
  <c r="O47" i="26"/>
  <c r="G47" i="26"/>
  <c r="J42" i="26"/>
  <c r="R22" i="26"/>
  <c r="M72" i="26"/>
  <c r="S17" i="26"/>
  <c r="K17" i="26"/>
  <c r="L12" i="26"/>
  <c r="J12" i="26"/>
  <c r="U70" i="26"/>
  <c r="Q70" i="26"/>
  <c r="S70" i="26"/>
  <c r="U47" i="26"/>
  <c r="Q47" i="26"/>
  <c r="M47" i="26"/>
  <c r="I47" i="26"/>
  <c r="S37" i="26"/>
  <c r="T32" i="26"/>
  <c r="P32" i="26"/>
  <c r="L32" i="26"/>
  <c r="H32" i="26"/>
  <c r="T12" i="26"/>
  <c r="P12" i="26"/>
  <c r="V12" i="26"/>
  <c r="R12" i="26"/>
  <c r="N12" i="26"/>
  <c r="AY31" i="30"/>
  <c r="AZ30" i="30"/>
  <c r="BI26" i="29"/>
  <c r="BH27" i="29"/>
  <c r="D16" i="30"/>
  <c r="C17" i="30"/>
  <c r="K72" i="26"/>
  <c r="J70" i="26"/>
  <c r="V72" i="26"/>
  <c r="T72" i="26"/>
  <c r="R72" i="26"/>
  <c r="P72" i="26"/>
  <c r="N72" i="26"/>
  <c r="N73" i="26" s="1"/>
  <c r="L72" i="26"/>
  <c r="J72" i="26"/>
  <c r="H72" i="26"/>
  <c r="W71" i="26"/>
  <c r="U67" i="26"/>
  <c r="S71" i="26"/>
  <c r="Q67" i="26"/>
  <c r="O71" i="26"/>
  <c r="M67" i="26"/>
  <c r="K71" i="26"/>
  <c r="I67" i="26"/>
  <c r="G71" i="26"/>
  <c r="V42" i="26"/>
  <c r="N42" i="26"/>
  <c r="W37" i="26"/>
  <c r="O37" i="26"/>
  <c r="G37" i="26"/>
  <c r="U72" i="26"/>
  <c r="S72" i="26"/>
  <c r="Q72" i="26"/>
  <c r="O72" i="26"/>
  <c r="I72" i="26"/>
  <c r="G72" i="26"/>
  <c r="W72" i="26"/>
  <c r="W73" i="26" s="1"/>
  <c r="U57" i="26"/>
  <c r="Q57" i="26"/>
  <c r="M57" i="26"/>
  <c r="I57" i="26"/>
  <c r="T42" i="26"/>
  <c r="P42" i="26"/>
  <c r="L42" i="26"/>
  <c r="H42" i="26"/>
  <c r="U37" i="26"/>
  <c r="Q37" i="26"/>
  <c r="M37" i="26"/>
  <c r="I37" i="26"/>
  <c r="T22" i="26"/>
  <c r="P22" i="26"/>
  <c r="L22" i="26"/>
  <c r="H22" i="26"/>
  <c r="U17" i="26"/>
  <c r="Q17" i="26"/>
  <c r="M17" i="26"/>
  <c r="I17" i="26"/>
  <c r="S73" i="26"/>
  <c r="F72" i="26"/>
  <c r="V67" i="26"/>
  <c r="T67" i="26"/>
  <c r="R67" i="26"/>
  <c r="P67" i="26"/>
  <c r="N67" i="26"/>
  <c r="L67" i="26"/>
  <c r="J67" i="26"/>
  <c r="H67" i="26"/>
  <c r="U71" i="26"/>
  <c r="Q71" i="26"/>
  <c r="Q73" i="26" s="1"/>
  <c r="M71" i="26"/>
  <c r="I71" i="26"/>
  <c r="V70" i="26"/>
  <c r="T70" i="26"/>
  <c r="R70" i="26"/>
  <c r="P70" i="26"/>
  <c r="L70" i="26"/>
  <c r="H70" i="26"/>
  <c r="W62" i="26"/>
  <c r="U62" i="26"/>
  <c r="S62" i="26"/>
  <c r="Q62" i="26"/>
  <c r="O62" i="26"/>
  <c r="M62" i="26"/>
  <c r="K62" i="26"/>
  <c r="I62" i="26"/>
  <c r="G62" i="26"/>
  <c r="V57" i="26"/>
  <c r="T57" i="26"/>
  <c r="R57" i="26"/>
  <c r="P57" i="26"/>
  <c r="N57" i="26"/>
  <c r="L57" i="26"/>
  <c r="J57" i="26"/>
  <c r="H57" i="26"/>
  <c r="W42" i="26"/>
  <c r="U42" i="26"/>
  <c r="S42" i="26"/>
  <c r="Q42" i="26"/>
  <c r="O42" i="26"/>
  <c r="M42" i="26"/>
  <c r="K42" i="26"/>
  <c r="I42" i="26"/>
  <c r="G42" i="26"/>
  <c r="V37" i="26"/>
  <c r="T37" i="26"/>
  <c r="R37" i="26"/>
  <c r="P37" i="26"/>
  <c r="N37" i="26"/>
  <c r="L37" i="26"/>
  <c r="J37" i="26"/>
  <c r="H37" i="26"/>
  <c r="W22" i="26"/>
  <c r="U22" i="26"/>
  <c r="S22" i="26"/>
  <c r="Q22" i="26"/>
  <c r="O22" i="26"/>
  <c r="O70" i="26"/>
  <c r="M22" i="26"/>
  <c r="M70" i="26"/>
  <c r="K22" i="26"/>
  <c r="K70" i="26"/>
  <c r="K73" i="26" s="1"/>
  <c r="I22" i="26"/>
  <c r="I70" i="26"/>
  <c r="I73" i="26" s="1"/>
  <c r="G22" i="26"/>
  <c r="G70" i="26"/>
  <c r="V17" i="26"/>
  <c r="T17" i="26"/>
  <c r="R17" i="26"/>
  <c r="P17" i="26"/>
  <c r="N17" i="26"/>
  <c r="L17" i="26"/>
  <c r="J17" i="26"/>
  <c r="H17" i="26"/>
  <c r="W52" i="26"/>
  <c r="U52" i="26"/>
  <c r="S52" i="26"/>
  <c r="Q52" i="26"/>
  <c r="O52" i="26"/>
  <c r="M52" i="26"/>
  <c r="K52" i="26"/>
  <c r="I52" i="26"/>
  <c r="G52" i="26"/>
  <c r="V47" i="26"/>
  <c r="T47" i="26"/>
  <c r="R47" i="26"/>
  <c r="P47" i="26"/>
  <c r="N47" i="26"/>
  <c r="L47" i="26"/>
  <c r="J47" i="26"/>
  <c r="H47" i="26"/>
  <c r="W32" i="26"/>
  <c r="U32" i="26"/>
  <c r="S32" i="26"/>
  <c r="Q32" i="26"/>
  <c r="O32" i="26"/>
  <c r="M32" i="26"/>
  <c r="K32" i="26"/>
  <c r="I32" i="26"/>
  <c r="G32" i="26"/>
  <c r="V27" i="26"/>
  <c r="T27" i="26"/>
  <c r="R27" i="26"/>
  <c r="P27" i="26"/>
  <c r="N27" i="26"/>
  <c r="L27" i="26"/>
  <c r="J27" i="26"/>
  <c r="H27" i="26"/>
  <c r="W12" i="26"/>
  <c r="U12" i="26"/>
  <c r="S12" i="26"/>
  <c r="Q12" i="26"/>
  <c r="O12" i="26"/>
  <c r="M12" i="26"/>
  <c r="K12" i="26"/>
  <c r="I12" i="26"/>
  <c r="G12" i="26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AZ72" i="30" l="1"/>
  <c r="AY73" i="30"/>
  <c r="O55" i="44"/>
  <c r="T73" i="26"/>
  <c r="P73" i="26"/>
  <c r="R73" i="26"/>
  <c r="V73" i="26"/>
  <c r="H73" i="26"/>
  <c r="AY32" i="30"/>
  <c r="AZ31" i="30"/>
  <c r="BI27" i="29"/>
  <c r="BH28" i="29"/>
  <c r="D17" i="30"/>
  <c r="C18" i="30"/>
  <c r="L73" i="26"/>
  <c r="M73" i="26"/>
  <c r="U73" i="26"/>
  <c r="J73" i="26"/>
  <c r="G73" i="26"/>
  <c r="O73" i="26"/>
  <c r="NP12" i="24"/>
  <c r="NQ12" i="24"/>
  <c r="NR12" i="24"/>
  <c r="NS12" i="24"/>
  <c r="NT12" i="24"/>
  <c r="NU12" i="24"/>
  <c r="NV12" i="24"/>
  <c r="NW12" i="24"/>
  <c r="NX12" i="24"/>
  <c r="NY12" i="24"/>
  <c r="NZ12" i="24"/>
  <c r="OA12" i="24"/>
  <c r="OB12" i="24"/>
  <c r="OC12" i="24"/>
  <c r="OD12" i="24"/>
  <c r="OE12" i="24"/>
  <c r="OF12" i="24"/>
  <c r="NO12" i="24"/>
  <c r="MM12" i="24"/>
  <c r="MN12" i="24"/>
  <c r="MO12" i="24"/>
  <c r="MP12" i="24"/>
  <c r="MQ12" i="24"/>
  <c r="MR12" i="24"/>
  <c r="MS12" i="24"/>
  <c r="MT12" i="24"/>
  <c r="MU12" i="24"/>
  <c r="MV12" i="24"/>
  <c r="MW12" i="24"/>
  <c r="MX12" i="24"/>
  <c r="MY12" i="24"/>
  <c r="MZ12" i="24"/>
  <c r="NA12" i="24"/>
  <c r="NB12" i="24"/>
  <c r="NC12" i="24"/>
  <c r="ML12" i="24"/>
  <c r="LJ12" i="24"/>
  <c r="LK12" i="24"/>
  <c r="LL12" i="24"/>
  <c r="LM12" i="24"/>
  <c r="LN12" i="24"/>
  <c r="LO12" i="24"/>
  <c r="LP12" i="24"/>
  <c r="LQ12" i="24"/>
  <c r="LR12" i="24"/>
  <c r="LS12" i="24"/>
  <c r="LT12" i="24"/>
  <c r="LU12" i="24"/>
  <c r="LV12" i="24"/>
  <c r="LW12" i="24"/>
  <c r="LX12" i="24"/>
  <c r="LY12" i="24"/>
  <c r="LZ12" i="24"/>
  <c r="LI12" i="24"/>
  <c r="KG12" i="24"/>
  <c r="KH12" i="24"/>
  <c r="KI12" i="24"/>
  <c r="KJ12" i="24"/>
  <c r="KK12" i="24"/>
  <c r="KL12" i="24"/>
  <c r="KM12" i="24"/>
  <c r="KN12" i="24"/>
  <c r="KO12" i="24"/>
  <c r="KP12" i="24"/>
  <c r="KQ12" i="24"/>
  <c r="KR12" i="24"/>
  <c r="KS12" i="24"/>
  <c r="KT12" i="24"/>
  <c r="KU12" i="24"/>
  <c r="KV12" i="24"/>
  <c r="KW12" i="24"/>
  <c r="KF12" i="24"/>
  <c r="JD12" i="24"/>
  <c r="JE12" i="24"/>
  <c r="JF12" i="24"/>
  <c r="JG12" i="24"/>
  <c r="JH12" i="24"/>
  <c r="JI12" i="24"/>
  <c r="JJ12" i="24"/>
  <c r="JK12" i="24"/>
  <c r="JL12" i="24"/>
  <c r="JM12" i="24"/>
  <c r="JN12" i="24"/>
  <c r="JO12" i="24"/>
  <c r="JP12" i="24"/>
  <c r="JQ12" i="24"/>
  <c r="JR12" i="24"/>
  <c r="JS12" i="24"/>
  <c r="JT12" i="24"/>
  <c r="JC12" i="24"/>
  <c r="IA12" i="24"/>
  <c r="IB12" i="24"/>
  <c r="IC12" i="24"/>
  <c r="ID12" i="24"/>
  <c r="IE12" i="24"/>
  <c r="IF12" i="24"/>
  <c r="IG12" i="24"/>
  <c r="IH12" i="24"/>
  <c r="II12" i="24"/>
  <c r="IJ12" i="24"/>
  <c r="IK12" i="24"/>
  <c r="IL12" i="24"/>
  <c r="IM12" i="24"/>
  <c r="IN12" i="24"/>
  <c r="IO12" i="24"/>
  <c r="IP12" i="24"/>
  <c r="IQ12" i="24"/>
  <c r="HZ12" i="24"/>
  <c r="GX12" i="24"/>
  <c r="GY12" i="24"/>
  <c r="GZ12" i="24"/>
  <c r="HA12" i="24"/>
  <c r="HB12" i="24"/>
  <c r="HC12" i="24"/>
  <c r="HD12" i="24"/>
  <c r="HE12" i="24"/>
  <c r="HF12" i="24"/>
  <c r="HG12" i="24"/>
  <c r="HH12" i="24"/>
  <c r="HI12" i="24"/>
  <c r="HJ12" i="24"/>
  <c r="HK12" i="24"/>
  <c r="HL12" i="24"/>
  <c r="HM12" i="24"/>
  <c r="HN12" i="24"/>
  <c r="GW12" i="24"/>
  <c r="FU12" i="24"/>
  <c r="FV12" i="24"/>
  <c r="FW12" i="24"/>
  <c r="FX12" i="24"/>
  <c r="FY12" i="24"/>
  <c r="FZ12" i="24"/>
  <c r="GA12" i="24"/>
  <c r="GB12" i="24"/>
  <c r="GC12" i="24"/>
  <c r="GD12" i="24"/>
  <c r="GE12" i="24"/>
  <c r="GF12" i="24"/>
  <c r="GG12" i="24"/>
  <c r="GH12" i="24"/>
  <c r="GI12" i="24"/>
  <c r="GJ12" i="24"/>
  <c r="GK12" i="24"/>
  <c r="FT12" i="24"/>
  <c r="ER12" i="24"/>
  <c r="ES12" i="24"/>
  <c r="ET12" i="24"/>
  <c r="EU12" i="24"/>
  <c r="EV12" i="24"/>
  <c r="EW12" i="24"/>
  <c r="EX12" i="24"/>
  <c r="EY12" i="24"/>
  <c r="EZ12" i="24"/>
  <c r="FA12" i="24"/>
  <c r="FB12" i="24"/>
  <c r="FC12" i="24"/>
  <c r="FD12" i="24"/>
  <c r="FE12" i="24"/>
  <c r="FF12" i="24"/>
  <c r="FG12" i="24"/>
  <c r="FH12" i="24"/>
  <c r="EQ12" i="24"/>
  <c r="DO12" i="24"/>
  <c r="DP12" i="24"/>
  <c r="DQ12" i="24"/>
  <c r="DR12" i="24"/>
  <c r="DS12" i="24"/>
  <c r="DT12" i="24"/>
  <c r="DU12" i="24"/>
  <c r="DV12" i="24"/>
  <c r="DW12" i="24"/>
  <c r="DX12" i="24"/>
  <c r="DY12" i="24"/>
  <c r="DZ12" i="24"/>
  <c r="EA12" i="24"/>
  <c r="EB12" i="24"/>
  <c r="EC12" i="24"/>
  <c r="ED12" i="24"/>
  <c r="EE12" i="24"/>
  <c r="DN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CZ12" i="24"/>
  <c r="DA12" i="24"/>
  <c r="DB12" i="24"/>
  <c r="CK12" i="24"/>
  <c r="BI12" i="24"/>
  <c r="BJ12" i="24"/>
  <c r="BK12" i="24"/>
  <c r="BL12" i="24"/>
  <c r="BM12" i="24"/>
  <c r="BN12" i="24"/>
  <c r="BO12" i="24"/>
  <c r="BP12" i="24"/>
  <c r="BQ12" i="24"/>
  <c r="BR12" i="24"/>
  <c r="BS12" i="24"/>
  <c r="BT12" i="24"/>
  <c r="BU12" i="24"/>
  <c r="BV12" i="24"/>
  <c r="BW12" i="24"/>
  <c r="BX12" i="24"/>
  <c r="BY12" i="24"/>
  <c r="BH12" i="24"/>
  <c r="F7" i="17"/>
  <c r="G7" i="17"/>
  <c r="H7" i="17"/>
  <c r="H68" i="17" s="1"/>
  <c r="I7" i="17"/>
  <c r="J7" i="17"/>
  <c r="K7" i="17"/>
  <c r="L7" i="17"/>
  <c r="L68" i="17" s="1"/>
  <c r="M7" i="17"/>
  <c r="M68" i="17" s="1"/>
  <c r="N7" i="17"/>
  <c r="O7" i="17"/>
  <c r="P7" i="17"/>
  <c r="P68" i="17" s="1"/>
  <c r="Q7" i="17"/>
  <c r="R7" i="17"/>
  <c r="R68" i="17" s="1"/>
  <c r="S7" i="17"/>
  <c r="T7" i="17"/>
  <c r="T68" i="17" s="1"/>
  <c r="U7" i="17"/>
  <c r="U68" i="17" s="1"/>
  <c r="V7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F20" i="17"/>
  <c r="G20" i="17"/>
  <c r="H20" i="17"/>
  <c r="I20" i="17"/>
  <c r="J20" i="17"/>
  <c r="K20" i="17"/>
  <c r="L20" i="17"/>
  <c r="M20" i="17"/>
  <c r="M21" i="17" s="1"/>
  <c r="N20" i="17"/>
  <c r="O20" i="17"/>
  <c r="P20" i="17"/>
  <c r="Q20" i="17"/>
  <c r="R20" i="17"/>
  <c r="S20" i="17"/>
  <c r="T20" i="17"/>
  <c r="U20" i="17"/>
  <c r="V20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R26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F68" i="17"/>
  <c r="J68" i="17"/>
  <c r="N68" i="17"/>
  <c r="V68" i="17"/>
  <c r="E65" i="17"/>
  <c r="E60" i="17"/>
  <c r="E55" i="17"/>
  <c r="E50" i="17"/>
  <c r="E45" i="17"/>
  <c r="E40" i="17"/>
  <c r="E35" i="17"/>
  <c r="E30" i="17"/>
  <c r="E25" i="17"/>
  <c r="E20" i="17"/>
  <c r="E15" i="17"/>
  <c r="E10" i="17"/>
  <c r="Q2" i="14"/>
  <c r="E2" i="14"/>
  <c r="R61" i="17" l="1"/>
  <c r="L16" i="17"/>
  <c r="AZ73" i="30"/>
  <c r="AY74" i="30"/>
  <c r="O56" i="44"/>
  <c r="K70" i="17"/>
  <c r="V36" i="17"/>
  <c r="T16" i="17"/>
  <c r="M51" i="17"/>
  <c r="U41" i="17"/>
  <c r="S41" i="17"/>
  <c r="Q41" i="17"/>
  <c r="O41" i="17"/>
  <c r="M41" i="17"/>
  <c r="K41" i="17"/>
  <c r="I41" i="17"/>
  <c r="G41" i="17"/>
  <c r="AY33" i="30"/>
  <c r="AZ32" i="30"/>
  <c r="BH29" i="29"/>
  <c r="BI28" i="29"/>
  <c r="D18" i="30"/>
  <c r="C19" i="30"/>
  <c r="N56" i="17"/>
  <c r="F36" i="17"/>
  <c r="U21" i="17"/>
  <c r="J71" i="17"/>
  <c r="L69" i="17"/>
  <c r="U66" i="17"/>
  <c r="S66" i="17"/>
  <c r="Q66" i="17"/>
  <c r="O66" i="17"/>
  <c r="M66" i="17"/>
  <c r="K66" i="17"/>
  <c r="I66" i="17"/>
  <c r="I31" i="17"/>
  <c r="V56" i="17"/>
  <c r="F56" i="17"/>
  <c r="R71" i="17"/>
  <c r="S70" i="17"/>
  <c r="T69" i="17"/>
  <c r="R46" i="17"/>
  <c r="T36" i="17"/>
  <c r="R36" i="17"/>
  <c r="P36" i="17"/>
  <c r="N36" i="17"/>
  <c r="L36" i="17"/>
  <c r="J36" i="17"/>
  <c r="H36" i="17"/>
  <c r="J26" i="17"/>
  <c r="S21" i="17"/>
  <c r="Q21" i="17"/>
  <c r="O21" i="17"/>
  <c r="K21" i="17"/>
  <c r="I21" i="17"/>
  <c r="G21" i="17"/>
  <c r="J46" i="17"/>
  <c r="E71" i="17"/>
  <c r="J61" i="17"/>
  <c r="T56" i="17"/>
  <c r="R56" i="17"/>
  <c r="P56" i="17"/>
  <c r="L56" i="17"/>
  <c r="J56" i="17"/>
  <c r="H56" i="17"/>
  <c r="Q31" i="17"/>
  <c r="V71" i="17"/>
  <c r="N71" i="17"/>
  <c r="F71" i="17"/>
  <c r="O70" i="17"/>
  <c r="G70" i="17"/>
  <c r="P16" i="17"/>
  <c r="H16" i="17"/>
  <c r="M11" i="17"/>
  <c r="V61" i="17"/>
  <c r="N61" i="17"/>
  <c r="F61" i="17"/>
  <c r="V46" i="17"/>
  <c r="N46" i="17"/>
  <c r="F46" i="17"/>
  <c r="U31" i="17"/>
  <c r="M31" i="17"/>
  <c r="V16" i="17"/>
  <c r="R16" i="17"/>
  <c r="N16" i="17"/>
  <c r="J16" i="17"/>
  <c r="F16" i="17"/>
  <c r="P69" i="17"/>
  <c r="H69" i="17"/>
  <c r="U51" i="17"/>
  <c r="V26" i="17"/>
  <c r="N26" i="17"/>
  <c r="F26" i="17"/>
  <c r="U11" i="17"/>
  <c r="G66" i="17"/>
  <c r="T61" i="17"/>
  <c r="P61" i="17"/>
  <c r="L61" i="17"/>
  <c r="H61" i="17"/>
  <c r="T71" i="17"/>
  <c r="P71" i="17"/>
  <c r="L71" i="17"/>
  <c r="H71" i="17"/>
  <c r="U70" i="17"/>
  <c r="S51" i="17"/>
  <c r="Q51" i="17"/>
  <c r="O51" i="17"/>
  <c r="M70" i="17"/>
  <c r="K51" i="17"/>
  <c r="I51" i="17"/>
  <c r="G51" i="17"/>
  <c r="T46" i="17"/>
  <c r="P46" i="17"/>
  <c r="L46" i="17"/>
  <c r="H46" i="17"/>
  <c r="S31" i="17"/>
  <c r="O31" i="17"/>
  <c r="K31" i="17"/>
  <c r="G31" i="17"/>
  <c r="T26" i="17"/>
  <c r="P26" i="17"/>
  <c r="L26" i="17"/>
  <c r="H26" i="17"/>
  <c r="S11" i="17"/>
  <c r="Q11" i="17"/>
  <c r="O11" i="17"/>
  <c r="K11" i="17"/>
  <c r="I11" i="17"/>
  <c r="G11" i="17"/>
  <c r="S68" i="17"/>
  <c r="Q68" i="17"/>
  <c r="O68" i="17"/>
  <c r="K68" i="17"/>
  <c r="I68" i="17"/>
  <c r="G68" i="17"/>
  <c r="V66" i="17"/>
  <c r="T66" i="17"/>
  <c r="R66" i="17"/>
  <c r="P66" i="17"/>
  <c r="N66" i="17"/>
  <c r="L66" i="17"/>
  <c r="J66" i="17"/>
  <c r="H66" i="17"/>
  <c r="F66" i="17"/>
  <c r="U61" i="17"/>
  <c r="S61" i="17"/>
  <c r="Q61" i="17"/>
  <c r="O61" i="17"/>
  <c r="M61" i="17"/>
  <c r="K61" i="17"/>
  <c r="I61" i="17"/>
  <c r="G61" i="17"/>
  <c r="V51" i="17"/>
  <c r="T51" i="17"/>
  <c r="R51" i="17"/>
  <c r="U71" i="17"/>
  <c r="S71" i="17"/>
  <c r="Q71" i="17"/>
  <c r="O71" i="17"/>
  <c r="M71" i="17"/>
  <c r="K71" i="17"/>
  <c r="I71" i="17"/>
  <c r="G71" i="17"/>
  <c r="V70" i="17"/>
  <c r="R70" i="17"/>
  <c r="N70" i="17"/>
  <c r="J70" i="17"/>
  <c r="F70" i="17"/>
  <c r="Q70" i="17"/>
  <c r="I70" i="17"/>
  <c r="V69" i="17"/>
  <c r="R69" i="17"/>
  <c r="N69" i="17"/>
  <c r="J69" i="17"/>
  <c r="F69" i="17"/>
  <c r="P51" i="17"/>
  <c r="N51" i="17"/>
  <c r="L51" i="17"/>
  <c r="J51" i="17"/>
  <c r="H51" i="17"/>
  <c r="F51" i="17"/>
  <c r="U46" i="17"/>
  <c r="S46" i="17"/>
  <c r="Q46" i="17"/>
  <c r="O46" i="17"/>
  <c r="M46" i="17"/>
  <c r="K46" i="17"/>
  <c r="I46" i="17"/>
  <c r="G46" i="17"/>
  <c r="V31" i="17"/>
  <c r="T31" i="17"/>
  <c r="R31" i="17"/>
  <c r="P31" i="17"/>
  <c r="N31" i="17"/>
  <c r="L31" i="17"/>
  <c r="J31" i="17"/>
  <c r="H31" i="17"/>
  <c r="F31" i="17"/>
  <c r="U26" i="17"/>
  <c r="S26" i="17"/>
  <c r="Q26" i="17"/>
  <c r="O26" i="17"/>
  <c r="M26" i="17"/>
  <c r="K26" i="17"/>
  <c r="I26" i="17"/>
  <c r="G26" i="17"/>
  <c r="V11" i="17"/>
  <c r="T11" i="17"/>
  <c r="R11" i="17"/>
  <c r="P11" i="17"/>
  <c r="N11" i="17"/>
  <c r="L11" i="17"/>
  <c r="J11" i="17"/>
  <c r="H11" i="17"/>
  <c r="F11" i="17"/>
  <c r="T70" i="17"/>
  <c r="P70" i="17"/>
  <c r="L70" i="17"/>
  <c r="H70" i="17"/>
  <c r="U69" i="17"/>
  <c r="S69" i="17"/>
  <c r="Q69" i="17"/>
  <c r="O69" i="17"/>
  <c r="M69" i="17"/>
  <c r="M72" i="17" s="1"/>
  <c r="K69" i="17"/>
  <c r="I69" i="17"/>
  <c r="I72" i="17" s="1"/>
  <c r="G69" i="17"/>
  <c r="U56" i="17"/>
  <c r="S56" i="17"/>
  <c r="Q56" i="17"/>
  <c r="O56" i="17"/>
  <c r="M56" i="17"/>
  <c r="K56" i="17"/>
  <c r="I56" i="17"/>
  <c r="G56" i="17"/>
  <c r="V41" i="17"/>
  <c r="T41" i="17"/>
  <c r="R41" i="17"/>
  <c r="P41" i="17"/>
  <c r="N41" i="17"/>
  <c r="L41" i="17"/>
  <c r="J41" i="17"/>
  <c r="H41" i="17"/>
  <c r="F41" i="17"/>
  <c r="U36" i="17"/>
  <c r="S36" i="17"/>
  <c r="Q36" i="17"/>
  <c r="O36" i="17"/>
  <c r="M36" i="17"/>
  <c r="K36" i="17"/>
  <c r="I36" i="17"/>
  <c r="G36" i="17"/>
  <c r="V21" i="17"/>
  <c r="T21" i="17"/>
  <c r="R21" i="17"/>
  <c r="P21" i="17"/>
  <c r="N21" i="17"/>
  <c r="L21" i="17"/>
  <c r="J21" i="17"/>
  <c r="H21" i="17"/>
  <c r="F21" i="17"/>
  <c r="U16" i="17"/>
  <c r="S16" i="17"/>
  <c r="Q16" i="17"/>
  <c r="O16" i="17"/>
  <c r="M16" i="17"/>
  <c r="K16" i="17"/>
  <c r="I16" i="17"/>
  <c r="G16" i="17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G35" i="31" s="1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G18" i="31" s="1"/>
  <c r="L72" i="17" l="1"/>
  <c r="H72" i="17"/>
  <c r="AY75" i="30"/>
  <c r="AZ74" i="30"/>
  <c r="G72" i="17"/>
  <c r="G52" i="31"/>
  <c r="K72" i="17"/>
  <c r="O57" i="44"/>
  <c r="U72" i="17"/>
  <c r="AY34" i="30"/>
  <c r="AZ33" i="30"/>
  <c r="BH30" i="29"/>
  <c r="BI29" i="29"/>
  <c r="D19" i="30"/>
  <c r="C20" i="30"/>
  <c r="T72" i="17"/>
  <c r="O72" i="17"/>
  <c r="S72" i="17"/>
  <c r="P72" i="17"/>
  <c r="F72" i="17"/>
  <c r="N72" i="17"/>
  <c r="V72" i="17"/>
  <c r="Q72" i="17"/>
  <c r="J72" i="17"/>
  <c r="R72" i="17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33" i="5"/>
  <c r="C32" i="5"/>
  <c r="C31" i="5"/>
  <c r="C30" i="5"/>
  <c r="C29" i="5"/>
  <c r="C28" i="5"/>
  <c r="C27" i="5"/>
  <c r="C26" i="5"/>
  <c r="H7" i="1" s="1"/>
  <c r="C25" i="5"/>
  <c r="C24" i="5"/>
  <c r="C23" i="5"/>
  <c r="C22" i="5"/>
  <c r="C21" i="5"/>
  <c r="C20" i="5"/>
  <c r="C19" i="5"/>
  <c r="C18" i="5"/>
  <c r="C17" i="5"/>
  <c r="C16" i="5"/>
  <c r="E6" i="1" s="1"/>
  <c r="AZ75" i="30" l="1"/>
  <c r="AY76" i="30"/>
  <c r="O58" i="44"/>
  <c r="AY35" i="30"/>
  <c r="AZ34" i="30"/>
  <c r="BI30" i="29"/>
  <c r="BH31" i="29"/>
  <c r="D20" i="30"/>
  <c r="C21" i="30"/>
  <c r="M3" i="24"/>
  <c r="L3" i="24"/>
  <c r="AY77" i="30" l="1"/>
  <c r="AZ76" i="30"/>
  <c r="O59" i="44"/>
  <c r="AY36" i="30"/>
  <c r="AZ35" i="30"/>
  <c r="BH32" i="29"/>
  <c r="BI31" i="29"/>
  <c r="D21" i="30"/>
  <c r="C22" i="30"/>
  <c r="C8" i="29"/>
  <c r="D8" i="29" s="1"/>
  <c r="AY78" i="30" l="1"/>
  <c r="AZ77" i="30"/>
  <c r="O60" i="44"/>
  <c r="AY37" i="30"/>
  <c r="AZ37" i="30" s="1"/>
  <c r="AZ36" i="30"/>
  <c r="BH33" i="29"/>
  <c r="BI32" i="29"/>
  <c r="D22" i="30"/>
  <c r="C23" i="30"/>
  <c r="C9" i="29"/>
  <c r="D9" i="29" s="1"/>
  <c r="AZ78" i="30" l="1"/>
  <c r="AY79" i="30"/>
  <c r="O61" i="44"/>
  <c r="BH34" i="29"/>
  <c r="BI33" i="29"/>
  <c r="D23" i="30"/>
  <c r="C24" i="30"/>
  <c r="C10" i="29"/>
  <c r="D10" i="29" s="1"/>
  <c r="AY80" i="30" l="1"/>
  <c r="AZ79" i="30"/>
  <c r="O62" i="44"/>
  <c r="BI34" i="29"/>
  <c r="BH35" i="29"/>
  <c r="D24" i="30"/>
  <c r="C25" i="30"/>
  <c r="C11" i="29"/>
  <c r="D11" i="29" s="1"/>
  <c r="AY81" i="30" l="1"/>
  <c r="AZ81" i="30" s="1"/>
  <c r="AZ80" i="30"/>
  <c r="O63" i="44"/>
  <c r="BH36" i="29"/>
  <c r="BI35" i="29"/>
  <c r="D25" i="30"/>
  <c r="C26" i="30"/>
  <c r="C12" i="29"/>
  <c r="D12" i="29" s="1"/>
  <c r="O64" i="44" l="1"/>
  <c r="BH37" i="29"/>
  <c r="BI37" i="29" s="1"/>
  <c r="BI36" i="29"/>
  <c r="D26" i="30"/>
  <c r="C27" i="30"/>
  <c r="C13" i="29"/>
  <c r="D13" i="29" s="1"/>
  <c r="O65" i="44" l="1"/>
  <c r="D27" i="30"/>
  <c r="C28" i="30"/>
  <c r="C14" i="29"/>
  <c r="D14" i="29" s="1"/>
  <c r="O66" i="44" l="1"/>
  <c r="C29" i="30"/>
  <c r="D28" i="30"/>
  <c r="C15" i="29"/>
  <c r="D15" i="29" s="1"/>
  <c r="O67" i="44" l="1"/>
  <c r="C30" i="30"/>
  <c r="D29" i="30"/>
  <c r="C16" i="29"/>
  <c r="D16" i="29" s="1"/>
  <c r="O68" i="44" l="1"/>
  <c r="C31" i="30"/>
  <c r="D30" i="30"/>
  <c r="C17" i="29"/>
  <c r="D17" i="29" s="1"/>
  <c r="O69" i="44" l="1"/>
  <c r="AU285" i="44" s="1"/>
  <c r="C32" i="30"/>
  <c r="D31" i="30"/>
  <c r="C18" i="29"/>
  <c r="D18" i="29" s="1"/>
  <c r="O70" i="44" l="1"/>
  <c r="C33" i="30"/>
  <c r="D32" i="30"/>
  <c r="C19" i="29"/>
  <c r="D19" i="29" s="1"/>
  <c r="O71" i="44" l="1"/>
  <c r="C34" i="30"/>
  <c r="D33" i="30"/>
  <c r="C20" i="29"/>
  <c r="D20" i="29" s="1"/>
  <c r="O72" i="44" l="1"/>
  <c r="C35" i="30"/>
  <c r="D34" i="30"/>
  <c r="C21" i="29"/>
  <c r="D21" i="29" s="1"/>
  <c r="O73" i="44" l="1"/>
  <c r="C36" i="30"/>
  <c r="D35" i="30"/>
  <c r="C22" i="29"/>
  <c r="D22" i="29" s="1"/>
  <c r="O74" i="44" l="1"/>
  <c r="C37" i="30"/>
  <c r="D37" i="30" s="1"/>
  <c r="D36" i="30"/>
  <c r="C23" i="29"/>
  <c r="D23" i="29" s="1"/>
  <c r="O75" i="44" l="1"/>
  <c r="C24" i="29"/>
  <c r="D24" i="29" s="1"/>
  <c r="O76" i="44" l="1"/>
  <c r="C25" i="29"/>
  <c r="D25" i="29" s="1"/>
  <c r="O77" i="44" l="1"/>
  <c r="C26" i="29"/>
  <c r="D26" i="29" s="1"/>
  <c r="O78" i="44" l="1"/>
  <c r="C27" i="29"/>
  <c r="D27" i="29" s="1"/>
  <c r="O79" i="44" l="1"/>
  <c r="C28" i="29"/>
  <c r="D28" i="29" s="1"/>
  <c r="O80" i="44" l="1"/>
  <c r="C29" i="29"/>
  <c r="D29" i="29" s="1"/>
  <c r="O81" i="44" l="1"/>
  <c r="C30" i="29"/>
  <c r="D30" i="29" s="1"/>
  <c r="O82" i="44" l="1"/>
  <c r="C31" i="29"/>
  <c r="D31" i="29" s="1"/>
  <c r="O83" i="44" l="1"/>
  <c r="C32" i="29"/>
  <c r="D32" i="29" s="1"/>
  <c r="O84" i="44" l="1"/>
  <c r="C33" i="29"/>
  <c r="D33" i="29" s="1"/>
  <c r="O85" i="44" l="1"/>
  <c r="C34" i="29"/>
  <c r="D34" i="29" s="1"/>
  <c r="O86" i="44" l="1"/>
  <c r="C35" i="29"/>
  <c r="D35" i="29" s="1"/>
  <c r="O87" i="44" l="1"/>
  <c r="C36" i="29"/>
  <c r="D36" i="29" s="1"/>
  <c r="O88" i="44" l="1"/>
  <c r="C37" i="29"/>
  <c r="D37" i="29" s="1"/>
  <c r="O89" i="44" l="1"/>
  <c r="G40" i="25"/>
  <c r="F4" i="27"/>
  <c r="O90" i="44" l="1"/>
  <c r="R5" i="11"/>
  <c r="R5" i="28"/>
  <c r="O91" i="44" l="1"/>
  <c r="I9" i="19"/>
  <c r="F9" i="19"/>
  <c r="C9" i="19"/>
  <c r="B5" i="19"/>
  <c r="C8" i="19"/>
  <c r="O92" i="44" l="1"/>
  <c r="J19" i="24"/>
  <c r="J17" i="24"/>
  <c r="I20" i="24"/>
  <c r="I19" i="24"/>
  <c r="I18" i="24"/>
  <c r="I17" i="24"/>
  <c r="H6" i="24"/>
  <c r="F6" i="24"/>
  <c r="O93" i="44" l="1"/>
  <c r="K5" i="25"/>
  <c r="I5" i="25"/>
  <c r="B2" i="25"/>
  <c r="G5" i="25"/>
  <c r="C5" i="25"/>
  <c r="O94" i="44" l="1"/>
  <c r="AI56" i="26"/>
  <c r="AI57" i="26"/>
  <c r="AI55" i="26"/>
  <c r="O95" i="44" l="1"/>
  <c r="NK93" i="24"/>
  <c r="NL93" i="24"/>
  <c r="NM93" i="24"/>
  <c r="NN93" i="24"/>
  <c r="NK94" i="24"/>
  <c r="NL94" i="24"/>
  <c r="NM94" i="24"/>
  <c r="NN94" i="24"/>
  <c r="NK95" i="24"/>
  <c r="NL95" i="24"/>
  <c r="NM95" i="24"/>
  <c r="NN95" i="24"/>
  <c r="NK96" i="24"/>
  <c r="NL96" i="24"/>
  <c r="NM96" i="24"/>
  <c r="NN96" i="24"/>
  <c r="NK97" i="24"/>
  <c r="NL97" i="24"/>
  <c r="NM97" i="24"/>
  <c r="NN97" i="24"/>
  <c r="NK98" i="24"/>
  <c r="NL98" i="24"/>
  <c r="NM98" i="24"/>
  <c r="NN98" i="24"/>
  <c r="NK99" i="24"/>
  <c r="NL99" i="24"/>
  <c r="NM99" i="24"/>
  <c r="NN99" i="24"/>
  <c r="NK100" i="24"/>
  <c r="NL100" i="24"/>
  <c r="NM100" i="24"/>
  <c r="NN100" i="24"/>
  <c r="NK101" i="24"/>
  <c r="NL101" i="24"/>
  <c r="NM101" i="24"/>
  <c r="NN101" i="24"/>
  <c r="NK102" i="24"/>
  <c r="NL102" i="24"/>
  <c r="NM102" i="24"/>
  <c r="NN102" i="24"/>
  <c r="NK103" i="24"/>
  <c r="NL103" i="24"/>
  <c r="NM103" i="24"/>
  <c r="NN103" i="24"/>
  <c r="NK104" i="24"/>
  <c r="NL104" i="24"/>
  <c r="NM104" i="24"/>
  <c r="NN104" i="24"/>
  <c r="NK105" i="24"/>
  <c r="NL105" i="24"/>
  <c r="NM105" i="24"/>
  <c r="NN105" i="24"/>
  <c r="NK106" i="24"/>
  <c r="NL106" i="24"/>
  <c r="NM106" i="24"/>
  <c r="NN106" i="24"/>
  <c r="NK107" i="24"/>
  <c r="NL107" i="24"/>
  <c r="NM107" i="24"/>
  <c r="NN107" i="24"/>
  <c r="NK108" i="24"/>
  <c r="NL108" i="24"/>
  <c r="NM108" i="24"/>
  <c r="NN108" i="24"/>
  <c r="NK109" i="24"/>
  <c r="NL109" i="24"/>
  <c r="NM109" i="24"/>
  <c r="NN109" i="24"/>
  <c r="NK110" i="24"/>
  <c r="NL110" i="24"/>
  <c r="NM110" i="24"/>
  <c r="NN110" i="24"/>
  <c r="NK111" i="24"/>
  <c r="NL111" i="24"/>
  <c r="NM111" i="24"/>
  <c r="NN111" i="24"/>
  <c r="NK112" i="24"/>
  <c r="NL112" i="24"/>
  <c r="NM112" i="24"/>
  <c r="NN112" i="24"/>
  <c r="NK113" i="24"/>
  <c r="NL113" i="24"/>
  <c r="NM113" i="24"/>
  <c r="NN113" i="24"/>
  <c r="NK114" i="24"/>
  <c r="NL114" i="24"/>
  <c r="NM114" i="24"/>
  <c r="NN114" i="24"/>
  <c r="NK115" i="24"/>
  <c r="NL115" i="24"/>
  <c r="NM115" i="24"/>
  <c r="NN115" i="24"/>
  <c r="NK116" i="24"/>
  <c r="NL116" i="24"/>
  <c r="NM116" i="24"/>
  <c r="NN116" i="24"/>
  <c r="NK117" i="24"/>
  <c r="NL117" i="24"/>
  <c r="NM117" i="24"/>
  <c r="NN117" i="24"/>
  <c r="NK118" i="24"/>
  <c r="NL118" i="24"/>
  <c r="NM118" i="24"/>
  <c r="NN118" i="24"/>
  <c r="NK119" i="24"/>
  <c r="NL119" i="24"/>
  <c r="NM119" i="24"/>
  <c r="NN119" i="24"/>
  <c r="NK120" i="24"/>
  <c r="NL120" i="24"/>
  <c r="NM120" i="24"/>
  <c r="NN120" i="24"/>
  <c r="NK121" i="24"/>
  <c r="NL121" i="24"/>
  <c r="NM121" i="24"/>
  <c r="NN121" i="24"/>
  <c r="NK122" i="24"/>
  <c r="NL122" i="24"/>
  <c r="NM122" i="24"/>
  <c r="NN122" i="24"/>
  <c r="NN92" i="24"/>
  <c r="NM92" i="24"/>
  <c r="NL92" i="24"/>
  <c r="NK92" i="24"/>
  <c r="MH93" i="24"/>
  <c r="MI93" i="24"/>
  <c r="MJ93" i="24"/>
  <c r="MK93" i="24"/>
  <c r="MH94" i="24"/>
  <c r="MI94" i="24"/>
  <c r="MJ94" i="24"/>
  <c r="MK94" i="24"/>
  <c r="MH95" i="24"/>
  <c r="MI95" i="24"/>
  <c r="MJ95" i="24"/>
  <c r="MK95" i="24"/>
  <c r="MH96" i="24"/>
  <c r="MI96" i="24"/>
  <c r="MJ96" i="24"/>
  <c r="MK96" i="24"/>
  <c r="MH97" i="24"/>
  <c r="MI97" i="24"/>
  <c r="MJ97" i="24"/>
  <c r="MK97" i="24"/>
  <c r="MH98" i="24"/>
  <c r="MI98" i="24"/>
  <c r="MJ98" i="24"/>
  <c r="MK98" i="24"/>
  <c r="MH99" i="24"/>
  <c r="MI99" i="24"/>
  <c r="MJ99" i="24"/>
  <c r="MK99" i="24"/>
  <c r="MH100" i="24"/>
  <c r="MI100" i="24"/>
  <c r="MJ100" i="24"/>
  <c r="MK100" i="24"/>
  <c r="MH101" i="24"/>
  <c r="MI101" i="24"/>
  <c r="MJ101" i="24"/>
  <c r="MK101" i="24"/>
  <c r="MH102" i="24"/>
  <c r="MI102" i="24"/>
  <c r="MJ102" i="24"/>
  <c r="MK102" i="24"/>
  <c r="MH103" i="24"/>
  <c r="MI103" i="24"/>
  <c r="MJ103" i="24"/>
  <c r="MK103" i="24"/>
  <c r="MH104" i="24"/>
  <c r="MI104" i="24"/>
  <c r="MJ104" i="24"/>
  <c r="MK104" i="24"/>
  <c r="MH105" i="24"/>
  <c r="MI105" i="24"/>
  <c r="MJ105" i="24"/>
  <c r="MK105" i="24"/>
  <c r="MH106" i="24"/>
  <c r="MI106" i="24"/>
  <c r="MJ106" i="24"/>
  <c r="MK106" i="24"/>
  <c r="MH107" i="24"/>
  <c r="MI107" i="24"/>
  <c r="MJ107" i="24"/>
  <c r="MK107" i="24"/>
  <c r="MH108" i="24"/>
  <c r="MI108" i="24"/>
  <c r="MJ108" i="24"/>
  <c r="MK108" i="24"/>
  <c r="MH109" i="24"/>
  <c r="MI109" i="24"/>
  <c r="MJ109" i="24"/>
  <c r="MK109" i="24"/>
  <c r="MH110" i="24"/>
  <c r="MI110" i="24"/>
  <c r="MJ110" i="24"/>
  <c r="MK110" i="24"/>
  <c r="MH111" i="24"/>
  <c r="MI111" i="24"/>
  <c r="MJ111" i="24"/>
  <c r="MK111" i="24"/>
  <c r="MH112" i="24"/>
  <c r="MI112" i="24"/>
  <c r="MJ112" i="24"/>
  <c r="MK112" i="24"/>
  <c r="MH113" i="24"/>
  <c r="MI113" i="24"/>
  <c r="MJ113" i="24"/>
  <c r="MK113" i="24"/>
  <c r="MH114" i="24"/>
  <c r="MI114" i="24"/>
  <c r="MJ114" i="24"/>
  <c r="MK114" i="24"/>
  <c r="MH115" i="24"/>
  <c r="MI115" i="24"/>
  <c r="MJ115" i="24"/>
  <c r="MK115" i="24"/>
  <c r="MH116" i="24"/>
  <c r="MI116" i="24"/>
  <c r="MJ116" i="24"/>
  <c r="MK116" i="24"/>
  <c r="MH117" i="24"/>
  <c r="MI117" i="24"/>
  <c r="MJ117" i="24"/>
  <c r="MK117" i="24"/>
  <c r="MH118" i="24"/>
  <c r="MI118" i="24"/>
  <c r="MJ118" i="24"/>
  <c r="MK118" i="24"/>
  <c r="MH119" i="24"/>
  <c r="MI119" i="24"/>
  <c r="MJ119" i="24"/>
  <c r="MK119" i="24"/>
  <c r="MH120" i="24"/>
  <c r="MI120" i="24"/>
  <c r="MJ120" i="24"/>
  <c r="MK120" i="24"/>
  <c r="MK92" i="24"/>
  <c r="MJ92" i="24"/>
  <c r="MI92" i="24"/>
  <c r="MH92" i="24"/>
  <c r="LE93" i="24"/>
  <c r="LF93" i="24"/>
  <c r="LG93" i="24"/>
  <c r="LH93" i="24"/>
  <c r="LE94" i="24"/>
  <c r="LF94" i="24"/>
  <c r="LG94" i="24"/>
  <c r="LH94" i="24"/>
  <c r="LE95" i="24"/>
  <c r="LF95" i="24"/>
  <c r="LG95" i="24"/>
  <c r="LH95" i="24"/>
  <c r="LE96" i="24"/>
  <c r="LF96" i="24"/>
  <c r="LG96" i="24"/>
  <c r="LH96" i="24"/>
  <c r="LE97" i="24"/>
  <c r="LF97" i="24"/>
  <c r="LG97" i="24"/>
  <c r="LH97" i="24"/>
  <c r="LE98" i="24"/>
  <c r="LF98" i="24"/>
  <c r="LG98" i="24"/>
  <c r="LH98" i="24"/>
  <c r="LE99" i="24"/>
  <c r="LF99" i="24"/>
  <c r="LG99" i="24"/>
  <c r="LH99" i="24"/>
  <c r="LE100" i="24"/>
  <c r="LF100" i="24"/>
  <c r="LG100" i="24"/>
  <c r="LH100" i="24"/>
  <c r="LE101" i="24"/>
  <c r="LF101" i="24"/>
  <c r="LG101" i="24"/>
  <c r="LH101" i="24"/>
  <c r="LE102" i="24"/>
  <c r="LF102" i="24"/>
  <c r="LG102" i="24"/>
  <c r="LH102" i="24"/>
  <c r="LE103" i="24"/>
  <c r="LF103" i="24"/>
  <c r="LG103" i="24"/>
  <c r="LH103" i="24"/>
  <c r="LE104" i="24"/>
  <c r="LF104" i="24"/>
  <c r="LG104" i="24"/>
  <c r="LH104" i="24"/>
  <c r="LE105" i="24"/>
  <c r="LF105" i="24"/>
  <c r="LG105" i="24"/>
  <c r="LH105" i="24"/>
  <c r="LE106" i="24"/>
  <c r="LF106" i="24"/>
  <c r="LG106" i="24"/>
  <c r="LH106" i="24"/>
  <c r="LE107" i="24"/>
  <c r="LF107" i="24"/>
  <c r="LG107" i="24"/>
  <c r="LH107" i="24"/>
  <c r="LE108" i="24"/>
  <c r="LF108" i="24"/>
  <c r="LG108" i="24"/>
  <c r="LH108" i="24"/>
  <c r="LE109" i="24"/>
  <c r="LF109" i="24"/>
  <c r="LG109" i="24"/>
  <c r="LH109" i="24"/>
  <c r="LE110" i="24"/>
  <c r="LF110" i="24"/>
  <c r="LG110" i="24"/>
  <c r="LH110" i="24"/>
  <c r="LE111" i="24"/>
  <c r="LF111" i="24"/>
  <c r="LG111" i="24"/>
  <c r="LH111" i="24"/>
  <c r="LE112" i="24"/>
  <c r="LF112" i="24"/>
  <c r="LG112" i="24"/>
  <c r="LH112" i="24"/>
  <c r="LE113" i="24"/>
  <c r="LF113" i="24"/>
  <c r="LG113" i="24"/>
  <c r="LH113" i="24"/>
  <c r="LE114" i="24"/>
  <c r="LF114" i="24"/>
  <c r="LG114" i="24"/>
  <c r="LH114" i="24"/>
  <c r="LE115" i="24"/>
  <c r="LF115" i="24"/>
  <c r="LG115" i="24"/>
  <c r="LH115" i="24"/>
  <c r="LE116" i="24"/>
  <c r="LF116" i="24"/>
  <c r="LG116" i="24"/>
  <c r="LH116" i="24"/>
  <c r="LE117" i="24"/>
  <c r="LF117" i="24"/>
  <c r="LG117" i="24"/>
  <c r="LH117" i="24"/>
  <c r="LE118" i="24"/>
  <c r="LF118" i="24"/>
  <c r="LG118" i="24"/>
  <c r="LH118" i="24"/>
  <c r="LE119" i="24"/>
  <c r="LF119" i="24"/>
  <c r="LG119" i="24"/>
  <c r="LH119" i="24"/>
  <c r="LE120" i="24"/>
  <c r="LF120" i="24"/>
  <c r="LG120" i="24"/>
  <c r="LH120" i="24"/>
  <c r="LE121" i="24"/>
  <c r="LF121" i="24"/>
  <c r="LG121" i="24"/>
  <c r="LH121" i="24"/>
  <c r="LE122" i="24"/>
  <c r="LF122" i="24"/>
  <c r="LG122" i="24"/>
  <c r="LH122" i="24"/>
  <c r="LH92" i="24"/>
  <c r="LG92" i="24"/>
  <c r="LF92" i="24"/>
  <c r="LE92" i="24"/>
  <c r="KB93" i="24"/>
  <c r="KC93" i="24"/>
  <c r="KD93" i="24"/>
  <c r="KE93" i="24"/>
  <c r="KB94" i="24"/>
  <c r="KC94" i="24"/>
  <c r="KD94" i="24"/>
  <c r="KE94" i="24"/>
  <c r="KB95" i="24"/>
  <c r="KC95" i="24"/>
  <c r="KD95" i="24"/>
  <c r="KE95" i="24"/>
  <c r="KB96" i="24"/>
  <c r="KC96" i="24"/>
  <c r="KD96" i="24"/>
  <c r="KE96" i="24"/>
  <c r="KB97" i="24"/>
  <c r="KC97" i="24"/>
  <c r="KD97" i="24"/>
  <c r="KE97" i="24"/>
  <c r="KB98" i="24"/>
  <c r="KC98" i="24"/>
  <c r="KD98" i="24"/>
  <c r="KE98" i="24"/>
  <c r="KB99" i="24"/>
  <c r="KC99" i="24"/>
  <c r="KD99" i="24"/>
  <c r="KE99" i="24"/>
  <c r="KB100" i="24"/>
  <c r="KC100" i="24"/>
  <c r="KD100" i="24"/>
  <c r="KE100" i="24"/>
  <c r="KB101" i="24"/>
  <c r="KC101" i="24"/>
  <c r="KD101" i="24"/>
  <c r="KE101" i="24"/>
  <c r="KB102" i="24"/>
  <c r="KC102" i="24"/>
  <c r="KD102" i="24"/>
  <c r="KE102" i="24"/>
  <c r="KB103" i="24"/>
  <c r="KC103" i="24"/>
  <c r="KD103" i="24"/>
  <c r="KE103" i="24"/>
  <c r="KB104" i="24"/>
  <c r="KC104" i="24"/>
  <c r="KD104" i="24"/>
  <c r="KE104" i="24"/>
  <c r="KB105" i="24"/>
  <c r="KC105" i="24"/>
  <c r="KD105" i="24"/>
  <c r="KE105" i="24"/>
  <c r="KB106" i="24"/>
  <c r="KC106" i="24"/>
  <c r="KD106" i="24"/>
  <c r="KE106" i="24"/>
  <c r="KB107" i="24"/>
  <c r="KC107" i="24"/>
  <c r="KD107" i="24"/>
  <c r="KE107" i="24"/>
  <c r="KB108" i="24"/>
  <c r="KC108" i="24"/>
  <c r="KD108" i="24"/>
  <c r="KE108" i="24"/>
  <c r="KB109" i="24"/>
  <c r="KC109" i="24"/>
  <c r="KD109" i="24"/>
  <c r="KE109" i="24"/>
  <c r="KB110" i="24"/>
  <c r="KC110" i="24"/>
  <c r="KD110" i="24"/>
  <c r="KE110" i="24"/>
  <c r="KB111" i="24"/>
  <c r="KC111" i="24"/>
  <c r="KD111" i="24"/>
  <c r="KE111" i="24"/>
  <c r="KB112" i="24"/>
  <c r="KC112" i="24"/>
  <c r="KD112" i="24"/>
  <c r="KE112" i="24"/>
  <c r="KB113" i="24"/>
  <c r="KC113" i="24"/>
  <c r="KD113" i="24"/>
  <c r="KE113" i="24"/>
  <c r="KB114" i="24"/>
  <c r="KC114" i="24"/>
  <c r="KD114" i="24"/>
  <c r="KE114" i="24"/>
  <c r="KB115" i="24"/>
  <c r="KC115" i="24"/>
  <c r="KD115" i="24"/>
  <c r="KE115" i="24"/>
  <c r="KB116" i="24"/>
  <c r="KC116" i="24"/>
  <c r="KD116" i="24"/>
  <c r="KE116" i="24"/>
  <c r="KB117" i="24"/>
  <c r="KC117" i="24"/>
  <c r="KD117" i="24"/>
  <c r="KE117" i="24"/>
  <c r="KB118" i="24"/>
  <c r="KC118" i="24"/>
  <c r="KD118" i="24"/>
  <c r="KE118" i="24"/>
  <c r="KB119" i="24"/>
  <c r="KC119" i="24"/>
  <c r="KD119" i="24"/>
  <c r="KE119" i="24"/>
  <c r="KB120" i="24"/>
  <c r="KC120" i="24"/>
  <c r="KD120" i="24"/>
  <c r="KE120" i="24"/>
  <c r="KB121" i="24"/>
  <c r="KC121" i="24"/>
  <c r="KD121" i="24"/>
  <c r="KE121" i="24"/>
  <c r="KB122" i="24"/>
  <c r="KC122" i="24"/>
  <c r="KD122" i="24"/>
  <c r="KE122" i="24"/>
  <c r="KE92" i="24"/>
  <c r="KD92" i="24"/>
  <c r="KC92" i="24"/>
  <c r="KB92" i="24"/>
  <c r="IY93" i="24"/>
  <c r="IZ93" i="24"/>
  <c r="JA93" i="24"/>
  <c r="JB93" i="24"/>
  <c r="IY94" i="24"/>
  <c r="IZ94" i="24"/>
  <c r="JA94" i="24"/>
  <c r="JB94" i="24"/>
  <c r="IY95" i="24"/>
  <c r="IZ95" i="24"/>
  <c r="JA95" i="24"/>
  <c r="JB95" i="24"/>
  <c r="IY96" i="24"/>
  <c r="IZ96" i="24"/>
  <c r="JA96" i="24"/>
  <c r="JB96" i="24"/>
  <c r="IY97" i="24"/>
  <c r="IZ97" i="24"/>
  <c r="JA97" i="24"/>
  <c r="JB97" i="24"/>
  <c r="IY98" i="24"/>
  <c r="IZ98" i="24"/>
  <c r="JA98" i="24"/>
  <c r="JB98" i="24"/>
  <c r="IY99" i="24"/>
  <c r="IZ99" i="24"/>
  <c r="JA99" i="24"/>
  <c r="JB99" i="24"/>
  <c r="IY100" i="24"/>
  <c r="IZ100" i="24"/>
  <c r="JA100" i="24"/>
  <c r="JB100" i="24"/>
  <c r="IY101" i="24"/>
  <c r="IZ101" i="24"/>
  <c r="JA101" i="24"/>
  <c r="JB101" i="24"/>
  <c r="IY102" i="24"/>
  <c r="IZ102" i="24"/>
  <c r="JA102" i="24"/>
  <c r="JB102" i="24"/>
  <c r="IY103" i="24"/>
  <c r="IZ103" i="24"/>
  <c r="JA103" i="24"/>
  <c r="JB103" i="24"/>
  <c r="IY104" i="24"/>
  <c r="IZ104" i="24"/>
  <c r="JA104" i="24"/>
  <c r="JB104" i="24"/>
  <c r="IY105" i="24"/>
  <c r="IZ105" i="24"/>
  <c r="JA105" i="24"/>
  <c r="JB105" i="24"/>
  <c r="IY106" i="24"/>
  <c r="IZ106" i="24"/>
  <c r="JA106" i="24"/>
  <c r="JB106" i="24"/>
  <c r="IY107" i="24"/>
  <c r="IZ107" i="24"/>
  <c r="JA107" i="24"/>
  <c r="JB107" i="24"/>
  <c r="IY108" i="24"/>
  <c r="IZ108" i="24"/>
  <c r="JA108" i="24"/>
  <c r="JB108" i="24"/>
  <c r="IY109" i="24"/>
  <c r="IZ109" i="24"/>
  <c r="JA109" i="24"/>
  <c r="JB109" i="24"/>
  <c r="IY110" i="24"/>
  <c r="IZ110" i="24"/>
  <c r="JA110" i="24"/>
  <c r="JB110" i="24"/>
  <c r="IY111" i="24"/>
  <c r="IZ111" i="24"/>
  <c r="JA111" i="24"/>
  <c r="JB111" i="24"/>
  <c r="IY112" i="24"/>
  <c r="IZ112" i="24"/>
  <c r="JA112" i="24"/>
  <c r="JB112" i="24"/>
  <c r="IY113" i="24"/>
  <c r="IZ113" i="24"/>
  <c r="JA113" i="24"/>
  <c r="JB113" i="24"/>
  <c r="IY114" i="24"/>
  <c r="IZ114" i="24"/>
  <c r="JA114" i="24"/>
  <c r="JB114" i="24"/>
  <c r="IY115" i="24"/>
  <c r="IZ115" i="24"/>
  <c r="JA115" i="24"/>
  <c r="JB115" i="24"/>
  <c r="IY116" i="24"/>
  <c r="IZ116" i="24"/>
  <c r="JA116" i="24"/>
  <c r="JB116" i="24"/>
  <c r="IY117" i="24"/>
  <c r="IZ117" i="24"/>
  <c r="JA117" i="24"/>
  <c r="JB117" i="24"/>
  <c r="IY118" i="24"/>
  <c r="IZ118" i="24"/>
  <c r="JA118" i="24"/>
  <c r="JB118" i="24"/>
  <c r="IY119" i="24"/>
  <c r="IZ119" i="24"/>
  <c r="JA119" i="24"/>
  <c r="JB119" i="24"/>
  <c r="IY120" i="24"/>
  <c r="IZ120" i="24"/>
  <c r="JA120" i="24"/>
  <c r="JB120" i="24"/>
  <c r="IY121" i="24"/>
  <c r="IZ121" i="24"/>
  <c r="JA121" i="24"/>
  <c r="JB121" i="24"/>
  <c r="JB92" i="24"/>
  <c r="JA92" i="24"/>
  <c r="IZ92" i="24"/>
  <c r="IY92" i="24"/>
  <c r="HV93" i="24"/>
  <c r="HW93" i="24"/>
  <c r="HX93" i="24"/>
  <c r="HY93" i="24"/>
  <c r="HV94" i="24"/>
  <c r="HW94" i="24"/>
  <c r="HX94" i="24"/>
  <c r="HY94" i="24"/>
  <c r="HV95" i="24"/>
  <c r="HW95" i="24"/>
  <c r="HX95" i="24"/>
  <c r="HY95" i="24"/>
  <c r="HV96" i="24"/>
  <c r="HW96" i="24"/>
  <c r="HX96" i="24"/>
  <c r="HY96" i="24"/>
  <c r="HV97" i="24"/>
  <c r="HW97" i="24"/>
  <c r="HX97" i="24"/>
  <c r="HY97" i="24"/>
  <c r="HV98" i="24"/>
  <c r="HW98" i="24"/>
  <c r="HX98" i="24"/>
  <c r="HY98" i="24"/>
  <c r="HV99" i="24"/>
  <c r="HW99" i="24"/>
  <c r="HX99" i="24"/>
  <c r="HY99" i="24"/>
  <c r="HV100" i="24"/>
  <c r="HW100" i="24"/>
  <c r="HX100" i="24"/>
  <c r="HY100" i="24"/>
  <c r="HV101" i="24"/>
  <c r="HW101" i="24"/>
  <c r="HX101" i="24"/>
  <c r="HY101" i="24"/>
  <c r="HV102" i="24"/>
  <c r="HW102" i="24"/>
  <c r="HX102" i="24"/>
  <c r="HY102" i="24"/>
  <c r="HV103" i="24"/>
  <c r="HW103" i="24"/>
  <c r="HX103" i="24"/>
  <c r="HY103" i="24"/>
  <c r="HV104" i="24"/>
  <c r="HW104" i="24"/>
  <c r="HX104" i="24"/>
  <c r="HY104" i="24"/>
  <c r="HV105" i="24"/>
  <c r="HW105" i="24"/>
  <c r="HX105" i="24"/>
  <c r="HY105" i="24"/>
  <c r="HV106" i="24"/>
  <c r="HW106" i="24"/>
  <c r="HX106" i="24"/>
  <c r="HY106" i="24"/>
  <c r="HV107" i="24"/>
  <c r="HW107" i="24"/>
  <c r="HX107" i="24"/>
  <c r="HY107" i="24"/>
  <c r="HV108" i="24"/>
  <c r="HW108" i="24"/>
  <c r="HX108" i="24"/>
  <c r="HY108" i="24"/>
  <c r="HV109" i="24"/>
  <c r="HW109" i="24"/>
  <c r="HX109" i="24"/>
  <c r="HY109" i="24"/>
  <c r="HV110" i="24"/>
  <c r="HW110" i="24"/>
  <c r="HX110" i="24"/>
  <c r="HY110" i="24"/>
  <c r="HV111" i="24"/>
  <c r="HW111" i="24"/>
  <c r="HX111" i="24"/>
  <c r="HY111" i="24"/>
  <c r="HV112" i="24"/>
  <c r="HW112" i="24"/>
  <c r="HX112" i="24"/>
  <c r="HY112" i="24"/>
  <c r="HV113" i="24"/>
  <c r="HW113" i="24"/>
  <c r="HX113" i="24"/>
  <c r="HY113" i="24"/>
  <c r="HV114" i="24"/>
  <c r="HW114" i="24"/>
  <c r="HX114" i="24"/>
  <c r="HY114" i="24"/>
  <c r="HV115" i="24"/>
  <c r="HW115" i="24"/>
  <c r="HX115" i="24"/>
  <c r="HY115" i="24"/>
  <c r="HV116" i="24"/>
  <c r="HW116" i="24"/>
  <c r="HX116" i="24"/>
  <c r="HY116" i="24"/>
  <c r="HV117" i="24"/>
  <c r="HW117" i="24"/>
  <c r="HX117" i="24"/>
  <c r="HY117" i="24"/>
  <c r="HV118" i="24"/>
  <c r="HW118" i="24"/>
  <c r="HX118" i="24"/>
  <c r="HY118" i="24"/>
  <c r="HV119" i="24"/>
  <c r="HW119" i="24"/>
  <c r="HX119" i="24"/>
  <c r="HY119" i="24"/>
  <c r="HV120" i="24"/>
  <c r="HW120" i="24"/>
  <c r="HX120" i="24"/>
  <c r="HY120" i="24"/>
  <c r="HV121" i="24"/>
  <c r="HW121" i="24"/>
  <c r="HX121" i="24"/>
  <c r="HY121" i="24"/>
  <c r="HV122" i="24"/>
  <c r="HW122" i="24"/>
  <c r="HX122" i="24"/>
  <c r="HY122" i="24"/>
  <c r="HY92" i="24"/>
  <c r="HX92" i="24"/>
  <c r="HW92" i="24"/>
  <c r="HV92" i="24"/>
  <c r="GS93" i="24"/>
  <c r="GT93" i="24"/>
  <c r="GU93" i="24"/>
  <c r="GV93" i="24"/>
  <c r="GS94" i="24"/>
  <c r="GT94" i="24"/>
  <c r="GU94" i="24"/>
  <c r="GV94" i="24"/>
  <c r="GS95" i="24"/>
  <c r="GT95" i="24"/>
  <c r="GU95" i="24"/>
  <c r="GV95" i="24"/>
  <c r="GS96" i="24"/>
  <c r="GT96" i="24"/>
  <c r="GU96" i="24"/>
  <c r="GV96" i="24"/>
  <c r="GS97" i="24"/>
  <c r="GT97" i="24"/>
  <c r="GU97" i="24"/>
  <c r="GV97" i="24"/>
  <c r="GS98" i="24"/>
  <c r="GT98" i="24"/>
  <c r="GU98" i="24"/>
  <c r="GV98" i="24"/>
  <c r="GS99" i="24"/>
  <c r="GT99" i="24"/>
  <c r="GU99" i="24"/>
  <c r="GV99" i="24"/>
  <c r="GS100" i="24"/>
  <c r="GT100" i="24"/>
  <c r="GU100" i="24"/>
  <c r="GV100" i="24"/>
  <c r="GS101" i="24"/>
  <c r="GT101" i="24"/>
  <c r="GU101" i="24"/>
  <c r="GV101" i="24"/>
  <c r="GS102" i="24"/>
  <c r="GT102" i="24"/>
  <c r="GU102" i="24"/>
  <c r="GV102" i="24"/>
  <c r="GS103" i="24"/>
  <c r="GT103" i="24"/>
  <c r="GU103" i="24"/>
  <c r="GV103" i="24"/>
  <c r="GS104" i="24"/>
  <c r="GT104" i="24"/>
  <c r="GU104" i="24"/>
  <c r="GV104" i="24"/>
  <c r="GS105" i="24"/>
  <c r="GT105" i="24"/>
  <c r="GU105" i="24"/>
  <c r="GV105" i="24"/>
  <c r="GS106" i="24"/>
  <c r="GT106" i="24"/>
  <c r="GU106" i="24"/>
  <c r="GV106" i="24"/>
  <c r="GS107" i="24"/>
  <c r="GT107" i="24"/>
  <c r="GU107" i="24"/>
  <c r="GV107" i="24"/>
  <c r="GS108" i="24"/>
  <c r="GT108" i="24"/>
  <c r="GU108" i="24"/>
  <c r="GV108" i="24"/>
  <c r="GS109" i="24"/>
  <c r="GT109" i="24"/>
  <c r="GU109" i="24"/>
  <c r="GV109" i="24"/>
  <c r="GS110" i="24"/>
  <c r="GT110" i="24"/>
  <c r="GU110" i="24"/>
  <c r="GV110" i="24"/>
  <c r="GS111" i="24"/>
  <c r="GT111" i="24"/>
  <c r="GU111" i="24"/>
  <c r="GV111" i="24"/>
  <c r="GS112" i="24"/>
  <c r="GT112" i="24"/>
  <c r="GU112" i="24"/>
  <c r="GV112" i="24"/>
  <c r="GS113" i="24"/>
  <c r="GT113" i="24"/>
  <c r="GU113" i="24"/>
  <c r="GV113" i="24"/>
  <c r="GS114" i="24"/>
  <c r="GT114" i="24"/>
  <c r="GU114" i="24"/>
  <c r="GV114" i="24"/>
  <c r="GS115" i="24"/>
  <c r="GT115" i="24"/>
  <c r="GU115" i="24"/>
  <c r="GV115" i="24"/>
  <c r="GS116" i="24"/>
  <c r="GT116" i="24"/>
  <c r="GU116" i="24"/>
  <c r="GV116" i="24"/>
  <c r="GS117" i="24"/>
  <c r="GT117" i="24"/>
  <c r="GU117" i="24"/>
  <c r="GV117" i="24"/>
  <c r="GS118" i="24"/>
  <c r="GT118" i="24"/>
  <c r="GU118" i="24"/>
  <c r="GV118" i="24"/>
  <c r="GS119" i="24"/>
  <c r="GT119" i="24"/>
  <c r="GU119" i="24"/>
  <c r="GV119" i="24"/>
  <c r="GS120" i="24"/>
  <c r="GT120" i="24"/>
  <c r="GU120" i="24"/>
  <c r="GV120" i="24"/>
  <c r="GS121" i="24"/>
  <c r="GT121" i="24"/>
  <c r="GU121" i="24"/>
  <c r="GV121" i="24"/>
  <c r="GV92" i="24"/>
  <c r="GU92" i="24"/>
  <c r="GT92" i="24"/>
  <c r="GS92" i="24"/>
  <c r="FP93" i="24"/>
  <c r="FQ93" i="24"/>
  <c r="FR93" i="24"/>
  <c r="FS93" i="24"/>
  <c r="FP94" i="24"/>
  <c r="FQ94" i="24"/>
  <c r="FR94" i="24"/>
  <c r="FS94" i="24"/>
  <c r="FP95" i="24"/>
  <c r="FQ95" i="24"/>
  <c r="FR95" i="24"/>
  <c r="FS95" i="24"/>
  <c r="FP96" i="24"/>
  <c r="FQ96" i="24"/>
  <c r="FR96" i="24"/>
  <c r="FS96" i="24"/>
  <c r="FP97" i="24"/>
  <c r="FQ97" i="24"/>
  <c r="FR97" i="24"/>
  <c r="FS97" i="24"/>
  <c r="FP98" i="24"/>
  <c r="FQ98" i="24"/>
  <c r="FR98" i="24"/>
  <c r="FS98" i="24"/>
  <c r="FP99" i="24"/>
  <c r="FQ99" i="24"/>
  <c r="FR99" i="24"/>
  <c r="FS99" i="24"/>
  <c r="FP100" i="24"/>
  <c r="FQ100" i="24"/>
  <c r="FR100" i="24"/>
  <c r="FS100" i="24"/>
  <c r="FP101" i="24"/>
  <c r="FQ101" i="24"/>
  <c r="FR101" i="24"/>
  <c r="FS101" i="24"/>
  <c r="FP102" i="24"/>
  <c r="FQ102" i="24"/>
  <c r="FR102" i="24"/>
  <c r="FS102" i="24"/>
  <c r="FP103" i="24"/>
  <c r="FQ103" i="24"/>
  <c r="FR103" i="24"/>
  <c r="FS103" i="24"/>
  <c r="FP104" i="24"/>
  <c r="FQ104" i="24"/>
  <c r="FR104" i="24"/>
  <c r="FS104" i="24"/>
  <c r="FP105" i="24"/>
  <c r="FQ105" i="24"/>
  <c r="FR105" i="24"/>
  <c r="FS105" i="24"/>
  <c r="FP106" i="24"/>
  <c r="FQ106" i="24"/>
  <c r="FR106" i="24"/>
  <c r="FS106" i="24"/>
  <c r="FP107" i="24"/>
  <c r="FQ107" i="24"/>
  <c r="FR107" i="24"/>
  <c r="FS107" i="24"/>
  <c r="FP108" i="24"/>
  <c r="FQ108" i="24"/>
  <c r="FR108" i="24"/>
  <c r="FS108" i="24"/>
  <c r="FP109" i="24"/>
  <c r="FQ109" i="24"/>
  <c r="FR109" i="24"/>
  <c r="FS109" i="24"/>
  <c r="FP110" i="24"/>
  <c r="FQ110" i="24"/>
  <c r="FR110" i="24"/>
  <c r="FS110" i="24"/>
  <c r="FP111" i="24"/>
  <c r="FQ111" i="24"/>
  <c r="FR111" i="24"/>
  <c r="FS111" i="24"/>
  <c r="FP112" i="24"/>
  <c r="FQ112" i="24"/>
  <c r="FR112" i="24"/>
  <c r="FS112" i="24"/>
  <c r="FP113" i="24"/>
  <c r="FQ113" i="24"/>
  <c r="FR113" i="24"/>
  <c r="FS113" i="24"/>
  <c r="FP114" i="24"/>
  <c r="FQ114" i="24"/>
  <c r="FR114" i="24"/>
  <c r="FS114" i="24"/>
  <c r="FP115" i="24"/>
  <c r="FQ115" i="24"/>
  <c r="FR115" i="24"/>
  <c r="FS115" i="24"/>
  <c r="FP116" i="24"/>
  <c r="FQ116" i="24"/>
  <c r="FR116" i="24"/>
  <c r="FS116" i="24"/>
  <c r="FP117" i="24"/>
  <c r="FQ117" i="24"/>
  <c r="FR117" i="24"/>
  <c r="FS117" i="24"/>
  <c r="FP118" i="24"/>
  <c r="FQ118" i="24"/>
  <c r="FR118" i="24"/>
  <c r="FS118" i="24"/>
  <c r="FP119" i="24"/>
  <c r="FQ119" i="24"/>
  <c r="FR119" i="24"/>
  <c r="FS119" i="24"/>
  <c r="FP120" i="24"/>
  <c r="FQ120" i="24"/>
  <c r="FR120" i="24"/>
  <c r="FS120" i="24"/>
  <c r="FP121" i="24"/>
  <c r="FQ121" i="24"/>
  <c r="FR121" i="24"/>
  <c r="FS121" i="24"/>
  <c r="FP122" i="24"/>
  <c r="FQ122" i="24"/>
  <c r="FR122" i="24"/>
  <c r="FS122" i="24"/>
  <c r="FS92" i="24"/>
  <c r="FR92" i="24"/>
  <c r="FQ92" i="24"/>
  <c r="FP92" i="24"/>
  <c r="EM93" i="24"/>
  <c r="EN93" i="24"/>
  <c r="EO93" i="24"/>
  <c r="EP93" i="24"/>
  <c r="EM94" i="24"/>
  <c r="EN94" i="24"/>
  <c r="EO94" i="24"/>
  <c r="EP94" i="24"/>
  <c r="EM95" i="24"/>
  <c r="EN95" i="24"/>
  <c r="EO95" i="24"/>
  <c r="EP95" i="24"/>
  <c r="EM96" i="24"/>
  <c r="EN96" i="24"/>
  <c r="EO96" i="24"/>
  <c r="EP96" i="24"/>
  <c r="EM97" i="24"/>
  <c r="EN97" i="24"/>
  <c r="EO97" i="24"/>
  <c r="EP97" i="24"/>
  <c r="EM98" i="24"/>
  <c r="EN98" i="24"/>
  <c r="EO98" i="24"/>
  <c r="EP98" i="24"/>
  <c r="EM99" i="24"/>
  <c r="EN99" i="24"/>
  <c r="EO99" i="24"/>
  <c r="EP99" i="24"/>
  <c r="EM100" i="24"/>
  <c r="EN100" i="24"/>
  <c r="EO100" i="24"/>
  <c r="EP100" i="24"/>
  <c r="EM101" i="24"/>
  <c r="EN101" i="24"/>
  <c r="EO101" i="24"/>
  <c r="EP101" i="24"/>
  <c r="EM102" i="24"/>
  <c r="EN102" i="24"/>
  <c r="EO102" i="24"/>
  <c r="EP102" i="24"/>
  <c r="EM103" i="24"/>
  <c r="EN103" i="24"/>
  <c r="EO103" i="24"/>
  <c r="EP103" i="24"/>
  <c r="EM104" i="24"/>
  <c r="EN104" i="24"/>
  <c r="EO104" i="24"/>
  <c r="EP104" i="24"/>
  <c r="EM105" i="24"/>
  <c r="EN105" i="24"/>
  <c r="EO105" i="24"/>
  <c r="EP105" i="24"/>
  <c r="EM106" i="24"/>
  <c r="EN106" i="24"/>
  <c r="EO106" i="24"/>
  <c r="EP106" i="24"/>
  <c r="EM107" i="24"/>
  <c r="EN107" i="24"/>
  <c r="EO107" i="24"/>
  <c r="EP107" i="24"/>
  <c r="EM108" i="24"/>
  <c r="EN108" i="24"/>
  <c r="EO108" i="24"/>
  <c r="EP108" i="24"/>
  <c r="EM109" i="24"/>
  <c r="EN109" i="24"/>
  <c r="EO109" i="24"/>
  <c r="EP109" i="24"/>
  <c r="EM110" i="24"/>
  <c r="EN110" i="24"/>
  <c r="EO110" i="24"/>
  <c r="EP110" i="24"/>
  <c r="EM111" i="24"/>
  <c r="EN111" i="24"/>
  <c r="EO111" i="24"/>
  <c r="EP111" i="24"/>
  <c r="EM112" i="24"/>
  <c r="EN112" i="24"/>
  <c r="EO112" i="24"/>
  <c r="EP112" i="24"/>
  <c r="EM113" i="24"/>
  <c r="EN113" i="24"/>
  <c r="EO113" i="24"/>
  <c r="EP113" i="24"/>
  <c r="EM114" i="24"/>
  <c r="EN114" i="24"/>
  <c r="EO114" i="24"/>
  <c r="EP114" i="24"/>
  <c r="EM115" i="24"/>
  <c r="EN115" i="24"/>
  <c r="EO115" i="24"/>
  <c r="EP115" i="24"/>
  <c r="EM116" i="24"/>
  <c r="EN116" i="24"/>
  <c r="EO116" i="24"/>
  <c r="EP116" i="24"/>
  <c r="EM117" i="24"/>
  <c r="EN117" i="24"/>
  <c r="EO117" i="24"/>
  <c r="EP117" i="24"/>
  <c r="EM118" i="24"/>
  <c r="EN118" i="24"/>
  <c r="EO118" i="24"/>
  <c r="EP118" i="24"/>
  <c r="EM119" i="24"/>
  <c r="EN119" i="24"/>
  <c r="EO119" i="24"/>
  <c r="EP119" i="24"/>
  <c r="EM120" i="24"/>
  <c r="EN120" i="24"/>
  <c r="EO120" i="24"/>
  <c r="EP120" i="24"/>
  <c r="EM121" i="24"/>
  <c r="EN121" i="24"/>
  <c r="EO121" i="24"/>
  <c r="EP121" i="24"/>
  <c r="EM122" i="24"/>
  <c r="EN122" i="24"/>
  <c r="EO122" i="24"/>
  <c r="EP122" i="24"/>
  <c r="EP92" i="24"/>
  <c r="EO92" i="24"/>
  <c r="EN92" i="24"/>
  <c r="EM92" i="24"/>
  <c r="DJ93" i="24"/>
  <c r="DK93" i="24"/>
  <c r="DL93" i="24"/>
  <c r="DM93" i="24"/>
  <c r="DJ94" i="24"/>
  <c r="DK94" i="24"/>
  <c r="DL94" i="24"/>
  <c r="DM94" i="24"/>
  <c r="DJ95" i="24"/>
  <c r="DK95" i="24"/>
  <c r="DL95" i="24"/>
  <c r="DM95" i="24"/>
  <c r="DJ96" i="24"/>
  <c r="DK96" i="24"/>
  <c r="DL96" i="24"/>
  <c r="DM96" i="24"/>
  <c r="DJ97" i="24"/>
  <c r="DK97" i="24"/>
  <c r="DL97" i="24"/>
  <c r="DM97" i="24"/>
  <c r="DJ98" i="24"/>
  <c r="DK98" i="24"/>
  <c r="DL98" i="24"/>
  <c r="DM98" i="24"/>
  <c r="DJ99" i="24"/>
  <c r="DK99" i="24"/>
  <c r="DL99" i="24"/>
  <c r="DM99" i="24"/>
  <c r="DJ100" i="24"/>
  <c r="DK100" i="24"/>
  <c r="DL100" i="24"/>
  <c r="DM100" i="24"/>
  <c r="DJ101" i="24"/>
  <c r="DK101" i="24"/>
  <c r="DL101" i="24"/>
  <c r="DM101" i="24"/>
  <c r="DJ102" i="24"/>
  <c r="DK102" i="24"/>
  <c r="DL102" i="24"/>
  <c r="DM102" i="24"/>
  <c r="DJ103" i="24"/>
  <c r="DK103" i="24"/>
  <c r="DL103" i="24"/>
  <c r="DM103" i="24"/>
  <c r="DJ104" i="24"/>
  <c r="DK104" i="24"/>
  <c r="DL104" i="24"/>
  <c r="DM104" i="24"/>
  <c r="DJ105" i="24"/>
  <c r="DK105" i="24"/>
  <c r="DL105" i="24"/>
  <c r="DM105" i="24"/>
  <c r="DJ106" i="24"/>
  <c r="DK106" i="24"/>
  <c r="DL106" i="24"/>
  <c r="DM106" i="24"/>
  <c r="DJ107" i="24"/>
  <c r="DK107" i="24"/>
  <c r="DL107" i="24"/>
  <c r="DM107" i="24"/>
  <c r="DJ108" i="24"/>
  <c r="DK108" i="24"/>
  <c r="DL108" i="24"/>
  <c r="DM108" i="24"/>
  <c r="DJ109" i="24"/>
  <c r="DK109" i="24"/>
  <c r="DL109" i="24"/>
  <c r="DM109" i="24"/>
  <c r="DJ110" i="24"/>
  <c r="DK110" i="24"/>
  <c r="DL110" i="24"/>
  <c r="DM110" i="24"/>
  <c r="DJ111" i="24"/>
  <c r="DK111" i="24"/>
  <c r="DL111" i="24"/>
  <c r="DM111" i="24"/>
  <c r="DJ112" i="24"/>
  <c r="DK112" i="24"/>
  <c r="DL112" i="24"/>
  <c r="DM112" i="24"/>
  <c r="DJ113" i="24"/>
  <c r="DK113" i="24"/>
  <c r="DL113" i="24"/>
  <c r="DM113" i="24"/>
  <c r="DJ114" i="24"/>
  <c r="DK114" i="24"/>
  <c r="DL114" i="24"/>
  <c r="DM114" i="24"/>
  <c r="DJ115" i="24"/>
  <c r="DK115" i="24"/>
  <c r="DL115" i="24"/>
  <c r="DM115" i="24"/>
  <c r="DJ116" i="24"/>
  <c r="DK116" i="24"/>
  <c r="DL116" i="24"/>
  <c r="DM116" i="24"/>
  <c r="DJ117" i="24"/>
  <c r="DK117" i="24"/>
  <c r="DL117" i="24"/>
  <c r="DM117" i="24"/>
  <c r="DJ118" i="24"/>
  <c r="DK118" i="24"/>
  <c r="DL118" i="24"/>
  <c r="DM118" i="24"/>
  <c r="DJ119" i="24"/>
  <c r="DK119" i="24"/>
  <c r="DL119" i="24"/>
  <c r="DM119" i="24"/>
  <c r="DJ120" i="24"/>
  <c r="DK120" i="24"/>
  <c r="DL120" i="24"/>
  <c r="DM120" i="24"/>
  <c r="DJ121" i="24"/>
  <c r="DK121" i="24"/>
  <c r="DL121" i="24"/>
  <c r="DM121" i="24"/>
  <c r="DM92" i="24"/>
  <c r="DL92" i="24"/>
  <c r="DK92" i="24"/>
  <c r="DJ92" i="24"/>
  <c r="CG93" i="24"/>
  <c r="CH93" i="24"/>
  <c r="CI93" i="24"/>
  <c r="CJ93" i="24"/>
  <c r="CG94" i="24"/>
  <c r="CH94" i="24"/>
  <c r="CI94" i="24"/>
  <c r="CJ94" i="24"/>
  <c r="CG95" i="24"/>
  <c r="CH95" i="24"/>
  <c r="CI95" i="24"/>
  <c r="CJ95" i="24"/>
  <c r="CG96" i="24"/>
  <c r="CH96" i="24"/>
  <c r="CI96" i="24"/>
  <c r="CJ96" i="24"/>
  <c r="CG97" i="24"/>
  <c r="CH97" i="24"/>
  <c r="CI97" i="24"/>
  <c r="CJ97" i="24"/>
  <c r="CG98" i="24"/>
  <c r="CH98" i="24"/>
  <c r="CI98" i="24"/>
  <c r="CJ98" i="24"/>
  <c r="CG99" i="24"/>
  <c r="CH99" i="24"/>
  <c r="CI99" i="24"/>
  <c r="CJ99" i="24"/>
  <c r="CG100" i="24"/>
  <c r="CH100" i="24"/>
  <c r="CI100" i="24"/>
  <c r="CJ100" i="24"/>
  <c r="CG101" i="24"/>
  <c r="CH101" i="24"/>
  <c r="CI101" i="24"/>
  <c r="CJ101" i="24"/>
  <c r="CG102" i="24"/>
  <c r="CH102" i="24"/>
  <c r="CI102" i="24"/>
  <c r="CJ102" i="24"/>
  <c r="CG103" i="24"/>
  <c r="CH103" i="24"/>
  <c r="CI103" i="24"/>
  <c r="CJ103" i="24"/>
  <c r="CG104" i="24"/>
  <c r="CH104" i="24"/>
  <c r="CI104" i="24"/>
  <c r="CJ104" i="24"/>
  <c r="CG105" i="24"/>
  <c r="CH105" i="24"/>
  <c r="CI105" i="24"/>
  <c r="CJ105" i="24"/>
  <c r="CG106" i="24"/>
  <c r="CH106" i="24"/>
  <c r="CI106" i="24"/>
  <c r="CJ106" i="24"/>
  <c r="CG107" i="24"/>
  <c r="CH107" i="24"/>
  <c r="CI107" i="24"/>
  <c r="CJ107" i="24"/>
  <c r="CG108" i="24"/>
  <c r="CH108" i="24"/>
  <c r="CI108" i="24"/>
  <c r="CJ108" i="24"/>
  <c r="CG109" i="24"/>
  <c r="CH109" i="24"/>
  <c r="CI109" i="24"/>
  <c r="CJ109" i="24"/>
  <c r="CG110" i="24"/>
  <c r="CH110" i="24"/>
  <c r="CI110" i="24"/>
  <c r="CJ110" i="24"/>
  <c r="CG111" i="24"/>
  <c r="CH111" i="24"/>
  <c r="CI111" i="24"/>
  <c r="CJ111" i="24"/>
  <c r="CG112" i="24"/>
  <c r="CH112" i="24"/>
  <c r="CI112" i="24"/>
  <c r="CJ112" i="24"/>
  <c r="CG113" i="24"/>
  <c r="CH113" i="24"/>
  <c r="CI113" i="24"/>
  <c r="CJ113" i="24"/>
  <c r="CG114" i="24"/>
  <c r="CH114" i="24"/>
  <c r="CI114" i="24"/>
  <c r="CJ114" i="24"/>
  <c r="CG115" i="24"/>
  <c r="CH115" i="24"/>
  <c r="CI115" i="24"/>
  <c r="CJ115" i="24"/>
  <c r="CG116" i="24"/>
  <c r="CH116" i="24"/>
  <c r="CI116" i="24"/>
  <c r="CJ116" i="24"/>
  <c r="CG117" i="24"/>
  <c r="CH117" i="24"/>
  <c r="CI117" i="24"/>
  <c r="CJ117" i="24"/>
  <c r="CG118" i="24"/>
  <c r="CH118" i="24"/>
  <c r="CI118" i="24"/>
  <c r="CJ118" i="24"/>
  <c r="CG119" i="24"/>
  <c r="CH119" i="24"/>
  <c r="CI119" i="24"/>
  <c r="CJ119" i="24"/>
  <c r="CG120" i="24"/>
  <c r="CH120" i="24"/>
  <c r="CI120" i="24"/>
  <c r="CJ120" i="24"/>
  <c r="CG121" i="24"/>
  <c r="CH121" i="24"/>
  <c r="CI121" i="24"/>
  <c r="CJ121" i="24"/>
  <c r="CG122" i="24"/>
  <c r="CH122" i="24"/>
  <c r="CI122" i="24"/>
  <c r="CJ122" i="24"/>
  <c r="CJ92" i="24"/>
  <c r="CI92" i="24"/>
  <c r="CH92" i="24"/>
  <c r="CG92" i="24"/>
  <c r="CG123" i="24" l="1"/>
  <c r="CT130" i="24" s="1"/>
  <c r="L24" i="31" s="1"/>
  <c r="CG124" i="24"/>
  <c r="CX130" i="24" s="1"/>
  <c r="DJ123" i="24"/>
  <c r="CT131" i="24" s="1"/>
  <c r="EM123" i="24"/>
  <c r="CT132" i="24" s="1"/>
  <c r="L26" i="31" s="1"/>
  <c r="EM124" i="24"/>
  <c r="CX132" i="24" s="1"/>
  <c r="M26" i="31" s="1"/>
  <c r="FP123" i="24"/>
  <c r="CT133" i="24" s="1"/>
  <c r="L27" i="31" s="1"/>
  <c r="FP124" i="24"/>
  <c r="CX133" i="24" s="1"/>
  <c r="M27" i="31" s="1"/>
  <c r="GS123" i="24"/>
  <c r="CT134" i="24" s="1"/>
  <c r="L28" i="31" s="1"/>
  <c r="GS124" i="24"/>
  <c r="CX134" i="24" s="1"/>
  <c r="M28" i="31" s="1"/>
  <c r="HV123" i="24"/>
  <c r="CT135" i="24" s="1"/>
  <c r="L29" i="31" s="1"/>
  <c r="HV124" i="24"/>
  <c r="CX135" i="24" s="1"/>
  <c r="M29" i="31" s="1"/>
  <c r="IY123" i="24"/>
  <c r="CT136" i="24" s="1"/>
  <c r="L30" i="31" s="1"/>
  <c r="IY124" i="24"/>
  <c r="CX136" i="24" s="1"/>
  <c r="M30" i="31" s="1"/>
  <c r="KB123" i="24"/>
  <c r="CT137" i="24" s="1"/>
  <c r="L31" i="31" s="1"/>
  <c r="KB124" i="24"/>
  <c r="CX137" i="24" s="1"/>
  <c r="M31" i="31" s="1"/>
  <c r="LE123" i="24"/>
  <c r="CT138" i="24" s="1"/>
  <c r="L32" i="31" s="1"/>
  <c r="LE124" i="24"/>
  <c r="CX138" i="24" s="1"/>
  <c r="M32" i="31" s="1"/>
  <c r="MH123" i="24"/>
  <c r="CT139" i="24" s="1"/>
  <c r="L33" i="31" s="1"/>
  <c r="MH124" i="24"/>
  <c r="CX139" i="24" s="1"/>
  <c r="M33" i="31" s="1"/>
  <c r="NK123" i="24"/>
  <c r="CT140" i="24" s="1"/>
  <c r="L34" i="31" s="1"/>
  <c r="NK124" i="24"/>
  <c r="CX140" i="24" s="1"/>
  <c r="M34" i="31" s="1"/>
  <c r="DJ124" i="24"/>
  <c r="CX131" i="24" s="1"/>
  <c r="M25" i="31" s="1"/>
  <c r="L25" i="31"/>
  <c r="M24" i="31"/>
  <c r="O96" i="44"/>
  <c r="BD93" i="24"/>
  <c r="BE93" i="24"/>
  <c r="BF93" i="24"/>
  <c r="BG93" i="24"/>
  <c r="BD94" i="24"/>
  <c r="BE94" i="24"/>
  <c r="BF94" i="24"/>
  <c r="BG94" i="24"/>
  <c r="BD95" i="24"/>
  <c r="BE95" i="24"/>
  <c r="BF95" i="24"/>
  <c r="BG95" i="24"/>
  <c r="BD96" i="24"/>
  <c r="BE96" i="24"/>
  <c r="BF96" i="24"/>
  <c r="BG96" i="24"/>
  <c r="BD97" i="24"/>
  <c r="BE97" i="24"/>
  <c r="BF97" i="24"/>
  <c r="BG97" i="24"/>
  <c r="BD98" i="24"/>
  <c r="BE98" i="24"/>
  <c r="BF98" i="24"/>
  <c r="BG98" i="24"/>
  <c r="BD99" i="24"/>
  <c r="BE99" i="24"/>
  <c r="BF99" i="24"/>
  <c r="BG99" i="24"/>
  <c r="BD100" i="24"/>
  <c r="BE100" i="24"/>
  <c r="BF100" i="24"/>
  <c r="BG100" i="24"/>
  <c r="BD101" i="24"/>
  <c r="BE101" i="24"/>
  <c r="BF101" i="24"/>
  <c r="BG101" i="24"/>
  <c r="BD102" i="24"/>
  <c r="BE102" i="24"/>
  <c r="BF102" i="24"/>
  <c r="BG102" i="24"/>
  <c r="BD103" i="24"/>
  <c r="BE103" i="24"/>
  <c r="BF103" i="24"/>
  <c r="BG103" i="24"/>
  <c r="BD104" i="24"/>
  <c r="BE104" i="24"/>
  <c r="BF104" i="24"/>
  <c r="BG104" i="24"/>
  <c r="BD105" i="24"/>
  <c r="BE105" i="24"/>
  <c r="BF105" i="24"/>
  <c r="BG105" i="24"/>
  <c r="BD106" i="24"/>
  <c r="BE106" i="24"/>
  <c r="BF106" i="24"/>
  <c r="BG106" i="24"/>
  <c r="BD107" i="24"/>
  <c r="BE107" i="24"/>
  <c r="BF107" i="24"/>
  <c r="BG107" i="24"/>
  <c r="BD108" i="24"/>
  <c r="BE108" i="24"/>
  <c r="BF108" i="24"/>
  <c r="BG108" i="24"/>
  <c r="BD109" i="24"/>
  <c r="BE109" i="24"/>
  <c r="BF109" i="24"/>
  <c r="BG109" i="24"/>
  <c r="BD110" i="24"/>
  <c r="BE110" i="24"/>
  <c r="BF110" i="24"/>
  <c r="BG110" i="24"/>
  <c r="BD111" i="24"/>
  <c r="BE111" i="24"/>
  <c r="BF111" i="24"/>
  <c r="BG111" i="24"/>
  <c r="BD112" i="24"/>
  <c r="BE112" i="24"/>
  <c r="BF112" i="24"/>
  <c r="BG112" i="24"/>
  <c r="BD113" i="24"/>
  <c r="BE113" i="24"/>
  <c r="BF113" i="24"/>
  <c r="BG113" i="24"/>
  <c r="BD114" i="24"/>
  <c r="BE114" i="24"/>
  <c r="BF114" i="24"/>
  <c r="BG114" i="24"/>
  <c r="BD115" i="24"/>
  <c r="BE115" i="24"/>
  <c r="BF115" i="24"/>
  <c r="BG115" i="24"/>
  <c r="BD116" i="24"/>
  <c r="BE116" i="24"/>
  <c r="BF116" i="24"/>
  <c r="BG116" i="24"/>
  <c r="BD117" i="24"/>
  <c r="BE117" i="24"/>
  <c r="BF117" i="24"/>
  <c r="BG117" i="24"/>
  <c r="BD118" i="24"/>
  <c r="BE118" i="24"/>
  <c r="BF118" i="24"/>
  <c r="BG118" i="24"/>
  <c r="BD119" i="24"/>
  <c r="BE119" i="24"/>
  <c r="BF119" i="24"/>
  <c r="BG119" i="24"/>
  <c r="BD120" i="24"/>
  <c r="BE120" i="24"/>
  <c r="BF120" i="24"/>
  <c r="BG120" i="24"/>
  <c r="BD121" i="24"/>
  <c r="BE121" i="24"/>
  <c r="BF121" i="24"/>
  <c r="BG121" i="24"/>
  <c r="BG92" i="24"/>
  <c r="BF92" i="24"/>
  <c r="BE92" i="24"/>
  <c r="BD92" i="24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BF270" i="12"/>
  <c r="BG270" i="12"/>
  <c r="BH270" i="12"/>
  <c r="BI270" i="12"/>
  <c r="BJ270" i="12"/>
  <c r="BA8" i="30" s="1"/>
  <c r="BK270" i="12"/>
  <c r="BL270" i="12"/>
  <c r="BM270" i="12"/>
  <c r="BN270" i="12"/>
  <c r="BO270" i="12"/>
  <c r="BP270" i="12"/>
  <c r="BQ270" i="12"/>
  <c r="BF271" i="12"/>
  <c r="BG271" i="12"/>
  <c r="BH271" i="12"/>
  <c r="BI271" i="12"/>
  <c r="BJ271" i="12"/>
  <c r="BA9" i="30" s="1"/>
  <c r="BK271" i="12"/>
  <c r="BL271" i="12"/>
  <c r="BM271" i="12"/>
  <c r="BN271" i="12"/>
  <c r="BO271" i="12"/>
  <c r="BP271" i="12"/>
  <c r="BQ271" i="12"/>
  <c r="BF272" i="12"/>
  <c r="BG272" i="12"/>
  <c r="BH272" i="12"/>
  <c r="BI272" i="12"/>
  <c r="BJ272" i="12"/>
  <c r="BA10" i="30" s="1"/>
  <c r="BK272" i="12"/>
  <c r="BL272" i="12"/>
  <c r="BM272" i="12"/>
  <c r="BN272" i="12"/>
  <c r="BO272" i="12"/>
  <c r="BP272" i="12"/>
  <c r="BQ272" i="12"/>
  <c r="BF273" i="12"/>
  <c r="BG273" i="12"/>
  <c r="BH273" i="12"/>
  <c r="BI273" i="12"/>
  <c r="BJ273" i="12"/>
  <c r="BA11" i="30" s="1"/>
  <c r="BK273" i="12"/>
  <c r="BL273" i="12"/>
  <c r="BM273" i="12"/>
  <c r="BN273" i="12"/>
  <c r="BO273" i="12"/>
  <c r="BP273" i="12"/>
  <c r="BQ273" i="12"/>
  <c r="BF274" i="12"/>
  <c r="BG274" i="12"/>
  <c r="BH274" i="12"/>
  <c r="BI274" i="12"/>
  <c r="BJ274" i="12"/>
  <c r="BA12" i="30" s="1"/>
  <c r="BK274" i="12"/>
  <c r="BL274" i="12"/>
  <c r="BM274" i="12"/>
  <c r="BN274" i="12"/>
  <c r="BO274" i="12"/>
  <c r="BP274" i="12"/>
  <c r="BQ274" i="12"/>
  <c r="BF275" i="12"/>
  <c r="BG275" i="12"/>
  <c r="BH275" i="12"/>
  <c r="BI275" i="12"/>
  <c r="BJ275" i="12"/>
  <c r="BK275" i="12"/>
  <c r="BL275" i="12"/>
  <c r="BM275" i="12"/>
  <c r="BN275" i="12"/>
  <c r="BO275" i="12"/>
  <c r="BP275" i="12"/>
  <c r="BQ275" i="12"/>
  <c r="BF276" i="12"/>
  <c r="BG276" i="12"/>
  <c r="BH276" i="12"/>
  <c r="BI276" i="12"/>
  <c r="BJ276" i="12"/>
  <c r="BA14" i="30" s="1"/>
  <c r="BK276" i="12"/>
  <c r="BL276" i="12"/>
  <c r="BM276" i="12"/>
  <c r="BN276" i="12"/>
  <c r="BO276" i="12"/>
  <c r="BP276" i="12"/>
  <c r="BQ276" i="12"/>
  <c r="BF277" i="12"/>
  <c r="BG277" i="12"/>
  <c r="BH277" i="12"/>
  <c r="BI277" i="12"/>
  <c r="BJ277" i="12"/>
  <c r="BA15" i="30" s="1"/>
  <c r="BK277" i="12"/>
  <c r="BL277" i="12"/>
  <c r="BM277" i="12"/>
  <c r="BN277" i="12"/>
  <c r="BO277" i="12"/>
  <c r="BP277" i="12"/>
  <c r="BQ277" i="12"/>
  <c r="BF278" i="12"/>
  <c r="BG278" i="12"/>
  <c r="BH278" i="12"/>
  <c r="BI278" i="12"/>
  <c r="BJ278" i="12"/>
  <c r="BK278" i="12"/>
  <c r="BL278" i="12"/>
  <c r="BM278" i="12"/>
  <c r="BN278" i="12"/>
  <c r="BO278" i="12"/>
  <c r="BP278" i="12"/>
  <c r="BQ278" i="12"/>
  <c r="BF279" i="12"/>
  <c r="BG279" i="12"/>
  <c r="BH279" i="12"/>
  <c r="BI279" i="12"/>
  <c r="BJ279" i="12"/>
  <c r="BK279" i="12"/>
  <c r="BL279" i="12"/>
  <c r="BM279" i="12"/>
  <c r="BN279" i="12"/>
  <c r="BO279" i="12"/>
  <c r="BP279" i="12"/>
  <c r="BQ279" i="12"/>
  <c r="BF280" i="12"/>
  <c r="BG280" i="12"/>
  <c r="BH280" i="12"/>
  <c r="BI280" i="12"/>
  <c r="BJ280" i="12"/>
  <c r="BK280" i="12"/>
  <c r="BL280" i="12"/>
  <c r="BM280" i="12"/>
  <c r="BN280" i="12"/>
  <c r="BO280" i="12"/>
  <c r="BP280" i="12"/>
  <c r="BQ280" i="12"/>
  <c r="BF281" i="12"/>
  <c r="BG281" i="12"/>
  <c r="BH281" i="12"/>
  <c r="BI281" i="12"/>
  <c r="BJ281" i="12"/>
  <c r="BA19" i="30" s="1"/>
  <c r="BK281" i="12"/>
  <c r="BL281" i="12"/>
  <c r="BM281" i="12"/>
  <c r="BN281" i="12"/>
  <c r="BO281" i="12"/>
  <c r="BP281" i="12"/>
  <c r="BQ281" i="12"/>
  <c r="BF282" i="12"/>
  <c r="BG282" i="12"/>
  <c r="BH282" i="12"/>
  <c r="BI282" i="12"/>
  <c r="BJ282" i="12"/>
  <c r="BA20" i="30" s="1"/>
  <c r="BK282" i="12"/>
  <c r="BL282" i="12"/>
  <c r="BM282" i="12"/>
  <c r="BN282" i="12"/>
  <c r="BO282" i="12"/>
  <c r="BP282" i="12"/>
  <c r="BQ282" i="12"/>
  <c r="BF283" i="12"/>
  <c r="BG283" i="12"/>
  <c r="BH283" i="12"/>
  <c r="BI283" i="12"/>
  <c r="BJ283" i="12"/>
  <c r="BA21" i="30" s="1"/>
  <c r="BK283" i="12"/>
  <c r="BL283" i="12"/>
  <c r="BM283" i="12"/>
  <c r="BN283" i="12"/>
  <c r="BO283" i="12"/>
  <c r="BP283" i="12"/>
  <c r="BQ283" i="12"/>
  <c r="BF284" i="12"/>
  <c r="BG284" i="12"/>
  <c r="BH284" i="12"/>
  <c r="BI284" i="12"/>
  <c r="BJ284" i="12"/>
  <c r="BA22" i="30" s="1"/>
  <c r="BK284" i="12"/>
  <c r="BL284" i="12"/>
  <c r="BM284" i="12"/>
  <c r="BN284" i="12"/>
  <c r="BO284" i="12"/>
  <c r="BP284" i="12"/>
  <c r="BQ284" i="12"/>
  <c r="BF285" i="12"/>
  <c r="BG285" i="12"/>
  <c r="BH285" i="12"/>
  <c r="BI285" i="12"/>
  <c r="BJ285" i="12"/>
  <c r="BA23" i="30" s="1"/>
  <c r="BK285" i="12"/>
  <c r="BL285" i="12"/>
  <c r="BM285" i="12"/>
  <c r="BN285" i="12"/>
  <c r="BO285" i="12"/>
  <c r="BP285" i="12"/>
  <c r="BQ285" i="12"/>
  <c r="BF286" i="12"/>
  <c r="BG286" i="12"/>
  <c r="BH286" i="12"/>
  <c r="BI286" i="12"/>
  <c r="BJ286" i="12"/>
  <c r="BA24" i="30" s="1"/>
  <c r="BK286" i="12"/>
  <c r="BL286" i="12"/>
  <c r="BM286" i="12"/>
  <c r="BN286" i="12"/>
  <c r="BO286" i="12"/>
  <c r="BP286" i="12"/>
  <c r="BQ286" i="12"/>
  <c r="BF287" i="12"/>
  <c r="BG287" i="12"/>
  <c r="BH287" i="12"/>
  <c r="BI287" i="12"/>
  <c r="BJ287" i="12"/>
  <c r="BA25" i="30" s="1"/>
  <c r="BK287" i="12"/>
  <c r="BL287" i="12"/>
  <c r="BM287" i="12"/>
  <c r="BN287" i="12"/>
  <c r="BO287" i="12"/>
  <c r="BP287" i="12"/>
  <c r="BQ287" i="12"/>
  <c r="BF288" i="12"/>
  <c r="BG288" i="12"/>
  <c r="BH288" i="12"/>
  <c r="BI288" i="12"/>
  <c r="BJ288" i="12"/>
  <c r="BA26" i="30" s="1"/>
  <c r="BK288" i="12"/>
  <c r="BL288" i="12"/>
  <c r="BM288" i="12"/>
  <c r="BN288" i="12"/>
  <c r="BO288" i="12"/>
  <c r="BP288" i="12"/>
  <c r="BQ288" i="12"/>
  <c r="BF289" i="12"/>
  <c r="BG289" i="12"/>
  <c r="BH289" i="12"/>
  <c r="BI289" i="12"/>
  <c r="BJ289" i="12"/>
  <c r="BA27" i="30" s="1"/>
  <c r="BK289" i="12"/>
  <c r="BL289" i="12"/>
  <c r="BM289" i="12"/>
  <c r="BN289" i="12"/>
  <c r="BO289" i="12"/>
  <c r="BP289" i="12"/>
  <c r="BQ289" i="12"/>
  <c r="BF290" i="12"/>
  <c r="BG290" i="12"/>
  <c r="BH290" i="12"/>
  <c r="BI290" i="12"/>
  <c r="BJ290" i="12"/>
  <c r="BA28" i="30" s="1"/>
  <c r="BK290" i="12"/>
  <c r="BL290" i="12"/>
  <c r="BM290" i="12"/>
  <c r="BN290" i="12"/>
  <c r="BO290" i="12"/>
  <c r="BP290" i="12"/>
  <c r="BQ290" i="12"/>
  <c r="BF291" i="12"/>
  <c r="BG291" i="12"/>
  <c r="BH291" i="12"/>
  <c r="BI291" i="12"/>
  <c r="BJ291" i="12"/>
  <c r="BA29" i="30" s="1"/>
  <c r="BK291" i="12"/>
  <c r="BL291" i="12"/>
  <c r="BM291" i="12"/>
  <c r="BN291" i="12"/>
  <c r="BO291" i="12"/>
  <c r="BP291" i="12"/>
  <c r="BQ291" i="12"/>
  <c r="BF292" i="12"/>
  <c r="BG292" i="12"/>
  <c r="BH292" i="12"/>
  <c r="BI292" i="12"/>
  <c r="BJ292" i="12"/>
  <c r="BA30" i="30" s="1"/>
  <c r="BK292" i="12"/>
  <c r="BL292" i="12"/>
  <c r="BM292" i="12"/>
  <c r="BN292" i="12"/>
  <c r="BO292" i="12"/>
  <c r="BP292" i="12"/>
  <c r="BQ292" i="12"/>
  <c r="BF293" i="12"/>
  <c r="BG293" i="12"/>
  <c r="BH293" i="12"/>
  <c r="BI293" i="12"/>
  <c r="BJ293" i="12"/>
  <c r="BA31" i="30" s="1"/>
  <c r="BK293" i="12"/>
  <c r="BL293" i="12"/>
  <c r="BM293" i="12"/>
  <c r="BN293" i="12"/>
  <c r="BO293" i="12"/>
  <c r="BP293" i="12"/>
  <c r="BQ293" i="12"/>
  <c r="BF294" i="12"/>
  <c r="BG294" i="12"/>
  <c r="BH294" i="12"/>
  <c r="BI294" i="12"/>
  <c r="BJ294" i="12"/>
  <c r="BA32" i="30" s="1"/>
  <c r="BK294" i="12"/>
  <c r="BL294" i="12"/>
  <c r="BM294" i="12"/>
  <c r="BN294" i="12"/>
  <c r="BO294" i="12"/>
  <c r="BP294" i="12"/>
  <c r="BQ294" i="12"/>
  <c r="BF295" i="12"/>
  <c r="BG295" i="12"/>
  <c r="BH295" i="12"/>
  <c r="BI295" i="12"/>
  <c r="BJ295" i="12"/>
  <c r="BA33" i="30" s="1"/>
  <c r="BK295" i="12"/>
  <c r="BL295" i="12"/>
  <c r="BM295" i="12"/>
  <c r="BN295" i="12"/>
  <c r="BO295" i="12"/>
  <c r="BP295" i="12"/>
  <c r="BQ295" i="12"/>
  <c r="BF296" i="12"/>
  <c r="BG296" i="12"/>
  <c r="BH296" i="12"/>
  <c r="BI296" i="12"/>
  <c r="BJ296" i="12"/>
  <c r="BA34" i="30" s="1"/>
  <c r="BK296" i="12"/>
  <c r="BL296" i="12"/>
  <c r="BM296" i="12"/>
  <c r="BN296" i="12"/>
  <c r="BO296" i="12"/>
  <c r="BP296" i="12"/>
  <c r="BQ296" i="12"/>
  <c r="BF297" i="12"/>
  <c r="BG297" i="12"/>
  <c r="BH297" i="12"/>
  <c r="BI297" i="12"/>
  <c r="BJ297" i="12"/>
  <c r="BA35" i="30" s="1"/>
  <c r="BK297" i="12"/>
  <c r="BL297" i="12"/>
  <c r="BM297" i="12"/>
  <c r="BN297" i="12"/>
  <c r="BO297" i="12"/>
  <c r="BP297" i="12"/>
  <c r="BQ297" i="12"/>
  <c r="BF298" i="12"/>
  <c r="BG298" i="12"/>
  <c r="BH298" i="12"/>
  <c r="BI298" i="12"/>
  <c r="BJ298" i="12"/>
  <c r="BA36" i="30" s="1"/>
  <c r="BK298" i="12"/>
  <c r="BL298" i="12"/>
  <c r="BM298" i="12"/>
  <c r="BN298" i="12"/>
  <c r="BO298" i="12"/>
  <c r="BP298" i="12"/>
  <c r="BQ298" i="12"/>
  <c r="BF299" i="12"/>
  <c r="BG299" i="12"/>
  <c r="BH299" i="12"/>
  <c r="BI299" i="12"/>
  <c r="BJ299" i="12"/>
  <c r="BK299" i="12"/>
  <c r="BL299" i="12"/>
  <c r="BM299" i="12"/>
  <c r="BN299" i="12"/>
  <c r="BO299" i="12"/>
  <c r="BQ299" i="12"/>
  <c r="BQ269" i="12"/>
  <c r="BP269" i="12"/>
  <c r="BO269" i="12"/>
  <c r="BN269" i="12"/>
  <c r="BM269" i="12"/>
  <c r="BL269" i="12"/>
  <c r="BK269" i="12"/>
  <c r="BJ269" i="12"/>
  <c r="BI269" i="12"/>
  <c r="BH269" i="12"/>
  <c r="BA51" i="30" s="1"/>
  <c r="BG269" i="12"/>
  <c r="BF269" i="12"/>
  <c r="BF233" i="12"/>
  <c r="BG233" i="12"/>
  <c r="BH233" i="12"/>
  <c r="BI233" i="12"/>
  <c r="BJ233" i="12"/>
  <c r="BE8" i="30" s="1"/>
  <c r="BK233" i="12"/>
  <c r="BL233" i="12"/>
  <c r="BM233" i="12"/>
  <c r="BN233" i="12"/>
  <c r="BO233" i="12"/>
  <c r="BP233" i="12"/>
  <c r="BQ233" i="12"/>
  <c r="BF234" i="12"/>
  <c r="BG234" i="12"/>
  <c r="BH234" i="12"/>
  <c r="BI234" i="12"/>
  <c r="BJ234" i="12"/>
  <c r="BE9" i="30" s="1"/>
  <c r="BK234" i="12"/>
  <c r="BL234" i="12"/>
  <c r="BM234" i="12"/>
  <c r="BN234" i="12"/>
  <c r="BO234" i="12"/>
  <c r="BP234" i="12"/>
  <c r="BQ234" i="12"/>
  <c r="BF235" i="12"/>
  <c r="BG235" i="12"/>
  <c r="BH235" i="12"/>
  <c r="BI235" i="12"/>
  <c r="BJ235" i="12"/>
  <c r="BE10" i="30" s="1"/>
  <c r="BK235" i="12"/>
  <c r="BL235" i="12"/>
  <c r="BM235" i="12"/>
  <c r="BN235" i="12"/>
  <c r="BO235" i="12"/>
  <c r="BP235" i="12"/>
  <c r="BQ235" i="12"/>
  <c r="BF236" i="12"/>
  <c r="BG236" i="12"/>
  <c r="BH236" i="12"/>
  <c r="BI236" i="12"/>
  <c r="BJ236" i="12"/>
  <c r="BE11" i="30" s="1"/>
  <c r="BK236" i="12"/>
  <c r="BL236" i="12"/>
  <c r="BM236" i="12"/>
  <c r="BN236" i="12"/>
  <c r="BO236" i="12"/>
  <c r="BP236" i="12"/>
  <c r="BQ236" i="12"/>
  <c r="BF237" i="12"/>
  <c r="BG237" i="12"/>
  <c r="BH237" i="12"/>
  <c r="BI237" i="12"/>
  <c r="BJ237" i="12"/>
  <c r="BE12" i="30" s="1"/>
  <c r="BK237" i="12"/>
  <c r="BL237" i="12"/>
  <c r="BM237" i="12"/>
  <c r="BN237" i="12"/>
  <c r="BO237" i="12"/>
  <c r="BP237" i="12"/>
  <c r="BQ237" i="12"/>
  <c r="BF238" i="12"/>
  <c r="BG238" i="12"/>
  <c r="BH238" i="12"/>
  <c r="BI238" i="12"/>
  <c r="BJ238" i="12"/>
  <c r="BE13" i="30" s="1"/>
  <c r="BK238" i="12"/>
  <c r="BL238" i="12"/>
  <c r="BM238" i="12"/>
  <c r="BN238" i="12"/>
  <c r="BO238" i="12"/>
  <c r="BP238" i="12"/>
  <c r="BQ238" i="12"/>
  <c r="BF239" i="12"/>
  <c r="BG239" i="12"/>
  <c r="BH239" i="12"/>
  <c r="BI239" i="12"/>
  <c r="BJ239" i="12"/>
  <c r="BE14" i="30" s="1"/>
  <c r="BK239" i="12"/>
  <c r="BL239" i="12"/>
  <c r="BM239" i="12"/>
  <c r="BN239" i="12"/>
  <c r="BO239" i="12"/>
  <c r="BP239" i="12"/>
  <c r="BQ239" i="12"/>
  <c r="BF240" i="12"/>
  <c r="BG240" i="12"/>
  <c r="BH240" i="12"/>
  <c r="BI240" i="12"/>
  <c r="BJ240" i="12"/>
  <c r="BE15" i="30" s="1"/>
  <c r="BK240" i="12"/>
  <c r="BL240" i="12"/>
  <c r="BM240" i="12"/>
  <c r="BN240" i="12"/>
  <c r="BO240" i="12"/>
  <c r="BP240" i="12"/>
  <c r="BQ240" i="12"/>
  <c r="BF241" i="12"/>
  <c r="BG241" i="12"/>
  <c r="BH241" i="12"/>
  <c r="BI241" i="12"/>
  <c r="BJ241" i="12"/>
  <c r="BE16" i="30" s="1"/>
  <c r="BK241" i="12"/>
  <c r="BL241" i="12"/>
  <c r="BM241" i="12"/>
  <c r="BN241" i="12"/>
  <c r="BO241" i="12"/>
  <c r="BP241" i="12"/>
  <c r="BQ241" i="12"/>
  <c r="BF242" i="12"/>
  <c r="BG242" i="12"/>
  <c r="BH242" i="12"/>
  <c r="BI242" i="12"/>
  <c r="BJ242" i="12"/>
  <c r="BE17" i="30" s="1"/>
  <c r="BK242" i="12"/>
  <c r="BL242" i="12"/>
  <c r="BM242" i="12"/>
  <c r="BN242" i="12"/>
  <c r="BO242" i="12"/>
  <c r="BP242" i="12"/>
  <c r="BQ242" i="12"/>
  <c r="BF243" i="12"/>
  <c r="BG243" i="12"/>
  <c r="BH243" i="12"/>
  <c r="BI243" i="12"/>
  <c r="BJ243" i="12"/>
  <c r="BE18" i="30" s="1"/>
  <c r="BK243" i="12"/>
  <c r="BL243" i="12"/>
  <c r="BM243" i="12"/>
  <c r="BN243" i="12"/>
  <c r="BO243" i="12"/>
  <c r="BP243" i="12"/>
  <c r="BQ243" i="12"/>
  <c r="BF244" i="12"/>
  <c r="BG244" i="12"/>
  <c r="BH244" i="12"/>
  <c r="BI244" i="12"/>
  <c r="BJ244" i="12"/>
  <c r="BE19" i="30" s="1"/>
  <c r="BK244" i="12"/>
  <c r="BL244" i="12"/>
  <c r="BM244" i="12"/>
  <c r="BN244" i="12"/>
  <c r="BO244" i="12"/>
  <c r="BP244" i="12"/>
  <c r="BQ244" i="12"/>
  <c r="BF245" i="12"/>
  <c r="BG245" i="12"/>
  <c r="BH245" i="12"/>
  <c r="BI245" i="12"/>
  <c r="BJ245" i="12"/>
  <c r="BE20" i="30" s="1"/>
  <c r="BK245" i="12"/>
  <c r="BL245" i="12"/>
  <c r="BM245" i="12"/>
  <c r="BN245" i="12"/>
  <c r="BO245" i="12"/>
  <c r="BP245" i="12"/>
  <c r="BQ245" i="12"/>
  <c r="BF246" i="12"/>
  <c r="BG246" i="12"/>
  <c r="BH246" i="12"/>
  <c r="BI246" i="12"/>
  <c r="BJ246" i="12"/>
  <c r="BE21" i="30" s="1"/>
  <c r="BK246" i="12"/>
  <c r="BL246" i="12"/>
  <c r="BM246" i="12"/>
  <c r="BN246" i="12"/>
  <c r="BO246" i="12"/>
  <c r="BP246" i="12"/>
  <c r="BQ246" i="12"/>
  <c r="BF247" i="12"/>
  <c r="BG247" i="12"/>
  <c r="BH247" i="12"/>
  <c r="BI247" i="12"/>
  <c r="BJ247" i="12"/>
  <c r="BE22" i="30" s="1"/>
  <c r="BK247" i="12"/>
  <c r="BL247" i="12"/>
  <c r="BM247" i="12"/>
  <c r="BN247" i="12"/>
  <c r="BO247" i="12"/>
  <c r="BP247" i="12"/>
  <c r="BQ247" i="12"/>
  <c r="BF248" i="12"/>
  <c r="BG248" i="12"/>
  <c r="BH248" i="12"/>
  <c r="BI248" i="12"/>
  <c r="BJ248" i="12"/>
  <c r="BE23" i="30" s="1"/>
  <c r="BK248" i="12"/>
  <c r="BL248" i="12"/>
  <c r="BM248" i="12"/>
  <c r="BN248" i="12"/>
  <c r="BO248" i="12"/>
  <c r="BP248" i="12"/>
  <c r="BQ248" i="12"/>
  <c r="BF249" i="12"/>
  <c r="BG249" i="12"/>
  <c r="BH249" i="12"/>
  <c r="BI249" i="12"/>
  <c r="BJ249" i="12"/>
  <c r="BE24" i="30" s="1"/>
  <c r="BK249" i="12"/>
  <c r="BL249" i="12"/>
  <c r="BM249" i="12"/>
  <c r="BN249" i="12"/>
  <c r="BO249" i="12"/>
  <c r="BP249" i="12"/>
  <c r="BQ249" i="12"/>
  <c r="BF250" i="12"/>
  <c r="BG250" i="12"/>
  <c r="BH250" i="12"/>
  <c r="BI250" i="12"/>
  <c r="BJ250" i="12"/>
  <c r="BE25" i="30" s="1"/>
  <c r="BK250" i="12"/>
  <c r="BL250" i="12"/>
  <c r="BM250" i="12"/>
  <c r="BN250" i="12"/>
  <c r="BO250" i="12"/>
  <c r="BP250" i="12"/>
  <c r="BQ250" i="12"/>
  <c r="BF251" i="12"/>
  <c r="BG251" i="12"/>
  <c r="BH251" i="12"/>
  <c r="BI251" i="12"/>
  <c r="BJ251" i="12"/>
  <c r="BE26" i="30" s="1"/>
  <c r="BK251" i="12"/>
  <c r="BL251" i="12"/>
  <c r="BM251" i="12"/>
  <c r="BN251" i="12"/>
  <c r="BO251" i="12"/>
  <c r="BP251" i="12"/>
  <c r="BQ251" i="12"/>
  <c r="BF252" i="12"/>
  <c r="BG252" i="12"/>
  <c r="BH252" i="12"/>
  <c r="BI252" i="12"/>
  <c r="BJ252" i="12"/>
  <c r="BE27" i="30" s="1"/>
  <c r="BK252" i="12"/>
  <c r="BL252" i="12"/>
  <c r="BM252" i="12"/>
  <c r="BN252" i="12"/>
  <c r="BO252" i="12"/>
  <c r="BP252" i="12"/>
  <c r="BQ252" i="12"/>
  <c r="BF253" i="12"/>
  <c r="BG253" i="12"/>
  <c r="BH253" i="12"/>
  <c r="BI253" i="12"/>
  <c r="BJ253" i="12"/>
  <c r="BE28" i="30" s="1"/>
  <c r="BK253" i="12"/>
  <c r="BL253" i="12"/>
  <c r="BM253" i="12"/>
  <c r="BN253" i="12"/>
  <c r="BO253" i="12"/>
  <c r="BP253" i="12"/>
  <c r="BQ253" i="12"/>
  <c r="BF254" i="12"/>
  <c r="BG254" i="12"/>
  <c r="BH254" i="12"/>
  <c r="BI254" i="12"/>
  <c r="BJ254" i="12"/>
  <c r="BE29" i="30" s="1"/>
  <c r="BK254" i="12"/>
  <c r="BL254" i="12"/>
  <c r="BM254" i="12"/>
  <c r="BN254" i="12"/>
  <c r="BO254" i="12"/>
  <c r="BP254" i="12"/>
  <c r="BQ254" i="12"/>
  <c r="BF255" i="12"/>
  <c r="BG255" i="12"/>
  <c r="BH255" i="12"/>
  <c r="BI255" i="12"/>
  <c r="BJ255" i="12"/>
  <c r="BE30" i="30" s="1"/>
  <c r="BK255" i="12"/>
  <c r="BL255" i="12"/>
  <c r="BM255" i="12"/>
  <c r="BN255" i="12"/>
  <c r="BO255" i="12"/>
  <c r="BP255" i="12"/>
  <c r="BQ255" i="12"/>
  <c r="BF256" i="12"/>
  <c r="BG256" i="12"/>
  <c r="BH256" i="12"/>
  <c r="BI256" i="12"/>
  <c r="BJ256" i="12"/>
  <c r="BE31" i="30" s="1"/>
  <c r="BK256" i="12"/>
  <c r="BL256" i="12"/>
  <c r="BM256" i="12"/>
  <c r="BN256" i="12"/>
  <c r="BO256" i="12"/>
  <c r="BP256" i="12"/>
  <c r="BQ256" i="12"/>
  <c r="BF257" i="12"/>
  <c r="BG257" i="12"/>
  <c r="BH257" i="12"/>
  <c r="BI257" i="12"/>
  <c r="BJ257" i="12"/>
  <c r="BE32" i="30" s="1"/>
  <c r="BK257" i="12"/>
  <c r="BL257" i="12"/>
  <c r="BM257" i="12"/>
  <c r="BN257" i="12"/>
  <c r="BO257" i="12"/>
  <c r="BP257" i="12"/>
  <c r="BQ257" i="12"/>
  <c r="BF258" i="12"/>
  <c r="BG258" i="12"/>
  <c r="BH258" i="12"/>
  <c r="BI258" i="12"/>
  <c r="BJ258" i="12"/>
  <c r="BE33" i="30" s="1"/>
  <c r="BK258" i="12"/>
  <c r="BL258" i="12"/>
  <c r="BM258" i="12"/>
  <c r="BN258" i="12"/>
  <c r="BO258" i="12"/>
  <c r="BP258" i="12"/>
  <c r="BQ258" i="12"/>
  <c r="BF259" i="12"/>
  <c r="BG259" i="12"/>
  <c r="BH259" i="12"/>
  <c r="BI259" i="12"/>
  <c r="BJ259" i="12"/>
  <c r="BE34" i="30" s="1"/>
  <c r="BK259" i="12"/>
  <c r="BL259" i="12"/>
  <c r="BM259" i="12"/>
  <c r="BN259" i="12"/>
  <c r="BO259" i="12"/>
  <c r="BP259" i="12"/>
  <c r="BQ259" i="12"/>
  <c r="BF260" i="12"/>
  <c r="BG260" i="12"/>
  <c r="BH260" i="12"/>
  <c r="BI260" i="12"/>
  <c r="BJ260" i="12"/>
  <c r="BE35" i="30" s="1"/>
  <c r="BK260" i="12"/>
  <c r="BL260" i="12"/>
  <c r="BM260" i="12"/>
  <c r="BN260" i="12"/>
  <c r="BO260" i="12"/>
  <c r="BP260" i="12"/>
  <c r="BQ260" i="12"/>
  <c r="BF261" i="12"/>
  <c r="BG261" i="12"/>
  <c r="BH261" i="12"/>
  <c r="BI261" i="12"/>
  <c r="BJ261" i="12"/>
  <c r="BE36" i="30" s="1"/>
  <c r="BK261" i="12"/>
  <c r="BL261" i="12"/>
  <c r="BM261" i="12"/>
  <c r="BN261" i="12"/>
  <c r="BO261" i="12"/>
  <c r="BQ261" i="12"/>
  <c r="BG262" i="12"/>
  <c r="BI262" i="12"/>
  <c r="BJ262" i="12"/>
  <c r="BE81" i="30" s="1"/>
  <c r="BL262" i="12"/>
  <c r="BN262" i="12"/>
  <c r="I37" i="30" s="1"/>
  <c r="Z37" i="30" s="1"/>
  <c r="BO262" i="12"/>
  <c r="BQ262" i="12"/>
  <c r="H43" i="28" s="1"/>
  <c r="AD43" i="28" s="1"/>
  <c r="BQ232" i="12"/>
  <c r="BP232" i="12"/>
  <c r="BO232" i="12"/>
  <c r="BN232" i="12"/>
  <c r="BM232" i="12"/>
  <c r="BL232" i="12"/>
  <c r="BK232" i="12"/>
  <c r="BJ232" i="12"/>
  <c r="BI232" i="12"/>
  <c r="BH232" i="12"/>
  <c r="BG232" i="12"/>
  <c r="BF232" i="12"/>
  <c r="I8" i="27" s="1"/>
  <c r="L8" i="27" s="1"/>
  <c r="BE51" i="30" l="1"/>
  <c r="E13" i="28"/>
  <c r="BJ81" i="30"/>
  <c r="BL81" i="30"/>
  <c r="BN81" i="30"/>
  <c r="BV81" i="30"/>
  <c r="BI81" i="30"/>
  <c r="BK81" i="30"/>
  <c r="BM81" i="30"/>
  <c r="BU81" i="30"/>
  <c r="BO81" i="30"/>
  <c r="BC81" i="30"/>
  <c r="BS81" i="30" s="1"/>
  <c r="BT81" i="30" s="1"/>
  <c r="BA81" i="30"/>
  <c r="BA80" i="30"/>
  <c r="BA79" i="30"/>
  <c r="BA78" i="30"/>
  <c r="BA77" i="30"/>
  <c r="BA76" i="30"/>
  <c r="BA75" i="30"/>
  <c r="BA74" i="30"/>
  <c r="BA73" i="30"/>
  <c r="BA72" i="30"/>
  <c r="BA71" i="30"/>
  <c r="BA70" i="30"/>
  <c r="BA69" i="30"/>
  <c r="BA68" i="30"/>
  <c r="BG68" i="30" s="1"/>
  <c r="BA67" i="30"/>
  <c r="BA66" i="30"/>
  <c r="BF66" i="30" s="1"/>
  <c r="BA65" i="30"/>
  <c r="BA64" i="30"/>
  <c r="BF64" i="30" s="1"/>
  <c r="BA63" i="30"/>
  <c r="BA60" i="30"/>
  <c r="BH60" i="30" s="1"/>
  <c r="BA59" i="30"/>
  <c r="BA58" i="30"/>
  <c r="BG58" i="30" s="1"/>
  <c r="BA57" i="30"/>
  <c r="BA56" i="30"/>
  <c r="BH56" i="30" s="1"/>
  <c r="BA55" i="30"/>
  <c r="BA54" i="30"/>
  <c r="BG54" i="30" s="1"/>
  <c r="BA53" i="30"/>
  <c r="BA52" i="30"/>
  <c r="BF52" i="30" s="1"/>
  <c r="BE80" i="30"/>
  <c r="BE79" i="30"/>
  <c r="BK79" i="30" s="1"/>
  <c r="BE78" i="30"/>
  <c r="BM78" i="30" s="1"/>
  <c r="BE77" i="30"/>
  <c r="BL77" i="30" s="1"/>
  <c r="BE76" i="30"/>
  <c r="BE75" i="30"/>
  <c r="BU75" i="30" s="1"/>
  <c r="BE74" i="30"/>
  <c r="BK74" i="30" s="1"/>
  <c r="BE73" i="30"/>
  <c r="BL73" i="30" s="1"/>
  <c r="BE72" i="30"/>
  <c r="BE71" i="30"/>
  <c r="BJ71" i="30" s="1"/>
  <c r="BE70" i="30"/>
  <c r="BK70" i="30" s="1"/>
  <c r="BE69" i="30"/>
  <c r="BJ69" i="30" s="1"/>
  <c r="BE68" i="30"/>
  <c r="BE67" i="30"/>
  <c r="BN67" i="30" s="1"/>
  <c r="BE66" i="30"/>
  <c r="BM66" i="30" s="1"/>
  <c r="BE65" i="30"/>
  <c r="BU65" i="30" s="1"/>
  <c r="BE64" i="30"/>
  <c r="BE63" i="30"/>
  <c r="BI63" i="30" s="1"/>
  <c r="BE62" i="30"/>
  <c r="BI62" i="30" s="1"/>
  <c r="BE61" i="30"/>
  <c r="BI61" i="30" s="1"/>
  <c r="BE60" i="30"/>
  <c r="BE59" i="30"/>
  <c r="BM59" i="30" s="1"/>
  <c r="BE58" i="30"/>
  <c r="BI58" i="30" s="1"/>
  <c r="BE57" i="30"/>
  <c r="BI57" i="30" s="1"/>
  <c r="BE56" i="30"/>
  <c r="BE55" i="30"/>
  <c r="BU55" i="30" s="1"/>
  <c r="BE54" i="30"/>
  <c r="BJ54" i="30" s="1"/>
  <c r="BE53" i="30"/>
  <c r="BM53" i="30" s="1"/>
  <c r="BE52" i="30"/>
  <c r="BJ51" i="30"/>
  <c r="BL51" i="30"/>
  <c r="BN51" i="30"/>
  <c r="BK51" i="30"/>
  <c r="BM51" i="30"/>
  <c r="BI51" i="30"/>
  <c r="BV51" i="30"/>
  <c r="BU51" i="30"/>
  <c r="BO51" i="30"/>
  <c r="BC51" i="30"/>
  <c r="BP51" i="30" s="1"/>
  <c r="BF51" i="30"/>
  <c r="BG51" i="30"/>
  <c r="BH51" i="30"/>
  <c r="BF79" i="30"/>
  <c r="BG79" i="30"/>
  <c r="BH79" i="30"/>
  <c r="BF77" i="30"/>
  <c r="BG77" i="30"/>
  <c r="BH77" i="30"/>
  <c r="BF75" i="30"/>
  <c r="BG75" i="30"/>
  <c r="BH75" i="30"/>
  <c r="BF73" i="30"/>
  <c r="BH73" i="30"/>
  <c r="BG73" i="30"/>
  <c r="BG71" i="30"/>
  <c r="BF71" i="30"/>
  <c r="BH71" i="30"/>
  <c r="BF67" i="30"/>
  <c r="BG67" i="30"/>
  <c r="BH67" i="30"/>
  <c r="BH65" i="30"/>
  <c r="BF65" i="30"/>
  <c r="BG65" i="30"/>
  <c r="BH63" i="30"/>
  <c r="BF63" i="30"/>
  <c r="BG63" i="30"/>
  <c r="BA62" i="30"/>
  <c r="BA61" i="30"/>
  <c r="BH59" i="30"/>
  <c r="BF59" i="30"/>
  <c r="BG59" i="30"/>
  <c r="BH57" i="30"/>
  <c r="BF57" i="30"/>
  <c r="BG57" i="30"/>
  <c r="BG55" i="30"/>
  <c r="BH55" i="30"/>
  <c r="BF55" i="30"/>
  <c r="BH53" i="30"/>
  <c r="BG53" i="30"/>
  <c r="BF53" i="30"/>
  <c r="BL80" i="30"/>
  <c r="BN80" i="30"/>
  <c r="BK80" i="30"/>
  <c r="BJ80" i="30"/>
  <c r="BI80" i="30"/>
  <c r="BM80" i="30"/>
  <c r="BV80" i="30"/>
  <c r="BU80" i="30"/>
  <c r="BO80" i="30"/>
  <c r="BC80" i="30"/>
  <c r="BS80" i="30" s="1"/>
  <c r="BT80" i="30" s="1"/>
  <c r="BJ78" i="30"/>
  <c r="BI78" i="30"/>
  <c r="BL78" i="30"/>
  <c r="BN78" i="30"/>
  <c r="BK78" i="30"/>
  <c r="BV78" i="30"/>
  <c r="BU78" i="30"/>
  <c r="BO78" i="30"/>
  <c r="BC78" i="30"/>
  <c r="BS78" i="30" s="1"/>
  <c r="BT78" i="30" s="1"/>
  <c r="BN76" i="30"/>
  <c r="BK76" i="30"/>
  <c r="BM76" i="30"/>
  <c r="BJ76" i="30"/>
  <c r="BL76" i="30"/>
  <c r="BI76" i="30"/>
  <c r="BV76" i="30"/>
  <c r="BU76" i="30"/>
  <c r="BO76" i="30"/>
  <c r="BC76" i="30"/>
  <c r="BS76" i="30" s="1"/>
  <c r="BT76" i="30" s="1"/>
  <c r="BN74" i="30"/>
  <c r="BI74" i="30"/>
  <c r="BM74" i="30"/>
  <c r="BJ74" i="30"/>
  <c r="BL74" i="30"/>
  <c r="BU74" i="30"/>
  <c r="BO74" i="30"/>
  <c r="BC74" i="30"/>
  <c r="BR74" i="30" s="1"/>
  <c r="BT74" i="30" s="1"/>
  <c r="BJ72" i="30"/>
  <c r="BL72" i="30"/>
  <c r="BI72" i="30"/>
  <c r="BM72" i="30"/>
  <c r="BN72" i="30"/>
  <c r="BK72" i="30"/>
  <c r="BV72" i="30"/>
  <c r="BU72" i="30"/>
  <c r="BO72" i="30"/>
  <c r="BC72" i="30"/>
  <c r="BR72" i="30" s="1"/>
  <c r="BT72" i="30" s="1"/>
  <c r="BJ70" i="30"/>
  <c r="BL70" i="30"/>
  <c r="BN70" i="30"/>
  <c r="BI70" i="30"/>
  <c r="BM70" i="30"/>
  <c r="BU70" i="30"/>
  <c r="BO70" i="30"/>
  <c r="BC70" i="30"/>
  <c r="BR70" i="30" s="1"/>
  <c r="BT70" i="30" s="1"/>
  <c r="BL68" i="30"/>
  <c r="BN68" i="30"/>
  <c r="BJ68" i="30"/>
  <c r="BI68" i="30"/>
  <c r="BK68" i="30"/>
  <c r="BM68" i="30"/>
  <c r="BV68" i="30"/>
  <c r="BU68" i="30"/>
  <c r="BO68" i="30"/>
  <c r="BC68" i="30"/>
  <c r="BR68" i="30" s="1"/>
  <c r="BT68" i="30" s="1"/>
  <c r="BJ66" i="30"/>
  <c r="BI66" i="30"/>
  <c r="BL66" i="30"/>
  <c r="BN66" i="30"/>
  <c r="BK66" i="30"/>
  <c r="BO66" i="30"/>
  <c r="BU66" i="30"/>
  <c r="BC66" i="30"/>
  <c r="BQ66" i="30" s="1"/>
  <c r="BT66" i="30" s="1"/>
  <c r="BJ64" i="30"/>
  <c r="BI64" i="30"/>
  <c r="BK64" i="30"/>
  <c r="BL64" i="30"/>
  <c r="BN64" i="30"/>
  <c r="BM64" i="30"/>
  <c r="BV64" i="30"/>
  <c r="BO64" i="30"/>
  <c r="BU64" i="30"/>
  <c r="BC64" i="30"/>
  <c r="BQ64" i="30" s="1"/>
  <c r="BT64" i="30" s="1"/>
  <c r="BL62" i="30"/>
  <c r="BN62" i="30"/>
  <c r="BK62" i="30"/>
  <c r="BJ62" i="30"/>
  <c r="BM62" i="30"/>
  <c r="BU62" i="30"/>
  <c r="BO62" i="30"/>
  <c r="BC62" i="30"/>
  <c r="BQ62" i="30" s="1"/>
  <c r="BT62" i="30" s="1"/>
  <c r="BJ60" i="30"/>
  <c r="BL60" i="30"/>
  <c r="BI60" i="30"/>
  <c r="BM60" i="30"/>
  <c r="BN60" i="30"/>
  <c r="BK60" i="30"/>
  <c r="BV60" i="30"/>
  <c r="BU60" i="30"/>
  <c r="BO60" i="30"/>
  <c r="BC60" i="30"/>
  <c r="BQ60" i="30" s="1"/>
  <c r="BT60" i="30" s="1"/>
  <c r="BJ58" i="30"/>
  <c r="BN58" i="30"/>
  <c r="BK58" i="30"/>
  <c r="BL58" i="30"/>
  <c r="BM58" i="30"/>
  <c r="BU58" i="30"/>
  <c r="BO58" i="30"/>
  <c r="BC58" i="30"/>
  <c r="BP58" i="30" s="1"/>
  <c r="BT58" i="30" s="1"/>
  <c r="BI56" i="30"/>
  <c r="BK56" i="30"/>
  <c r="BJ56" i="30"/>
  <c r="BL56" i="30"/>
  <c r="BN56" i="30"/>
  <c r="BM56" i="30"/>
  <c r="BV56" i="30"/>
  <c r="BO56" i="30"/>
  <c r="BU56" i="30"/>
  <c r="BC56" i="30"/>
  <c r="BP56" i="30" s="1"/>
  <c r="BT56" i="30" s="1"/>
  <c r="BL54" i="30"/>
  <c r="BN54" i="30"/>
  <c r="BI54" i="30"/>
  <c r="BK54" i="30"/>
  <c r="BM54" i="30"/>
  <c r="BU54" i="30"/>
  <c r="BO54" i="30"/>
  <c r="BC54" i="30"/>
  <c r="BP54" i="30" s="1"/>
  <c r="BT54" i="30" s="1"/>
  <c r="BV9" i="30"/>
  <c r="BO9" i="30"/>
  <c r="BJ52" i="30"/>
  <c r="BN52" i="30"/>
  <c r="BI52" i="30"/>
  <c r="BL52" i="30"/>
  <c r="BK52" i="30"/>
  <c r="BM52" i="30"/>
  <c r="BV52" i="30"/>
  <c r="BU52" i="30"/>
  <c r="BO52" i="30"/>
  <c r="BC52" i="30"/>
  <c r="BP52" i="30" s="1"/>
  <c r="BT52" i="30" s="1"/>
  <c r="BG81" i="30"/>
  <c r="BH81" i="30"/>
  <c r="BF81" i="30"/>
  <c r="BH69" i="30"/>
  <c r="BF69" i="30"/>
  <c r="BG69" i="30"/>
  <c r="BV25" i="30"/>
  <c r="BO25" i="30"/>
  <c r="BO24" i="30"/>
  <c r="BV24" i="30"/>
  <c r="BV23" i="30"/>
  <c r="BO23" i="30"/>
  <c r="BO22" i="30"/>
  <c r="BV22" i="30"/>
  <c r="BV21" i="30"/>
  <c r="BO21" i="30"/>
  <c r="BO20" i="30"/>
  <c r="BV20" i="30"/>
  <c r="BV19" i="30"/>
  <c r="BO19" i="30"/>
  <c r="BO18" i="30"/>
  <c r="BV18" i="30"/>
  <c r="BV17" i="30"/>
  <c r="BO17" i="30"/>
  <c r="BO16" i="30"/>
  <c r="BV16" i="30"/>
  <c r="BV15" i="30"/>
  <c r="BO15" i="30"/>
  <c r="BO14" i="30"/>
  <c r="BV14" i="30"/>
  <c r="BV13" i="30"/>
  <c r="BO13" i="30"/>
  <c r="BO12" i="30"/>
  <c r="BV12" i="30"/>
  <c r="BV11" i="30"/>
  <c r="BO11" i="30"/>
  <c r="BO10" i="30"/>
  <c r="BV10" i="30"/>
  <c r="BO8" i="30"/>
  <c r="BV8" i="30"/>
  <c r="BO36" i="30"/>
  <c r="BV36" i="30"/>
  <c r="BV35" i="30"/>
  <c r="BO35" i="30"/>
  <c r="BO34" i="30"/>
  <c r="BV34" i="30"/>
  <c r="BV33" i="30"/>
  <c r="BO33" i="30"/>
  <c r="BO32" i="30"/>
  <c r="BV32" i="30"/>
  <c r="BV31" i="30"/>
  <c r="BO31" i="30"/>
  <c r="BO30" i="30"/>
  <c r="BV30" i="30"/>
  <c r="BV29" i="30"/>
  <c r="BO29" i="30"/>
  <c r="BO28" i="30"/>
  <c r="BV28" i="30"/>
  <c r="BV27" i="30"/>
  <c r="BO27" i="30"/>
  <c r="BO26" i="30"/>
  <c r="BV26" i="30"/>
  <c r="J8" i="27"/>
  <c r="BA13" i="30"/>
  <c r="BF13" i="30" s="1"/>
  <c r="BD124" i="24"/>
  <c r="CX129" i="24" s="1"/>
  <c r="BD123" i="24"/>
  <c r="CT129" i="24" s="1"/>
  <c r="BA37" i="30"/>
  <c r="BG37" i="30" s="1"/>
  <c r="BA16" i="30"/>
  <c r="BF16" i="30" s="1"/>
  <c r="I7" i="30"/>
  <c r="O97" i="44"/>
  <c r="BE7" i="30"/>
  <c r="I36" i="30"/>
  <c r="I35" i="30"/>
  <c r="I34" i="30"/>
  <c r="I33" i="30"/>
  <c r="I31" i="30"/>
  <c r="I30" i="30"/>
  <c r="I29" i="30"/>
  <c r="I28" i="30"/>
  <c r="I27" i="30"/>
  <c r="I26" i="30"/>
  <c r="I24" i="30"/>
  <c r="I23" i="30"/>
  <c r="I22" i="30"/>
  <c r="I20" i="30"/>
  <c r="I19" i="30"/>
  <c r="I17" i="30"/>
  <c r="I16" i="30"/>
  <c r="I15" i="30"/>
  <c r="I14" i="30"/>
  <c r="I13" i="30"/>
  <c r="I12" i="30"/>
  <c r="I10" i="30"/>
  <c r="I9" i="30"/>
  <c r="I13" i="27"/>
  <c r="L13" i="27" s="1"/>
  <c r="I10" i="27"/>
  <c r="L10" i="27" s="1"/>
  <c r="I12" i="27"/>
  <c r="L12" i="27" s="1"/>
  <c r="BI8" i="30"/>
  <c r="BK8" i="30"/>
  <c r="BM8" i="30"/>
  <c r="BJ8" i="30"/>
  <c r="BL8" i="30"/>
  <c r="BN8" i="30"/>
  <c r="BU8" i="30"/>
  <c r="BC8" i="30"/>
  <c r="I9" i="27"/>
  <c r="L9" i="27" s="1"/>
  <c r="E37" i="30"/>
  <c r="J37" i="30" s="1"/>
  <c r="E36" i="30"/>
  <c r="K36" i="30" s="1"/>
  <c r="E35" i="30"/>
  <c r="J35" i="30" s="1"/>
  <c r="E34" i="30"/>
  <c r="K34" i="30" s="1"/>
  <c r="E33" i="30"/>
  <c r="J33" i="30" s="1"/>
  <c r="E32" i="30"/>
  <c r="E31" i="30"/>
  <c r="J31" i="30" s="1"/>
  <c r="E30" i="30"/>
  <c r="E29" i="30"/>
  <c r="E28" i="30"/>
  <c r="E27" i="30"/>
  <c r="J27" i="30" s="1"/>
  <c r="E26" i="30"/>
  <c r="K26" i="30" s="1"/>
  <c r="E25" i="30"/>
  <c r="J25" i="30" s="1"/>
  <c r="E23" i="30"/>
  <c r="J23" i="30" s="1"/>
  <c r="E22" i="30"/>
  <c r="K22" i="30" s="1"/>
  <c r="E20" i="30"/>
  <c r="K20" i="30" s="1"/>
  <c r="E19" i="30"/>
  <c r="J19" i="30" s="1"/>
  <c r="E18" i="30"/>
  <c r="K18" i="30" s="1"/>
  <c r="E17" i="30"/>
  <c r="J17" i="30" s="1"/>
  <c r="E16" i="30"/>
  <c r="K16" i="30" s="1"/>
  <c r="E15" i="30"/>
  <c r="K15" i="30" s="1"/>
  <c r="E14" i="30"/>
  <c r="E13" i="30"/>
  <c r="K13" i="30" s="1"/>
  <c r="E12" i="30"/>
  <c r="J12" i="30" s="1"/>
  <c r="BK36" i="30"/>
  <c r="BL36" i="30"/>
  <c r="BI36" i="30"/>
  <c r="BM36" i="30"/>
  <c r="BJ36" i="30"/>
  <c r="BN36" i="30"/>
  <c r="BU36" i="30"/>
  <c r="BC36" i="30"/>
  <c r="I37" i="27"/>
  <c r="BI35" i="30"/>
  <c r="BM35" i="30"/>
  <c r="BJ35" i="30"/>
  <c r="BL35" i="30"/>
  <c r="BK35" i="30"/>
  <c r="BU35" i="30"/>
  <c r="BN35" i="30"/>
  <c r="BC35" i="30"/>
  <c r="I36" i="27"/>
  <c r="BK34" i="30"/>
  <c r="BJ34" i="30"/>
  <c r="BL34" i="30"/>
  <c r="BI34" i="30"/>
  <c r="BM34" i="30"/>
  <c r="BN34" i="30"/>
  <c r="BU34" i="30"/>
  <c r="BC34" i="30"/>
  <c r="I35" i="27"/>
  <c r="BJ33" i="30"/>
  <c r="BN33" i="30"/>
  <c r="BI33" i="30"/>
  <c r="BK33" i="30"/>
  <c r="BM33" i="30"/>
  <c r="BL33" i="30"/>
  <c r="BU33" i="30"/>
  <c r="BC33" i="30"/>
  <c r="I34" i="27"/>
  <c r="BI32" i="30"/>
  <c r="BK32" i="30"/>
  <c r="BM32" i="30"/>
  <c r="BJ32" i="30"/>
  <c r="BL32" i="30"/>
  <c r="BN32" i="30"/>
  <c r="BU32" i="30"/>
  <c r="BC32" i="30"/>
  <c r="BS32" i="30" s="1"/>
  <c r="BT32" i="30" s="1"/>
  <c r="I33" i="27"/>
  <c r="BI31" i="30"/>
  <c r="BK31" i="30"/>
  <c r="BM31" i="30"/>
  <c r="BL31" i="30"/>
  <c r="BJ31" i="30"/>
  <c r="BN31" i="30"/>
  <c r="BU31" i="30"/>
  <c r="BC31" i="30"/>
  <c r="BS31" i="30" s="1"/>
  <c r="BT31" i="30" s="1"/>
  <c r="I32" i="27"/>
  <c r="BK30" i="30"/>
  <c r="BL30" i="30"/>
  <c r="BI30" i="30"/>
  <c r="BM30" i="30"/>
  <c r="BJ30" i="30"/>
  <c r="BN30" i="30"/>
  <c r="BU30" i="30"/>
  <c r="BC30" i="30"/>
  <c r="BR30" i="30" s="1"/>
  <c r="BT30" i="30" s="1"/>
  <c r="I31" i="27"/>
  <c r="L31" i="27" s="1"/>
  <c r="BJ29" i="30"/>
  <c r="BI29" i="30"/>
  <c r="BK29" i="30"/>
  <c r="BM29" i="30"/>
  <c r="BL29" i="30"/>
  <c r="BN29" i="30"/>
  <c r="BU29" i="30"/>
  <c r="BC29" i="30"/>
  <c r="I30" i="27"/>
  <c r="L30" i="27" s="1"/>
  <c r="BM28" i="30"/>
  <c r="BJ28" i="30"/>
  <c r="BL28" i="30"/>
  <c r="BI28" i="30"/>
  <c r="BK28" i="30"/>
  <c r="BU28" i="30"/>
  <c r="BN28" i="30"/>
  <c r="BC28" i="30"/>
  <c r="BR28" i="30" s="1"/>
  <c r="I29" i="27"/>
  <c r="L29" i="27" s="1"/>
  <c r="BI27" i="30"/>
  <c r="BK27" i="30"/>
  <c r="BM27" i="30"/>
  <c r="BN27" i="30"/>
  <c r="BJ27" i="30"/>
  <c r="BL27" i="30"/>
  <c r="BU27" i="30"/>
  <c r="BC27" i="30"/>
  <c r="BR27" i="30" s="1"/>
  <c r="BT27" i="30" s="1"/>
  <c r="I28" i="27"/>
  <c r="L28" i="27" s="1"/>
  <c r="BK26" i="30"/>
  <c r="BM26" i="30"/>
  <c r="BJ26" i="30"/>
  <c r="BI26" i="30"/>
  <c r="BL26" i="30"/>
  <c r="BN26" i="30"/>
  <c r="BU26" i="30"/>
  <c r="BC26" i="30"/>
  <c r="I27" i="27"/>
  <c r="L27" i="27" s="1"/>
  <c r="BJ25" i="30"/>
  <c r="BL25" i="30"/>
  <c r="BI25" i="30"/>
  <c r="BK25" i="30"/>
  <c r="BM25" i="30"/>
  <c r="BN25" i="30"/>
  <c r="BU25" i="30"/>
  <c r="BC25" i="30"/>
  <c r="BR25" i="30" s="1"/>
  <c r="BT25" i="30" s="1"/>
  <c r="I26" i="27"/>
  <c r="L26" i="27" s="1"/>
  <c r="BI24" i="30"/>
  <c r="BK24" i="30"/>
  <c r="BM24" i="30"/>
  <c r="BJ24" i="30"/>
  <c r="BL24" i="30"/>
  <c r="BN24" i="30"/>
  <c r="BU24" i="30"/>
  <c r="BC24" i="30"/>
  <c r="BR24" i="30" s="1"/>
  <c r="BT24" i="30" s="1"/>
  <c r="I25" i="27"/>
  <c r="L25" i="27" s="1"/>
  <c r="BI23" i="30"/>
  <c r="BL23" i="30"/>
  <c r="BK23" i="30"/>
  <c r="BM23" i="30"/>
  <c r="BJ23" i="30"/>
  <c r="BN23" i="30"/>
  <c r="BU23" i="30"/>
  <c r="BC23" i="30"/>
  <c r="BR23" i="30" s="1"/>
  <c r="BT23" i="30" s="1"/>
  <c r="I24" i="27"/>
  <c r="L24" i="27" s="1"/>
  <c r="BI22" i="30"/>
  <c r="BK22" i="30"/>
  <c r="BM22" i="30"/>
  <c r="BJ22" i="30"/>
  <c r="BL22" i="30"/>
  <c r="BU22" i="30"/>
  <c r="BN22" i="30"/>
  <c r="BC22" i="30"/>
  <c r="I23" i="27"/>
  <c r="L23" i="27" s="1"/>
  <c r="BK21" i="30"/>
  <c r="BI21" i="30"/>
  <c r="BM21" i="30"/>
  <c r="BJ21" i="30"/>
  <c r="BL21" i="30"/>
  <c r="BN21" i="30"/>
  <c r="BU21" i="30"/>
  <c r="BC21" i="30"/>
  <c r="BQ21" i="30" s="1"/>
  <c r="I22" i="27"/>
  <c r="L22" i="27" s="1"/>
  <c r="BI20" i="30"/>
  <c r="BM20" i="30"/>
  <c r="BJ20" i="30"/>
  <c r="BL20" i="30"/>
  <c r="BK20" i="30"/>
  <c r="BN20" i="30"/>
  <c r="BU20" i="30"/>
  <c r="BC20" i="30"/>
  <c r="BQ20" i="30" s="1"/>
  <c r="BT20" i="30" s="1"/>
  <c r="I21" i="27"/>
  <c r="L21" i="27" s="1"/>
  <c r="BI19" i="30"/>
  <c r="BM19" i="30"/>
  <c r="BJ19" i="30"/>
  <c r="BK19" i="30"/>
  <c r="BL19" i="30"/>
  <c r="BN19" i="30"/>
  <c r="BU19" i="30"/>
  <c r="BC19" i="30"/>
  <c r="I20" i="27"/>
  <c r="BK18" i="30"/>
  <c r="BI18" i="30"/>
  <c r="BM18" i="30"/>
  <c r="BJ18" i="30"/>
  <c r="BL18" i="30"/>
  <c r="BU18" i="30"/>
  <c r="BN18" i="30"/>
  <c r="BC18" i="30"/>
  <c r="BQ18" i="30" s="1"/>
  <c r="BT18" i="30" s="1"/>
  <c r="I19" i="27"/>
  <c r="L19" i="27" s="1"/>
  <c r="BI17" i="30"/>
  <c r="BM17" i="30"/>
  <c r="BJ17" i="30"/>
  <c r="BL17" i="30"/>
  <c r="BK17" i="30"/>
  <c r="BN17" i="30"/>
  <c r="BU17" i="30"/>
  <c r="BC17" i="30"/>
  <c r="BQ17" i="30" s="1"/>
  <c r="BT17" i="30" s="1"/>
  <c r="I18" i="27"/>
  <c r="L18" i="27" s="1"/>
  <c r="BI16" i="30"/>
  <c r="BK16" i="30"/>
  <c r="BM16" i="30"/>
  <c r="BJ16" i="30"/>
  <c r="BL16" i="30"/>
  <c r="BN16" i="30"/>
  <c r="BU16" i="30"/>
  <c r="BC16" i="30"/>
  <c r="BQ16" i="30" s="1"/>
  <c r="BT16" i="30" s="1"/>
  <c r="I17" i="27"/>
  <c r="L17" i="27" s="1"/>
  <c r="BK15" i="30"/>
  <c r="BL15" i="30"/>
  <c r="BI15" i="30"/>
  <c r="BM15" i="30"/>
  <c r="BJ15" i="30"/>
  <c r="BN15" i="30"/>
  <c r="BU15" i="30"/>
  <c r="BC15" i="30"/>
  <c r="I16" i="27"/>
  <c r="L16" i="27" s="1"/>
  <c r="BI14" i="30"/>
  <c r="BK14" i="30"/>
  <c r="BM14" i="30"/>
  <c r="BJ14" i="30"/>
  <c r="BL14" i="30"/>
  <c r="BU14" i="30"/>
  <c r="BN14" i="30"/>
  <c r="BC14" i="30"/>
  <c r="BP14" i="30" s="1"/>
  <c r="I15" i="27"/>
  <c r="L15" i="27" s="1"/>
  <c r="BK13" i="30"/>
  <c r="BI13" i="30"/>
  <c r="BM13" i="30"/>
  <c r="BJ13" i="30"/>
  <c r="BL13" i="30"/>
  <c r="BN13" i="30"/>
  <c r="BU13" i="30"/>
  <c r="BC13" i="30"/>
  <c r="I14" i="27"/>
  <c r="L14" i="27" s="1"/>
  <c r="BI12" i="30"/>
  <c r="BM12" i="30"/>
  <c r="BJ12" i="30"/>
  <c r="BL12" i="30"/>
  <c r="BK12" i="30"/>
  <c r="BN12" i="30"/>
  <c r="BU12" i="30"/>
  <c r="BC12" i="30"/>
  <c r="BI11" i="30"/>
  <c r="BM11" i="30"/>
  <c r="BJ11" i="30"/>
  <c r="BK11" i="30"/>
  <c r="BL11" i="30"/>
  <c r="BN11" i="30"/>
  <c r="BU11" i="30"/>
  <c r="BC11" i="30"/>
  <c r="BP11" i="30" s="1"/>
  <c r="BT11" i="30" s="1"/>
  <c r="BK10" i="30"/>
  <c r="BI10" i="30"/>
  <c r="BM10" i="30"/>
  <c r="BJ10" i="30"/>
  <c r="BL10" i="30"/>
  <c r="BU10" i="30"/>
  <c r="BN10" i="30"/>
  <c r="BC10" i="30"/>
  <c r="BP10" i="30" s="1"/>
  <c r="BT10" i="30" s="1"/>
  <c r="I11" i="27"/>
  <c r="L11" i="27" s="1"/>
  <c r="BI9" i="30"/>
  <c r="BM9" i="30"/>
  <c r="BJ9" i="30"/>
  <c r="BL9" i="30"/>
  <c r="BK9" i="30"/>
  <c r="BN9" i="30"/>
  <c r="BU9" i="30"/>
  <c r="BC9" i="30"/>
  <c r="BP9" i="30" s="1"/>
  <c r="BT9" i="30" s="1"/>
  <c r="BE37" i="30"/>
  <c r="I38" i="27"/>
  <c r="L38" i="27" s="1"/>
  <c r="E7" i="30"/>
  <c r="BA7" i="30"/>
  <c r="BH36" i="30"/>
  <c r="BF36" i="30"/>
  <c r="BG36" i="30"/>
  <c r="BG35" i="30"/>
  <c r="BH35" i="30"/>
  <c r="BF35" i="30"/>
  <c r="BH34" i="30"/>
  <c r="BF34" i="30"/>
  <c r="BG34" i="30"/>
  <c r="BF33" i="30"/>
  <c r="BG33" i="30"/>
  <c r="BH33" i="30"/>
  <c r="BG32" i="30"/>
  <c r="BH32" i="30"/>
  <c r="BF32" i="30"/>
  <c r="BF31" i="30"/>
  <c r="BG31" i="30"/>
  <c r="BH31" i="30"/>
  <c r="BF30" i="30"/>
  <c r="BG30" i="30"/>
  <c r="BH30" i="30"/>
  <c r="BH29" i="30"/>
  <c r="BF29" i="30"/>
  <c r="BG29" i="30"/>
  <c r="BG28" i="30"/>
  <c r="BF28" i="30"/>
  <c r="BH28" i="30"/>
  <c r="BF27" i="30"/>
  <c r="BG27" i="30"/>
  <c r="BH27" i="30"/>
  <c r="BH26" i="30"/>
  <c r="BF26" i="30"/>
  <c r="BG26" i="30"/>
  <c r="BH25" i="30"/>
  <c r="BF25" i="30"/>
  <c r="BG25" i="30"/>
  <c r="BG24" i="30"/>
  <c r="BF24" i="30"/>
  <c r="BH24" i="30"/>
  <c r="BH23" i="30"/>
  <c r="BF23" i="30"/>
  <c r="BG23" i="30"/>
  <c r="BH22" i="30"/>
  <c r="BF22" i="30"/>
  <c r="BG22" i="30"/>
  <c r="BH21" i="30"/>
  <c r="BF21" i="30"/>
  <c r="BG21" i="30"/>
  <c r="BG20" i="30"/>
  <c r="BH20" i="30"/>
  <c r="BF20" i="30"/>
  <c r="BG19" i="30"/>
  <c r="BF19" i="30"/>
  <c r="BH19" i="30"/>
  <c r="BA17" i="30"/>
  <c r="BA18" i="30"/>
  <c r="BG15" i="30"/>
  <c r="BH15" i="30"/>
  <c r="BF15" i="30"/>
  <c r="BH14" i="30"/>
  <c r="BF14" i="30"/>
  <c r="BG14" i="30"/>
  <c r="BG12" i="30"/>
  <c r="BH12" i="30"/>
  <c r="BF12" i="30"/>
  <c r="BG11" i="30"/>
  <c r="BH11" i="30"/>
  <c r="BF11" i="30"/>
  <c r="BF10" i="30"/>
  <c r="BG10" i="30"/>
  <c r="BH10" i="30"/>
  <c r="BH9" i="30"/>
  <c r="BF9" i="30"/>
  <c r="BG9" i="30"/>
  <c r="BG8" i="30"/>
  <c r="BF8" i="30"/>
  <c r="BH8" i="30"/>
  <c r="H41" i="28"/>
  <c r="AD41" i="28" s="1"/>
  <c r="H40" i="28"/>
  <c r="AD40" i="28" s="1"/>
  <c r="H38" i="28"/>
  <c r="AD38" i="28" s="1"/>
  <c r="O37" i="30"/>
  <c r="N37" i="30"/>
  <c r="P37" i="30"/>
  <c r="R37" i="30"/>
  <c r="Y37" i="30"/>
  <c r="M37" i="30"/>
  <c r="Q37" i="30"/>
  <c r="G37" i="30"/>
  <c r="I32" i="30"/>
  <c r="I25" i="30"/>
  <c r="I21" i="30"/>
  <c r="I18" i="30"/>
  <c r="I11" i="30"/>
  <c r="I8" i="30"/>
  <c r="E11" i="30"/>
  <c r="L11" i="30" s="1"/>
  <c r="E9" i="30"/>
  <c r="H39" i="28"/>
  <c r="AD39" i="28" s="1"/>
  <c r="E24" i="30"/>
  <c r="J24" i="30" s="1"/>
  <c r="E21" i="30"/>
  <c r="E10" i="30"/>
  <c r="L10" i="30" s="1"/>
  <c r="E8" i="30"/>
  <c r="K8" i="30" s="1"/>
  <c r="E42" i="28"/>
  <c r="E41" i="28"/>
  <c r="E38" i="28"/>
  <c r="E36" i="28"/>
  <c r="E35" i="28"/>
  <c r="E34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H42" i="28"/>
  <c r="AD42" i="28" s="1"/>
  <c r="H13" i="28"/>
  <c r="E43" i="28"/>
  <c r="H37" i="28"/>
  <c r="AD37" i="28" s="1"/>
  <c r="H36" i="28"/>
  <c r="AD36" i="28" s="1"/>
  <c r="H35" i="28"/>
  <c r="AD35" i="28" s="1"/>
  <c r="H34" i="28"/>
  <c r="AD34" i="28" s="1"/>
  <c r="H33" i="28"/>
  <c r="AD33" i="28" s="1"/>
  <c r="H32" i="28"/>
  <c r="AD32" i="28" s="1"/>
  <c r="H31" i="28"/>
  <c r="AD31" i="28" s="1"/>
  <c r="H30" i="28"/>
  <c r="AD30" i="28" s="1"/>
  <c r="H29" i="28"/>
  <c r="AD29" i="28" s="1"/>
  <c r="H28" i="28"/>
  <c r="AD28" i="28" s="1"/>
  <c r="H27" i="28"/>
  <c r="AD27" i="28" s="1"/>
  <c r="H26" i="28"/>
  <c r="AD26" i="28" s="1"/>
  <c r="H25" i="28"/>
  <c r="AD25" i="28" s="1"/>
  <c r="H24" i="28"/>
  <c r="AD24" i="28" s="1"/>
  <c r="H23" i="28"/>
  <c r="AD23" i="28" s="1"/>
  <c r="H22" i="28"/>
  <c r="AD22" i="28" s="1"/>
  <c r="H21" i="28"/>
  <c r="AD21" i="28" s="1"/>
  <c r="H20" i="28"/>
  <c r="AD20" i="28" s="1"/>
  <c r="H19" i="28"/>
  <c r="AD19" i="28" s="1"/>
  <c r="H18" i="28"/>
  <c r="AD18" i="28" s="1"/>
  <c r="H17" i="28"/>
  <c r="AD17" i="28" s="1"/>
  <c r="H16" i="28"/>
  <c r="AD16" i="28" s="1"/>
  <c r="H15" i="28"/>
  <c r="AD15" i="28" s="1"/>
  <c r="H14" i="28"/>
  <c r="AD14" i="28" s="1"/>
  <c r="E40" i="28"/>
  <c r="E39" i="28"/>
  <c r="E37" i="28"/>
  <c r="E33" i="28"/>
  <c r="E15" i="28"/>
  <c r="E14" i="28"/>
  <c r="BF196" i="12"/>
  <c r="BG196" i="12"/>
  <c r="BH196" i="12"/>
  <c r="BI196" i="12"/>
  <c r="BJ196" i="12"/>
  <c r="BK196" i="12"/>
  <c r="BL196" i="12"/>
  <c r="BM196" i="12"/>
  <c r="BN196" i="12"/>
  <c r="BO196" i="12"/>
  <c r="BP196" i="12"/>
  <c r="BQ196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F204" i="12"/>
  <c r="BG204" i="12"/>
  <c r="BH204" i="12"/>
  <c r="BI204" i="12"/>
  <c r="BJ204" i="12"/>
  <c r="BK204" i="12"/>
  <c r="BL204" i="12"/>
  <c r="BM204" i="12"/>
  <c r="BN204" i="12"/>
  <c r="H16" i="30" s="1"/>
  <c r="BO204" i="12"/>
  <c r="BP204" i="12"/>
  <c r="BQ204" i="12"/>
  <c r="BF205" i="12"/>
  <c r="BG205" i="12"/>
  <c r="BH205" i="12"/>
  <c r="BI205" i="12"/>
  <c r="BJ205" i="12"/>
  <c r="BK205" i="12"/>
  <c r="BL205" i="12"/>
  <c r="BM205" i="12"/>
  <c r="BN205" i="12"/>
  <c r="H17" i="30" s="1"/>
  <c r="BO205" i="12"/>
  <c r="BP205" i="12"/>
  <c r="BQ205" i="12"/>
  <c r="BF206" i="12"/>
  <c r="BG206" i="12"/>
  <c r="BH206" i="12"/>
  <c r="BI206" i="12"/>
  <c r="BJ206" i="12"/>
  <c r="BK206" i="12"/>
  <c r="BL206" i="12"/>
  <c r="BM206" i="12"/>
  <c r="BN206" i="12"/>
  <c r="BO206" i="12"/>
  <c r="BP206" i="12"/>
  <c r="BQ206" i="12"/>
  <c r="BF207" i="12"/>
  <c r="BG207" i="12"/>
  <c r="BH207" i="12"/>
  <c r="BI207" i="12"/>
  <c r="BJ207" i="12"/>
  <c r="BK207" i="12"/>
  <c r="BL207" i="12"/>
  <c r="BM207" i="12"/>
  <c r="BN207" i="12"/>
  <c r="H19" i="30" s="1"/>
  <c r="BO207" i="12"/>
  <c r="BP207" i="12"/>
  <c r="BQ207" i="12"/>
  <c r="BF208" i="12"/>
  <c r="BG208" i="12"/>
  <c r="BH208" i="12"/>
  <c r="BI208" i="12"/>
  <c r="BJ208" i="12"/>
  <c r="BK208" i="12"/>
  <c r="BL208" i="12"/>
  <c r="BM208" i="12"/>
  <c r="BN208" i="12"/>
  <c r="H20" i="30" s="1"/>
  <c r="BO208" i="12"/>
  <c r="BP208" i="12"/>
  <c r="BQ208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F210" i="12"/>
  <c r="BG210" i="12"/>
  <c r="BH210" i="12"/>
  <c r="BI210" i="12"/>
  <c r="BJ210" i="12"/>
  <c r="BK210" i="12"/>
  <c r="BL210" i="12"/>
  <c r="BM210" i="12"/>
  <c r="BN210" i="12"/>
  <c r="H22" i="30" s="1"/>
  <c r="BO210" i="12"/>
  <c r="BP210" i="12"/>
  <c r="BQ210" i="12"/>
  <c r="BF211" i="12"/>
  <c r="BG211" i="12"/>
  <c r="BH211" i="12"/>
  <c r="BI211" i="12"/>
  <c r="BJ211" i="12"/>
  <c r="BK211" i="12"/>
  <c r="BL211" i="12"/>
  <c r="BM211" i="12"/>
  <c r="BN211" i="12"/>
  <c r="H23" i="30" s="1"/>
  <c r="BO211" i="12"/>
  <c r="BP211" i="12"/>
  <c r="BQ211" i="12"/>
  <c r="BF212" i="12"/>
  <c r="BG212" i="12"/>
  <c r="BH212" i="12"/>
  <c r="BI212" i="12"/>
  <c r="BJ212" i="12"/>
  <c r="BK212" i="12"/>
  <c r="BL212" i="12"/>
  <c r="BM212" i="12"/>
  <c r="BN212" i="12"/>
  <c r="H24" i="30" s="1"/>
  <c r="BO212" i="12"/>
  <c r="BP212" i="12"/>
  <c r="BQ212" i="12"/>
  <c r="BF213" i="12"/>
  <c r="BG213" i="12"/>
  <c r="BH213" i="12"/>
  <c r="BI213" i="12"/>
  <c r="BJ213" i="12"/>
  <c r="BK213" i="12"/>
  <c r="BL213" i="12"/>
  <c r="BM213" i="12"/>
  <c r="BN213" i="12"/>
  <c r="BO213" i="12"/>
  <c r="BP213" i="12"/>
  <c r="BQ213" i="12"/>
  <c r="BF214" i="12"/>
  <c r="BG214" i="12"/>
  <c r="BH214" i="12"/>
  <c r="BI214" i="12"/>
  <c r="BJ214" i="12"/>
  <c r="BK214" i="12"/>
  <c r="BL214" i="12"/>
  <c r="BM214" i="12"/>
  <c r="BN214" i="12"/>
  <c r="H26" i="30" s="1"/>
  <c r="BO214" i="12"/>
  <c r="BP214" i="12"/>
  <c r="BQ214" i="12"/>
  <c r="BF215" i="12"/>
  <c r="BG215" i="12"/>
  <c r="BH215" i="12"/>
  <c r="BI215" i="12"/>
  <c r="BJ215" i="12"/>
  <c r="BK215" i="12"/>
  <c r="BL215" i="12"/>
  <c r="BM215" i="12"/>
  <c r="BN215" i="12"/>
  <c r="H27" i="30" s="1"/>
  <c r="BO215" i="12"/>
  <c r="BP215" i="12"/>
  <c r="BQ215" i="12"/>
  <c r="BF216" i="12"/>
  <c r="BG216" i="12"/>
  <c r="BH216" i="12"/>
  <c r="BI216" i="12"/>
  <c r="BJ216" i="12"/>
  <c r="BK216" i="12"/>
  <c r="BL216" i="12"/>
  <c r="BM216" i="12"/>
  <c r="BN216" i="12"/>
  <c r="H28" i="30" s="1"/>
  <c r="BO216" i="12"/>
  <c r="BP216" i="12"/>
  <c r="BQ216" i="12"/>
  <c r="BF217" i="12"/>
  <c r="BG217" i="12"/>
  <c r="BH217" i="12"/>
  <c r="BI217" i="12"/>
  <c r="BJ217" i="12"/>
  <c r="BK217" i="12"/>
  <c r="BL217" i="12"/>
  <c r="BM217" i="12"/>
  <c r="BN217" i="12"/>
  <c r="H29" i="30" s="1"/>
  <c r="BO217" i="12"/>
  <c r="BP217" i="12"/>
  <c r="BQ217" i="12"/>
  <c r="BF218" i="12"/>
  <c r="BG218" i="12"/>
  <c r="BH218" i="12"/>
  <c r="BI218" i="12"/>
  <c r="BJ218" i="12"/>
  <c r="BK218" i="12"/>
  <c r="BL218" i="12"/>
  <c r="BM218" i="12"/>
  <c r="BN218" i="12"/>
  <c r="H30" i="30" s="1"/>
  <c r="BO218" i="12"/>
  <c r="BP218" i="12"/>
  <c r="BQ218" i="12"/>
  <c r="BF219" i="12"/>
  <c r="BG219" i="12"/>
  <c r="BH219" i="12"/>
  <c r="BI219" i="12"/>
  <c r="BJ219" i="12"/>
  <c r="BK219" i="12"/>
  <c r="BL219" i="12"/>
  <c r="BM219" i="12"/>
  <c r="BN219" i="12"/>
  <c r="H31" i="30" s="1"/>
  <c r="BO219" i="12"/>
  <c r="BP219" i="12"/>
  <c r="BQ219" i="12"/>
  <c r="BF220" i="12"/>
  <c r="BG220" i="12"/>
  <c r="BH220" i="12"/>
  <c r="BI220" i="12"/>
  <c r="BJ220" i="12"/>
  <c r="BK220" i="12"/>
  <c r="BL220" i="12"/>
  <c r="BM220" i="12"/>
  <c r="BN220" i="12"/>
  <c r="BO220" i="12"/>
  <c r="BP220" i="12"/>
  <c r="BQ220" i="12"/>
  <c r="BF221" i="12"/>
  <c r="BG221" i="12"/>
  <c r="BH221" i="12"/>
  <c r="BI221" i="12"/>
  <c r="BJ221" i="12"/>
  <c r="BK221" i="12"/>
  <c r="BL221" i="12"/>
  <c r="BM221" i="12"/>
  <c r="BN221" i="12"/>
  <c r="H33" i="30" s="1"/>
  <c r="BO221" i="12"/>
  <c r="BP221" i="12"/>
  <c r="BQ221" i="12"/>
  <c r="BF222" i="12"/>
  <c r="BG222" i="12"/>
  <c r="BH222" i="12"/>
  <c r="BI222" i="12"/>
  <c r="BJ222" i="12"/>
  <c r="BK222" i="12"/>
  <c r="BL222" i="12"/>
  <c r="BM222" i="12"/>
  <c r="BN222" i="12"/>
  <c r="H34" i="30" s="1"/>
  <c r="BO222" i="12"/>
  <c r="BP222" i="12"/>
  <c r="BQ222" i="12"/>
  <c r="BF223" i="12"/>
  <c r="BG223" i="12"/>
  <c r="BH223" i="12"/>
  <c r="BI223" i="12"/>
  <c r="BJ223" i="12"/>
  <c r="BK223" i="12"/>
  <c r="BL223" i="12"/>
  <c r="BM223" i="12"/>
  <c r="BN223" i="12"/>
  <c r="H35" i="30" s="1"/>
  <c r="BO223" i="12"/>
  <c r="BP223" i="12"/>
  <c r="BQ223" i="12"/>
  <c r="BF224" i="12"/>
  <c r="BG224" i="12"/>
  <c r="BH224" i="12"/>
  <c r="BI224" i="12"/>
  <c r="BJ224" i="12"/>
  <c r="BK224" i="12"/>
  <c r="BL224" i="12"/>
  <c r="BM224" i="12"/>
  <c r="BN224" i="12"/>
  <c r="H36" i="30" s="1"/>
  <c r="BO224" i="12"/>
  <c r="BQ224" i="12"/>
  <c r="BG225" i="12"/>
  <c r="BI225" i="12"/>
  <c r="BJ225" i="12"/>
  <c r="BL225" i="12"/>
  <c r="BN225" i="12"/>
  <c r="H37" i="30" s="1"/>
  <c r="BO225" i="12"/>
  <c r="BQ225" i="12"/>
  <c r="G43" i="28" s="1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F158" i="12"/>
  <c r="BG158" i="12"/>
  <c r="BH158" i="12"/>
  <c r="BI158" i="12"/>
  <c r="BJ158" i="12"/>
  <c r="BK158" i="12"/>
  <c r="BL158" i="12"/>
  <c r="BM158" i="12"/>
  <c r="BN158" i="12"/>
  <c r="BO158" i="12"/>
  <c r="BP158" i="12"/>
  <c r="BQ158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F160" i="12"/>
  <c r="BG160" i="12"/>
  <c r="BH160" i="12"/>
  <c r="BI160" i="12"/>
  <c r="BJ160" i="12"/>
  <c r="BK160" i="12"/>
  <c r="BL160" i="12"/>
  <c r="BM160" i="12"/>
  <c r="BN160" i="12"/>
  <c r="BO160" i="12"/>
  <c r="BP160" i="12"/>
  <c r="BQ160" i="12"/>
  <c r="BF161" i="12"/>
  <c r="BG161" i="12"/>
  <c r="BH161" i="12"/>
  <c r="BI161" i="12"/>
  <c r="BJ161" i="12"/>
  <c r="BK161" i="12"/>
  <c r="BL161" i="12"/>
  <c r="BM161" i="12"/>
  <c r="BN161" i="12"/>
  <c r="BO161" i="12"/>
  <c r="BP161" i="12"/>
  <c r="BQ161" i="12"/>
  <c r="BF162" i="12"/>
  <c r="BG162" i="12"/>
  <c r="BH162" i="12"/>
  <c r="BI162" i="12"/>
  <c r="BJ162" i="12"/>
  <c r="BK162" i="12"/>
  <c r="BL162" i="12"/>
  <c r="BM162" i="12"/>
  <c r="BN162" i="12"/>
  <c r="BO162" i="12"/>
  <c r="BP162" i="12"/>
  <c r="BQ162" i="12"/>
  <c r="BF163" i="12"/>
  <c r="BG163" i="12"/>
  <c r="BH163" i="12"/>
  <c r="BI163" i="12"/>
  <c r="BJ163" i="12"/>
  <c r="BK163" i="12"/>
  <c r="BL163" i="12"/>
  <c r="BM163" i="12"/>
  <c r="BN163" i="12"/>
  <c r="BO163" i="12"/>
  <c r="BP163" i="12"/>
  <c r="BQ163" i="12"/>
  <c r="BF164" i="12"/>
  <c r="BG164" i="12"/>
  <c r="BH164" i="12"/>
  <c r="BI164" i="12"/>
  <c r="BJ164" i="12"/>
  <c r="BK164" i="12"/>
  <c r="BL164" i="12"/>
  <c r="BM164" i="12"/>
  <c r="BN164" i="12"/>
  <c r="BO164" i="12"/>
  <c r="BP164" i="12"/>
  <c r="BQ164" i="12"/>
  <c r="BF165" i="12"/>
  <c r="BG165" i="12"/>
  <c r="BH165" i="12"/>
  <c r="BI165" i="12"/>
  <c r="BJ165" i="12"/>
  <c r="BK165" i="12"/>
  <c r="BL165" i="12"/>
  <c r="BM165" i="12"/>
  <c r="BN165" i="12"/>
  <c r="BO165" i="12"/>
  <c r="BP165" i="12"/>
  <c r="BQ165" i="12"/>
  <c r="BF166" i="12"/>
  <c r="BG166" i="12"/>
  <c r="BH166" i="12"/>
  <c r="BI166" i="12"/>
  <c r="BJ166" i="12"/>
  <c r="BK166" i="12"/>
  <c r="BL166" i="12"/>
  <c r="BM166" i="12"/>
  <c r="BN166" i="12"/>
  <c r="BO166" i="12"/>
  <c r="BP166" i="12"/>
  <c r="BQ166" i="12"/>
  <c r="BF167" i="12"/>
  <c r="BG167" i="12"/>
  <c r="BH167" i="12"/>
  <c r="BI167" i="12"/>
  <c r="BJ167" i="12"/>
  <c r="BK167" i="12"/>
  <c r="BL167" i="12"/>
  <c r="BM167" i="12"/>
  <c r="BN167" i="12"/>
  <c r="BO167" i="12"/>
  <c r="BP167" i="12"/>
  <c r="BQ167" i="12"/>
  <c r="BF168" i="12"/>
  <c r="BG168" i="12"/>
  <c r="BH168" i="12"/>
  <c r="BI168" i="12"/>
  <c r="BJ168" i="12"/>
  <c r="BK168" i="12"/>
  <c r="BL168" i="12"/>
  <c r="BM168" i="12"/>
  <c r="BN168" i="12"/>
  <c r="BO168" i="12"/>
  <c r="BP168" i="12"/>
  <c r="BQ168" i="12"/>
  <c r="BF169" i="12"/>
  <c r="BG169" i="12"/>
  <c r="BH169" i="12"/>
  <c r="BI169" i="12"/>
  <c r="BJ169" i="12"/>
  <c r="BK169" i="12"/>
  <c r="BL169" i="12"/>
  <c r="BM169" i="12"/>
  <c r="BN169" i="12"/>
  <c r="BO169" i="12"/>
  <c r="BP169" i="12"/>
  <c r="BQ169" i="12"/>
  <c r="BF170" i="12"/>
  <c r="BG170" i="12"/>
  <c r="BH170" i="12"/>
  <c r="BI170" i="12"/>
  <c r="BJ170" i="12"/>
  <c r="BK170" i="12"/>
  <c r="BL170" i="12"/>
  <c r="BM170" i="12"/>
  <c r="BN170" i="12"/>
  <c r="BO170" i="12"/>
  <c r="BP170" i="12"/>
  <c r="BQ170" i="12"/>
  <c r="BF171" i="12"/>
  <c r="BG171" i="12"/>
  <c r="BH171" i="12"/>
  <c r="BI171" i="12"/>
  <c r="BJ171" i="12"/>
  <c r="BK171" i="12"/>
  <c r="BL171" i="12"/>
  <c r="BM171" i="12"/>
  <c r="BN171" i="12"/>
  <c r="BO171" i="12"/>
  <c r="BP171" i="12"/>
  <c r="BQ171" i="12"/>
  <c r="BF172" i="12"/>
  <c r="BG172" i="12"/>
  <c r="BH172" i="12"/>
  <c r="BI172" i="12"/>
  <c r="BJ172" i="12"/>
  <c r="BK172" i="12"/>
  <c r="BL172" i="12"/>
  <c r="BM172" i="12"/>
  <c r="BN172" i="12"/>
  <c r="BO172" i="12"/>
  <c r="BP172" i="12"/>
  <c r="BQ172" i="12"/>
  <c r="BF173" i="12"/>
  <c r="BG173" i="12"/>
  <c r="BH173" i="12"/>
  <c r="BI173" i="12"/>
  <c r="BJ173" i="12"/>
  <c r="BK173" i="12"/>
  <c r="BL173" i="12"/>
  <c r="BM173" i="12"/>
  <c r="BN173" i="12"/>
  <c r="BO173" i="12"/>
  <c r="BP173" i="12"/>
  <c r="BQ173" i="12"/>
  <c r="BF174" i="12"/>
  <c r="BG174" i="12"/>
  <c r="BH174" i="12"/>
  <c r="BI174" i="12"/>
  <c r="BJ174" i="12"/>
  <c r="BK174" i="12"/>
  <c r="BL174" i="12"/>
  <c r="BM174" i="12"/>
  <c r="BN174" i="12"/>
  <c r="BO174" i="12"/>
  <c r="BP174" i="12"/>
  <c r="BQ174" i="12"/>
  <c r="BF175" i="12"/>
  <c r="BG175" i="12"/>
  <c r="BH175" i="12"/>
  <c r="BI175" i="12"/>
  <c r="BJ175" i="12"/>
  <c r="BK175" i="12"/>
  <c r="BL175" i="12"/>
  <c r="BM175" i="12"/>
  <c r="BN175" i="12"/>
  <c r="BO175" i="12"/>
  <c r="BP175" i="12"/>
  <c r="BQ175" i="12"/>
  <c r="BF176" i="12"/>
  <c r="BG176" i="12"/>
  <c r="BH176" i="12"/>
  <c r="BI176" i="12"/>
  <c r="BJ176" i="12"/>
  <c r="BK176" i="12"/>
  <c r="BL176" i="12"/>
  <c r="BM176" i="12"/>
  <c r="BN176" i="12"/>
  <c r="BO176" i="12"/>
  <c r="BP176" i="12"/>
  <c r="BQ176" i="12"/>
  <c r="BF177" i="12"/>
  <c r="BG177" i="12"/>
  <c r="BH177" i="12"/>
  <c r="BI177" i="12"/>
  <c r="BJ177" i="12"/>
  <c r="BK177" i="12"/>
  <c r="BL177" i="12"/>
  <c r="BM177" i="12"/>
  <c r="BN177" i="12"/>
  <c r="BO177" i="12"/>
  <c r="BP177" i="12"/>
  <c r="BQ177" i="12"/>
  <c r="BF178" i="12"/>
  <c r="BG178" i="12"/>
  <c r="BH178" i="12"/>
  <c r="BI178" i="12"/>
  <c r="BJ178" i="12"/>
  <c r="BK178" i="12"/>
  <c r="BL178" i="12"/>
  <c r="BM178" i="12"/>
  <c r="BN178" i="12"/>
  <c r="BO178" i="12"/>
  <c r="BP178" i="12"/>
  <c r="BQ178" i="12"/>
  <c r="BF179" i="12"/>
  <c r="BG179" i="12"/>
  <c r="BH179" i="12"/>
  <c r="BI179" i="12"/>
  <c r="BJ179" i="12"/>
  <c r="BK179" i="12"/>
  <c r="BL179" i="12"/>
  <c r="BM179" i="12"/>
  <c r="BN179" i="12"/>
  <c r="BO179" i="12"/>
  <c r="BP179" i="12"/>
  <c r="BQ179" i="12"/>
  <c r="BF180" i="12"/>
  <c r="BG180" i="12"/>
  <c r="BH180" i="12"/>
  <c r="BI180" i="12"/>
  <c r="BJ180" i="12"/>
  <c r="BK180" i="12"/>
  <c r="BL180" i="12"/>
  <c r="BM180" i="12"/>
  <c r="BN180" i="12"/>
  <c r="BO180" i="12"/>
  <c r="BP180" i="12"/>
  <c r="BQ180" i="12"/>
  <c r="BF181" i="12"/>
  <c r="BG181" i="12"/>
  <c r="BH181" i="12"/>
  <c r="BI181" i="12"/>
  <c r="BJ181" i="12"/>
  <c r="BK181" i="12"/>
  <c r="BL181" i="12"/>
  <c r="BM181" i="12"/>
  <c r="BN181" i="12"/>
  <c r="BO181" i="12"/>
  <c r="BP181" i="12"/>
  <c r="BQ181" i="12"/>
  <c r="BF182" i="12"/>
  <c r="BG182" i="12"/>
  <c r="BH182" i="12"/>
  <c r="BI182" i="12"/>
  <c r="BJ182" i="12"/>
  <c r="BK182" i="12"/>
  <c r="BL182" i="12"/>
  <c r="BM182" i="12"/>
  <c r="BN182" i="12"/>
  <c r="BO182" i="12"/>
  <c r="BP182" i="12"/>
  <c r="BQ182" i="12"/>
  <c r="BF183" i="12"/>
  <c r="BG183" i="12"/>
  <c r="BH183" i="12"/>
  <c r="BI183" i="12"/>
  <c r="BJ183" i="12"/>
  <c r="BK183" i="12"/>
  <c r="BL183" i="12"/>
  <c r="BM183" i="12"/>
  <c r="BN183" i="12"/>
  <c r="BO183" i="12"/>
  <c r="BP183" i="12"/>
  <c r="BQ183" i="12"/>
  <c r="BF184" i="12"/>
  <c r="BG184" i="12"/>
  <c r="BH184" i="12"/>
  <c r="BI184" i="12"/>
  <c r="BJ184" i="12"/>
  <c r="BK184" i="12"/>
  <c r="BL184" i="12"/>
  <c r="BM184" i="12"/>
  <c r="BN184" i="12"/>
  <c r="BO184" i="12"/>
  <c r="BP184" i="12"/>
  <c r="BQ184" i="12"/>
  <c r="BF185" i="12"/>
  <c r="BG185" i="12"/>
  <c r="BH185" i="12"/>
  <c r="BI185" i="12"/>
  <c r="BJ185" i="12"/>
  <c r="BK185" i="12"/>
  <c r="BL185" i="12"/>
  <c r="BM185" i="12"/>
  <c r="BN185" i="12"/>
  <c r="BO185" i="12"/>
  <c r="BP185" i="12"/>
  <c r="BQ185" i="12"/>
  <c r="BF186" i="12"/>
  <c r="BG186" i="12"/>
  <c r="BH186" i="12"/>
  <c r="BI186" i="12"/>
  <c r="BJ186" i="12"/>
  <c r="BK186" i="12"/>
  <c r="BL186" i="12"/>
  <c r="BM186" i="12"/>
  <c r="BN186" i="12"/>
  <c r="BO186" i="12"/>
  <c r="BQ186" i="12"/>
  <c r="BG187" i="12"/>
  <c r="BI187" i="12"/>
  <c r="BJ187" i="12"/>
  <c r="E38" i="27" s="1"/>
  <c r="BL187" i="12"/>
  <c r="BN187" i="12"/>
  <c r="BO187" i="12"/>
  <c r="BQ187" i="12"/>
  <c r="F43" i="28" s="1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E8" i="27" s="1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F8" i="26"/>
  <c r="BI88" i="24"/>
  <c r="BJ88" i="24"/>
  <c r="BK88" i="24"/>
  <c r="BL88" i="24"/>
  <c r="BM88" i="24"/>
  <c r="BN88" i="24"/>
  <c r="BO88" i="24"/>
  <c r="BP88" i="24"/>
  <c r="BQ88" i="24"/>
  <c r="BR88" i="24"/>
  <c r="BS88" i="24"/>
  <c r="BT88" i="24"/>
  <c r="BU88" i="24"/>
  <c r="BV88" i="24"/>
  <c r="BW88" i="24"/>
  <c r="BX88" i="24"/>
  <c r="BY88" i="24"/>
  <c r="BH88" i="2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BN132" i="14"/>
  <c r="BO132" i="14"/>
  <c r="BP132" i="14"/>
  <c r="BQ132" i="14"/>
  <c r="BR132" i="14"/>
  <c r="BA132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BQ126" i="14"/>
  <c r="BR126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BQ127" i="14"/>
  <c r="BR127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BN129" i="14"/>
  <c r="BO129" i="14"/>
  <c r="BP129" i="14"/>
  <c r="BQ129" i="14"/>
  <c r="BR129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BN130" i="14"/>
  <c r="BO130" i="14"/>
  <c r="BP130" i="14"/>
  <c r="BQ130" i="14"/>
  <c r="BR130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A133" i="14"/>
  <c r="BA134" i="14" s="1"/>
  <c r="F34" i="31" s="1"/>
  <c r="BA130" i="14"/>
  <c r="BA129" i="14"/>
  <c r="BA127" i="14"/>
  <c r="BA126" i="14"/>
  <c r="BA124" i="14"/>
  <c r="BA123" i="14"/>
  <c r="BA121" i="14"/>
  <c r="BA120" i="14"/>
  <c r="BA118" i="14"/>
  <c r="BA117" i="14"/>
  <c r="BA115" i="14"/>
  <c r="BA114" i="14"/>
  <c r="BA112" i="14"/>
  <c r="BA111" i="14"/>
  <c r="BA109" i="14"/>
  <c r="BA108" i="14"/>
  <c r="BA106" i="14"/>
  <c r="BA105" i="14"/>
  <c r="BA103" i="14"/>
  <c r="BA102" i="14"/>
  <c r="BA100" i="14"/>
  <c r="BA99" i="14"/>
  <c r="NP87" i="24"/>
  <c r="NQ87" i="24"/>
  <c r="NR87" i="24"/>
  <c r="NS87" i="24"/>
  <c r="NT87" i="24"/>
  <c r="NU87" i="24"/>
  <c r="NV87" i="24"/>
  <c r="NW87" i="24"/>
  <c r="NX87" i="24"/>
  <c r="NY87" i="24"/>
  <c r="NZ87" i="24"/>
  <c r="OA87" i="24"/>
  <c r="OB87" i="24"/>
  <c r="OC87" i="24"/>
  <c r="OD87" i="24"/>
  <c r="OE87" i="24"/>
  <c r="OF87" i="24"/>
  <c r="OG87" i="24"/>
  <c r="OH87" i="24"/>
  <c r="OI87" i="24"/>
  <c r="OJ87" i="24"/>
  <c r="NO87" i="24"/>
  <c r="MM87" i="24"/>
  <c r="MN87" i="24"/>
  <c r="MO87" i="24"/>
  <c r="MP87" i="24"/>
  <c r="MQ87" i="24"/>
  <c r="MR87" i="24"/>
  <c r="MS87" i="24"/>
  <c r="MT87" i="24"/>
  <c r="MU87" i="24"/>
  <c r="MV87" i="24"/>
  <c r="MW87" i="24"/>
  <c r="MX87" i="24"/>
  <c r="MY87" i="24"/>
  <c r="MZ87" i="24"/>
  <c r="NA87" i="24"/>
  <c r="NB87" i="24"/>
  <c r="NC87" i="24"/>
  <c r="ND87" i="24"/>
  <c r="NE87" i="24"/>
  <c r="NF87" i="24"/>
  <c r="NG87" i="24"/>
  <c r="ML87" i="24"/>
  <c r="LJ87" i="24"/>
  <c r="LK87" i="24"/>
  <c r="LL87" i="24"/>
  <c r="LM87" i="24"/>
  <c r="LN87" i="24"/>
  <c r="LO87" i="24"/>
  <c r="LP87" i="24"/>
  <c r="LQ87" i="24"/>
  <c r="LR87" i="24"/>
  <c r="LS87" i="24"/>
  <c r="LT87" i="24"/>
  <c r="LU87" i="24"/>
  <c r="LV87" i="24"/>
  <c r="LW87" i="24"/>
  <c r="LX87" i="24"/>
  <c r="LY87" i="24"/>
  <c r="LZ87" i="24"/>
  <c r="MA87" i="24"/>
  <c r="MB87" i="24"/>
  <c r="MC87" i="24"/>
  <c r="MD87" i="24"/>
  <c r="LI87" i="24"/>
  <c r="KG87" i="24"/>
  <c r="KH87" i="24"/>
  <c r="KI87" i="24"/>
  <c r="KJ87" i="24"/>
  <c r="KK87" i="24"/>
  <c r="KL87" i="24"/>
  <c r="KM87" i="24"/>
  <c r="KN87" i="24"/>
  <c r="KO87" i="24"/>
  <c r="KP87" i="24"/>
  <c r="KQ87" i="24"/>
  <c r="KR87" i="24"/>
  <c r="KS87" i="24"/>
  <c r="KT87" i="24"/>
  <c r="KU87" i="24"/>
  <c r="KV87" i="24"/>
  <c r="KW87" i="24"/>
  <c r="KX87" i="24"/>
  <c r="KY87" i="24"/>
  <c r="KZ87" i="24"/>
  <c r="LA87" i="24"/>
  <c r="KF87" i="24"/>
  <c r="JD87" i="24"/>
  <c r="JE87" i="24"/>
  <c r="JF87" i="24"/>
  <c r="JG87" i="24"/>
  <c r="JH87" i="24"/>
  <c r="JI87" i="24"/>
  <c r="JJ87" i="24"/>
  <c r="JK87" i="24"/>
  <c r="JL87" i="24"/>
  <c r="JM87" i="24"/>
  <c r="JN87" i="24"/>
  <c r="JO87" i="24"/>
  <c r="JP87" i="24"/>
  <c r="JQ87" i="24"/>
  <c r="JR87" i="24"/>
  <c r="JS87" i="24"/>
  <c r="JT87" i="24"/>
  <c r="JU87" i="24"/>
  <c r="JV87" i="24"/>
  <c r="JW87" i="24"/>
  <c r="JX87" i="24"/>
  <c r="JC87" i="24"/>
  <c r="IA87" i="24"/>
  <c r="IB87" i="24"/>
  <c r="IC87" i="24"/>
  <c r="ID87" i="24"/>
  <c r="IE87" i="24"/>
  <c r="IF87" i="24"/>
  <c r="IG87" i="24"/>
  <c r="IH87" i="24"/>
  <c r="II87" i="24"/>
  <c r="IJ87" i="24"/>
  <c r="IK87" i="24"/>
  <c r="IL87" i="24"/>
  <c r="IM87" i="24"/>
  <c r="IN87" i="24"/>
  <c r="IO87" i="24"/>
  <c r="IP87" i="24"/>
  <c r="IQ87" i="24"/>
  <c r="IR87" i="24"/>
  <c r="IS87" i="24"/>
  <c r="IT87" i="24"/>
  <c r="IU87" i="24"/>
  <c r="HZ87" i="24"/>
  <c r="GX87" i="24"/>
  <c r="GY87" i="24"/>
  <c r="GZ87" i="24"/>
  <c r="HA87" i="24"/>
  <c r="HB87" i="24"/>
  <c r="HC87" i="24"/>
  <c r="HD87" i="24"/>
  <c r="HE87" i="24"/>
  <c r="HF87" i="24"/>
  <c r="HG87" i="24"/>
  <c r="HH87" i="24"/>
  <c r="HI87" i="24"/>
  <c r="HJ87" i="24"/>
  <c r="HK87" i="24"/>
  <c r="HL87" i="24"/>
  <c r="HM87" i="24"/>
  <c r="HN87" i="24"/>
  <c r="HO87" i="24"/>
  <c r="HP87" i="24"/>
  <c r="HQ87" i="24"/>
  <c r="HR87" i="24"/>
  <c r="GW87" i="24"/>
  <c r="FU87" i="24"/>
  <c r="FV87" i="24"/>
  <c r="FW87" i="24"/>
  <c r="FX87" i="24"/>
  <c r="FY87" i="24"/>
  <c r="FZ87" i="24"/>
  <c r="GA87" i="24"/>
  <c r="GB87" i="24"/>
  <c r="GC87" i="24"/>
  <c r="GD87" i="24"/>
  <c r="GE87" i="24"/>
  <c r="GF87" i="24"/>
  <c r="GG87" i="24"/>
  <c r="GH87" i="24"/>
  <c r="GI87" i="24"/>
  <c r="GJ87" i="24"/>
  <c r="GK87" i="24"/>
  <c r="GL87" i="24"/>
  <c r="GM87" i="24"/>
  <c r="GN87" i="24"/>
  <c r="GO87" i="24"/>
  <c r="FT87" i="24"/>
  <c r="ER87" i="24"/>
  <c r="ES87" i="24"/>
  <c r="ET87" i="24"/>
  <c r="EU87" i="24"/>
  <c r="EV87" i="24"/>
  <c r="EW87" i="24"/>
  <c r="EX87" i="24"/>
  <c r="EY87" i="24"/>
  <c r="EZ87" i="24"/>
  <c r="FA87" i="24"/>
  <c r="FB87" i="24"/>
  <c r="FC87" i="24"/>
  <c r="FD87" i="24"/>
  <c r="FE87" i="24"/>
  <c r="FF87" i="24"/>
  <c r="FG87" i="24"/>
  <c r="FH87" i="24"/>
  <c r="FI87" i="24"/>
  <c r="FJ87" i="24"/>
  <c r="FK87" i="24"/>
  <c r="FL87" i="24"/>
  <c r="EQ87" i="24"/>
  <c r="DO87" i="24"/>
  <c r="DP87" i="24"/>
  <c r="DQ87" i="24"/>
  <c r="DR87" i="24"/>
  <c r="DS87" i="24"/>
  <c r="DT87" i="24"/>
  <c r="DU87" i="24"/>
  <c r="DV87" i="24"/>
  <c r="DW87" i="24"/>
  <c r="DX87" i="24"/>
  <c r="DY87" i="24"/>
  <c r="DZ87" i="24"/>
  <c r="EA87" i="24"/>
  <c r="EB87" i="24"/>
  <c r="EC87" i="24"/>
  <c r="ED87" i="24"/>
  <c r="EE87" i="24"/>
  <c r="EF87" i="24"/>
  <c r="EG87" i="24"/>
  <c r="EH87" i="24"/>
  <c r="EI87" i="24"/>
  <c r="DN87" i="24"/>
  <c r="CL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CZ87" i="24"/>
  <c r="DA87" i="24"/>
  <c r="DB87" i="24"/>
  <c r="DC87" i="24"/>
  <c r="DD87" i="24"/>
  <c r="DE87" i="24"/>
  <c r="DF87" i="24"/>
  <c r="CK87" i="24"/>
  <c r="BI87" i="24"/>
  <c r="BJ87" i="24"/>
  <c r="BK87" i="24"/>
  <c r="BL87" i="24"/>
  <c r="BM87" i="24"/>
  <c r="BN87" i="24"/>
  <c r="BO87" i="24"/>
  <c r="BP87" i="24"/>
  <c r="BQ87" i="24"/>
  <c r="BR87" i="24"/>
  <c r="BS87" i="24"/>
  <c r="BT87" i="24"/>
  <c r="BU87" i="24"/>
  <c r="BV87" i="24"/>
  <c r="BW87" i="24"/>
  <c r="BX87" i="24"/>
  <c r="BY87" i="24"/>
  <c r="BZ87" i="24"/>
  <c r="CA87" i="24"/>
  <c r="CB87" i="24"/>
  <c r="CC87" i="24"/>
  <c r="BH87" i="24"/>
  <c r="NP85" i="24"/>
  <c r="NQ85" i="24"/>
  <c r="NR85" i="24"/>
  <c r="NS85" i="24"/>
  <c r="NT85" i="24"/>
  <c r="NU85" i="24"/>
  <c r="NV85" i="24"/>
  <c r="NW85" i="24"/>
  <c r="NX85" i="24"/>
  <c r="NY85" i="24"/>
  <c r="NZ85" i="24"/>
  <c r="OA85" i="24"/>
  <c r="OB85" i="24"/>
  <c r="OC85" i="24"/>
  <c r="OD85" i="24"/>
  <c r="OE85" i="24"/>
  <c r="OF85" i="24"/>
  <c r="NO85" i="24"/>
  <c r="MM85" i="24"/>
  <c r="MN85" i="24"/>
  <c r="MO85" i="24"/>
  <c r="MP85" i="24"/>
  <c r="MQ85" i="24"/>
  <c r="MR85" i="24"/>
  <c r="MS85" i="24"/>
  <c r="MT85" i="24"/>
  <c r="MU85" i="24"/>
  <c r="MV85" i="24"/>
  <c r="MW85" i="24"/>
  <c r="MX85" i="24"/>
  <c r="MY85" i="24"/>
  <c r="MZ85" i="24"/>
  <c r="NA85" i="24"/>
  <c r="NB85" i="24"/>
  <c r="NC85" i="24"/>
  <c r="ML85" i="24"/>
  <c r="LJ85" i="24"/>
  <c r="LK85" i="24"/>
  <c r="LL85" i="24"/>
  <c r="LM85" i="24"/>
  <c r="LN85" i="24"/>
  <c r="LO85" i="24"/>
  <c r="LP85" i="24"/>
  <c r="LQ85" i="24"/>
  <c r="LR85" i="24"/>
  <c r="LS85" i="24"/>
  <c r="LT85" i="24"/>
  <c r="LU85" i="24"/>
  <c r="LV85" i="24"/>
  <c r="LW85" i="24"/>
  <c r="LX85" i="24"/>
  <c r="LY85" i="24"/>
  <c r="LZ85" i="24"/>
  <c r="LI85" i="24"/>
  <c r="KG85" i="24"/>
  <c r="KH85" i="24"/>
  <c r="KI85" i="24"/>
  <c r="KJ85" i="24"/>
  <c r="KK85" i="24"/>
  <c r="KL85" i="24"/>
  <c r="KM85" i="24"/>
  <c r="KN85" i="24"/>
  <c r="KO85" i="24"/>
  <c r="KP85" i="24"/>
  <c r="KQ85" i="24"/>
  <c r="KR85" i="24"/>
  <c r="KS85" i="24"/>
  <c r="KT85" i="24"/>
  <c r="KU85" i="24"/>
  <c r="KV85" i="24"/>
  <c r="KW85" i="24"/>
  <c r="KF85" i="24"/>
  <c r="JD85" i="24"/>
  <c r="JE85" i="24"/>
  <c r="JF85" i="24"/>
  <c r="JG85" i="24"/>
  <c r="JH85" i="24"/>
  <c r="JI85" i="24"/>
  <c r="JJ85" i="24"/>
  <c r="JK85" i="24"/>
  <c r="JL85" i="24"/>
  <c r="JM85" i="24"/>
  <c r="JN85" i="24"/>
  <c r="JO85" i="24"/>
  <c r="JP85" i="24"/>
  <c r="JQ85" i="24"/>
  <c r="JR85" i="24"/>
  <c r="JS85" i="24"/>
  <c r="JT85" i="24"/>
  <c r="JC85" i="24"/>
  <c r="IA85" i="24"/>
  <c r="IB85" i="24"/>
  <c r="IC85" i="24"/>
  <c r="ID85" i="24"/>
  <c r="IE85" i="24"/>
  <c r="IF85" i="24"/>
  <c r="IG85" i="24"/>
  <c r="IH85" i="24"/>
  <c r="II85" i="24"/>
  <c r="IJ85" i="24"/>
  <c r="IK85" i="24"/>
  <c r="IL85" i="24"/>
  <c r="IM85" i="24"/>
  <c r="IN85" i="24"/>
  <c r="IO85" i="24"/>
  <c r="IP85" i="24"/>
  <c r="IQ85" i="24"/>
  <c r="HZ85" i="24"/>
  <c r="GX85" i="24"/>
  <c r="GY85" i="24"/>
  <c r="GZ85" i="24"/>
  <c r="HA85" i="24"/>
  <c r="HB85" i="24"/>
  <c r="HC85" i="24"/>
  <c r="HD85" i="24"/>
  <c r="HE85" i="24"/>
  <c r="HF85" i="24"/>
  <c r="HG85" i="24"/>
  <c r="HH85" i="24"/>
  <c r="HI85" i="24"/>
  <c r="HJ85" i="24"/>
  <c r="HK85" i="24"/>
  <c r="HL85" i="24"/>
  <c r="HM85" i="24"/>
  <c r="HN85" i="24"/>
  <c r="GW85" i="24"/>
  <c r="FU85" i="24"/>
  <c r="FV85" i="24"/>
  <c r="FW85" i="24"/>
  <c r="FX85" i="24"/>
  <c r="FY85" i="24"/>
  <c r="FZ85" i="24"/>
  <c r="GA85" i="24"/>
  <c r="GB85" i="24"/>
  <c r="GC85" i="24"/>
  <c r="GD85" i="24"/>
  <c r="GE85" i="24"/>
  <c r="GF85" i="24"/>
  <c r="GG85" i="24"/>
  <c r="GH85" i="24"/>
  <c r="GI85" i="24"/>
  <c r="GJ85" i="24"/>
  <c r="GK85" i="24"/>
  <c r="FT85" i="24"/>
  <c r="ER85" i="24"/>
  <c r="ES85" i="24"/>
  <c r="ET85" i="24"/>
  <c r="EU85" i="24"/>
  <c r="EV85" i="24"/>
  <c r="EW85" i="24"/>
  <c r="EX85" i="24"/>
  <c r="EY85" i="24"/>
  <c r="EZ85" i="24"/>
  <c r="FA85" i="24"/>
  <c r="FB85" i="24"/>
  <c r="FC85" i="24"/>
  <c r="FD85" i="24"/>
  <c r="FE85" i="24"/>
  <c r="FF85" i="24"/>
  <c r="FG85" i="24"/>
  <c r="FH85" i="24"/>
  <c r="EQ85" i="24"/>
  <c r="DO85" i="24"/>
  <c r="DP85" i="24"/>
  <c r="DQ85" i="24"/>
  <c r="DR85" i="24"/>
  <c r="DS85" i="24"/>
  <c r="DT85" i="24"/>
  <c r="DU85" i="24"/>
  <c r="DV85" i="24"/>
  <c r="DW85" i="24"/>
  <c r="DX85" i="24"/>
  <c r="DY85" i="24"/>
  <c r="DZ85" i="24"/>
  <c r="EA85" i="24"/>
  <c r="EB85" i="24"/>
  <c r="EC85" i="24"/>
  <c r="ED85" i="24"/>
  <c r="EE85" i="24"/>
  <c r="DN85" i="24"/>
  <c r="CL85" i="24"/>
  <c r="CM85" i="24"/>
  <c r="CN85" i="24"/>
  <c r="CO85" i="24"/>
  <c r="CP85" i="24"/>
  <c r="CQ85" i="24"/>
  <c r="CR85" i="24"/>
  <c r="CS85" i="24"/>
  <c r="CT85" i="24"/>
  <c r="CU85" i="24"/>
  <c r="CV85" i="24"/>
  <c r="CW85" i="24"/>
  <c r="CX85" i="24"/>
  <c r="CY85" i="24"/>
  <c r="CZ85" i="24"/>
  <c r="DA85" i="24"/>
  <c r="DB85" i="24"/>
  <c r="CK85" i="24"/>
  <c r="BH85" i="24"/>
  <c r="BI85" i="24"/>
  <c r="BI122" i="24" s="1"/>
  <c r="BJ85" i="24"/>
  <c r="BJ122" i="24" s="1"/>
  <c r="BK85" i="24"/>
  <c r="BK122" i="24" s="1"/>
  <c r="BL85" i="24"/>
  <c r="BL122" i="24" s="1"/>
  <c r="BM85" i="24"/>
  <c r="BM122" i="24" s="1"/>
  <c r="BN85" i="24"/>
  <c r="BN122" i="24" s="1"/>
  <c r="BO85" i="24"/>
  <c r="BO122" i="24" s="1"/>
  <c r="BP85" i="24"/>
  <c r="BP122" i="24" s="1"/>
  <c r="BQ85" i="24"/>
  <c r="BR85" i="24"/>
  <c r="BS85" i="24"/>
  <c r="BT85" i="24"/>
  <c r="BU85" i="24"/>
  <c r="BV85" i="24"/>
  <c r="BW85" i="24"/>
  <c r="BX85" i="24"/>
  <c r="BY85" i="24"/>
  <c r="BH7" i="24"/>
  <c r="BV54" i="30" l="1"/>
  <c r="BV58" i="30"/>
  <c r="BV62" i="30"/>
  <c r="BV66" i="30"/>
  <c r="BV70" i="30"/>
  <c r="BV74" i="30"/>
  <c r="BH13" i="30"/>
  <c r="BW81" i="30"/>
  <c r="BH52" i="30"/>
  <c r="BH54" i="30"/>
  <c r="BF56" i="30"/>
  <c r="BH58" i="30"/>
  <c r="BF60" i="30"/>
  <c r="BH64" i="30"/>
  <c r="BG66" i="30"/>
  <c r="BF68" i="30"/>
  <c r="BO63" i="30"/>
  <c r="BI65" i="30"/>
  <c r="BK57" i="30"/>
  <c r="BN73" i="30"/>
  <c r="BI69" i="30"/>
  <c r="BJ53" i="30"/>
  <c r="BC61" i="30"/>
  <c r="BQ61" i="30" s="1"/>
  <c r="BT61" i="30" s="1"/>
  <c r="BO71" i="30"/>
  <c r="BM77" i="30"/>
  <c r="BC69" i="30"/>
  <c r="BL69" i="30"/>
  <c r="BC53" i="30"/>
  <c r="BP53" i="30" s="1"/>
  <c r="BT53" i="30" s="1"/>
  <c r="BI55" i="30"/>
  <c r="BU59" i="30"/>
  <c r="BL61" i="30"/>
  <c r="BM67" i="30"/>
  <c r="BC73" i="30"/>
  <c r="BR73" i="30" s="1"/>
  <c r="BT73" i="30" s="1"/>
  <c r="BJ75" i="30"/>
  <c r="BO79" i="30"/>
  <c r="BO69" i="30"/>
  <c r="BK69" i="30"/>
  <c r="BE82" i="30"/>
  <c r="BW82" i="30" s="1"/>
  <c r="BC57" i="30"/>
  <c r="BP57" i="30" s="1"/>
  <c r="BT57" i="30" s="1"/>
  <c r="BC67" i="30"/>
  <c r="BR67" i="30" s="1"/>
  <c r="BT67" i="30" s="1"/>
  <c r="BC77" i="30"/>
  <c r="BS77" i="30" s="1"/>
  <c r="BT77" i="30" s="1"/>
  <c r="BL53" i="30"/>
  <c r="BN53" i="30"/>
  <c r="BK53" i="30"/>
  <c r="BV53" i="30"/>
  <c r="BO53" i="30"/>
  <c r="BJ55" i="30"/>
  <c r="BN55" i="30"/>
  <c r="BK55" i="30"/>
  <c r="BV55" i="30"/>
  <c r="BO55" i="30"/>
  <c r="BN57" i="30"/>
  <c r="BM57" i="30"/>
  <c r="BL57" i="30"/>
  <c r="BV57" i="30"/>
  <c r="BU57" i="30"/>
  <c r="BJ59" i="30"/>
  <c r="BK59" i="30"/>
  <c r="BL59" i="30"/>
  <c r="BV59" i="30"/>
  <c r="BO59" i="30"/>
  <c r="BJ61" i="30"/>
  <c r="BK61" i="30"/>
  <c r="BN61" i="30"/>
  <c r="BV61" i="30"/>
  <c r="BU61" i="30"/>
  <c r="BJ63" i="30"/>
  <c r="BN63" i="30"/>
  <c r="BK63" i="30"/>
  <c r="BV63" i="30"/>
  <c r="BU63" i="30"/>
  <c r="BL65" i="30"/>
  <c r="BN65" i="30"/>
  <c r="BK65" i="30"/>
  <c r="BM65" i="30"/>
  <c r="BO65" i="30"/>
  <c r="BJ67" i="30"/>
  <c r="BK67" i="30"/>
  <c r="BI67" i="30"/>
  <c r="BV67" i="30"/>
  <c r="BO67" i="30"/>
  <c r="BL71" i="30"/>
  <c r="BM71" i="30"/>
  <c r="BN71" i="30"/>
  <c r="BV71" i="30"/>
  <c r="BU71" i="30"/>
  <c r="BJ73" i="30"/>
  <c r="BI73" i="30"/>
  <c r="BM73" i="30"/>
  <c r="BV73" i="30"/>
  <c r="BO73" i="30"/>
  <c r="BL75" i="30"/>
  <c r="BM75" i="30"/>
  <c r="BI75" i="30"/>
  <c r="BV75" i="30"/>
  <c r="BO75" i="30"/>
  <c r="BJ77" i="30"/>
  <c r="BN77" i="30"/>
  <c r="BK77" i="30"/>
  <c r="BV77" i="30"/>
  <c r="BO77" i="30"/>
  <c r="BL79" i="30"/>
  <c r="BI79" i="30"/>
  <c r="BM79" i="30"/>
  <c r="BV79" i="30"/>
  <c r="BU79" i="30"/>
  <c r="BF70" i="30"/>
  <c r="BG70" i="30"/>
  <c r="BG72" i="30"/>
  <c r="BF72" i="30"/>
  <c r="BF74" i="30"/>
  <c r="BG74" i="30"/>
  <c r="BG76" i="30"/>
  <c r="BF76" i="30"/>
  <c r="BG78" i="30"/>
  <c r="BF78" i="30"/>
  <c r="BG80" i="30"/>
  <c r="BF80" i="30"/>
  <c r="BU69" i="30"/>
  <c r="BV69" i="30"/>
  <c r="BM69" i="30"/>
  <c r="BN69" i="30"/>
  <c r="BC63" i="30"/>
  <c r="BQ63" i="30" s="1"/>
  <c r="BT63" i="30" s="1"/>
  <c r="BW63" i="30" s="1"/>
  <c r="BM63" i="30"/>
  <c r="BL63" i="30"/>
  <c r="BU53" i="30"/>
  <c r="BI53" i="30"/>
  <c r="BC55" i="30"/>
  <c r="BP55" i="30" s="1"/>
  <c r="BT55" i="30" s="1"/>
  <c r="BM55" i="30"/>
  <c r="BL55" i="30"/>
  <c r="BO57" i="30"/>
  <c r="BJ57" i="30"/>
  <c r="BC59" i="30"/>
  <c r="BQ59" i="30" s="1"/>
  <c r="BT59" i="30" s="1"/>
  <c r="BI59" i="30"/>
  <c r="BN59" i="30"/>
  <c r="BO61" i="30"/>
  <c r="BM61" i="30"/>
  <c r="BC65" i="30"/>
  <c r="BQ65" i="30" s="1"/>
  <c r="BT65" i="30" s="1"/>
  <c r="BV65" i="30"/>
  <c r="BJ65" i="30"/>
  <c r="BU67" i="30"/>
  <c r="BL67" i="30"/>
  <c r="BC71" i="30"/>
  <c r="BR71" i="30" s="1"/>
  <c r="BT71" i="30" s="1"/>
  <c r="BK71" i="30"/>
  <c r="BI71" i="30"/>
  <c r="BU73" i="30"/>
  <c r="BK73" i="30"/>
  <c r="BC75" i="30"/>
  <c r="BS75" i="30" s="1"/>
  <c r="BT75" i="30" s="1"/>
  <c r="BW75" i="30" s="1"/>
  <c r="BK75" i="30"/>
  <c r="BN75" i="30"/>
  <c r="BU77" i="30"/>
  <c r="BI77" i="30"/>
  <c r="BC79" i="30"/>
  <c r="BS79" i="30" s="1"/>
  <c r="BT79" i="30" s="1"/>
  <c r="BJ79" i="30"/>
  <c r="BN79" i="30"/>
  <c r="BG52" i="30"/>
  <c r="BF54" i="30"/>
  <c r="BG56" i="30"/>
  <c r="BF58" i="30"/>
  <c r="BG60" i="30"/>
  <c r="BG64" i="30"/>
  <c r="BH66" i="30"/>
  <c r="BH68" i="30"/>
  <c r="BH70" i="30"/>
  <c r="BH72" i="30"/>
  <c r="BH74" i="30"/>
  <c r="BH76" i="30"/>
  <c r="BH78" i="30"/>
  <c r="BH80" i="30"/>
  <c r="BW60" i="30"/>
  <c r="BW62" i="30"/>
  <c r="BW64" i="30"/>
  <c r="BW66" i="30"/>
  <c r="BW68" i="30"/>
  <c r="BW70" i="30"/>
  <c r="BW72" i="30"/>
  <c r="BW74" i="30"/>
  <c r="BW76" i="30"/>
  <c r="BW78" i="30"/>
  <c r="BW80" i="30"/>
  <c r="BW56" i="30"/>
  <c r="BF62" i="30"/>
  <c r="BH62" i="30"/>
  <c r="BG62" i="30"/>
  <c r="BI119" i="14"/>
  <c r="IH89" i="24" s="1"/>
  <c r="BO107" i="14"/>
  <c r="BK107" i="14"/>
  <c r="BG107" i="14"/>
  <c r="DT89" i="24" s="1"/>
  <c r="BC107" i="14"/>
  <c r="BE101" i="14"/>
  <c r="BL89" i="24" s="1"/>
  <c r="BW52" i="30"/>
  <c r="BW54" i="30"/>
  <c r="BW58" i="30"/>
  <c r="BH61" i="30"/>
  <c r="BG61" i="30"/>
  <c r="BF61" i="30"/>
  <c r="BT51" i="30"/>
  <c r="BW51" i="30" s="1"/>
  <c r="BV37" i="30"/>
  <c r="BO37" i="30"/>
  <c r="BI7" i="30"/>
  <c r="BO7" i="30"/>
  <c r="BV7" i="30"/>
  <c r="BG13" i="30"/>
  <c r="AC13" i="28"/>
  <c r="AD13" i="28"/>
  <c r="AD44" i="28" s="1"/>
  <c r="L23" i="31"/>
  <c r="E10" i="34" s="1"/>
  <c r="K7" i="25"/>
  <c r="M23" i="31"/>
  <c r="K9" i="25"/>
  <c r="J33" i="27"/>
  <c r="J37" i="27"/>
  <c r="J35" i="27"/>
  <c r="J32" i="27"/>
  <c r="J34" i="27"/>
  <c r="J36" i="27"/>
  <c r="J38" i="27"/>
  <c r="J11" i="27"/>
  <c r="J15" i="27"/>
  <c r="J17" i="27"/>
  <c r="J19" i="27"/>
  <c r="J21" i="27"/>
  <c r="J23" i="27"/>
  <c r="J25" i="27"/>
  <c r="J27" i="27"/>
  <c r="J29" i="27"/>
  <c r="J31" i="27"/>
  <c r="J12" i="27"/>
  <c r="J13" i="27"/>
  <c r="J14" i="27"/>
  <c r="J16" i="27"/>
  <c r="J18" i="27"/>
  <c r="J20" i="27"/>
  <c r="J22" i="27"/>
  <c r="J24" i="27"/>
  <c r="J26" i="27"/>
  <c r="J28" i="27"/>
  <c r="J30" i="27"/>
  <c r="J9" i="27"/>
  <c r="J10" i="27"/>
  <c r="R11" i="30"/>
  <c r="Z11" i="30"/>
  <c r="O21" i="30"/>
  <c r="Z21" i="30"/>
  <c r="P32" i="30"/>
  <c r="Z32" i="30"/>
  <c r="P10" i="30"/>
  <c r="Z10" i="30"/>
  <c r="Y13" i="30"/>
  <c r="Z13" i="30"/>
  <c r="Q15" i="30"/>
  <c r="Z15" i="30"/>
  <c r="M17" i="30"/>
  <c r="Z17" i="30"/>
  <c r="O20" i="30"/>
  <c r="Z20" i="30"/>
  <c r="Q23" i="30"/>
  <c r="Z23" i="30"/>
  <c r="R26" i="30"/>
  <c r="Z26" i="30"/>
  <c r="Y28" i="30"/>
  <c r="Z28" i="30"/>
  <c r="N30" i="30"/>
  <c r="Z30" i="30"/>
  <c r="O33" i="30"/>
  <c r="Z33" i="30"/>
  <c r="O35" i="30"/>
  <c r="Z35" i="30"/>
  <c r="G7" i="30"/>
  <c r="Z7" i="30"/>
  <c r="O8" i="30"/>
  <c r="Z8" i="30"/>
  <c r="P18" i="30"/>
  <c r="Z18" i="30"/>
  <c r="O25" i="30"/>
  <c r="Z25" i="30"/>
  <c r="P9" i="30"/>
  <c r="Z9" i="30"/>
  <c r="P12" i="30"/>
  <c r="Z12" i="30"/>
  <c r="R14" i="30"/>
  <c r="Z14" i="30"/>
  <c r="R16" i="30"/>
  <c r="Z16" i="30"/>
  <c r="M19" i="30"/>
  <c r="Z19" i="30"/>
  <c r="N22" i="30"/>
  <c r="Z22" i="30"/>
  <c r="N24" i="30"/>
  <c r="Z24" i="30"/>
  <c r="P27" i="30"/>
  <c r="Z27" i="30"/>
  <c r="M29" i="30"/>
  <c r="Z29" i="30"/>
  <c r="Q31" i="30"/>
  <c r="Z31" i="30"/>
  <c r="N34" i="30"/>
  <c r="Z34" i="30"/>
  <c r="P36" i="30"/>
  <c r="Z36" i="30"/>
  <c r="CX141" i="24"/>
  <c r="M35" i="31" s="1"/>
  <c r="BF37" i="30"/>
  <c r="BH37" i="30"/>
  <c r="Q7" i="30"/>
  <c r="BG16" i="30"/>
  <c r="BH16" i="30"/>
  <c r="BE134" i="14"/>
  <c r="J7" i="30"/>
  <c r="K30" i="30"/>
  <c r="J9" i="30"/>
  <c r="J14" i="30"/>
  <c r="O34" i="30"/>
  <c r="J29" i="30"/>
  <c r="K28" i="30"/>
  <c r="K21" i="30"/>
  <c r="K32" i="30"/>
  <c r="R36" i="30"/>
  <c r="BA135" i="14"/>
  <c r="N7" i="30"/>
  <c r="M7" i="30"/>
  <c r="P7" i="30"/>
  <c r="R7" i="30"/>
  <c r="O7" i="30"/>
  <c r="Y7" i="30"/>
  <c r="O98" i="44"/>
  <c r="G13" i="28"/>
  <c r="BC7" i="30"/>
  <c r="BJ7" i="30"/>
  <c r="BN7" i="30"/>
  <c r="BK7" i="30"/>
  <c r="R25" i="30"/>
  <c r="N14" i="30"/>
  <c r="N27" i="30"/>
  <c r="O19" i="30"/>
  <c r="Q22" i="30"/>
  <c r="G29" i="30"/>
  <c r="R32" i="30"/>
  <c r="N28" i="30"/>
  <c r="BE38" i="30"/>
  <c r="BU7" i="30"/>
  <c r="BL7" i="30"/>
  <c r="BM7" i="30"/>
  <c r="Q8" i="30"/>
  <c r="N12" i="30"/>
  <c r="R9" i="30"/>
  <c r="N16" i="30"/>
  <c r="R24" i="30"/>
  <c r="M31" i="30"/>
  <c r="L26" i="30"/>
  <c r="G18" i="30"/>
  <c r="O12" i="30"/>
  <c r="P19" i="30"/>
  <c r="Y9" i="30"/>
  <c r="M14" i="30"/>
  <c r="Y16" i="30"/>
  <c r="R22" i="30"/>
  <c r="Y24" i="30"/>
  <c r="O27" i="30"/>
  <c r="N29" i="30"/>
  <c r="N31" i="30"/>
  <c r="Q34" i="30"/>
  <c r="Y36" i="30"/>
  <c r="J16" i="30"/>
  <c r="L34" i="30"/>
  <c r="BN135" i="14"/>
  <c r="H15" i="30"/>
  <c r="H14" i="30"/>
  <c r="H13" i="30"/>
  <c r="P11" i="30"/>
  <c r="M21" i="30"/>
  <c r="K12" i="30"/>
  <c r="J20" i="30"/>
  <c r="L30" i="30"/>
  <c r="K7" i="30"/>
  <c r="M12" i="30"/>
  <c r="R12" i="30"/>
  <c r="Y19" i="30"/>
  <c r="Q19" i="30"/>
  <c r="O9" i="30"/>
  <c r="M9" i="30"/>
  <c r="O14" i="30"/>
  <c r="Y14" i="30"/>
  <c r="G16" i="30"/>
  <c r="Q16" i="30"/>
  <c r="G22" i="30"/>
  <c r="P22" i="30"/>
  <c r="M24" i="30"/>
  <c r="P24" i="30"/>
  <c r="Q27" i="30"/>
  <c r="R27" i="30"/>
  <c r="R29" i="30"/>
  <c r="O29" i="30"/>
  <c r="R31" i="30"/>
  <c r="O31" i="30"/>
  <c r="Y34" i="30"/>
  <c r="P34" i="30"/>
  <c r="M36" i="30"/>
  <c r="O36" i="30"/>
  <c r="BM134" i="14"/>
  <c r="OA89" i="24" s="1"/>
  <c r="BI134" i="14"/>
  <c r="NW89" i="24" s="1"/>
  <c r="BR104" i="14"/>
  <c r="BP104" i="14"/>
  <c r="CZ89" i="24" s="1"/>
  <c r="BN104" i="14"/>
  <c r="BL104" i="14"/>
  <c r="AZ87" i="14" s="1"/>
  <c r="BJ104" i="14"/>
  <c r="BH104" i="14"/>
  <c r="CR89" i="24" s="1"/>
  <c r="BF104" i="14"/>
  <c r="BD104" i="14"/>
  <c r="CN89" i="24" s="1"/>
  <c r="BB104" i="14"/>
  <c r="BM101" i="14"/>
  <c r="BT89" i="24" s="1"/>
  <c r="BT91" i="24" s="1"/>
  <c r="BI101" i="14"/>
  <c r="BP89" i="24" s="1"/>
  <c r="BP91" i="24" s="1"/>
  <c r="H12" i="30"/>
  <c r="M15" i="30"/>
  <c r="P26" i="30"/>
  <c r="G33" i="30"/>
  <c r="Q10" i="30"/>
  <c r="Y20" i="30"/>
  <c r="N13" i="30"/>
  <c r="O17" i="30"/>
  <c r="O23" i="30"/>
  <c r="Y30" i="30"/>
  <c r="G35" i="30"/>
  <c r="K14" i="30"/>
  <c r="L18" i="30"/>
  <c r="K23" i="30"/>
  <c r="J28" i="30"/>
  <c r="J32" i="30"/>
  <c r="J36" i="30"/>
  <c r="L7" i="30"/>
  <c r="G12" i="30"/>
  <c r="Y12" i="30"/>
  <c r="Q12" i="30"/>
  <c r="G19" i="30"/>
  <c r="R19" i="30"/>
  <c r="N19" i="30"/>
  <c r="G9" i="30"/>
  <c r="N9" i="30"/>
  <c r="Q9" i="30"/>
  <c r="G14" i="30"/>
  <c r="P14" i="30"/>
  <c r="Q14" i="30"/>
  <c r="O16" i="30"/>
  <c r="M16" i="30"/>
  <c r="P16" i="30"/>
  <c r="O22" i="30"/>
  <c r="Y22" i="30"/>
  <c r="M22" i="30"/>
  <c r="G24" i="30"/>
  <c r="Q24" i="30"/>
  <c r="O24" i="30"/>
  <c r="G27" i="30"/>
  <c r="M27" i="30"/>
  <c r="Y27" i="30"/>
  <c r="Y29" i="30"/>
  <c r="P29" i="30"/>
  <c r="Q29" i="30"/>
  <c r="G31" i="30"/>
  <c r="Y31" i="30"/>
  <c r="P31" i="30"/>
  <c r="G34" i="30"/>
  <c r="R34" i="30"/>
  <c r="M34" i="30"/>
  <c r="G36" i="30"/>
  <c r="Q36" i="30"/>
  <c r="N36" i="30"/>
  <c r="N26" i="30"/>
  <c r="R33" i="30"/>
  <c r="N10" i="30"/>
  <c r="P13" i="30"/>
  <c r="Y15" i="30"/>
  <c r="R17" i="30"/>
  <c r="P20" i="30"/>
  <c r="P23" i="30"/>
  <c r="R28" i="30"/>
  <c r="R30" i="30"/>
  <c r="N35" i="30"/>
  <c r="M26" i="30"/>
  <c r="O26" i="30"/>
  <c r="P33" i="30"/>
  <c r="Q33" i="30"/>
  <c r="Y10" i="30"/>
  <c r="O10" i="30"/>
  <c r="Q13" i="30"/>
  <c r="R13" i="30"/>
  <c r="O15" i="30"/>
  <c r="N15" i="30"/>
  <c r="Q17" i="30"/>
  <c r="N17" i="30"/>
  <c r="M20" i="30"/>
  <c r="N20" i="30"/>
  <c r="Y23" i="30"/>
  <c r="M23" i="30"/>
  <c r="O28" i="30"/>
  <c r="Q28" i="30"/>
  <c r="M30" i="30"/>
  <c r="O30" i="30"/>
  <c r="R35" i="30"/>
  <c r="M35" i="30"/>
  <c r="K29" i="30"/>
  <c r="K31" i="30"/>
  <c r="K33" i="30"/>
  <c r="K35" i="30"/>
  <c r="K37" i="30"/>
  <c r="G26" i="30"/>
  <c r="Q26" i="30"/>
  <c r="Y26" i="30"/>
  <c r="Y33" i="30"/>
  <c r="M33" i="30"/>
  <c r="N33" i="30"/>
  <c r="G10" i="30"/>
  <c r="R10" i="30"/>
  <c r="M10" i="30"/>
  <c r="G13" i="30"/>
  <c r="M13" i="30"/>
  <c r="O13" i="30"/>
  <c r="G15" i="30"/>
  <c r="P15" i="30"/>
  <c r="R15" i="30"/>
  <c r="G17" i="30"/>
  <c r="Y17" i="30"/>
  <c r="P17" i="30"/>
  <c r="G20" i="30"/>
  <c r="Q20" i="30"/>
  <c r="R20" i="30"/>
  <c r="G23" i="30"/>
  <c r="R23" i="30"/>
  <c r="N23" i="30"/>
  <c r="G28" i="30"/>
  <c r="P28" i="30"/>
  <c r="M28" i="30"/>
  <c r="G30" i="30"/>
  <c r="Q30" i="30"/>
  <c r="P30" i="30"/>
  <c r="Y35" i="30"/>
  <c r="P35" i="30"/>
  <c r="Q35" i="30"/>
  <c r="J13" i="30"/>
  <c r="L15" i="30"/>
  <c r="K17" i="30"/>
  <c r="K19" i="30"/>
  <c r="L22" i="30"/>
  <c r="K25" i="30"/>
  <c r="K27" i="30"/>
  <c r="H10" i="30"/>
  <c r="H9" i="30"/>
  <c r="L9" i="30"/>
  <c r="L13" i="30"/>
  <c r="J15" i="30"/>
  <c r="L17" i="30"/>
  <c r="L19" i="30"/>
  <c r="J22" i="30"/>
  <c r="L25" i="30"/>
  <c r="L27" i="30"/>
  <c r="L29" i="30"/>
  <c r="L31" i="30"/>
  <c r="L33" i="30"/>
  <c r="L35" i="30"/>
  <c r="L37" i="30"/>
  <c r="BW9" i="30"/>
  <c r="BW20" i="30"/>
  <c r="BW23" i="30"/>
  <c r="BW25" i="30"/>
  <c r="BW32" i="30"/>
  <c r="BL91" i="24"/>
  <c r="E37" i="27"/>
  <c r="E36" i="27"/>
  <c r="E35" i="27"/>
  <c r="E34" i="27"/>
  <c r="E33" i="27"/>
  <c r="E32" i="27"/>
  <c r="E31" i="27"/>
  <c r="E30" i="27"/>
  <c r="E29" i="27"/>
  <c r="F33" i="28"/>
  <c r="E28" i="27"/>
  <c r="F32" i="28"/>
  <c r="E27" i="27"/>
  <c r="F31" i="28"/>
  <c r="E26" i="27"/>
  <c r="F30" i="28"/>
  <c r="E25" i="27"/>
  <c r="F29" i="28"/>
  <c r="E24" i="27"/>
  <c r="F28" i="28"/>
  <c r="E23" i="27"/>
  <c r="F27" i="28"/>
  <c r="E22" i="27"/>
  <c r="F26" i="28"/>
  <c r="E21" i="27"/>
  <c r="F25" i="28"/>
  <c r="E20" i="27"/>
  <c r="F24" i="28"/>
  <c r="E19" i="27"/>
  <c r="F23" i="28"/>
  <c r="E18" i="27"/>
  <c r="F22" i="28"/>
  <c r="E17" i="27"/>
  <c r="F21" i="28"/>
  <c r="E16" i="27"/>
  <c r="F20" i="28"/>
  <c r="E15" i="27"/>
  <c r="F19" i="28"/>
  <c r="E14" i="27"/>
  <c r="E13" i="27"/>
  <c r="F17" i="28"/>
  <c r="E12" i="27"/>
  <c r="F16" i="28"/>
  <c r="E11" i="27"/>
  <c r="E10" i="27"/>
  <c r="E9" i="27"/>
  <c r="BW10" i="30"/>
  <c r="BH17" i="30"/>
  <c r="BF17" i="30"/>
  <c r="BG17" i="30"/>
  <c r="BW30" i="30"/>
  <c r="BF7" i="30"/>
  <c r="BH7" i="30"/>
  <c r="BG7" i="30"/>
  <c r="H7" i="30"/>
  <c r="L12" i="30"/>
  <c r="L14" i="30"/>
  <c r="L16" i="30"/>
  <c r="J18" i="30"/>
  <c r="L20" i="30"/>
  <c r="L23" i="30"/>
  <c r="J26" i="30"/>
  <c r="L28" i="30"/>
  <c r="J30" i="30"/>
  <c r="L32" i="30"/>
  <c r="J34" i="30"/>
  <c r="L36" i="30"/>
  <c r="BW11" i="30"/>
  <c r="BH18" i="30"/>
  <c r="BF18" i="30"/>
  <c r="BG18" i="30"/>
  <c r="BW24" i="30"/>
  <c r="BW27" i="30"/>
  <c r="BW31" i="30"/>
  <c r="BK37" i="30"/>
  <c r="BN37" i="30"/>
  <c r="BI37" i="30"/>
  <c r="BM37" i="30"/>
  <c r="BJ37" i="30"/>
  <c r="BL37" i="30"/>
  <c r="BU37" i="30"/>
  <c r="BC37" i="30"/>
  <c r="BS37" i="30" s="1"/>
  <c r="BT37" i="30" s="1"/>
  <c r="K9" i="30"/>
  <c r="G8" i="30"/>
  <c r="Q18" i="30"/>
  <c r="G25" i="30"/>
  <c r="J11" i="30"/>
  <c r="M11" i="30"/>
  <c r="Y21" i="30"/>
  <c r="Y32" i="30"/>
  <c r="K24" i="30"/>
  <c r="P8" i="30"/>
  <c r="R8" i="30"/>
  <c r="N18" i="30"/>
  <c r="Y18" i="30"/>
  <c r="Q25" i="30"/>
  <c r="N25" i="30"/>
  <c r="M8" i="30"/>
  <c r="N8" i="30"/>
  <c r="Y8" i="30"/>
  <c r="O18" i="30"/>
  <c r="M18" i="30"/>
  <c r="R18" i="30"/>
  <c r="Y25" i="30"/>
  <c r="M25" i="30"/>
  <c r="P25" i="30"/>
  <c r="K11" i="30"/>
  <c r="L21" i="30"/>
  <c r="Q11" i="30"/>
  <c r="Y11" i="30"/>
  <c r="P21" i="30"/>
  <c r="N21" i="30"/>
  <c r="M32" i="30"/>
  <c r="O32" i="30"/>
  <c r="F41" i="28"/>
  <c r="F40" i="28"/>
  <c r="F39" i="28"/>
  <c r="F38" i="28"/>
  <c r="F37" i="28"/>
  <c r="F36" i="28"/>
  <c r="F35" i="28"/>
  <c r="F34" i="28"/>
  <c r="G22" i="28"/>
  <c r="G21" i="28"/>
  <c r="G20" i="28"/>
  <c r="G19" i="28"/>
  <c r="G17" i="28"/>
  <c r="G16" i="28"/>
  <c r="G15" i="28"/>
  <c r="H32" i="30"/>
  <c r="H25" i="30"/>
  <c r="H21" i="30"/>
  <c r="H18" i="30"/>
  <c r="H11" i="30"/>
  <c r="H8" i="30"/>
  <c r="I38" i="30"/>
  <c r="Z38" i="30" s="1"/>
  <c r="G11" i="30"/>
  <c r="O11" i="30"/>
  <c r="N11" i="30"/>
  <c r="G21" i="30"/>
  <c r="Q21" i="30"/>
  <c r="R21" i="30"/>
  <c r="G32" i="30"/>
  <c r="Q32" i="30"/>
  <c r="N32" i="30"/>
  <c r="J10" i="30"/>
  <c r="L24" i="30"/>
  <c r="L8" i="30"/>
  <c r="J21" i="30"/>
  <c r="K10" i="30"/>
  <c r="J8" i="30"/>
  <c r="G18" i="28"/>
  <c r="F18" i="28"/>
  <c r="F15" i="28"/>
  <c r="F14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14" i="28"/>
  <c r="F42" i="28"/>
  <c r="F13" i="28"/>
  <c r="BC135" i="14"/>
  <c r="BS124" i="14"/>
  <c r="BA116" i="14"/>
  <c r="BR131" i="14"/>
  <c r="BI93" i="14" s="1"/>
  <c r="BP131" i="14"/>
  <c r="NA89" i="24" s="1"/>
  <c r="BN131" i="14"/>
  <c r="MY89" i="24" s="1"/>
  <c r="BL131" i="14"/>
  <c r="MW89" i="24" s="1"/>
  <c r="BJ131" i="14"/>
  <c r="BI85" i="14" s="1"/>
  <c r="BH131" i="14"/>
  <c r="MS89" i="24" s="1"/>
  <c r="BD131" i="14"/>
  <c r="MO89" i="24" s="1"/>
  <c r="BP128" i="14"/>
  <c r="LX89" i="24" s="1"/>
  <c r="BM125" i="14"/>
  <c r="KR89" i="24" s="1"/>
  <c r="BQ119" i="14"/>
  <c r="IP89" i="24" s="1"/>
  <c r="BA104" i="14"/>
  <c r="F24" i="31" s="1"/>
  <c r="BE113" i="14"/>
  <c r="FX89" i="24" s="1"/>
  <c r="BF110" i="14"/>
  <c r="BB81" i="14" s="1"/>
  <c r="BS136" i="14"/>
  <c r="BF135" i="14"/>
  <c r="BS122" i="14"/>
  <c r="BS128" i="14"/>
  <c r="BA113" i="14"/>
  <c r="BA119" i="14"/>
  <c r="BA122" i="14"/>
  <c r="BS143" i="14"/>
  <c r="BA128" i="14"/>
  <c r="BA131" i="14"/>
  <c r="BR134" i="14"/>
  <c r="BJ93" i="14" s="1"/>
  <c r="BP134" i="14"/>
  <c r="BJ91" i="14" s="1"/>
  <c r="BN134" i="14"/>
  <c r="BJ89" i="14" s="1"/>
  <c r="BL134" i="14"/>
  <c r="NZ89" i="24" s="1"/>
  <c r="BJ134" i="14"/>
  <c r="BJ85" i="14" s="1"/>
  <c r="BH134" i="14"/>
  <c r="BJ83" i="14" s="1"/>
  <c r="BF134" i="14"/>
  <c r="BJ81" i="14" s="1"/>
  <c r="BD134" i="14"/>
  <c r="NR89" i="24" s="1"/>
  <c r="BB134" i="14"/>
  <c r="BJ77" i="14" s="1"/>
  <c r="BR128" i="14"/>
  <c r="LZ89" i="24" s="1"/>
  <c r="BN128" i="14"/>
  <c r="LV89" i="24" s="1"/>
  <c r="BL128" i="14"/>
  <c r="LT89" i="24" s="1"/>
  <c r="BJ128" i="14"/>
  <c r="LR89" i="24" s="1"/>
  <c r="BH128" i="14"/>
  <c r="LP89" i="24" s="1"/>
  <c r="BF128" i="14"/>
  <c r="LN89" i="24" s="1"/>
  <c r="BD128" i="14"/>
  <c r="LL89" i="24" s="1"/>
  <c r="BB128" i="14"/>
  <c r="LJ89" i="24" s="1"/>
  <c r="BR116" i="14"/>
  <c r="HN89" i="24" s="1"/>
  <c r="BJ116" i="14"/>
  <c r="BD85" i="14" s="1"/>
  <c r="BB116" i="14"/>
  <c r="GX89" i="24" s="1"/>
  <c r="BM113" i="14"/>
  <c r="BC88" i="14" s="1"/>
  <c r="BI113" i="14"/>
  <c r="BC84" i="14" s="1"/>
  <c r="HF89" i="24"/>
  <c r="BA107" i="14"/>
  <c r="BS125" i="14"/>
  <c r="BD76" i="14"/>
  <c r="BJ136" i="14"/>
  <c r="BA82" i="14"/>
  <c r="BA110" i="14"/>
  <c r="BO131" i="14"/>
  <c r="MZ89" i="24" s="1"/>
  <c r="BM131" i="14"/>
  <c r="BI88" i="14" s="1"/>
  <c r="BK131" i="14"/>
  <c r="MV89" i="24" s="1"/>
  <c r="BI131" i="14"/>
  <c r="MT89" i="24" s="1"/>
  <c r="BG131" i="14"/>
  <c r="MR89" i="24" s="1"/>
  <c r="BE131" i="14"/>
  <c r="BI80" i="14" s="1"/>
  <c r="BC131" i="14"/>
  <c r="MN89" i="24" s="1"/>
  <c r="BP125" i="14"/>
  <c r="KU89" i="24" s="1"/>
  <c r="BN125" i="14"/>
  <c r="BL125" i="14"/>
  <c r="KQ89" i="24" s="1"/>
  <c r="BJ125" i="14"/>
  <c r="KO89" i="24" s="1"/>
  <c r="BH125" i="14"/>
  <c r="BG83" i="14" s="1"/>
  <c r="BF125" i="14"/>
  <c r="BD125" i="14"/>
  <c r="BB125" i="14"/>
  <c r="BE125" i="14"/>
  <c r="KJ89" i="24" s="1"/>
  <c r="BR122" i="14"/>
  <c r="BF93" i="14" s="1"/>
  <c r="BN122" i="14"/>
  <c r="JP89" i="24" s="1"/>
  <c r="BJ122" i="14"/>
  <c r="JL89" i="24" s="1"/>
  <c r="BF122" i="14"/>
  <c r="BF81" i="14" s="1"/>
  <c r="BB122" i="14"/>
  <c r="BF77" i="14" s="1"/>
  <c r="BS139" i="14"/>
  <c r="BR119" i="14"/>
  <c r="BP119" i="14"/>
  <c r="IO89" i="24" s="1"/>
  <c r="BN119" i="14"/>
  <c r="BL119" i="14"/>
  <c r="BJ119" i="14"/>
  <c r="BH119" i="14"/>
  <c r="IG89" i="24" s="1"/>
  <c r="BF119" i="14"/>
  <c r="IE89" i="24" s="1"/>
  <c r="BD119" i="14"/>
  <c r="IC89" i="24" s="1"/>
  <c r="BB119" i="14"/>
  <c r="BQ135" i="14"/>
  <c r="BO119" i="14"/>
  <c r="IN89" i="24" s="1"/>
  <c r="BM119" i="14"/>
  <c r="IL89" i="24" s="1"/>
  <c r="BK119" i="14"/>
  <c r="IJ89" i="24" s="1"/>
  <c r="BG119" i="14"/>
  <c r="IF89" i="24" s="1"/>
  <c r="BE119" i="14"/>
  <c r="BE80" i="14" s="1"/>
  <c r="BC119" i="14"/>
  <c r="IB89" i="24" s="1"/>
  <c r="BO116" i="14"/>
  <c r="BM116" i="14"/>
  <c r="HI89" i="24" s="1"/>
  <c r="BK116" i="14"/>
  <c r="BI116" i="14"/>
  <c r="BG116" i="14"/>
  <c r="HC89" i="24" s="1"/>
  <c r="BE116" i="14"/>
  <c r="BC116" i="14"/>
  <c r="GY89" i="24" s="1"/>
  <c r="BP116" i="14"/>
  <c r="HL89" i="24" s="1"/>
  <c r="BN116" i="14"/>
  <c r="HJ89" i="24" s="1"/>
  <c r="BL116" i="14"/>
  <c r="HH89" i="24" s="1"/>
  <c r="BJ135" i="14"/>
  <c r="BH116" i="14"/>
  <c r="HD89" i="24" s="1"/>
  <c r="BF116" i="14"/>
  <c r="HB89" i="24" s="1"/>
  <c r="BD116" i="14"/>
  <c r="GZ89" i="24" s="1"/>
  <c r="BB135" i="14"/>
  <c r="BO110" i="14"/>
  <c r="FE89" i="24" s="1"/>
  <c r="BM110" i="14"/>
  <c r="E28" i="25" s="1"/>
  <c r="BK110" i="14"/>
  <c r="BB86" i="14" s="1"/>
  <c r="BI110" i="14"/>
  <c r="E24" i="25" s="1"/>
  <c r="BG110" i="14"/>
  <c r="BE110" i="14"/>
  <c r="E20" i="25" s="1"/>
  <c r="BC110" i="14"/>
  <c r="ES89" i="24" s="1"/>
  <c r="BR135" i="14"/>
  <c r="BN110" i="14"/>
  <c r="BQ107" i="14"/>
  <c r="BM107" i="14"/>
  <c r="BI107" i="14"/>
  <c r="BE107" i="14"/>
  <c r="BB136" i="14"/>
  <c r="BR136" i="14"/>
  <c r="BO136" i="14"/>
  <c r="BA125" i="14"/>
  <c r="BJ88" i="14"/>
  <c r="BF131" i="14"/>
  <c r="BI81" i="14" s="1"/>
  <c r="BB131" i="14"/>
  <c r="BI77" i="14" s="1"/>
  <c r="BQ128" i="14"/>
  <c r="LY89" i="24" s="1"/>
  <c r="BO128" i="14"/>
  <c r="BM128" i="14"/>
  <c r="LU89" i="24" s="1"/>
  <c r="BK128" i="14"/>
  <c r="BI128" i="14"/>
  <c r="LQ89" i="24" s="1"/>
  <c r="BG128" i="14"/>
  <c r="BE128" i="14"/>
  <c r="LM89" i="24" s="1"/>
  <c r="BC128" i="14"/>
  <c r="BQ125" i="14"/>
  <c r="KV89" i="24" s="1"/>
  <c r="BI125" i="14"/>
  <c r="KN89" i="24" s="1"/>
  <c r="BO122" i="14"/>
  <c r="BM122" i="14"/>
  <c r="JO89" i="24" s="1"/>
  <c r="BK122" i="14"/>
  <c r="BF86" i="14" s="1"/>
  <c r="BI122" i="14"/>
  <c r="JK89" i="24" s="1"/>
  <c r="BG122" i="14"/>
  <c r="BE122" i="14"/>
  <c r="JG89" i="24" s="1"/>
  <c r="BC122" i="14"/>
  <c r="BF78" i="14" s="1"/>
  <c r="BP113" i="14"/>
  <c r="GI89" i="24" s="1"/>
  <c r="BN113" i="14"/>
  <c r="GG89" i="24" s="1"/>
  <c r="BL113" i="14"/>
  <c r="GE89" i="24" s="1"/>
  <c r="BJ113" i="14"/>
  <c r="GC89" i="24" s="1"/>
  <c r="BH113" i="14"/>
  <c r="GA89" i="24" s="1"/>
  <c r="BF113" i="14"/>
  <c r="FY89" i="24" s="1"/>
  <c r="BD113" i="14"/>
  <c r="FW89" i="24" s="1"/>
  <c r="BB113" i="14"/>
  <c r="FU89" i="24" s="1"/>
  <c r="BR110" i="14"/>
  <c r="FH89" i="24" s="1"/>
  <c r="BJ110" i="14"/>
  <c r="BB110" i="14"/>
  <c r="BR107" i="14"/>
  <c r="BP107" i="14"/>
  <c r="BN107" i="14"/>
  <c r="BL107" i="14"/>
  <c r="BJ107" i="14"/>
  <c r="BH107" i="14"/>
  <c r="BF107" i="14"/>
  <c r="BD107" i="14"/>
  <c r="BB107" i="14"/>
  <c r="BO104" i="14"/>
  <c r="CY89" i="24" s="1"/>
  <c r="BM104" i="14"/>
  <c r="AZ88" i="14" s="1"/>
  <c r="BK104" i="14"/>
  <c r="AZ86" i="14" s="1"/>
  <c r="BI104" i="14"/>
  <c r="AZ84" i="14" s="1"/>
  <c r="BG104" i="14"/>
  <c r="AZ82" i="14" s="1"/>
  <c r="BE104" i="14"/>
  <c r="AZ80" i="14" s="1"/>
  <c r="BC104" i="14"/>
  <c r="AZ78" i="14" s="1"/>
  <c r="BR101" i="14"/>
  <c r="BY89" i="24" s="1"/>
  <c r="BY91" i="24" s="1"/>
  <c r="BP101" i="14"/>
  <c r="BW89" i="24" s="1"/>
  <c r="BW91" i="24" s="1"/>
  <c r="BN101" i="14"/>
  <c r="BU89" i="24" s="1"/>
  <c r="BU91" i="24" s="1"/>
  <c r="BL101" i="14"/>
  <c r="BS89" i="24" s="1"/>
  <c r="BS91" i="24" s="1"/>
  <c r="BJ101" i="14"/>
  <c r="BQ89" i="24" s="1"/>
  <c r="BQ91" i="24" s="1"/>
  <c r="BH101" i="14"/>
  <c r="BO89" i="24" s="1"/>
  <c r="BO91" i="24" s="1"/>
  <c r="BF101" i="14"/>
  <c r="BM89" i="24" s="1"/>
  <c r="BM91" i="24" s="1"/>
  <c r="BD101" i="14"/>
  <c r="BK89" i="24" s="1"/>
  <c r="BK91" i="24" s="1"/>
  <c r="BB101" i="14"/>
  <c r="BI89" i="24" s="1"/>
  <c r="BI91" i="24" s="1"/>
  <c r="BM135" i="14"/>
  <c r="BE135" i="14"/>
  <c r="BQ134" i="14"/>
  <c r="BJ92" i="14" s="1"/>
  <c r="BI135" i="14"/>
  <c r="BQ116" i="14"/>
  <c r="HM89" i="24" s="1"/>
  <c r="BQ113" i="14"/>
  <c r="BC92" i="14" s="1"/>
  <c r="BQ101" i="14"/>
  <c r="CR96" i="24"/>
  <c r="CR92" i="24"/>
  <c r="CR121" i="24"/>
  <c r="CR117" i="24"/>
  <c r="CR113" i="24"/>
  <c r="CR109" i="24"/>
  <c r="CR105" i="24"/>
  <c r="CR101" i="24"/>
  <c r="CR97" i="24"/>
  <c r="CR122" i="24"/>
  <c r="CR120" i="24"/>
  <c r="CR118" i="24"/>
  <c r="CR116" i="24"/>
  <c r="CR114" i="24"/>
  <c r="CR112" i="24"/>
  <c r="CR110" i="24"/>
  <c r="CR108" i="24"/>
  <c r="CR106" i="24"/>
  <c r="CR104" i="24"/>
  <c r="CR102" i="24"/>
  <c r="CR100" i="24"/>
  <c r="CR98" i="24"/>
  <c r="CR95" i="24"/>
  <c r="CR94" i="24"/>
  <c r="CR119" i="24"/>
  <c r="CR115" i="24"/>
  <c r="CR111" i="24"/>
  <c r="CR107" i="24"/>
  <c r="CR103" i="24"/>
  <c r="CR99" i="24"/>
  <c r="CR93" i="24"/>
  <c r="CP122" i="24"/>
  <c r="CP120" i="24"/>
  <c r="CP118" i="24"/>
  <c r="CP116" i="24"/>
  <c r="CP114" i="24"/>
  <c r="CP112" i="24"/>
  <c r="CP110" i="24"/>
  <c r="CP108" i="24"/>
  <c r="CP106" i="24"/>
  <c r="CP104" i="24"/>
  <c r="CP102" i="24"/>
  <c r="CP100" i="24"/>
  <c r="CP98" i="24"/>
  <c r="CP94" i="24"/>
  <c r="CP119" i="24"/>
  <c r="CP115" i="24"/>
  <c r="CP111" i="24"/>
  <c r="CP107" i="24"/>
  <c r="CP103" i="24"/>
  <c r="CP99" i="24"/>
  <c r="CP92" i="24"/>
  <c r="CP96" i="24"/>
  <c r="CP93" i="24"/>
  <c r="CP121" i="24"/>
  <c r="CP117" i="24"/>
  <c r="CP113" i="24"/>
  <c r="CP109" i="24"/>
  <c r="CP105" i="24"/>
  <c r="CP101" i="24"/>
  <c r="CP97" i="24"/>
  <c r="CP95" i="24"/>
  <c r="CN93" i="24"/>
  <c r="CN122" i="24"/>
  <c r="CN120" i="24"/>
  <c r="CN118" i="24"/>
  <c r="CN116" i="24"/>
  <c r="CN114" i="24"/>
  <c r="CN112" i="24"/>
  <c r="CN110" i="24"/>
  <c r="CN108" i="24"/>
  <c r="CN106" i="24"/>
  <c r="CN104" i="24"/>
  <c r="CN102" i="24"/>
  <c r="CN100" i="24"/>
  <c r="CN98" i="24"/>
  <c r="CN96" i="24"/>
  <c r="CN95" i="24"/>
  <c r="CN121" i="24"/>
  <c r="CN117" i="24"/>
  <c r="CN113" i="24"/>
  <c r="CN109" i="24"/>
  <c r="CN105" i="24"/>
  <c r="CN101" i="24"/>
  <c r="CN97" i="24"/>
  <c r="CN94" i="24"/>
  <c r="CN119" i="24"/>
  <c r="CN115" i="24"/>
  <c r="CN111" i="24"/>
  <c r="CN107" i="24"/>
  <c r="CN103" i="24"/>
  <c r="CN99" i="24"/>
  <c r="CN92" i="24"/>
  <c r="CL95" i="24"/>
  <c r="CL122" i="24"/>
  <c r="CL120" i="24"/>
  <c r="CL118" i="24"/>
  <c r="CL116" i="24"/>
  <c r="CL114" i="24"/>
  <c r="CL112" i="24"/>
  <c r="CL110" i="24"/>
  <c r="CL108" i="24"/>
  <c r="CL106" i="24"/>
  <c r="CL104" i="24"/>
  <c r="CL102" i="24"/>
  <c r="CL100" i="24"/>
  <c r="CL98" i="24"/>
  <c r="CL94" i="24"/>
  <c r="CL93" i="24"/>
  <c r="CL92" i="24"/>
  <c r="CL121" i="24"/>
  <c r="CL119" i="24"/>
  <c r="CL117" i="24"/>
  <c r="CL115" i="24"/>
  <c r="CL113" i="24"/>
  <c r="CL111" i="24"/>
  <c r="CL109" i="24"/>
  <c r="CL107" i="24"/>
  <c r="CL105" i="24"/>
  <c r="CL103" i="24"/>
  <c r="CL101" i="24"/>
  <c r="CL99" i="24"/>
  <c r="CL97" i="24"/>
  <c r="CL96" i="24"/>
  <c r="DU122" i="24"/>
  <c r="DU121" i="24"/>
  <c r="DU119" i="24"/>
  <c r="DU117" i="24"/>
  <c r="DU115" i="24"/>
  <c r="DU107" i="24"/>
  <c r="DU105" i="24"/>
  <c r="DU103" i="24"/>
  <c r="DU101" i="24"/>
  <c r="DU97" i="24"/>
  <c r="DU95" i="24"/>
  <c r="DU120" i="24"/>
  <c r="DU118" i="24"/>
  <c r="DU116" i="24"/>
  <c r="DU114" i="24"/>
  <c r="DU110" i="24"/>
  <c r="DU104" i="24"/>
  <c r="DU98" i="24"/>
  <c r="DU92" i="24"/>
  <c r="DU112" i="24"/>
  <c r="DU108" i="24"/>
  <c r="DU100" i="24"/>
  <c r="DU94" i="24"/>
  <c r="DU111" i="24"/>
  <c r="DU106" i="24"/>
  <c r="DU109" i="24"/>
  <c r="DU102" i="24"/>
  <c r="DU96" i="24"/>
  <c r="DU113" i="24"/>
  <c r="DU99" i="24"/>
  <c r="DU93" i="24"/>
  <c r="DS122" i="24"/>
  <c r="DS92" i="24"/>
  <c r="DS112" i="24"/>
  <c r="DS108" i="24"/>
  <c r="DS100" i="24"/>
  <c r="DS94" i="24"/>
  <c r="DS121" i="24"/>
  <c r="DS119" i="24"/>
  <c r="DS117" i="24"/>
  <c r="DS115" i="24"/>
  <c r="DS107" i="24"/>
  <c r="DS105" i="24"/>
  <c r="DS103" i="24"/>
  <c r="DS101" i="24"/>
  <c r="DS97" i="24"/>
  <c r="DS95" i="24"/>
  <c r="DS120" i="24"/>
  <c r="DS118" i="24"/>
  <c r="DS116" i="24"/>
  <c r="DS114" i="24"/>
  <c r="DS110" i="24"/>
  <c r="DS104" i="24"/>
  <c r="DS98" i="24"/>
  <c r="DS113" i="24"/>
  <c r="DS109" i="24"/>
  <c r="DS106" i="24"/>
  <c r="DS99" i="24"/>
  <c r="DS93" i="24"/>
  <c r="DS111" i="24"/>
  <c r="DS102" i="24"/>
  <c r="DS96" i="24"/>
  <c r="DQ122" i="24"/>
  <c r="DQ121" i="24"/>
  <c r="DQ119" i="24"/>
  <c r="DQ117" i="24"/>
  <c r="DQ115" i="24"/>
  <c r="DQ107" i="24"/>
  <c r="DQ105" i="24"/>
  <c r="DQ103" i="24"/>
  <c r="DQ101" i="24"/>
  <c r="DQ97" i="24"/>
  <c r="DQ95" i="24"/>
  <c r="DQ120" i="24"/>
  <c r="DQ118" i="24"/>
  <c r="DQ116" i="24"/>
  <c r="DQ114" i="24"/>
  <c r="DQ110" i="24"/>
  <c r="DQ104" i="24"/>
  <c r="DQ98" i="24"/>
  <c r="DQ92" i="24"/>
  <c r="DQ112" i="24"/>
  <c r="DQ108" i="24"/>
  <c r="DQ100" i="24"/>
  <c r="DQ94" i="24"/>
  <c r="DQ111" i="24"/>
  <c r="DQ106" i="24"/>
  <c r="DQ113" i="24"/>
  <c r="DQ102" i="24"/>
  <c r="DQ96" i="24"/>
  <c r="DQ109" i="24"/>
  <c r="DQ99" i="24"/>
  <c r="DQ93" i="24"/>
  <c r="DO122" i="24"/>
  <c r="DO116" i="24"/>
  <c r="DO112" i="24"/>
  <c r="DO98" i="24"/>
  <c r="DO94" i="24"/>
  <c r="DO118" i="24"/>
  <c r="DO108" i="24"/>
  <c r="DO100" i="24"/>
  <c r="DO102" i="24"/>
  <c r="DO96" i="24"/>
  <c r="DO92" i="24"/>
  <c r="DO114" i="24"/>
  <c r="DO110" i="24"/>
  <c r="DO120" i="24"/>
  <c r="DO104" i="24"/>
  <c r="DO106" i="24"/>
  <c r="DO121" i="24"/>
  <c r="DO119" i="24"/>
  <c r="DO117" i="24"/>
  <c r="DO115" i="24"/>
  <c r="DO107" i="24"/>
  <c r="DO105" i="24"/>
  <c r="DO103" i="24"/>
  <c r="DO101" i="24"/>
  <c r="DO97" i="24"/>
  <c r="DO95" i="24"/>
  <c r="DO113" i="24"/>
  <c r="DO109" i="24"/>
  <c r="DO111" i="24"/>
  <c r="DO99" i="24"/>
  <c r="DO93" i="24"/>
  <c r="EX121" i="24"/>
  <c r="EX119" i="24"/>
  <c r="EX117" i="24"/>
  <c r="EX115" i="24"/>
  <c r="EX113" i="24"/>
  <c r="EX111" i="24"/>
  <c r="EX109" i="24"/>
  <c r="EX107" i="24"/>
  <c r="EX105" i="24"/>
  <c r="EX103" i="24"/>
  <c r="EX101" i="24"/>
  <c r="EX99" i="24"/>
  <c r="EX97" i="24"/>
  <c r="EX95" i="24"/>
  <c r="EX93" i="24"/>
  <c r="EX92" i="24"/>
  <c r="EX122" i="24"/>
  <c r="EX120" i="24"/>
  <c r="EX118" i="24"/>
  <c r="EX116" i="24"/>
  <c r="EX114" i="24"/>
  <c r="EX112" i="24"/>
  <c r="EX110" i="24"/>
  <c r="EX108" i="24"/>
  <c r="EX106" i="24"/>
  <c r="EX104" i="24"/>
  <c r="EX102" i="24"/>
  <c r="EX100" i="24"/>
  <c r="EX98" i="24"/>
  <c r="EX96" i="24"/>
  <c r="EX94" i="24"/>
  <c r="EV92" i="24"/>
  <c r="EV122" i="24"/>
  <c r="EV120" i="24"/>
  <c r="EV118" i="24"/>
  <c r="EV116" i="24"/>
  <c r="EV114" i="24"/>
  <c r="EV112" i="24"/>
  <c r="EV110" i="24"/>
  <c r="EV108" i="24"/>
  <c r="EV106" i="24"/>
  <c r="EV104" i="24"/>
  <c r="EV102" i="24"/>
  <c r="EV100" i="24"/>
  <c r="EV98" i="24"/>
  <c r="EV96" i="24"/>
  <c r="EV94" i="24"/>
  <c r="EV121" i="24"/>
  <c r="EV119" i="24"/>
  <c r="EV117" i="24"/>
  <c r="EV115" i="24"/>
  <c r="EV113" i="24"/>
  <c r="EV111" i="24"/>
  <c r="EV109" i="24"/>
  <c r="EV107" i="24"/>
  <c r="EV105" i="24"/>
  <c r="EV103" i="24"/>
  <c r="EV101" i="24"/>
  <c r="EV99" i="24"/>
  <c r="EV97" i="24"/>
  <c r="EV95" i="24"/>
  <c r="EV93" i="24"/>
  <c r="ET121" i="24"/>
  <c r="ET119" i="24"/>
  <c r="ET117" i="24"/>
  <c r="ET115" i="24"/>
  <c r="ET113" i="24"/>
  <c r="ET111" i="24"/>
  <c r="ET109" i="24"/>
  <c r="ET107" i="24"/>
  <c r="ET105" i="24"/>
  <c r="ET103" i="24"/>
  <c r="ET101" i="24"/>
  <c r="ET99" i="24"/>
  <c r="ET97" i="24"/>
  <c r="ET95" i="24"/>
  <c r="ET93" i="24"/>
  <c r="ET92" i="24"/>
  <c r="ET122" i="24"/>
  <c r="ET120" i="24"/>
  <c r="ET118" i="24"/>
  <c r="ET116" i="24"/>
  <c r="ET114" i="24"/>
  <c r="ET112" i="24"/>
  <c r="ET110" i="24"/>
  <c r="ET108" i="24"/>
  <c r="ET106" i="24"/>
  <c r="ET104" i="24"/>
  <c r="ET102" i="24"/>
  <c r="ET100" i="24"/>
  <c r="ET98" i="24"/>
  <c r="ET96" i="24"/>
  <c r="ET94" i="24"/>
  <c r="ER122" i="24"/>
  <c r="ER118" i="24"/>
  <c r="ER92" i="24"/>
  <c r="ER120" i="24"/>
  <c r="ER116" i="24"/>
  <c r="ER114" i="24"/>
  <c r="ER112" i="24"/>
  <c r="ER110" i="24"/>
  <c r="ER108" i="24"/>
  <c r="ER106" i="24"/>
  <c r="ER104" i="24"/>
  <c r="ER102" i="24"/>
  <c r="ER100" i="24"/>
  <c r="ER98" i="24"/>
  <c r="ER96" i="24"/>
  <c r="ER94" i="24"/>
  <c r="ER121" i="24"/>
  <c r="ER119" i="24"/>
  <c r="ER117" i="24"/>
  <c r="ER115" i="24"/>
  <c r="ER113" i="24"/>
  <c r="ER111" i="24"/>
  <c r="ER109" i="24"/>
  <c r="ER107" i="24"/>
  <c r="ER105" i="24"/>
  <c r="ER103" i="24"/>
  <c r="ER101" i="24"/>
  <c r="ER99" i="24"/>
  <c r="ER97" i="24"/>
  <c r="ER95" i="24"/>
  <c r="ER93" i="24"/>
  <c r="GA121" i="24"/>
  <c r="GA119" i="24"/>
  <c r="GA117" i="24"/>
  <c r="GA115" i="24"/>
  <c r="GA113" i="24"/>
  <c r="GA111" i="24"/>
  <c r="GA109" i="24"/>
  <c r="GA107" i="24"/>
  <c r="GA105" i="24"/>
  <c r="GA103" i="24"/>
  <c r="GA99" i="24"/>
  <c r="GA98" i="24"/>
  <c r="GA92" i="24"/>
  <c r="GA122" i="24"/>
  <c r="GA120" i="24"/>
  <c r="GA118" i="24"/>
  <c r="GA116" i="24"/>
  <c r="GA114" i="24"/>
  <c r="GA112" i="24"/>
  <c r="GA110" i="24"/>
  <c r="GA108" i="24"/>
  <c r="GA106" i="24"/>
  <c r="GA104" i="24"/>
  <c r="GA94" i="24"/>
  <c r="GA102" i="24"/>
  <c r="GA100" i="24"/>
  <c r="GA96" i="24"/>
  <c r="GA93" i="24"/>
  <c r="GA101" i="24"/>
  <c r="GA95" i="24"/>
  <c r="GA97" i="24"/>
  <c r="FY92" i="24"/>
  <c r="FY122" i="24"/>
  <c r="FY120" i="24"/>
  <c r="FY118" i="24"/>
  <c r="FY116" i="24"/>
  <c r="FY114" i="24"/>
  <c r="FY112" i="24"/>
  <c r="FY110" i="24"/>
  <c r="FY108" i="24"/>
  <c r="FY106" i="24"/>
  <c r="FY104" i="24"/>
  <c r="FY94" i="24"/>
  <c r="FY121" i="24"/>
  <c r="FY119" i="24"/>
  <c r="FY117" i="24"/>
  <c r="FY115" i="24"/>
  <c r="FY113" i="24"/>
  <c r="FY111" i="24"/>
  <c r="FY109" i="24"/>
  <c r="FY107" i="24"/>
  <c r="FY105" i="24"/>
  <c r="FY103" i="24"/>
  <c r="FY99" i="24"/>
  <c r="FY98" i="24"/>
  <c r="FY101" i="24"/>
  <c r="FY97" i="24"/>
  <c r="FY95" i="24"/>
  <c r="FY100" i="24"/>
  <c r="FY93" i="24"/>
  <c r="FY102" i="24"/>
  <c r="FY96" i="24"/>
  <c r="FW121" i="24"/>
  <c r="FW119" i="24"/>
  <c r="FW117" i="24"/>
  <c r="FW115" i="24"/>
  <c r="FW113" i="24"/>
  <c r="FW111" i="24"/>
  <c r="FW109" i="24"/>
  <c r="FW107" i="24"/>
  <c r="FW105" i="24"/>
  <c r="FW103" i="24"/>
  <c r="FW99" i="24"/>
  <c r="FW98" i="24"/>
  <c r="FW92" i="24"/>
  <c r="FW122" i="24"/>
  <c r="FW120" i="24"/>
  <c r="FW118" i="24"/>
  <c r="FW116" i="24"/>
  <c r="FW114" i="24"/>
  <c r="FW112" i="24"/>
  <c r="FW110" i="24"/>
  <c r="FW108" i="24"/>
  <c r="FW106" i="24"/>
  <c r="FW104" i="24"/>
  <c r="FW94" i="24"/>
  <c r="FW102" i="24"/>
  <c r="FW100" i="24"/>
  <c r="FW96" i="24"/>
  <c r="FW93" i="24"/>
  <c r="FW97" i="24"/>
  <c r="FW101" i="24"/>
  <c r="FW95" i="24"/>
  <c r="FU98" i="24"/>
  <c r="FU92" i="24"/>
  <c r="FU122" i="24"/>
  <c r="FU120" i="24"/>
  <c r="FU118" i="24"/>
  <c r="FU116" i="24"/>
  <c r="FU114" i="24"/>
  <c r="FU112" i="24"/>
  <c r="FU110" i="24"/>
  <c r="FU108" i="24"/>
  <c r="FU106" i="24"/>
  <c r="FU104" i="24"/>
  <c r="FU94" i="24"/>
  <c r="FU102" i="24"/>
  <c r="FU100" i="24"/>
  <c r="FU96" i="24"/>
  <c r="FU121" i="24"/>
  <c r="FU119" i="24"/>
  <c r="FU117" i="24"/>
  <c r="FU115" i="24"/>
  <c r="FU113" i="24"/>
  <c r="FU111" i="24"/>
  <c r="FU109" i="24"/>
  <c r="FU107" i="24"/>
  <c r="FU105" i="24"/>
  <c r="FU103" i="24"/>
  <c r="FU99" i="24"/>
  <c r="FU101" i="24"/>
  <c r="FU97" i="24"/>
  <c r="FU95" i="24"/>
  <c r="FU93" i="24"/>
  <c r="HD122" i="24"/>
  <c r="HD121" i="24"/>
  <c r="HD119" i="24"/>
  <c r="HD117" i="24"/>
  <c r="HD115" i="24"/>
  <c r="HD113" i="24"/>
  <c r="HD111" i="24"/>
  <c r="HD109" i="24"/>
  <c r="HD107" i="24"/>
  <c r="HD105" i="24"/>
  <c r="HD103" i="24"/>
  <c r="HD101" i="24"/>
  <c r="HD92" i="24"/>
  <c r="HD120" i="24"/>
  <c r="HD118" i="24"/>
  <c r="HD116" i="24"/>
  <c r="HD114" i="24"/>
  <c r="HD112" i="24"/>
  <c r="HD110" i="24"/>
  <c r="HD108" i="24"/>
  <c r="HD106" i="24"/>
  <c r="HD104" i="24"/>
  <c r="HD102" i="24"/>
  <c r="HD100" i="24"/>
  <c r="HD99" i="24"/>
  <c r="HD97" i="24"/>
  <c r="HD95" i="24"/>
  <c r="HD93" i="24"/>
  <c r="HD98" i="24"/>
  <c r="HD94" i="24"/>
  <c r="HD96" i="24"/>
  <c r="HB122" i="24"/>
  <c r="HB92" i="24"/>
  <c r="HB121" i="24"/>
  <c r="HB119" i="24"/>
  <c r="HB117" i="24"/>
  <c r="HB115" i="24"/>
  <c r="HB113" i="24"/>
  <c r="HB111" i="24"/>
  <c r="HB109" i="24"/>
  <c r="HB107" i="24"/>
  <c r="HB105" i="24"/>
  <c r="HB103" i="24"/>
  <c r="HB101" i="24"/>
  <c r="HB120" i="24"/>
  <c r="HB118" i="24"/>
  <c r="HB116" i="24"/>
  <c r="HB114" i="24"/>
  <c r="HB112" i="24"/>
  <c r="HB110" i="24"/>
  <c r="HB108" i="24"/>
  <c r="HB106" i="24"/>
  <c r="HB104" i="24"/>
  <c r="HB102" i="24"/>
  <c r="HB100" i="24"/>
  <c r="HB98" i="24"/>
  <c r="HB96" i="24"/>
  <c r="HB94" i="24"/>
  <c r="HB97" i="24"/>
  <c r="HB93" i="24"/>
  <c r="HB99" i="24"/>
  <c r="HB95" i="24"/>
  <c r="GZ122" i="24"/>
  <c r="GZ121" i="24"/>
  <c r="GZ119" i="24"/>
  <c r="GZ117" i="24"/>
  <c r="GZ115" i="24"/>
  <c r="GZ113" i="24"/>
  <c r="GZ111" i="24"/>
  <c r="GZ109" i="24"/>
  <c r="GZ107" i="24"/>
  <c r="GZ105" i="24"/>
  <c r="GZ103" i="24"/>
  <c r="GZ101" i="24"/>
  <c r="GZ120" i="24"/>
  <c r="GZ118" i="24"/>
  <c r="GZ116" i="24"/>
  <c r="GZ114" i="24"/>
  <c r="GZ112" i="24"/>
  <c r="GZ110" i="24"/>
  <c r="GZ108" i="24"/>
  <c r="GZ106" i="24"/>
  <c r="GZ104" i="24"/>
  <c r="GZ102" i="24"/>
  <c r="GZ100" i="24"/>
  <c r="GZ92" i="24"/>
  <c r="GZ99" i="24"/>
  <c r="GZ97" i="24"/>
  <c r="GZ95" i="24"/>
  <c r="GZ93" i="24"/>
  <c r="GZ96" i="24"/>
  <c r="GZ98" i="24"/>
  <c r="GZ94" i="24"/>
  <c r="GX122" i="24"/>
  <c r="GX120" i="24"/>
  <c r="GX118" i="24"/>
  <c r="GX116" i="24"/>
  <c r="GX114" i="24"/>
  <c r="GX112" i="24"/>
  <c r="GX110" i="24"/>
  <c r="GX108" i="24"/>
  <c r="GX106" i="24"/>
  <c r="GX104" i="24"/>
  <c r="GX102" i="24"/>
  <c r="GX100" i="24"/>
  <c r="GX98" i="24"/>
  <c r="GX96" i="24"/>
  <c r="GX94" i="24"/>
  <c r="GX92" i="24"/>
  <c r="GX121" i="24"/>
  <c r="GX119" i="24"/>
  <c r="GX117" i="24"/>
  <c r="GX115" i="24"/>
  <c r="GX113" i="24"/>
  <c r="GX111" i="24"/>
  <c r="GX109" i="24"/>
  <c r="GX107" i="24"/>
  <c r="GX105" i="24"/>
  <c r="GX103" i="24"/>
  <c r="GX101" i="24"/>
  <c r="GX99" i="24"/>
  <c r="GX95" i="24"/>
  <c r="GX97" i="24"/>
  <c r="GX93" i="24"/>
  <c r="IG121" i="24"/>
  <c r="IG119" i="24"/>
  <c r="IG117" i="24"/>
  <c r="IG115" i="24"/>
  <c r="IG113" i="24"/>
  <c r="IG111" i="24"/>
  <c r="IG109" i="24"/>
  <c r="IG107" i="24"/>
  <c r="IG105" i="24"/>
  <c r="IG103" i="24"/>
  <c r="IG101" i="24"/>
  <c r="IG99" i="24"/>
  <c r="IG97" i="24"/>
  <c r="IG95" i="24"/>
  <c r="IG93" i="24"/>
  <c r="IG122" i="24"/>
  <c r="IG120" i="24"/>
  <c r="IG118" i="24"/>
  <c r="IG116" i="24"/>
  <c r="IG114" i="24"/>
  <c r="IG112" i="24"/>
  <c r="IG110" i="24"/>
  <c r="IG108" i="24"/>
  <c r="IG106" i="24"/>
  <c r="IG104" i="24"/>
  <c r="IG102" i="24"/>
  <c r="IG100" i="24"/>
  <c r="IG98" i="24"/>
  <c r="IG96" i="24"/>
  <c r="IG94" i="24"/>
  <c r="IG92" i="24"/>
  <c r="IE92" i="24"/>
  <c r="IE121" i="24"/>
  <c r="IE119" i="24"/>
  <c r="IE117" i="24"/>
  <c r="IE115" i="24"/>
  <c r="IE113" i="24"/>
  <c r="IE111" i="24"/>
  <c r="IE109" i="24"/>
  <c r="IE107" i="24"/>
  <c r="IE105" i="24"/>
  <c r="IE103" i="24"/>
  <c r="IE101" i="24"/>
  <c r="IE99" i="24"/>
  <c r="IE97" i="24"/>
  <c r="IE95" i="24"/>
  <c r="IE93" i="24"/>
  <c r="IE122" i="24"/>
  <c r="IE120" i="24"/>
  <c r="IE118" i="24"/>
  <c r="IE116" i="24"/>
  <c r="IE114" i="24"/>
  <c r="IE112" i="24"/>
  <c r="IE110" i="24"/>
  <c r="IE108" i="24"/>
  <c r="IE106" i="24"/>
  <c r="IE104" i="24"/>
  <c r="IE102" i="24"/>
  <c r="IE100" i="24"/>
  <c r="IE98" i="24"/>
  <c r="IE96" i="24"/>
  <c r="IE94" i="24"/>
  <c r="IC121" i="24"/>
  <c r="IC119" i="24"/>
  <c r="IC117" i="24"/>
  <c r="IC115" i="24"/>
  <c r="IC113" i="24"/>
  <c r="IC111" i="24"/>
  <c r="IC109" i="24"/>
  <c r="IC107" i="24"/>
  <c r="IC105" i="24"/>
  <c r="IC103" i="24"/>
  <c r="IC101" i="24"/>
  <c r="IC99" i="24"/>
  <c r="IC97" i="24"/>
  <c r="IC95" i="24"/>
  <c r="IC93" i="24"/>
  <c r="IC122" i="24"/>
  <c r="IC120" i="24"/>
  <c r="IC118" i="24"/>
  <c r="IC116" i="24"/>
  <c r="IC114" i="24"/>
  <c r="IC112" i="24"/>
  <c r="IC110" i="24"/>
  <c r="IC108" i="24"/>
  <c r="IC106" i="24"/>
  <c r="IC104" i="24"/>
  <c r="IC102" i="24"/>
  <c r="IC100" i="24"/>
  <c r="IC98" i="24"/>
  <c r="IC96" i="24"/>
  <c r="IC94" i="24"/>
  <c r="IC92" i="24"/>
  <c r="IA122" i="24"/>
  <c r="IA120" i="24"/>
  <c r="IA118" i="24"/>
  <c r="IA116" i="24"/>
  <c r="IA114" i="24"/>
  <c r="IA112" i="24"/>
  <c r="IA110" i="24"/>
  <c r="IA108" i="24"/>
  <c r="IA106" i="24"/>
  <c r="IA104" i="24"/>
  <c r="IA102" i="24"/>
  <c r="IA100" i="24"/>
  <c r="IA98" i="24"/>
  <c r="IA96" i="24"/>
  <c r="IA94" i="24"/>
  <c r="IA92" i="24"/>
  <c r="IA121" i="24"/>
  <c r="IA119" i="24"/>
  <c r="IA117" i="24"/>
  <c r="IA115" i="24"/>
  <c r="IA113" i="24"/>
  <c r="IA111" i="24"/>
  <c r="IA109" i="24"/>
  <c r="IA107" i="24"/>
  <c r="IA105" i="24"/>
  <c r="IA103" i="24"/>
  <c r="IA101" i="24"/>
  <c r="IA99" i="24"/>
  <c r="IA97" i="24"/>
  <c r="IA95" i="24"/>
  <c r="IA93" i="24"/>
  <c r="JJ122" i="24"/>
  <c r="JJ121" i="24"/>
  <c r="JJ119" i="24"/>
  <c r="JJ117" i="24"/>
  <c r="JJ115" i="24"/>
  <c r="JJ113" i="24"/>
  <c r="JJ111" i="24"/>
  <c r="JJ109" i="24"/>
  <c r="JJ107" i="24"/>
  <c r="JJ105" i="24"/>
  <c r="JJ103" i="24"/>
  <c r="JJ101" i="24"/>
  <c r="JJ99" i="24"/>
  <c r="JJ97" i="24"/>
  <c r="JJ95" i="24"/>
  <c r="JJ93" i="24"/>
  <c r="JJ120" i="24"/>
  <c r="JJ118" i="24"/>
  <c r="JJ116" i="24"/>
  <c r="JJ114" i="24"/>
  <c r="JJ112" i="24"/>
  <c r="JJ110" i="24"/>
  <c r="JJ108" i="24"/>
  <c r="JJ106" i="24"/>
  <c r="JJ104" i="24"/>
  <c r="JJ102" i="24"/>
  <c r="JJ100" i="24"/>
  <c r="JJ98" i="24"/>
  <c r="JJ96" i="24"/>
  <c r="JJ94" i="24"/>
  <c r="JJ92" i="24"/>
  <c r="JH122" i="24"/>
  <c r="JH92" i="24"/>
  <c r="JH121" i="24"/>
  <c r="JH119" i="24"/>
  <c r="JH117" i="24"/>
  <c r="JH115" i="24"/>
  <c r="JH113" i="24"/>
  <c r="JH111" i="24"/>
  <c r="JH109" i="24"/>
  <c r="JH107" i="24"/>
  <c r="JH105" i="24"/>
  <c r="JH103" i="24"/>
  <c r="JH101" i="24"/>
  <c r="JH99" i="24"/>
  <c r="JH97" i="24"/>
  <c r="JH95" i="24"/>
  <c r="JH93" i="24"/>
  <c r="JH120" i="24"/>
  <c r="JH118" i="24"/>
  <c r="JH116" i="24"/>
  <c r="JH114" i="24"/>
  <c r="JH112" i="24"/>
  <c r="JH110" i="24"/>
  <c r="JH108" i="24"/>
  <c r="JH106" i="24"/>
  <c r="JH104" i="24"/>
  <c r="JH102" i="24"/>
  <c r="JH100" i="24"/>
  <c r="JH98" i="24"/>
  <c r="JH96" i="24"/>
  <c r="JH94" i="24"/>
  <c r="JF122" i="24"/>
  <c r="JF121" i="24"/>
  <c r="JF119" i="24"/>
  <c r="JF117" i="24"/>
  <c r="JF115" i="24"/>
  <c r="JF113" i="24"/>
  <c r="JF111" i="24"/>
  <c r="JF109" i="24"/>
  <c r="JF107" i="24"/>
  <c r="JF105" i="24"/>
  <c r="JF103" i="24"/>
  <c r="JF101" i="24"/>
  <c r="JF99" i="24"/>
  <c r="JF97" i="24"/>
  <c r="JF95" i="24"/>
  <c r="JF93" i="24"/>
  <c r="JF120" i="24"/>
  <c r="JF118" i="24"/>
  <c r="JF116" i="24"/>
  <c r="JF114" i="24"/>
  <c r="JF112" i="24"/>
  <c r="JF110" i="24"/>
  <c r="JF108" i="24"/>
  <c r="JF106" i="24"/>
  <c r="JF104" i="24"/>
  <c r="JF102" i="24"/>
  <c r="JF100" i="24"/>
  <c r="JF98" i="24"/>
  <c r="JF96" i="24"/>
  <c r="JF94" i="24"/>
  <c r="JF92" i="24"/>
  <c r="JD122" i="24"/>
  <c r="JD92" i="24"/>
  <c r="JD120" i="24"/>
  <c r="JD118" i="24"/>
  <c r="JD116" i="24"/>
  <c r="JD114" i="24"/>
  <c r="JD112" i="24"/>
  <c r="JD110" i="24"/>
  <c r="JD108" i="24"/>
  <c r="JD106" i="24"/>
  <c r="JD104" i="24"/>
  <c r="JD102" i="24"/>
  <c r="JD100" i="24"/>
  <c r="JD98" i="24"/>
  <c r="JD96" i="24"/>
  <c r="JD94" i="24"/>
  <c r="JD121" i="24"/>
  <c r="JD119" i="24"/>
  <c r="JD117" i="24"/>
  <c r="JD115" i="24"/>
  <c r="JD113" i="24"/>
  <c r="JD111" i="24"/>
  <c r="JD109" i="24"/>
  <c r="JD107" i="24"/>
  <c r="JD105" i="24"/>
  <c r="JD103" i="24"/>
  <c r="JD101" i="24"/>
  <c r="JD99" i="24"/>
  <c r="JD97" i="24"/>
  <c r="JD95" i="24"/>
  <c r="JD93" i="24"/>
  <c r="KM102" i="24"/>
  <c r="KM104" i="24"/>
  <c r="KM106" i="24"/>
  <c r="KM108" i="24"/>
  <c r="KM110" i="24"/>
  <c r="KM112" i="24"/>
  <c r="KM114" i="24"/>
  <c r="KM116" i="24"/>
  <c r="KM118" i="24"/>
  <c r="KM120" i="24"/>
  <c r="KM122" i="24"/>
  <c r="KM92" i="24"/>
  <c r="KM121" i="24"/>
  <c r="KM119" i="24"/>
  <c r="KM117" i="24"/>
  <c r="KM115" i="24"/>
  <c r="KM113" i="24"/>
  <c r="KM111" i="24"/>
  <c r="KM109" i="24"/>
  <c r="KM107" i="24"/>
  <c r="KM105" i="24"/>
  <c r="KM103" i="24"/>
  <c r="KM99" i="24"/>
  <c r="KM101" i="24"/>
  <c r="KM98" i="24"/>
  <c r="KM96" i="24"/>
  <c r="KM94" i="24"/>
  <c r="KM100" i="24"/>
  <c r="KM95" i="24"/>
  <c r="KM97" i="24"/>
  <c r="KM93" i="24"/>
  <c r="KK102" i="24"/>
  <c r="KK104" i="24"/>
  <c r="KK106" i="24"/>
  <c r="KK108" i="24"/>
  <c r="KK110" i="24"/>
  <c r="KK112" i="24"/>
  <c r="KK114" i="24"/>
  <c r="KK116" i="24"/>
  <c r="KK118" i="24"/>
  <c r="KK120" i="24"/>
  <c r="KK122" i="24"/>
  <c r="KK121" i="24"/>
  <c r="KK119" i="24"/>
  <c r="KK117" i="24"/>
  <c r="KK115" i="24"/>
  <c r="KK113" i="24"/>
  <c r="KK111" i="24"/>
  <c r="KK109" i="24"/>
  <c r="KK107" i="24"/>
  <c r="KK105" i="24"/>
  <c r="KK103" i="24"/>
  <c r="KK99" i="24"/>
  <c r="KK101" i="24"/>
  <c r="KK92" i="24"/>
  <c r="KK100" i="24"/>
  <c r="KK97" i="24"/>
  <c r="KK95" i="24"/>
  <c r="KK93" i="24"/>
  <c r="KK98" i="24"/>
  <c r="KK94" i="24"/>
  <c r="KK96" i="24"/>
  <c r="KI102" i="24"/>
  <c r="KI104" i="24"/>
  <c r="KI106" i="24"/>
  <c r="KI108" i="24"/>
  <c r="KI110" i="24"/>
  <c r="KI112" i="24"/>
  <c r="KI114" i="24"/>
  <c r="KI116" i="24"/>
  <c r="KI118" i="24"/>
  <c r="KI120" i="24"/>
  <c r="KI122" i="24"/>
  <c r="KI92" i="24"/>
  <c r="KI121" i="24"/>
  <c r="KI119" i="24"/>
  <c r="KI117" i="24"/>
  <c r="KI115" i="24"/>
  <c r="KI113" i="24"/>
  <c r="KI111" i="24"/>
  <c r="KI109" i="24"/>
  <c r="KI107" i="24"/>
  <c r="KI105" i="24"/>
  <c r="KI103" i="24"/>
  <c r="KI99" i="24"/>
  <c r="KI101" i="24"/>
  <c r="KI98" i="24"/>
  <c r="KI96" i="24"/>
  <c r="KI94" i="24"/>
  <c r="KI97" i="24"/>
  <c r="KI93" i="24"/>
  <c r="KI100" i="24"/>
  <c r="KI95" i="24"/>
  <c r="KG102" i="24"/>
  <c r="KG104" i="24"/>
  <c r="KG106" i="24"/>
  <c r="KG108" i="24"/>
  <c r="KG110" i="24"/>
  <c r="KG112" i="24"/>
  <c r="KG114" i="24"/>
  <c r="KG116" i="24"/>
  <c r="KG118" i="24"/>
  <c r="KG120" i="24"/>
  <c r="KG122" i="24"/>
  <c r="KG98" i="24"/>
  <c r="KG96" i="24"/>
  <c r="KG94" i="24"/>
  <c r="KG92" i="24"/>
  <c r="KG121" i="24"/>
  <c r="KG119" i="24"/>
  <c r="KG117" i="24"/>
  <c r="KG115" i="24"/>
  <c r="KG113" i="24"/>
  <c r="KG111" i="24"/>
  <c r="KG109" i="24"/>
  <c r="KG107" i="24"/>
  <c r="KG105" i="24"/>
  <c r="KG103" i="24"/>
  <c r="KG99" i="24"/>
  <c r="KG100" i="24"/>
  <c r="KG97" i="24"/>
  <c r="KG95" i="24"/>
  <c r="KG93" i="24"/>
  <c r="KG101" i="24"/>
  <c r="LP96" i="24"/>
  <c r="LP100" i="24"/>
  <c r="LP104" i="24"/>
  <c r="LP108" i="24"/>
  <c r="LP112" i="24"/>
  <c r="LP116" i="24"/>
  <c r="LP120" i="24"/>
  <c r="LP94" i="24"/>
  <c r="LP98" i="24"/>
  <c r="LP102" i="24"/>
  <c r="LP106" i="24"/>
  <c r="LP110" i="24"/>
  <c r="LP114" i="24"/>
  <c r="LP118" i="24"/>
  <c r="LP122" i="24"/>
  <c r="LP121" i="24"/>
  <c r="LP119" i="24"/>
  <c r="LP117" i="24"/>
  <c r="LP115" i="24"/>
  <c r="LP113" i="24"/>
  <c r="LP111" i="24"/>
  <c r="LP109" i="24"/>
  <c r="LP107" i="24"/>
  <c r="LP105" i="24"/>
  <c r="LP103" i="24"/>
  <c r="LP101" i="24"/>
  <c r="LP99" i="24"/>
  <c r="LP97" i="24"/>
  <c r="LP95" i="24"/>
  <c r="LP93" i="24"/>
  <c r="LP92" i="24"/>
  <c r="LN94" i="24"/>
  <c r="LN98" i="24"/>
  <c r="LN102" i="24"/>
  <c r="LN106" i="24"/>
  <c r="LN110" i="24"/>
  <c r="LN114" i="24"/>
  <c r="LN118" i="24"/>
  <c r="LN122" i="24"/>
  <c r="LN96" i="24"/>
  <c r="LN100" i="24"/>
  <c r="LN104" i="24"/>
  <c r="LN108" i="24"/>
  <c r="LN112" i="24"/>
  <c r="LN116" i="24"/>
  <c r="LN120" i="24"/>
  <c r="LN92" i="24"/>
  <c r="LN121" i="24"/>
  <c r="LN119" i="24"/>
  <c r="LN117" i="24"/>
  <c r="LN115" i="24"/>
  <c r="LN113" i="24"/>
  <c r="LN111" i="24"/>
  <c r="LN109" i="24"/>
  <c r="LN107" i="24"/>
  <c r="LN105" i="24"/>
  <c r="LN103" i="24"/>
  <c r="LN101" i="24"/>
  <c r="LN99" i="24"/>
  <c r="LN97" i="24"/>
  <c r="LN95" i="24"/>
  <c r="LN93" i="24"/>
  <c r="LL96" i="24"/>
  <c r="LL100" i="24"/>
  <c r="LL104" i="24"/>
  <c r="LL108" i="24"/>
  <c r="LL112" i="24"/>
  <c r="LL116" i="24"/>
  <c r="LL120" i="24"/>
  <c r="LL94" i="24"/>
  <c r="LL98" i="24"/>
  <c r="LL102" i="24"/>
  <c r="LL106" i="24"/>
  <c r="LL110" i="24"/>
  <c r="LL114" i="24"/>
  <c r="LL118" i="24"/>
  <c r="LL122" i="24"/>
  <c r="LL121" i="24"/>
  <c r="LL119" i="24"/>
  <c r="LL117" i="24"/>
  <c r="LL115" i="24"/>
  <c r="LL113" i="24"/>
  <c r="LL111" i="24"/>
  <c r="LL109" i="24"/>
  <c r="LL107" i="24"/>
  <c r="LL105" i="24"/>
  <c r="LL103" i="24"/>
  <c r="LL101" i="24"/>
  <c r="LL99" i="24"/>
  <c r="LL97" i="24"/>
  <c r="LL95" i="24"/>
  <c r="LL93" i="24"/>
  <c r="LL92" i="24"/>
  <c r="LJ94" i="24"/>
  <c r="LJ98" i="24"/>
  <c r="LJ102" i="24"/>
  <c r="LJ106" i="24"/>
  <c r="LJ110" i="24"/>
  <c r="LJ114" i="24"/>
  <c r="LJ118" i="24"/>
  <c r="LJ122" i="24"/>
  <c r="LJ96" i="24"/>
  <c r="LJ100" i="24"/>
  <c r="LJ104" i="24"/>
  <c r="LJ108" i="24"/>
  <c r="LJ112" i="24"/>
  <c r="LJ116" i="24"/>
  <c r="LJ120" i="24"/>
  <c r="LJ92" i="24"/>
  <c r="LJ121" i="24"/>
  <c r="LJ119" i="24"/>
  <c r="LJ117" i="24"/>
  <c r="LJ115" i="24"/>
  <c r="LJ113" i="24"/>
  <c r="LJ111" i="24"/>
  <c r="LJ109" i="24"/>
  <c r="LJ107" i="24"/>
  <c r="LJ105" i="24"/>
  <c r="LJ103" i="24"/>
  <c r="LJ101" i="24"/>
  <c r="LJ99" i="24"/>
  <c r="LJ97" i="24"/>
  <c r="LJ95" i="24"/>
  <c r="LJ93" i="24"/>
  <c r="MS121" i="24"/>
  <c r="MS96" i="24"/>
  <c r="MS104" i="24"/>
  <c r="MS112" i="24"/>
  <c r="MS122" i="24"/>
  <c r="MS100" i="24"/>
  <c r="MS108" i="24"/>
  <c r="MS116" i="24"/>
  <c r="MS120" i="24"/>
  <c r="MS117" i="24"/>
  <c r="MS115" i="24"/>
  <c r="MS113" i="24"/>
  <c r="MS111" i="24"/>
  <c r="MS109" i="24"/>
  <c r="MS107" i="24"/>
  <c r="MS105" i="24"/>
  <c r="MS103" i="24"/>
  <c r="MS101" i="24"/>
  <c r="MS99" i="24"/>
  <c r="MS97" i="24"/>
  <c r="MS95" i="24"/>
  <c r="MS93" i="24"/>
  <c r="MS119" i="24"/>
  <c r="MS92" i="24"/>
  <c r="MS118" i="24"/>
  <c r="MS114" i="24"/>
  <c r="MS110" i="24"/>
  <c r="MS106" i="24"/>
  <c r="MS102" i="24"/>
  <c r="MS98" i="24"/>
  <c r="MS94" i="24"/>
  <c r="MQ121" i="24"/>
  <c r="MQ98" i="24"/>
  <c r="MQ106" i="24"/>
  <c r="MQ114" i="24"/>
  <c r="MQ120" i="24"/>
  <c r="MQ94" i="24"/>
  <c r="MQ102" i="24"/>
  <c r="MQ110" i="24"/>
  <c r="MQ118" i="24"/>
  <c r="MQ122" i="24"/>
  <c r="MQ92" i="24"/>
  <c r="MQ117" i="24"/>
  <c r="MQ115" i="24"/>
  <c r="MQ113" i="24"/>
  <c r="MQ111" i="24"/>
  <c r="MQ109" i="24"/>
  <c r="MQ107" i="24"/>
  <c r="MQ105" i="24"/>
  <c r="MQ103" i="24"/>
  <c r="MQ101" i="24"/>
  <c r="MQ99" i="24"/>
  <c r="MQ97" i="24"/>
  <c r="MQ95" i="24"/>
  <c r="MQ93" i="24"/>
  <c r="MQ119" i="24"/>
  <c r="MQ116" i="24"/>
  <c r="MQ112" i="24"/>
  <c r="MQ108" i="24"/>
  <c r="MQ104" i="24"/>
  <c r="MQ100" i="24"/>
  <c r="MQ96" i="24"/>
  <c r="MO121" i="24"/>
  <c r="MO100" i="24"/>
  <c r="MO108" i="24"/>
  <c r="MO116" i="24"/>
  <c r="MO122" i="24"/>
  <c r="MO96" i="24"/>
  <c r="MO104" i="24"/>
  <c r="MO112" i="24"/>
  <c r="MO120" i="24"/>
  <c r="MO119" i="24"/>
  <c r="MO117" i="24"/>
  <c r="MO115" i="24"/>
  <c r="MO113" i="24"/>
  <c r="MO111" i="24"/>
  <c r="MO109" i="24"/>
  <c r="MO107" i="24"/>
  <c r="MO105" i="24"/>
  <c r="MO103" i="24"/>
  <c r="MO101" i="24"/>
  <c r="MO99" i="24"/>
  <c r="MO97" i="24"/>
  <c r="MO95" i="24"/>
  <c r="MO93" i="24"/>
  <c r="MO118" i="24"/>
  <c r="MO114" i="24"/>
  <c r="MO110" i="24"/>
  <c r="MO106" i="24"/>
  <c r="MO102" i="24"/>
  <c r="MO98" i="24"/>
  <c r="MO94" i="24"/>
  <c r="MO92" i="24"/>
  <c r="MM121" i="24"/>
  <c r="MM94" i="24"/>
  <c r="MM102" i="24"/>
  <c r="MM110" i="24"/>
  <c r="MM118" i="24"/>
  <c r="MM120" i="24"/>
  <c r="MM98" i="24"/>
  <c r="MM106" i="24"/>
  <c r="MM114" i="24"/>
  <c r="MM122" i="24"/>
  <c r="MM92" i="24"/>
  <c r="MM116" i="24"/>
  <c r="MM112" i="24"/>
  <c r="MM108" i="24"/>
  <c r="MM104" i="24"/>
  <c r="MM100" i="24"/>
  <c r="MM96" i="24"/>
  <c r="MM119" i="24"/>
  <c r="MM117" i="24"/>
  <c r="MM115" i="24"/>
  <c r="MM113" i="24"/>
  <c r="MM111" i="24"/>
  <c r="MM109" i="24"/>
  <c r="MM107" i="24"/>
  <c r="MM105" i="24"/>
  <c r="MM103" i="24"/>
  <c r="MM101" i="24"/>
  <c r="MM99" i="24"/>
  <c r="MM97" i="24"/>
  <c r="MM95" i="24"/>
  <c r="MM93" i="24"/>
  <c r="NV99" i="24"/>
  <c r="NV106" i="24"/>
  <c r="NV110" i="24"/>
  <c r="NV114" i="24"/>
  <c r="NV118" i="24"/>
  <c r="NV122" i="24"/>
  <c r="NV95" i="24"/>
  <c r="NV112" i="24"/>
  <c r="NV120" i="24"/>
  <c r="NV103" i="24"/>
  <c r="NV116" i="24"/>
  <c r="NV108" i="24"/>
  <c r="NV92" i="24"/>
  <c r="NV104" i="24"/>
  <c r="NV102" i="24"/>
  <c r="NV100" i="24"/>
  <c r="NV98" i="24"/>
  <c r="NV96" i="24"/>
  <c r="NV94" i="24"/>
  <c r="NV121" i="24"/>
  <c r="NV119" i="24"/>
  <c r="NV117" i="24"/>
  <c r="NV115" i="24"/>
  <c r="NV113" i="24"/>
  <c r="NV111" i="24"/>
  <c r="NV109" i="24"/>
  <c r="NV107" i="24"/>
  <c r="NV105" i="24"/>
  <c r="NV101" i="24"/>
  <c r="NV97" i="24"/>
  <c r="NV93" i="24"/>
  <c r="NT93" i="24"/>
  <c r="NT101" i="24"/>
  <c r="NT108" i="24"/>
  <c r="NT112" i="24"/>
  <c r="NT116" i="24"/>
  <c r="NT120" i="24"/>
  <c r="NT97" i="24"/>
  <c r="NT106" i="24"/>
  <c r="NT114" i="24"/>
  <c r="NT122" i="24"/>
  <c r="NT118" i="24"/>
  <c r="NT110" i="24"/>
  <c r="NT92" i="24"/>
  <c r="NT104" i="24"/>
  <c r="NT102" i="24"/>
  <c r="NT100" i="24"/>
  <c r="NT98" i="24"/>
  <c r="NT96" i="24"/>
  <c r="NT94" i="24"/>
  <c r="NT121" i="24"/>
  <c r="NT119" i="24"/>
  <c r="NT117" i="24"/>
  <c r="NT115" i="24"/>
  <c r="NT113" i="24"/>
  <c r="NT111" i="24"/>
  <c r="NT109" i="24"/>
  <c r="NT107" i="24"/>
  <c r="NT105" i="24"/>
  <c r="NT103" i="24"/>
  <c r="NT99" i="24"/>
  <c r="NT95" i="24"/>
  <c r="NR95" i="24"/>
  <c r="NR103" i="24"/>
  <c r="NR106" i="24"/>
  <c r="NR110" i="24"/>
  <c r="NR114" i="24"/>
  <c r="NR118" i="24"/>
  <c r="NR122" i="24"/>
  <c r="NR99" i="24"/>
  <c r="NR108" i="24"/>
  <c r="NR116" i="24"/>
  <c r="NR120" i="24"/>
  <c r="NR112" i="24"/>
  <c r="NR92" i="24"/>
  <c r="NR104" i="24"/>
  <c r="NR102" i="24"/>
  <c r="NR100" i="24"/>
  <c r="NR98" i="24"/>
  <c r="NR96" i="24"/>
  <c r="NR94" i="24"/>
  <c r="NR121" i="24"/>
  <c r="NR119" i="24"/>
  <c r="NR117" i="24"/>
  <c r="NR115" i="24"/>
  <c r="NR113" i="24"/>
  <c r="NR111" i="24"/>
  <c r="NR109" i="24"/>
  <c r="NR107" i="24"/>
  <c r="NR105" i="24"/>
  <c r="NR101" i="24"/>
  <c r="NR97" i="24"/>
  <c r="NR93" i="24"/>
  <c r="NP97" i="24"/>
  <c r="NP108" i="24"/>
  <c r="NP112" i="24"/>
  <c r="NP116" i="24"/>
  <c r="NP120" i="24"/>
  <c r="NP101" i="24"/>
  <c r="NP110" i="24"/>
  <c r="NP118" i="24"/>
  <c r="NP93" i="24"/>
  <c r="NP106" i="24"/>
  <c r="NP122" i="24"/>
  <c r="NP114" i="24"/>
  <c r="NP121" i="24"/>
  <c r="NP119" i="24"/>
  <c r="NP117" i="24"/>
  <c r="NP115" i="24"/>
  <c r="NP113" i="24"/>
  <c r="NP111" i="24"/>
  <c r="NP109" i="24"/>
  <c r="NP107" i="24"/>
  <c r="NP105" i="24"/>
  <c r="NP103" i="24"/>
  <c r="NP99" i="24"/>
  <c r="NP95" i="24"/>
  <c r="NP92" i="24"/>
  <c r="NP104" i="24"/>
  <c r="NP102" i="24"/>
  <c r="NP100" i="24"/>
  <c r="NP98" i="24"/>
  <c r="NP96" i="24"/>
  <c r="NP94" i="24"/>
  <c r="CC93" i="24"/>
  <c r="CC95" i="24"/>
  <c r="CC97" i="24"/>
  <c r="CC99" i="24"/>
  <c r="CC101" i="24"/>
  <c r="CC103" i="24"/>
  <c r="CC105" i="24"/>
  <c r="CC107" i="24"/>
  <c r="CC109" i="24"/>
  <c r="CC111" i="24"/>
  <c r="CC113" i="24"/>
  <c r="CC115" i="24"/>
  <c r="CC117" i="24"/>
  <c r="CC119" i="24"/>
  <c r="CC121" i="24"/>
  <c r="CC92" i="24"/>
  <c r="CC94" i="24"/>
  <c r="CC96" i="24"/>
  <c r="CC98" i="24"/>
  <c r="CC100" i="24"/>
  <c r="CC102" i="24"/>
  <c r="CC104" i="24"/>
  <c r="CC106" i="24"/>
  <c r="CC108" i="24"/>
  <c r="CC110" i="24"/>
  <c r="CC112" i="24"/>
  <c r="CC114" i="24"/>
  <c r="CC116" i="24"/>
  <c r="CC118" i="24"/>
  <c r="CC120" i="24"/>
  <c r="CC122" i="24"/>
  <c r="CA93" i="24"/>
  <c r="CA95" i="24"/>
  <c r="CA97" i="24"/>
  <c r="CA99" i="24"/>
  <c r="CA101" i="24"/>
  <c r="CA103" i="24"/>
  <c r="CA105" i="24"/>
  <c r="CA107" i="24"/>
  <c r="CA109" i="24"/>
  <c r="CA111" i="24"/>
  <c r="CA113" i="24"/>
  <c r="CA115" i="24"/>
  <c r="CA117" i="24"/>
  <c r="CA119" i="24"/>
  <c r="CA121" i="24"/>
  <c r="CA92" i="24"/>
  <c r="CA94" i="24"/>
  <c r="CA96" i="24"/>
  <c r="CA98" i="24"/>
  <c r="CA100" i="24"/>
  <c r="CA102" i="24"/>
  <c r="CA104" i="24"/>
  <c r="CA106" i="24"/>
  <c r="CA108" i="24"/>
  <c r="CA110" i="24"/>
  <c r="CA112" i="24"/>
  <c r="CA114" i="24"/>
  <c r="CA116" i="24"/>
  <c r="CA118" i="24"/>
  <c r="CA120" i="24"/>
  <c r="CA122" i="24"/>
  <c r="BY93" i="24"/>
  <c r="BY95" i="24"/>
  <c r="BY97" i="24"/>
  <c r="BY99" i="24"/>
  <c r="BY101" i="24"/>
  <c r="BY103" i="24"/>
  <c r="BY105" i="24"/>
  <c r="BY107" i="24"/>
  <c r="BY109" i="24"/>
  <c r="BY111" i="24"/>
  <c r="BY113" i="24"/>
  <c r="BY115" i="24"/>
  <c r="BY117" i="24"/>
  <c r="BY119" i="24"/>
  <c r="BY121" i="24"/>
  <c r="BY92" i="24"/>
  <c r="BY94" i="24"/>
  <c r="BY96" i="24"/>
  <c r="BY98" i="24"/>
  <c r="BY100" i="24"/>
  <c r="BY102" i="24"/>
  <c r="BY104" i="24"/>
  <c r="BY106" i="24"/>
  <c r="BY108" i="24"/>
  <c r="BY110" i="24"/>
  <c r="BY112" i="24"/>
  <c r="BY114" i="24"/>
  <c r="BY116" i="24"/>
  <c r="BY118" i="24"/>
  <c r="BY120" i="24"/>
  <c r="BY122" i="24"/>
  <c r="BW93" i="24"/>
  <c r="BW95" i="24"/>
  <c r="BW97" i="24"/>
  <c r="BW99" i="24"/>
  <c r="BW101" i="24"/>
  <c r="BW103" i="24"/>
  <c r="BW105" i="24"/>
  <c r="BW107" i="24"/>
  <c r="BW109" i="24"/>
  <c r="BW111" i="24"/>
  <c r="BW113" i="24"/>
  <c r="BW115" i="24"/>
  <c r="BW117" i="24"/>
  <c r="BW119" i="24"/>
  <c r="BW121" i="24"/>
  <c r="BW92" i="24"/>
  <c r="BW94" i="24"/>
  <c r="BW96" i="24"/>
  <c r="BW98" i="24"/>
  <c r="BW100" i="24"/>
  <c r="BW102" i="24"/>
  <c r="BW104" i="24"/>
  <c r="BW106" i="24"/>
  <c r="BW108" i="24"/>
  <c r="BW110" i="24"/>
  <c r="BW112" i="24"/>
  <c r="BW114" i="24"/>
  <c r="BW116" i="24"/>
  <c r="BW118" i="24"/>
  <c r="BW120" i="24"/>
  <c r="BW122" i="24"/>
  <c r="BU93" i="24"/>
  <c r="BU95" i="24"/>
  <c r="BU97" i="24"/>
  <c r="BU99" i="24"/>
  <c r="BU101" i="24"/>
  <c r="BU103" i="24"/>
  <c r="BU105" i="24"/>
  <c r="BU107" i="24"/>
  <c r="BU109" i="24"/>
  <c r="BU111" i="24"/>
  <c r="BU113" i="24"/>
  <c r="BU115" i="24"/>
  <c r="BU117" i="24"/>
  <c r="BU119" i="24"/>
  <c r="BU121" i="24"/>
  <c r="BU92" i="24"/>
  <c r="BU94" i="24"/>
  <c r="BU96" i="24"/>
  <c r="BU98" i="24"/>
  <c r="BU100" i="24"/>
  <c r="BU102" i="24"/>
  <c r="BU104" i="24"/>
  <c r="BU106" i="24"/>
  <c r="BU108" i="24"/>
  <c r="BU110" i="24"/>
  <c r="BU112" i="24"/>
  <c r="BU114" i="24"/>
  <c r="BU116" i="24"/>
  <c r="BU118" i="24"/>
  <c r="BU120" i="24"/>
  <c r="BU122" i="24"/>
  <c r="BS93" i="24"/>
  <c r="BS95" i="24"/>
  <c r="BS97" i="24"/>
  <c r="BS99" i="24"/>
  <c r="BS101" i="24"/>
  <c r="BS103" i="24"/>
  <c r="BS105" i="24"/>
  <c r="BS107" i="24"/>
  <c r="BS109" i="24"/>
  <c r="BS111" i="24"/>
  <c r="BS113" i="24"/>
  <c r="BS115" i="24"/>
  <c r="BS117" i="24"/>
  <c r="BS119" i="24"/>
  <c r="BS121" i="24"/>
  <c r="BS92" i="24"/>
  <c r="BS94" i="24"/>
  <c r="BS96" i="24"/>
  <c r="BS98" i="24"/>
  <c r="BS100" i="24"/>
  <c r="BS102" i="24"/>
  <c r="BS104" i="24"/>
  <c r="BS106" i="24"/>
  <c r="BS108" i="24"/>
  <c r="BS110" i="24"/>
  <c r="BS112" i="24"/>
  <c r="BS114" i="24"/>
  <c r="BS116" i="24"/>
  <c r="BS118" i="24"/>
  <c r="BS120" i="24"/>
  <c r="BS122" i="24"/>
  <c r="BQ93" i="24"/>
  <c r="BQ95" i="24"/>
  <c r="BQ97" i="24"/>
  <c r="BQ99" i="24"/>
  <c r="BQ101" i="24"/>
  <c r="BQ103" i="24"/>
  <c r="BQ105" i="24"/>
  <c r="BQ107" i="24"/>
  <c r="BQ109" i="24"/>
  <c r="BQ111" i="24"/>
  <c r="BQ113" i="24"/>
  <c r="BQ115" i="24"/>
  <c r="BQ117" i="24"/>
  <c r="BQ119" i="24"/>
  <c r="BQ121" i="24"/>
  <c r="BQ92" i="24"/>
  <c r="BQ94" i="24"/>
  <c r="BQ96" i="24"/>
  <c r="BQ98" i="24"/>
  <c r="BQ100" i="24"/>
  <c r="BQ102" i="24"/>
  <c r="BQ104" i="24"/>
  <c r="BQ106" i="24"/>
  <c r="BQ108" i="24"/>
  <c r="BQ110" i="24"/>
  <c r="BQ112" i="24"/>
  <c r="BQ114" i="24"/>
  <c r="BQ116" i="24"/>
  <c r="BQ118" i="24"/>
  <c r="BQ120" i="24"/>
  <c r="BQ122" i="24"/>
  <c r="DF92" i="24"/>
  <c r="DF121" i="24"/>
  <c r="DF113" i="24"/>
  <c r="DF110" i="24"/>
  <c r="DF108" i="24"/>
  <c r="DF99" i="24"/>
  <c r="DF122" i="24"/>
  <c r="DF120" i="24"/>
  <c r="DF117" i="24"/>
  <c r="DF106" i="24"/>
  <c r="DF105" i="24"/>
  <c r="DF101" i="24"/>
  <c r="DF95" i="24"/>
  <c r="DF119" i="24"/>
  <c r="DF96" i="24"/>
  <c r="DF116" i="24"/>
  <c r="DF114" i="24"/>
  <c r="DF112" i="24"/>
  <c r="DF100" i="24"/>
  <c r="DF98" i="24"/>
  <c r="DF93" i="24"/>
  <c r="DF118" i="24"/>
  <c r="DF109" i="24"/>
  <c r="DF103" i="24"/>
  <c r="DF102" i="24"/>
  <c r="DF97" i="24"/>
  <c r="DF94" i="24"/>
  <c r="DF115" i="24"/>
  <c r="DF107" i="24"/>
  <c r="DF104" i="24"/>
  <c r="DF111" i="24"/>
  <c r="DD92" i="24"/>
  <c r="DD116" i="24"/>
  <c r="DD114" i="24"/>
  <c r="DD112" i="24"/>
  <c r="DD107" i="24"/>
  <c r="DD93" i="24"/>
  <c r="DD119" i="24"/>
  <c r="DD118" i="24"/>
  <c r="DD104" i="24"/>
  <c r="DD103" i="24"/>
  <c r="DD97" i="24"/>
  <c r="DD98" i="24"/>
  <c r="DD113" i="24"/>
  <c r="DD111" i="24"/>
  <c r="DD110" i="24"/>
  <c r="DD108" i="24"/>
  <c r="DD100" i="24"/>
  <c r="DD99" i="24"/>
  <c r="DD122" i="24"/>
  <c r="DD120" i="24"/>
  <c r="DD115" i="24"/>
  <c r="DD106" i="24"/>
  <c r="DD105" i="24"/>
  <c r="DD102" i="24"/>
  <c r="DD101" i="24"/>
  <c r="DD96" i="24"/>
  <c r="DD95" i="24"/>
  <c r="DD94" i="24"/>
  <c r="DD117" i="24"/>
  <c r="DD109" i="24"/>
  <c r="DD121" i="24"/>
  <c r="DB110" i="24"/>
  <c r="DB108" i="24"/>
  <c r="DB99" i="24"/>
  <c r="DB98" i="24"/>
  <c r="DB122" i="24"/>
  <c r="DB120" i="24"/>
  <c r="DB109" i="24"/>
  <c r="DB106" i="24"/>
  <c r="DB105" i="24"/>
  <c r="DB104" i="24"/>
  <c r="DB102" i="24"/>
  <c r="DB101" i="24"/>
  <c r="DB95" i="24"/>
  <c r="DB94" i="24"/>
  <c r="DB107" i="24"/>
  <c r="DB119" i="24"/>
  <c r="DB92" i="24"/>
  <c r="DB121" i="24"/>
  <c r="DB116" i="24"/>
  <c r="DB114" i="24"/>
  <c r="DB113" i="24"/>
  <c r="DB112" i="24"/>
  <c r="DB93" i="24"/>
  <c r="DB118" i="24"/>
  <c r="DB117" i="24"/>
  <c r="DB103" i="24"/>
  <c r="DB97" i="24"/>
  <c r="DB96" i="24"/>
  <c r="DB111" i="24"/>
  <c r="DB115" i="24"/>
  <c r="DB100" i="24"/>
  <c r="CZ92" i="24"/>
  <c r="CZ116" i="24"/>
  <c r="CZ114" i="24"/>
  <c r="CZ112" i="24"/>
  <c r="CZ111" i="24"/>
  <c r="CZ100" i="24"/>
  <c r="CZ98" i="24"/>
  <c r="CZ93" i="24"/>
  <c r="CZ113" i="24"/>
  <c r="CZ118" i="24"/>
  <c r="CZ115" i="24"/>
  <c r="CZ103" i="24"/>
  <c r="CZ97" i="24"/>
  <c r="CZ96" i="24"/>
  <c r="CZ117" i="24"/>
  <c r="CZ94" i="24"/>
  <c r="CZ102" i="24"/>
  <c r="CZ110" i="24"/>
  <c r="CZ108" i="24"/>
  <c r="CZ107" i="24"/>
  <c r="CZ99" i="24"/>
  <c r="CZ121" i="24"/>
  <c r="CZ122" i="24"/>
  <c r="CZ120" i="24"/>
  <c r="CZ119" i="24"/>
  <c r="CZ106" i="24"/>
  <c r="CZ105" i="24"/>
  <c r="CZ104" i="24"/>
  <c r="CZ101" i="24"/>
  <c r="CZ95" i="24"/>
  <c r="CZ109" i="24"/>
  <c r="CX92" i="24"/>
  <c r="CX121" i="24"/>
  <c r="CX113" i="24"/>
  <c r="CX110" i="24"/>
  <c r="CX108" i="24"/>
  <c r="CX100" i="24"/>
  <c r="CX99" i="24"/>
  <c r="CX122" i="24"/>
  <c r="CX120" i="24"/>
  <c r="CX117" i="24"/>
  <c r="CX106" i="24"/>
  <c r="CX105" i="24"/>
  <c r="CX101" i="24"/>
  <c r="CX95" i="24"/>
  <c r="CX115" i="24"/>
  <c r="CX111" i="24"/>
  <c r="CX104" i="24"/>
  <c r="CX116" i="24"/>
  <c r="CX114" i="24"/>
  <c r="CX112" i="24"/>
  <c r="CX98" i="24"/>
  <c r="CX93" i="24"/>
  <c r="CX107" i="24"/>
  <c r="CX118" i="24"/>
  <c r="CX109" i="24"/>
  <c r="CX103" i="24"/>
  <c r="CX102" i="24"/>
  <c r="CX97" i="24"/>
  <c r="CX94" i="24"/>
  <c r="CX96" i="24"/>
  <c r="CX119" i="24"/>
  <c r="CV116" i="24"/>
  <c r="CV114" i="24"/>
  <c r="CV112" i="24"/>
  <c r="CV107" i="24"/>
  <c r="CV93" i="24"/>
  <c r="CV119" i="24"/>
  <c r="CV118" i="24"/>
  <c r="CV104" i="24"/>
  <c r="CV103" i="24"/>
  <c r="CV102" i="24"/>
  <c r="CV97" i="24"/>
  <c r="CV94" i="24"/>
  <c r="CV117" i="24"/>
  <c r="CV121" i="24"/>
  <c r="CV109" i="24"/>
  <c r="CV92" i="24"/>
  <c r="CV111" i="24"/>
  <c r="CV110" i="24"/>
  <c r="CV108" i="24"/>
  <c r="CV100" i="24"/>
  <c r="CV99" i="24"/>
  <c r="CV122" i="24"/>
  <c r="CV120" i="24"/>
  <c r="CV115" i="24"/>
  <c r="CV106" i="24"/>
  <c r="CV105" i="24"/>
  <c r="CV101" i="24"/>
  <c r="CV96" i="24"/>
  <c r="CV95" i="24"/>
  <c r="CV113" i="24"/>
  <c r="CV98" i="24"/>
  <c r="CT110" i="24"/>
  <c r="CT108" i="24"/>
  <c r="CT99" i="24"/>
  <c r="CT98" i="24"/>
  <c r="CT100" i="24"/>
  <c r="CT122" i="24"/>
  <c r="CT120" i="24"/>
  <c r="CT109" i="24"/>
  <c r="CT106" i="24"/>
  <c r="CT105" i="24"/>
  <c r="CT102" i="24"/>
  <c r="CT101" i="24"/>
  <c r="CT96" i="24"/>
  <c r="CT95" i="24"/>
  <c r="CT94" i="24"/>
  <c r="CT119" i="24"/>
  <c r="CT111" i="24"/>
  <c r="CT115" i="24"/>
  <c r="CT92" i="24"/>
  <c r="CT121" i="24"/>
  <c r="CT116" i="24"/>
  <c r="CT114" i="24"/>
  <c r="CT113" i="24"/>
  <c r="CT112" i="24"/>
  <c r="CT93" i="24"/>
  <c r="CT118" i="24"/>
  <c r="CT117" i="24"/>
  <c r="CT104" i="24"/>
  <c r="CT103" i="24"/>
  <c r="CT97" i="24"/>
  <c r="CT107" i="24"/>
  <c r="EI94" i="24"/>
  <c r="EI96" i="24"/>
  <c r="EI98" i="24"/>
  <c r="EI100" i="24"/>
  <c r="EI102" i="24"/>
  <c r="EI104" i="24"/>
  <c r="EI106" i="24"/>
  <c r="EI108" i="24"/>
  <c r="EI110" i="24"/>
  <c r="EI112" i="24"/>
  <c r="EI114" i="24"/>
  <c r="EI116" i="24"/>
  <c r="EI118" i="24"/>
  <c r="EI120" i="24"/>
  <c r="EI122" i="24"/>
  <c r="EI93" i="24"/>
  <c r="EI95" i="24"/>
  <c r="EI97" i="24"/>
  <c r="EI99" i="24"/>
  <c r="EI101" i="24"/>
  <c r="EI103" i="24"/>
  <c r="EI105" i="24"/>
  <c r="EI107" i="24"/>
  <c r="EI109" i="24"/>
  <c r="EI111" i="24"/>
  <c r="EI113" i="24"/>
  <c r="EI115" i="24"/>
  <c r="EI117" i="24"/>
  <c r="EI119" i="24"/>
  <c r="EI121" i="24"/>
  <c r="EI92" i="24"/>
  <c r="EG94" i="24"/>
  <c r="EG96" i="24"/>
  <c r="EG98" i="24"/>
  <c r="EG100" i="24"/>
  <c r="EG102" i="24"/>
  <c r="EG104" i="24"/>
  <c r="EG106" i="24"/>
  <c r="EG108" i="24"/>
  <c r="EG110" i="24"/>
  <c r="EG112" i="24"/>
  <c r="EG114" i="24"/>
  <c r="EG116" i="24"/>
  <c r="EG118" i="24"/>
  <c r="EG120" i="24"/>
  <c r="EG122" i="24"/>
  <c r="EG92" i="24"/>
  <c r="EG93" i="24"/>
  <c r="EG95" i="24"/>
  <c r="EG97" i="24"/>
  <c r="EG99" i="24"/>
  <c r="EG101" i="24"/>
  <c r="EG103" i="24"/>
  <c r="EG105" i="24"/>
  <c r="EG107" i="24"/>
  <c r="EG109" i="24"/>
  <c r="EG111" i="24"/>
  <c r="EG113" i="24"/>
  <c r="EG115" i="24"/>
  <c r="EG117" i="24"/>
  <c r="EG119" i="24"/>
  <c r="EG121" i="24"/>
  <c r="EE94" i="24"/>
  <c r="EE96" i="24"/>
  <c r="EE98" i="24"/>
  <c r="EE100" i="24"/>
  <c r="EE102" i="24"/>
  <c r="EE104" i="24"/>
  <c r="EE106" i="24"/>
  <c r="EE108" i="24"/>
  <c r="EE110" i="24"/>
  <c r="EE112" i="24"/>
  <c r="EE114" i="24"/>
  <c r="EE116" i="24"/>
  <c r="EE118" i="24"/>
  <c r="EE120" i="24"/>
  <c r="EE122" i="24"/>
  <c r="EE93" i="24"/>
  <c r="EE95" i="24"/>
  <c r="EE97" i="24"/>
  <c r="EE99" i="24"/>
  <c r="EE101" i="24"/>
  <c r="EE103" i="24"/>
  <c r="EE105" i="24"/>
  <c r="EE107" i="24"/>
  <c r="EE109" i="24"/>
  <c r="EE111" i="24"/>
  <c r="EE113" i="24"/>
  <c r="EE115" i="24"/>
  <c r="EE117" i="24"/>
  <c r="EE119" i="24"/>
  <c r="EE121" i="24"/>
  <c r="EE92" i="24"/>
  <c r="EC94" i="24"/>
  <c r="EC96" i="24"/>
  <c r="EC98" i="24"/>
  <c r="EC100" i="24"/>
  <c r="EC102" i="24"/>
  <c r="EC104" i="24"/>
  <c r="EC106" i="24"/>
  <c r="EC108" i="24"/>
  <c r="EC110" i="24"/>
  <c r="EC112" i="24"/>
  <c r="EC114" i="24"/>
  <c r="EC116" i="24"/>
  <c r="EC118" i="24"/>
  <c r="EC120" i="24"/>
  <c r="EC122" i="24"/>
  <c r="EC93" i="24"/>
  <c r="EC95" i="24"/>
  <c r="EC97" i="24"/>
  <c r="EC99" i="24"/>
  <c r="EC101" i="24"/>
  <c r="EC103" i="24"/>
  <c r="EC105" i="24"/>
  <c r="EC107" i="24"/>
  <c r="EC109" i="24"/>
  <c r="EC111" i="24"/>
  <c r="EC113" i="24"/>
  <c r="EC115" i="24"/>
  <c r="EC117" i="24"/>
  <c r="EC119" i="24"/>
  <c r="EC121" i="24"/>
  <c r="EC92" i="24"/>
  <c r="EA94" i="24"/>
  <c r="EA96" i="24"/>
  <c r="EA98" i="24"/>
  <c r="EA100" i="24"/>
  <c r="EA102" i="24"/>
  <c r="EA104" i="24"/>
  <c r="EA106" i="24"/>
  <c r="EA108" i="24"/>
  <c r="EA110" i="24"/>
  <c r="EA112" i="24"/>
  <c r="EA114" i="24"/>
  <c r="EA116" i="24"/>
  <c r="EA118" i="24"/>
  <c r="EA120" i="24"/>
  <c r="EA122" i="24"/>
  <c r="EA93" i="24"/>
  <c r="EA95" i="24"/>
  <c r="EA97" i="24"/>
  <c r="EA99" i="24"/>
  <c r="EA101" i="24"/>
  <c r="EA103" i="24"/>
  <c r="EA105" i="24"/>
  <c r="EA107" i="24"/>
  <c r="EA109" i="24"/>
  <c r="EA111" i="24"/>
  <c r="EA113" i="24"/>
  <c r="EA115" i="24"/>
  <c r="EA117" i="24"/>
  <c r="EA119" i="24"/>
  <c r="EA121" i="24"/>
  <c r="EA92" i="24"/>
  <c r="DY94" i="24"/>
  <c r="DY96" i="24"/>
  <c r="DY98" i="24"/>
  <c r="DY100" i="24"/>
  <c r="DY102" i="24"/>
  <c r="DY104" i="24"/>
  <c r="DY106" i="24"/>
  <c r="DY108" i="24"/>
  <c r="DY110" i="24"/>
  <c r="DY112" i="24"/>
  <c r="DY114" i="24"/>
  <c r="DY116" i="24"/>
  <c r="DY118" i="24"/>
  <c r="DY120" i="24"/>
  <c r="DY122" i="24"/>
  <c r="DY93" i="24"/>
  <c r="DY95" i="24"/>
  <c r="DY97" i="24"/>
  <c r="DY99" i="24"/>
  <c r="DY101" i="24"/>
  <c r="DY103" i="24"/>
  <c r="DY105" i="24"/>
  <c r="DY107" i="24"/>
  <c r="DY109" i="24"/>
  <c r="DY111" i="24"/>
  <c r="DY113" i="24"/>
  <c r="DY115" i="24"/>
  <c r="DY117" i="24"/>
  <c r="DY119" i="24"/>
  <c r="DY121" i="24"/>
  <c r="DY92" i="24"/>
  <c r="DW94" i="24"/>
  <c r="DW96" i="24"/>
  <c r="DW98" i="24"/>
  <c r="DW100" i="24"/>
  <c r="DW102" i="24"/>
  <c r="DW104" i="24"/>
  <c r="DW106" i="24"/>
  <c r="DW108" i="24"/>
  <c r="DW110" i="24"/>
  <c r="DW112" i="24"/>
  <c r="DW114" i="24"/>
  <c r="DW116" i="24"/>
  <c r="DW118" i="24"/>
  <c r="DW120" i="24"/>
  <c r="DW122" i="24"/>
  <c r="DW93" i="24"/>
  <c r="DW95" i="24"/>
  <c r="DW97" i="24"/>
  <c r="DW99" i="24"/>
  <c r="DW101" i="24"/>
  <c r="DW103" i="24"/>
  <c r="DW105" i="24"/>
  <c r="DW107" i="24"/>
  <c r="DW109" i="24"/>
  <c r="DW111" i="24"/>
  <c r="DW113" i="24"/>
  <c r="DW115" i="24"/>
  <c r="DW117" i="24"/>
  <c r="DW119" i="24"/>
  <c r="DW121" i="24"/>
  <c r="DW92" i="24"/>
  <c r="FL94" i="24"/>
  <c r="FL96" i="24"/>
  <c r="FL98" i="24"/>
  <c r="FL100" i="24"/>
  <c r="FL102" i="24"/>
  <c r="FL104" i="24"/>
  <c r="FL106" i="24"/>
  <c r="FL108" i="24"/>
  <c r="FL93" i="24"/>
  <c r="FL95" i="24"/>
  <c r="FL97" i="24"/>
  <c r="FL99" i="24"/>
  <c r="FL101" i="24"/>
  <c r="FL103" i="24"/>
  <c r="FL105" i="24"/>
  <c r="FL107" i="24"/>
  <c r="FL109" i="24"/>
  <c r="FL110" i="24"/>
  <c r="FL112" i="24"/>
  <c r="FL114" i="24"/>
  <c r="FL116" i="24"/>
  <c r="FL118" i="24"/>
  <c r="FL120" i="24"/>
  <c r="FL122" i="24"/>
  <c r="FL111" i="24"/>
  <c r="FL113" i="24"/>
  <c r="FL115" i="24"/>
  <c r="FL117" i="24"/>
  <c r="FL119" i="24"/>
  <c r="FL121" i="24"/>
  <c r="FL92" i="24"/>
  <c r="FJ94" i="24"/>
  <c r="FJ96" i="24"/>
  <c r="FJ98" i="24"/>
  <c r="FJ100" i="24"/>
  <c r="FJ102" i="24"/>
  <c r="FJ104" i="24"/>
  <c r="FJ106" i="24"/>
  <c r="FJ108" i="24"/>
  <c r="FJ93" i="24"/>
  <c r="FJ95" i="24"/>
  <c r="FJ97" i="24"/>
  <c r="FJ99" i="24"/>
  <c r="FJ101" i="24"/>
  <c r="FJ103" i="24"/>
  <c r="FJ105" i="24"/>
  <c r="FJ107" i="24"/>
  <c r="FJ109" i="24"/>
  <c r="FJ110" i="24"/>
  <c r="FJ112" i="24"/>
  <c r="FJ114" i="24"/>
  <c r="FJ116" i="24"/>
  <c r="FJ118" i="24"/>
  <c r="FJ120" i="24"/>
  <c r="FJ122" i="24"/>
  <c r="FJ111" i="24"/>
  <c r="FJ113" i="24"/>
  <c r="FJ115" i="24"/>
  <c r="FJ117" i="24"/>
  <c r="FJ119" i="24"/>
  <c r="FJ121" i="24"/>
  <c r="FJ92" i="24"/>
  <c r="FH94" i="24"/>
  <c r="FH96" i="24"/>
  <c r="FH98" i="24"/>
  <c r="FH100" i="24"/>
  <c r="FH102" i="24"/>
  <c r="FH104" i="24"/>
  <c r="FH106" i="24"/>
  <c r="FH108" i="24"/>
  <c r="FH93" i="24"/>
  <c r="FH95" i="24"/>
  <c r="FH97" i="24"/>
  <c r="FH99" i="24"/>
  <c r="FH101" i="24"/>
  <c r="FH103" i="24"/>
  <c r="FH105" i="24"/>
  <c r="FH107" i="24"/>
  <c r="FH109" i="24"/>
  <c r="FH110" i="24"/>
  <c r="FH112" i="24"/>
  <c r="FH114" i="24"/>
  <c r="FH116" i="24"/>
  <c r="FH118" i="24"/>
  <c r="FH120" i="24"/>
  <c r="FH122" i="24"/>
  <c r="FH111" i="24"/>
  <c r="FH113" i="24"/>
  <c r="FH115" i="24"/>
  <c r="FH117" i="24"/>
  <c r="FH119" i="24"/>
  <c r="FH121" i="24"/>
  <c r="FH92" i="24"/>
  <c r="FF94" i="24"/>
  <c r="FF96" i="24"/>
  <c r="FF98" i="24"/>
  <c r="FF100" i="24"/>
  <c r="FF102" i="24"/>
  <c r="FF104" i="24"/>
  <c r="FF106" i="24"/>
  <c r="FF108" i="24"/>
  <c r="FF93" i="24"/>
  <c r="FF95" i="24"/>
  <c r="FF97" i="24"/>
  <c r="FF99" i="24"/>
  <c r="FF101" i="24"/>
  <c r="FF103" i="24"/>
  <c r="FF105" i="24"/>
  <c r="FF107" i="24"/>
  <c r="FF109" i="24"/>
  <c r="FF110" i="24"/>
  <c r="FF112" i="24"/>
  <c r="FF114" i="24"/>
  <c r="FF116" i="24"/>
  <c r="FF118" i="24"/>
  <c r="FF120" i="24"/>
  <c r="FF122" i="24"/>
  <c r="FF111" i="24"/>
  <c r="FF113" i="24"/>
  <c r="FF115" i="24"/>
  <c r="FF117" i="24"/>
  <c r="FF119" i="24"/>
  <c r="FF121" i="24"/>
  <c r="FF92" i="24"/>
  <c r="FD94" i="24"/>
  <c r="FD96" i="24"/>
  <c r="FD98" i="24"/>
  <c r="FD100" i="24"/>
  <c r="FD102" i="24"/>
  <c r="FD104" i="24"/>
  <c r="FD106" i="24"/>
  <c r="FD108" i="24"/>
  <c r="FD93" i="24"/>
  <c r="FD95" i="24"/>
  <c r="FD97" i="24"/>
  <c r="FD99" i="24"/>
  <c r="FD101" i="24"/>
  <c r="FD103" i="24"/>
  <c r="FD105" i="24"/>
  <c r="FD107" i="24"/>
  <c r="FD109" i="24"/>
  <c r="FD110" i="24"/>
  <c r="FD112" i="24"/>
  <c r="FD114" i="24"/>
  <c r="FD116" i="24"/>
  <c r="FD118" i="24"/>
  <c r="FD120" i="24"/>
  <c r="FD122" i="24"/>
  <c r="FD111" i="24"/>
  <c r="FD113" i="24"/>
  <c r="FD115" i="24"/>
  <c r="FD117" i="24"/>
  <c r="FD119" i="24"/>
  <c r="FD121" i="24"/>
  <c r="FD92" i="24"/>
  <c r="FB94" i="24"/>
  <c r="FB96" i="24"/>
  <c r="FB98" i="24"/>
  <c r="FB100" i="24"/>
  <c r="FB102" i="24"/>
  <c r="FB104" i="24"/>
  <c r="FB106" i="24"/>
  <c r="FB108" i="24"/>
  <c r="FB93" i="24"/>
  <c r="FB95" i="24"/>
  <c r="FB97" i="24"/>
  <c r="FB99" i="24"/>
  <c r="FB101" i="24"/>
  <c r="FB103" i="24"/>
  <c r="FB105" i="24"/>
  <c r="FB107" i="24"/>
  <c r="FB109" i="24"/>
  <c r="FB110" i="24"/>
  <c r="FB112" i="24"/>
  <c r="FB114" i="24"/>
  <c r="FB116" i="24"/>
  <c r="FB118" i="24"/>
  <c r="FB120" i="24"/>
  <c r="FB122" i="24"/>
  <c r="FB111" i="24"/>
  <c r="FB113" i="24"/>
  <c r="FB115" i="24"/>
  <c r="FB117" i="24"/>
  <c r="FB119" i="24"/>
  <c r="FB121" i="24"/>
  <c r="FB92" i="24"/>
  <c r="EZ94" i="24"/>
  <c r="EZ96" i="24"/>
  <c r="EZ98" i="24"/>
  <c r="EZ100" i="24"/>
  <c r="EZ102" i="24"/>
  <c r="EZ104" i="24"/>
  <c r="EZ106" i="24"/>
  <c r="EZ108" i="24"/>
  <c r="EZ93" i="24"/>
  <c r="EZ95" i="24"/>
  <c r="EZ97" i="24"/>
  <c r="EZ99" i="24"/>
  <c r="EZ101" i="24"/>
  <c r="EZ103" i="24"/>
  <c r="EZ105" i="24"/>
  <c r="EZ107" i="24"/>
  <c r="EZ109" i="24"/>
  <c r="EZ110" i="24"/>
  <c r="EZ112" i="24"/>
  <c r="EZ114" i="24"/>
  <c r="EZ116" i="24"/>
  <c r="EZ118" i="24"/>
  <c r="EZ120" i="24"/>
  <c r="EZ122" i="24"/>
  <c r="EZ111" i="24"/>
  <c r="EZ113" i="24"/>
  <c r="EZ115" i="24"/>
  <c r="EZ117" i="24"/>
  <c r="EZ119" i="24"/>
  <c r="EZ121" i="24"/>
  <c r="EZ92" i="24"/>
  <c r="GO94" i="24"/>
  <c r="GO96" i="24"/>
  <c r="GO98" i="24"/>
  <c r="GO100" i="24"/>
  <c r="GO102" i="24"/>
  <c r="GO104" i="24"/>
  <c r="GO106" i="24"/>
  <c r="GO108" i="24"/>
  <c r="GO110" i="24"/>
  <c r="GO112" i="24"/>
  <c r="GO114" i="24"/>
  <c r="GO116" i="24"/>
  <c r="GO118" i="24"/>
  <c r="GO120" i="24"/>
  <c r="GO122" i="24"/>
  <c r="GO93" i="24"/>
  <c r="GO95" i="24"/>
  <c r="GO97" i="24"/>
  <c r="GO99" i="24"/>
  <c r="GO101" i="24"/>
  <c r="GO103" i="24"/>
  <c r="GO105" i="24"/>
  <c r="GO107" i="24"/>
  <c r="GO109" i="24"/>
  <c r="GO111" i="24"/>
  <c r="GO113" i="24"/>
  <c r="GO115" i="24"/>
  <c r="GO117" i="24"/>
  <c r="GO119" i="24"/>
  <c r="GO121" i="24"/>
  <c r="GO92" i="24"/>
  <c r="GM94" i="24"/>
  <c r="GM96" i="24"/>
  <c r="GM98" i="24"/>
  <c r="GM100" i="24"/>
  <c r="GM102" i="24"/>
  <c r="GM104" i="24"/>
  <c r="GM106" i="24"/>
  <c r="GM108" i="24"/>
  <c r="GM110" i="24"/>
  <c r="GM112" i="24"/>
  <c r="GM114" i="24"/>
  <c r="GM116" i="24"/>
  <c r="GM118" i="24"/>
  <c r="GM120" i="24"/>
  <c r="GM122" i="24"/>
  <c r="GM93" i="24"/>
  <c r="GM95" i="24"/>
  <c r="GM97" i="24"/>
  <c r="GM99" i="24"/>
  <c r="GM101" i="24"/>
  <c r="GM103" i="24"/>
  <c r="GM105" i="24"/>
  <c r="GM107" i="24"/>
  <c r="GM109" i="24"/>
  <c r="GM111" i="24"/>
  <c r="GM113" i="24"/>
  <c r="GM115" i="24"/>
  <c r="GM117" i="24"/>
  <c r="GM119" i="24"/>
  <c r="GM121" i="24"/>
  <c r="GM92" i="24"/>
  <c r="GK94" i="24"/>
  <c r="GK96" i="24"/>
  <c r="GK98" i="24"/>
  <c r="GK100" i="24"/>
  <c r="GK102" i="24"/>
  <c r="GK104" i="24"/>
  <c r="GK106" i="24"/>
  <c r="GK108" i="24"/>
  <c r="GK110" i="24"/>
  <c r="GK112" i="24"/>
  <c r="GK114" i="24"/>
  <c r="GK116" i="24"/>
  <c r="GK118" i="24"/>
  <c r="GK120" i="24"/>
  <c r="GK122" i="24"/>
  <c r="GK93" i="24"/>
  <c r="GK95" i="24"/>
  <c r="GK97" i="24"/>
  <c r="GK99" i="24"/>
  <c r="GK101" i="24"/>
  <c r="GK103" i="24"/>
  <c r="GK105" i="24"/>
  <c r="GK107" i="24"/>
  <c r="GK109" i="24"/>
  <c r="GK111" i="24"/>
  <c r="GK113" i="24"/>
  <c r="GK115" i="24"/>
  <c r="GK117" i="24"/>
  <c r="GK119" i="24"/>
  <c r="GK121" i="24"/>
  <c r="GK92" i="24"/>
  <c r="GI94" i="24"/>
  <c r="GI96" i="24"/>
  <c r="GI98" i="24"/>
  <c r="GI100" i="24"/>
  <c r="GI102" i="24"/>
  <c r="GI104" i="24"/>
  <c r="GI106" i="24"/>
  <c r="GI108" i="24"/>
  <c r="GI110" i="24"/>
  <c r="GI112" i="24"/>
  <c r="GI114" i="24"/>
  <c r="GI116" i="24"/>
  <c r="GI118" i="24"/>
  <c r="GI120" i="24"/>
  <c r="GI122" i="24"/>
  <c r="GI93" i="24"/>
  <c r="GI95" i="24"/>
  <c r="GI97" i="24"/>
  <c r="GI99" i="24"/>
  <c r="GI101" i="24"/>
  <c r="GI103" i="24"/>
  <c r="GI105" i="24"/>
  <c r="GI107" i="24"/>
  <c r="GI109" i="24"/>
  <c r="GI111" i="24"/>
  <c r="GI113" i="24"/>
  <c r="GI115" i="24"/>
  <c r="GI117" i="24"/>
  <c r="GI119" i="24"/>
  <c r="GI121" i="24"/>
  <c r="GI92" i="24"/>
  <c r="GG94" i="24"/>
  <c r="GG96" i="24"/>
  <c r="GG98" i="24"/>
  <c r="GG100" i="24"/>
  <c r="GG102" i="24"/>
  <c r="GG104" i="24"/>
  <c r="GG106" i="24"/>
  <c r="GG108" i="24"/>
  <c r="GG110" i="24"/>
  <c r="GG112" i="24"/>
  <c r="GG114" i="24"/>
  <c r="GG116" i="24"/>
  <c r="GG118" i="24"/>
  <c r="GG120" i="24"/>
  <c r="GG122" i="24"/>
  <c r="GG93" i="24"/>
  <c r="GG95" i="24"/>
  <c r="GG97" i="24"/>
  <c r="GG99" i="24"/>
  <c r="GG101" i="24"/>
  <c r="GG103" i="24"/>
  <c r="GG105" i="24"/>
  <c r="GG107" i="24"/>
  <c r="GG109" i="24"/>
  <c r="GG111" i="24"/>
  <c r="GG113" i="24"/>
  <c r="GG115" i="24"/>
  <c r="GG117" i="24"/>
  <c r="GG119" i="24"/>
  <c r="GG121" i="24"/>
  <c r="GG92" i="24"/>
  <c r="GE94" i="24"/>
  <c r="GE96" i="24"/>
  <c r="GE98" i="24"/>
  <c r="GE100" i="24"/>
  <c r="GE102" i="24"/>
  <c r="GE104" i="24"/>
  <c r="GE106" i="24"/>
  <c r="GE108" i="24"/>
  <c r="GE110" i="24"/>
  <c r="GE112" i="24"/>
  <c r="GE114" i="24"/>
  <c r="GE116" i="24"/>
  <c r="GE118" i="24"/>
  <c r="GE120" i="24"/>
  <c r="GE122" i="24"/>
  <c r="GE93" i="24"/>
  <c r="GE95" i="24"/>
  <c r="GE97" i="24"/>
  <c r="GE99" i="24"/>
  <c r="GE101" i="24"/>
  <c r="GE103" i="24"/>
  <c r="GE105" i="24"/>
  <c r="GE107" i="24"/>
  <c r="GE109" i="24"/>
  <c r="GE111" i="24"/>
  <c r="GE113" i="24"/>
  <c r="GE115" i="24"/>
  <c r="GE117" i="24"/>
  <c r="GE119" i="24"/>
  <c r="GE121" i="24"/>
  <c r="GE92" i="24"/>
  <c r="GC94" i="24"/>
  <c r="GC96" i="24"/>
  <c r="GC98" i="24"/>
  <c r="GC100" i="24"/>
  <c r="GC102" i="24"/>
  <c r="GC104" i="24"/>
  <c r="GC106" i="24"/>
  <c r="GC108" i="24"/>
  <c r="GC110" i="24"/>
  <c r="GC112" i="24"/>
  <c r="GC114" i="24"/>
  <c r="GC116" i="24"/>
  <c r="GC118" i="24"/>
  <c r="GC120" i="24"/>
  <c r="GC122" i="24"/>
  <c r="GC93" i="24"/>
  <c r="GC95" i="24"/>
  <c r="GC97" i="24"/>
  <c r="GC99" i="24"/>
  <c r="GC101" i="24"/>
  <c r="GC103" i="24"/>
  <c r="GC105" i="24"/>
  <c r="GC107" i="24"/>
  <c r="GC109" i="24"/>
  <c r="GC111" i="24"/>
  <c r="GC113" i="24"/>
  <c r="GC115" i="24"/>
  <c r="GC117" i="24"/>
  <c r="GC119" i="24"/>
  <c r="GC121" i="24"/>
  <c r="GC92" i="24"/>
  <c r="HR94" i="24"/>
  <c r="HR96" i="24"/>
  <c r="HR98" i="24"/>
  <c r="HR100" i="24"/>
  <c r="HR102" i="24"/>
  <c r="HR104" i="24"/>
  <c r="HR106" i="24"/>
  <c r="HR108" i="24"/>
  <c r="HR110" i="24"/>
  <c r="HR112" i="24"/>
  <c r="HR114" i="24"/>
  <c r="HR116" i="24"/>
  <c r="HR118" i="24"/>
  <c r="HR120" i="24"/>
  <c r="HR122" i="24"/>
  <c r="HR93" i="24"/>
  <c r="HR95" i="24"/>
  <c r="HR97" i="24"/>
  <c r="HR99" i="24"/>
  <c r="HR101" i="24"/>
  <c r="HR103" i="24"/>
  <c r="HR105" i="24"/>
  <c r="HR107" i="24"/>
  <c r="HR109" i="24"/>
  <c r="HR111" i="24"/>
  <c r="HR113" i="24"/>
  <c r="HR115" i="24"/>
  <c r="HR117" i="24"/>
  <c r="HR119" i="24"/>
  <c r="HR121" i="24"/>
  <c r="HR92" i="24"/>
  <c r="HP94" i="24"/>
  <c r="HP96" i="24"/>
  <c r="HP98" i="24"/>
  <c r="HP100" i="24"/>
  <c r="HP102" i="24"/>
  <c r="HP104" i="24"/>
  <c r="HP106" i="24"/>
  <c r="HP108" i="24"/>
  <c r="HP110" i="24"/>
  <c r="HP112" i="24"/>
  <c r="HP114" i="24"/>
  <c r="HP116" i="24"/>
  <c r="HP118" i="24"/>
  <c r="HP120" i="24"/>
  <c r="HP122" i="24"/>
  <c r="HP93" i="24"/>
  <c r="HP95" i="24"/>
  <c r="HP97" i="24"/>
  <c r="HP99" i="24"/>
  <c r="HP101" i="24"/>
  <c r="HP103" i="24"/>
  <c r="HP105" i="24"/>
  <c r="HP107" i="24"/>
  <c r="HP109" i="24"/>
  <c r="HP111" i="24"/>
  <c r="HP113" i="24"/>
  <c r="HP115" i="24"/>
  <c r="HP117" i="24"/>
  <c r="HP119" i="24"/>
  <c r="HP121" i="24"/>
  <c r="HP92" i="24"/>
  <c r="HN94" i="24"/>
  <c r="HN96" i="24"/>
  <c r="HN98" i="24"/>
  <c r="HN100" i="24"/>
  <c r="HN102" i="24"/>
  <c r="HN104" i="24"/>
  <c r="HN106" i="24"/>
  <c r="HN108" i="24"/>
  <c r="HN110" i="24"/>
  <c r="HN112" i="24"/>
  <c r="HN114" i="24"/>
  <c r="HN116" i="24"/>
  <c r="HN118" i="24"/>
  <c r="HN120" i="24"/>
  <c r="HN122" i="24"/>
  <c r="HN93" i="24"/>
  <c r="HN95" i="24"/>
  <c r="HN97" i="24"/>
  <c r="HN99" i="24"/>
  <c r="HN101" i="24"/>
  <c r="HN103" i="24"/>
  <c r="HN105" i="24"/>
  <c r="HN107" i="24"/>
  <c r="HN109" i="24"/>
  <c r="HN111" i="24"/>
  <c r="HN113" i="24"/>
  <c r="HN115" i="24"/>
  <c r="HN117" i="24"/>
  <c r="HN119" i="24"/>
  <c r="HN121" i="24"/>
  <c r="HN92" i="24"/>
  <c r="HL94" i="24"/>
  <c r="HL96" i="24"/>
  <c r="HL98" i="24"/>
  <c r="HL100" i="24"/>
  <c r="HL102" i="24"/>
  <c r="HL104" i="24"/>
  <c r="HL106" i="24"/>
  <c r="HL108" i="24"/>
  <c r="HL110" i="24"/>
  <c r="HL112" i="24"/>
  <c r="HL114" i="24"/>
  <c r="HL116" i="24"/>
  <c r="HL118" i="24"/>
  <c r="HL120" i="24"/>
  <c r="HL122" i="24"/>
  <c r="HL93" i="24"/>
  <c r="HL95" i="24"/>
  <c r="HL97" i="24"/>
  <c r="HL99" i="24"/>
  <c r="HL101" i="24"/>
  <c r="HL103" i="24"/>
  <c r="HL105" i="24"/>
  <c r="HL107" i="24"/>
  <c r="HL109" i="24"/>
  <c r="HL111" i="24"/>
  <c r="HL113" i="24"/>
  <c r="HL115" i="24"/>
  <c r="HL117" i="24"/>
  <c r="HL119" i="24"/>
  <c r="HL121" i="24"/>
  <c r="HL92" i="24"/>
  <c r="HJ94" i="24"/>
  <c r="HJ96" i="24"/>
  <c r="HJ98" i="24"/>
  <c r="HJ100" i="24"/>
  <c r="HJ102" i="24"/>
  <c r="HJ104" i="24"/>
  <c r="HJ106" i="24"/>
  <c r="HJ108" i="24"/>
  <c r="HJ110" i="24"/>
  <c r="HJ112" i="24"/>
  <c r="HJ114" i="24"/>
  <c r="HJ116" i="24"/>
  <c r="HJ118" i="24"/>
  <c r="HJ120" i="24"/>
  <c r="HJ122" i="24"/>
  <c r="HJ93" i="24"/>
  <c r="HJ95" i="24"/>
  <c r="HJ97" i="24"/>
  <c r="HJ99" i="24"/>
  <c r="HJ101" i="24"/>
  <c r="HJ103" i="24"/>
  <c r="HJ105" i="24"/>
  <c r="HJ107" i="24"/>
  <c r="HJ109" i="24"/>
  <c r="HJ111" i="24"/>
  <c r="HJ113" i="24"/>
  <c r="HJ115" i="24"/>
  <c r="HJ117" i="24"/>
  <c r="HJ119" i="24"/>
  <c r="HJ121" i="24"/>
  <c r="HJ92" i="24"/>
  <c r="HH94" i="24"/>
  <c r="HH96" i="24"/>
  <c r="HH98" i="24"/>
  <c r="HH100" i="24"/>
  <c r="HH102" i="24"/>
  <c r="HH104" i="24"/>
  <c r="HH106" i="24"/>
  <c r="HH108" i="24"/>
  <c r="HH110" i="24"/>
  <c r="HH112" i="24"/>
  <c r="HH114" i="24"/>
  <c r="HH116" i="24"/>
  <c r="HH118" i="24"/>
  <c r="HH120" i="24"/>
  <c r="HH122" i="24"/>
  <c r="HH93" i="24"/>
  <c r="HH95" i="24"/>
  <c r="HH97" i="24"/>
  <c r="HH99" i="24"/>
  <c r="HH101" i="24"/>
  <c r="HH103" i="24"/>
  <c r="HH105" i="24"/>
  <c r="HH107" i="24"/>
  <c r="HH109" i="24"/>
  <c r="HH111" i="24"/>
  <c r="HH113" i="24"/>
  <c r="HH115" i="24"/>
  <c r="HH117" i="24"/>
  <c r="HH119" i="24"/>
  <c r="HH121" i="24"/>
  <c r="HH92" i="24"/>
  <c r="HF94" i="24"/>
  <c r="HF96" i="24"/>
  <c r="HF98" i="24"/>
  <c r="HF100" i="24"/>
  <c r="HF102" i="24"/>
  <c r="HF104" i="24"/>
  <c r="HF106" i="24"/>
  <c r="HF108" i="24"/>
  <c r="HF110" i="24"/>
  <c r="HF112" i="24"/>
  <c r="HF114" i="24"/>
  <c r="HF116" i="24"/>
  <c r="HF118" i="24"/>
  <c r="HF120" i="24"/>
  <c r="HF122" i="24"/>
  <c r="HF93" i="24"/>
  <c r="HF95" i="24"/>
  <c r="HF97" i="24"/>
  <c r="HF99" i="24"/>
  <c r="HF101" i="24"/>
  <c r="HF103" i="24"/>
  <c r="HF105" i="24"/>
  <c r="HF107" i="24"/>
  <c r="HF109" i="24"/>
  <c r="HF111" i="24"/>
  <c r="HF113" i="24"/>
  <c r="HF115" i="24"/>
  <c r="HF117" i="24"/>
  <c r="HF119" i="24"/>
  <c r="HF121" i="24"/>
  <c r="HF92" i="24"/>
  <c r="IU94" i="24"/>
  <c r="IU96" i="24"/>
  <c r="IU98" i="24"/>
  <c r="IU100" i="24"/>
  <c r="IU102" i="24"/>
  <c r="IU104" i="24"/>
  <c r="IU106" i="24"/>
  <c r="IU108" i="24"/>
  <c r="IU110" i="24"/>
  <c r="IU112" i="24"/>
  <c r="IU114" i="24"/>
  <c r="IU116" i="24"/>
  <c r="IU118" i="24"/>
  <c r="IU120" i="24"/>
  <c r="IU122" i="24"/>
  <c r="IU93" i="24"/>
  <c r="IU95" i="24"/>
  <c r="IU97" i="24"/>
  <c r="IU99" i="24"/>
  <c r="IU101" i="24"/>
  <c r="IU103" i="24"/>
  <c r="IU105" i="24"/>
  <c r="IU107" i="24"/>
  <c r="IU109" i="24"/>
  <c r="IU111" i="24"/>
  <c r="IU113" i="24"/>
  <c r="IU115" i="24"/>
  <c r="IU117" i="24"/>
  <c r="IU119" i="24"/>
  <c r="IU121" i="24"/>
  <c r="IU92" i="24"/>
  <c r="IS94" i="24"/>
  <c r="IS96" i="24"/>
  <c r="IS98" i="24"/>
  <c r="IS100" i="24"/>
  <c r="IS102" i="24"/>
  <c r="IS104" i="24"/>
  <c r="IS106" i="24"/>
  <c r="IS108" i="24"/>
  <c r="IS110" i="24"/>
  <c r="IS112" i="24"/>
  <c r="IS114" i="24"/>
  <c r="IS116" i="24"/>
  <c r="IS118" i="24"/>
  <c r="IS120" i="24"/>
  <c r="IS122" i="24"/>
  <c r="IS93" i="24"/>
  <c r="IS95" i="24"/>
  <c r="IS97" i="24"/>
  <c r="IS99" i="24"/>
  <c r="IS101" i="24"/>
  <c r="IS103" i="24"/>
  <c r="IS105" i="24"/>
  <c r="IS107" i="24"/>
  <c r="IS109" i="24"/>
  <c r="IS111" i="24"/>
  <c r="IS113" i="24"/>
  <c r="IS115" i="24"/>
  <c r="IS117" i="24"/>
  <c r="IS119" i="24"/>
  <c r="IS121" i="24"/>
  <c r="IS92" i="24"/>
  <c r="IQ94" i="24"/>
  <c r="IQ96" i="24"/>
  <c r="IQ98" i="24"/>
  <c r="IQ100" i="24"/>
  <c r="IQ102" i="24"/>
  <c r="IQ104" i="24"/>
  <c r="IQ106" i="24"/>
  <c r="IQ108" i="24"/>
  <c r="IQ110" i="24"/>
  <c r="IQ112" i="24"/>
  <c r="IQ114" i="24"/>
  <c r="IQ116" i="24"/>
  <c r="IQ118" i="24"/>
  <c r="IQ120" i="24"/>
  <c r="IQ122" i="24"/>
  <c r="IQ93" i="24"/>
  <c r="IQ95" i="24"/>
  <c r="IQ97" i="24"/>
  <c r="IQ99" i="24"/>
  <c r="IQ101" i="24"/>
  <c r="IQ103" i="24"/>
  <c r="IQ105" i="24"/>
  <c r="IQ107" i="24"/>
  <c r="IQ109" i="24"/>
  <c r="IQ111" i="24"/>
  <c r="IQ113" i="24"/>
  <c r="IQ115" i="24"/>
  <c r="IQ117" i="24"/>
  <c r="IQ119" i="24"/>
  <c r="IQ121" i="24"/>
  <c r="IQ92" i="24"/>
  <c r="IO94" i="24"/>
  <c r="IO96" i="24"/>
  <c r="IO98" i="24"/>
  <c r="IO100" i="24"/>
  <c r="IO102" i="24"/>
  <c r="IO104" i="24"/>
  <c r="IO106" i="24"/>
  <c r="IO108" i="24"/>
  <c r="IO110" i="24"/>
  <c r="IO112" i="24"/>
  <c r="IO114" i="24"/>
  <c r="IO116" i="24"/>
  <c r="IO118" i="24"/>
  <c r="IO120" i="24"/>
  <c r="IO122" i="24"/>
  <c r="IO93" i="24"/>
  <c r="IO95" i="24"/>
  <c r="IO97" i="24"/>
  <c r="IO99" i="24"/>
  <c r="IO101" i="24"/>
  <c r="IO103" i="24"/>
  <c r="IO105" i="24"/>
  <c r="IO107" i="24"/>
  <c r="IO109" i="24"/>
  <c r="IO111" i="24"/>
  <c r="IO113" i="24"/>
  <c r="IO115" i="24"/>
  <c r="IO117" i="24"/>
  <c r="IO119" i="24"/>
  <c r="IO121" i="24"/>
  <c r="IO92" i="24"/>
  <c r="IM94" i="24"/>
  <c r="IM96" i="24"/>
  <c r="IM98" i="24"/>
  <c r="IM100" i="24"/>
  <c r="IM102" i="24"/>
  <c r="IM104" i="24"/>
  <c r="IM106" i="24"/>
  <c r="IM108" i="24"/>
  <c r="IM110" i="24"/>
  <c r="IM112" i="24"/>
  <c r="IM114" i="24"/>
  <c r="IM116" i="24"/>
  <c r="IM118" i="24"/>
  <c r="IM120" i="24"/>
  <c r="IM122" i="24"/>
  <c r="IM93" i="24"/>
  <c r="IM95" i="24"/>
  <c r="IM97" i="24"/>
  <c r="IM99" i="24"/>
  <c r="IM101" i="24"/>
  <c r="IM103" i="24"/>
  <c r="IM105" i="24"/>
  <c r="IM107" i="24"/>
  <c r="IM109" i="24"/>
  <c r="IM111" i="24"/>
  <c r="IM113" i="24"/>
  <c r="IM115" i="24"/>
  <c r="IM117" i="24"/>
  <c r="IM119" i="24"/>
  <c r="IM121" i="24"/>
  <c r="IM92" i="24"/>
  <c r="IK94" i="24"/>
  <c r="IK96" i="24"/>
  <c r="IK98" i="24"/>
  <c r="IK100" i="24"/>
  <c r="IK102" i="24"/>
  <c r="IK104" i="24"/>
  <c r="IK106" i="24"/>
  <c r="IK108" i="24"/>
  <c r="IK110" i="24"/>
  <c r="IK112" i="24"/>
  <c r="IK114" i="24"/>
  <c r="IK116" i="24"/>
  <c r="IK118" i="24"/>
  <c r="IK120" i="24"/>
  <c r="IK122" i="24"/>
  <c r="IK93" i="24"/>
  <c r="IK95" i="24"/>
  <c r="IK97" i="24"/>
  <c r="IK99" i="24"/>
  <c r="IK101" i="24"/>
  <c r="IK103" i="24"/>
  <c r="IK105" i="24"/>
  <c r="IK107" i="24"/>
  <c r="IK109" i="24"/>
  <c r="IK111" i="24"/>
  <c r="IK113" i="24"/>
  <c r="IK115" i="24"/>
  <c r="IK117" i="24"/>
  <c r="IK119" i="24"/>
  <c r="IK121" i="24"/>
  <c r="IK92" i="24"/>
  <c r="II94" i="24"/>
  <c r="II96" i="24"/>
  <c r="II98" i="24"/>
  <c r="II100" i="24"/>
  <c r="II102" i="24"/>
  <c r="II104" i="24"/>
  <c r="II106" i="24"/>
  <c r="II108" i="24"/>
  <c r="II110" i="24"/>
  <c r="II112" i="24"/>
  <c r="II114" i="24"/>
  <c r="II116" i="24"/>
  <c r="II118" i="24"/>
  <c r="II120" i="24"/>
  <c r="II122" i="24"/>
  <c r="II93" i="24"/>
  <c r="II95" i="24"/>
  <c r="II97" i="24"/>
  <c r="II99" i="24"/>
  <c r="II101" i="24"/>
  <c r="II103" i="24"/>
  <c r="II105" i="24"/>
  <c r="II107" i="24"/>
  <c r="II109" i="24"/>
  <c r="II111" i="24"/>
  <c r="II113" i="24"/>
  <c r="II115" i="24"/>
  <c r="II117" i="24"/>
  <c r="II119" i="24"/>
  <c r="II121" i="24"/>
  <c r="II92" i="24"/>
  <c r="JX93" i="24"/>
  <c r="JX95" i="24"/>
  <c r="JX97" i="24"/>
  <c r="JX99" i="24"/>
  <c r="JX101" i="24"/>
  <c r="JX103" i="24"/>
  <c r="JX105" i="24"/>
  <c r="JX107" i="24"/>
  <c r="JX109" i="24"/>
  <c r="JX111" i="24"/>
  <c r="JX113" i="24"/>
  <c r="JX94" i="24"/>
  <c r="JX98" i="24"/>
  <c r="JX102" i="24"/>
  <c r="JX106" i="24"/>
  <c r="JX110" i="24"/>
  <c r="JX114" i="24"/>
  <c r="JX116" i="24"/>
  <c r="JX118" i="24"/>
  <c r="JX120" i="24"/>
  <c r="JX122" i="24"/>
  <c r="JX96" i="24"/>
  <c r="JX100" i="24"/>
  <c r="JX104" i="24"/>
  <c r="JX108" i="24"/>
  <c r="JX112" i="24"/>
  <c r="JX115" i="24"/>
  <c r="JX117" i="24"/>
  <c r="JX119" i="24"/>
  <c r="JX121" i="24"/>
  <c r="JX92" i="24"/>
  <c r="JV93" i="24"/>
  <c r="JV95" i="24"/>
  <c r="JV97" i="24"/>
  <c r="JV99" i="24"/>
  <c r="JV101" i="24"/>
  <c r="JV103" i="24"/>
  <c r="JV105" i="24"/>
  <c r="JV107" i="24"/>
  <c r="JV109" i="24"/>
  <c r="JV111" i="24"/>
  <c r="JV113" i="24"/>
  <c r="JV115" i="24"/>
  <c r="JV96" i="24"/>
  <c r="JV100" i="24"/>
  <c r="JV104" i="24"/>
  <c r="JV108" i="24"/>
  <c r="JV112" i="24"/>
  <c r="JV116" i="24"/>
  <c r="JV118" i="24"/>
  <c r="JV120" i="24"/>
  <c r="JV122" i="24"/>
  <c r="JV94" i="24"/>
  <c r="JV98" i="24"/>
  <c r="JV102" i="24"/>
  <c r="JV106" i="24"/>
  <c r="JV110" i="24"/>
  <c r="JV114" i="24"/>
  <c r="JV117" i="24"/>
  <c r="JV119" i="24"/>
  <c r="JV121" i="24"/>
  <c r="JV92" i="24"/>
  <c r="JT93" i="24"/>
  <c r="JT95" i="24"/>
  <c r="JT97" i="24"/>
  <c r="JT99" i="24"/>
  <c r="JT101" i="24"/>
  <c r="JT103" i="24"/>
  <c r="JT105" i="24"/>
  <c r="JT107" i="24"/>
  <c r="JT109" i="24"/>
  <c r="JT111" i="24"/>
  <c r="JT113" i="24"/>
  <c r="JT115" i="24"/>
  <c r="JT94" i="24"/>
  <c r="JT98" i="24"/>
  <c r="JT102" i="24"/>
  <c r="JT106" i="24"/>
  <c r="JT110" i="24"/>
  <c r="JT114" i="24"/>
  <c r="JT116" i="24"/>
  <c r="JT118" i="24"/>
  <c r="JT120" i="24"/>
  <c r="JT122" i="24"/>
  <c r="JT96" i="24"/>
  <c r="JT100" i="24"/>
  <c r="JT104" i="24"/>
  <c r="JT108" i="24"/>
  <c r="JT112" i="24"/>
  <c r="JT117" i="24"/>
  <c r="JT119" i="24"/>
  <c r="JT121" i="24"/>
  <c r="JT92" i="24"/>
  <c r="JR93" i="24"/>
  <c r="JR95" i="24"/>
  <c r="JR97" i="24"/>
  <c r="JR99" i="24"/>
  <c r="JR101" i="24"/>
  <c r="JR103" i="24"/>
  <c r="JR105" i="24"/>
  <c r="JR107" i="24"/>
  <c r="JR109" i="24"/>
  <c r="JR111" i="24"/>
  <c r="JR113" i="24"/>
  <c r="JR115" i="24"/>
  <c r="JR96" i="24"/>
  <c r="JR100" i="24"/>
  <c r="JR104" i="24"/>
  <c r="JR108" i="24"/>
  <c r="JR112" i="24"/>
  <c r="JR116" i="24"/>
  <c r="JR118" i="24"/>
  <c r="JR120" i="24"/>
  <c r="JR122" i="24"/>
  <c r="JR94" i="24"/>
  <c r="JR98" i="24"/>
  <c r="JR102" i="24"/>
  <c r="JR106" i="24"/>
  <c r="JR110" i="24"/>
  <c r="JR114" i="24"/>
  <c r="JR117" i="24"/>
  <c r="JR119" i="24"/>
  <c r="JR121" i="24"/>
  <c r="JR92" i="24"/>
  <c r="JP93" i="24"/>
  <c r="JP95" i="24"/>
  <c r="JP97" i="24"/>
  <c r="JP99" i="24"/>
  <c r="JP101" i="24"/>
  <c r="JP103" i="24"/>
  <c r="JP105" i="24"/>
  <c r="JP107" i="24"/>
  <c r="JP109" i="24"/>
  <c r="JP111" i="24"/>
  <c r="JP113" i="24"/>
  <c r="JP115" i="24"/>
  <c r="JP94" i="24"/>
  <c r="JP98" i="24"/>
  <c r="JP102" i="24"/>
  <c r="JP106" i="24"/>
  <c r="JP110" i="24"/>
  <c r="JP114" i="24"/>
  <c r="JP116" i="24"/>
  <c r="JP118" i="24"/>
  <c r="JP120" i="24"/>
  <c r="JP122" i="24"/>
  <c r="JP96" i="24"/>
  <c r="JP100" i="24"/>
  <c r="JP104" i="24"/>
  <c r="JP108" i="24"/>
  <c r="JP112" i="24"/>
  <c r="JP117" i="24"/>
  <c r="JP119" i="24"/>
  <c r="JP121" i="24"/>
  <c r="JP92" i="24"/>
  <c r="JN93" i="24"/>
  <c r="JN95" i="24"/>
  <c r="JN97" i="24"/>
  <c r="JN99" i="24"/>
  <c r="JN101" i="24"/>
  <c r="JN103" i="24"/>
  <c r="JN105" i="24"/>
  <c r="JN107" i="24"/>
  <c r="JN109" i="24"/>
  <c r="JN111" i="24"/>
  <c r="JN113" i="24"/>
  <c r="JN115" i="24"/>
  <c r="JN96" i="24"/>
  <c r="JN100" i="24"/>
  <c r="JN104" i="24"/>
  <c r="JN108" i="24"/>
  <c r="JN112" i="24"/>
  <c r="JN116" i="24"/>
  <c r="JN118" i="24"/>
  <c r="JN120" i="24"/>
  <c r="JN122" i="24"/>
  <c r="JN94" i="24"/>
  <c r="JN98" i="24"/>
  <c r="JN102" i="24"/>
  <c r="JN106" i="24"/>
  <c r="JN110" i="24"/>
  <c r="JN114" i="24"/>
  <c r="JN117" i="24"/>
  <c r="JN119" i="24"/>
  <c r="JN121" i="24"/>
  <c r="JN92" i="24"/>
  <c r="JL93" i="24"/>
  <c r="JL95" i="24"/>
  <c r="JL97" i="24"/>
  <c r="JL99" i="24"/>
  <c r="JL101" i="24"/>
  <c r="JL103" i="24"/>
  <c r="JL105" i="24"/>
  <c r="JL107" i="24"/>
  <c r="JL109" i="24"/>
  <c r="JL111" i="24"/>
  <c r="JL113" i="24"/>
  <c r="JL115" i="24"/>
  <c r="JL94" i="24"/>
  <c r="JL98" i="24"/>
  <c r="JL102" i="24"/>
  <c r="JL106" i="24"/>
  <c r="JL110" i="24"/>
  <c r="JL114" i="24"/>
  <c r="JL116" i="24"/>
  <c r="JL118" i="24"/>
  <c r="JL120" i="24"/>
  <c r="JL122" i="24"/>
  <c r="JL96" i="24"/>
  <c r="JL100" i="24"/>
  <c r="JL104" i="24"/>
  <c r="JL108" i="24"/>
  <c r="JL112" i="24"/>
  <c r="JL117" i="24"/>
  <c r="JL119" i="24"/>
  <c r="JL121" i="24"/>
  <c r="JL92" i="24"/>
  <c r="LA93" i="24"/>
  <c r="LA95" i="24"/>
  <c r="LA97" i="24"/>
  <c r="LA99" i="24"/>
  <c r="LA101" i="24"/>
  <c r="LA103" i="24"/>
  <c r="LA105" i="24"/>
  <c r="LA107" i="24"/>
  <c r="LA109" i="24"/>
  <c r="LA111" i="24"/>
  <c r="LA113" i="24"/>
  <c r="LA115" i="24"/>
  <c r="LA96" i="24"/>
  <c r="LA100" i="24"/>
  <c r="LA104" i="24"/>
  <c r="LA108" i="24"/>
  <c r="LA112" i="24"/>
  <c r="LA116" i="24"/>
  <c r="LA118" i="24"/>
  <c r="LA120" i="24"/>
  <c r="LA122" i="24"/>
  <c r="LA94" i="24"/>
  <c r="LA98" i="24"/>
  <c r="LA102" i="24"/>
  <c r="LA106" i="24"/>
  <c r="LA110" i="24"/>
  <c r="LA114" i="24"/>
  <c r="LA117" i="24"/>
  <c r="LA119" i="24"/>
  <c r="LA121" i="24"/>
  <c r="LA92" i="24"/>
  <c r="KY93" i="24"/>
  <c r="KY95" i="24"/>
  <c r="KY97" i="24"/>
  <c r="KY99" i="24"/>
  <c r="KY101" i="24"/>
  <c r="KY103" i="24"/>
  <c r="KY105" i="24"/>
  <c r="KY107" i="24"/>
  <c r="KY109" i="24"/>
  <c r="KY111" i="24"/>
  <c r="KY113" i="24"/>
  <c r="KY115" i="24"/>
  <c r="KY94" i="24"/>
  <c r="KY98" i="24"/>
  <c r="KY102" i="24"/>
  <c r="KY106" i="24"/>
  <c r="KY110" i="24"/>
  <c r="KY114" i="24"/>
  <c r="KY116" i="24"/>
  <c r="KY118" i="24"/>
  <c r="KY120" i="24"/>
  <c r="KY122" i="24"/>
  <c r="KY96" i="24"/>
  <c r="KY100" i="24"/>
  <c r="KY104" i="24"/>
  <c r="KY108" i="24"/>
  <c r="KY112" i="24"/>
  <c r="KY117" i="24"/>
  <c r="KY119" i="24"/>
  <c r="KY121" i="24"/>
  <c r="KY92" i="24"/>
  <c r="KW93" i="24"/>
  <c r="KW95" i="24"/>
  <c r="KW97" i="24"/>
  <c r="KW99" i="24"/>
  <c r="KW101" i="24"/>
  <c r="KW103" i="24"/>
  <c r="KW105" i="24"/>
  <c r="KW107" i="24"/>
  <c r="KW109" i="24"/>
  <c r="KW111" i="24"/>
  <c r="KW113" i="24"/>
  <c r="KW115" i="24"/>
  <c r="KW96" i="24"/>
  <c r="KW100" i="24"/>
  <c r="KW104" i="24"/>
  <c r="KW108" i="24"/>
  <c r="KW112" i="24"/>
  <c r="KW116" i="24"/>
  <c r="KW118" i="24"/>
  <c r="KW120" i="24"/>
  <c r="KW122" i="24"/>
  <c r="KW94" i="24"/>
  <c r="KW98" i="24"/>
  <c r="KW102" i="24"/>
  <c r="KW106" i="24"/>
  <c r="KW110" i="24"/>
  <c r="KW114" i="24"/>
  <c r="KW117" i="24"/>
  <c r="KW119" i="24"/>
  <c r="KW121" i="24"/>
  <c r="KW92" i="24"/>
  <c r="KU93" i="24"/>
  <c r="KU95" i="24"/>
  <c r="KU97" i="24"/>
  <c r="KU99" i="24"/>
  <c r="KU101" i="24"/>
  <c r="KU103" i="24"/>
  <c r="KU105" i="24"/>
  <c r="KU107" i="24"/>
  <c r="KU109" i="24"/>
  <c r="KU111" i="24"/>
  <c r="KU113" i="24"/>
  <c r="KU115" i="24"/>
  <c r="KU94" i="24"/>
  <c r="KU98" i="24"/>
  <c r="KU102" i="24"/>
  <c r="KU106" i="24"/>
  <c r="KU110" i="24"/>
  <c r="KU114" i="24"/>
  <c r="KU116" i="24"/>
  <c r="KU118" i="24"/>
  <c r="KU120" i="24"/>
  <c r="KU122" i="24"/>
  <c r="KU96" i="24"/>
  <c r="KU100" i="24"/>
  <c r="KU104" i="24"/>
  <c r="KU108" i="24"/>
  <c r="KU112" i="24"/>
  <c r="KU117" i="24"/>
  <c r="KU119" i="24"/>
  <c r="KU121" i="24"/>
  <c r="KU92" i="24"/>
  <c r="KS93" i="24"/>
  <c r="KS95" i="24"/>
  <c r="KS97" i="24"/>
  <c r="KS99" i="24"/>
  <c r="KS101" i="24"/>
  <c r="KS103" i="24"/>
  <c r="KS105" i="24"/>
  <c r="KS107" i="24"/>
  <c r="KS109" i="24"/>
  <c r="KS111" i="24"/>
  <c r="KS113" i="24"/>
  <c r="KS115" i="24"/>
  <c r="KS96" i="24"/>
  <c r="KS100" i="24"/>
  <c r="KS104" i="24"/>
  <c r="KS108" i="24"/>
  <c r="KS112" i="24"/>
  <c r="KS116" i="24"/>
  <c r="KS118" i="24"/>
  <c r="KS120" i="24"/>
  <c r="KS122" i="24"/>
  <c r="KS94" i="24"/>
  <c r="KS98" i="24"/>
  <c r="KS102" i="24"/>
  <c r="KS106" i="24"/>
  <c r="KS110" i="24"/>
  <c r="KS114" i="24"/>
  <c r="KS117" i="24"/>
  <c r="KS119" i="24"/>
  <c r="KS121" i="24"/>
  <c r="KS92" i="24"/>
  <c r="KQ93" i="24"/>
  <c r="KQ95" i="24"/>
  <c r="KQ97" i="24"/>
  <c r="KQ99" i="24"/>
  <c r="KQ101" i="24"/>
  <c r="KQ103" i="24"/>
  <c r="KQ105" i="24"/>
  <c r="KQ107" i="24"/>
  <c r="KQ109" i="24"/>
  <c r="KQ111" i="24"/>
  <c r="KQ113" i="24"/>
  <c r="KQ115" i="24"/>
  <c r="KQ94" i="24"/>
  <c r="KQ98" i="24"/>
  <c r="KQ102" i="24"/>
  <c r="KQ106" i="24"/>
  <c r="KQ110" i="24"/>
  <c r="KQ114" i="24"/>
  <c r="KQ116" i="24"/>
  <c r="KQ118" i="24"/>
  <c r="KQ120" i="24"/>
  <c r="KQ122" i="24"/>
  <c r="KQ96" i="24"/>
  <c r="KQ100" i="24"/>
  <c r="KQ104" i="24"/>
  <c r="KQ108" i="24"/>
  <c r="KQ112" i="24"/>
  <c r="KQ117" i="24"/>
  <c r="KQ119" i="24"/>
  <c r="KQ121" i="24"/>
  <c r="KQ92" i="24"/>
  <c r="KO93" i="24"/>
  <c r="KO95" i="24"/>
  <c r="KO97" i="24"/>
  <c r="KO99" i="24"/>
  <c r="KO101" i="24"/>
  <c r="KO103" i="24"/>
  <c r="KO105" i="24"/>
  <c r="KO107" i="24"/>
  <c r="KO109" i="24"/>
  <c r="KO111" i="24"/>
  <c r="KO113" i="24"/>
  <c r="KO115" i="24"/>
  <c r="KO96" i="24"/>
  <c r="KO100" i="24"/>
  <c r="KO104" i="24"/>
  <c r="KO108" i="24"/>
  <c r="KO112" i="24"/>
  <c r="KO116" i="24"/>
  <c r="KO118" i="24"/>
  <c r="KO120" i="24"/>
  <c r="KO122" i="24"/>
  <c r="KO94" i="24"/>
  <c r="KO98" i="24"/>
  <c r="KO102" i="24"/>
  <c r="KO106" i="24"/>
  <c r="KO110" i="24"/>
  <c r="KO114" i="24"/>
  <c r="KO117" i="24"/>
  <c r="KO119" i="24"/>
  <c r="KO121" i="24"/>
  <c r="KO92" i="24"/>
  <c r="MD93" i="24"/>
  <c r="MD95" i="24"/>
  <c r="MD97" i="24"/>
  <c r="MD99" i="24"/>
  <c r="MD101" i="24"/>
  <c r="MD103" i="24"/>
  <c r="MD105" i="24"/>
  <c r="MD107" i="24"/>
  <c r="MD109" i="24"/>
  <c r="MD111" i="24"/>
  <c r="MD113" i="24"/>
  <c r="MD115" i="24"/>
  <c r="MD117" i="24"/>
  <c r="MD119" i="24"/>
  <c r="MD121" i="24"/>
  <c r="MD92" i="24"/>
  <c r="MD94" i="24"/>
  <c r="MD98" i="24"/>
  <c r="MD102" i="24"/>
  <c r="MD106" i="24"/>
  <c r="MD110" i="24"/>
  <c r="MD114" i="24"/>
  <c r="MD118" i="24"/>
  <c r="MD122" i="24"/>
  <c r="MD96" i="24"/>
  <c r="MD100" i="24"/>
  <c r="MD104" i="24"/>
  <c r="MD108" i="24"/>
  <c r="MD112" i="24"/>
  <c r="MD116" i="24"/>
  <c r="MD120" i="24"/>
  <c r="MB93" i="24"/>
  <c r="MB95" i="24"/>
  <c r="MB97" i="24"/>
  <c r="MB99" i="24"/>
  <c r="MB101" i="24"/>
  <c r="MB103" i="24"/>
  <c r="MB105" i="24"/>
  <c r="MB107" i="24"/>
  <c r="MB109" i="24"/>
  <c r="MB111" i="24"/>
  <c r="MB113" i="24"/>
  <c r="MB115" i="24"/>
  <c r="MB117" i="24"/>
  <c r="MB119" i="24"/>
  <c r="MB121" i="24"/>
  <c r="MB92" i="24"/>
  <c r="MB96" i="24"/>
  <c r="MB100" i="24"/>
  <c r="MB104" i="24"/>
  <c r="MB108" i="24"/>
  <c r="MB112" i="24"/>
  <c r="MB116" i="24"/>
  <c r="MB120" i="24"/>
  <c r="MB94" i="24"/>
  <c r="MB98" i="24"/>
  <c r="MB102" i="24"/>
  <c r="MB106" i="24"/>
  <c r="MB110" i="24"/>
  <c r="MB114" i="24"/>
  <c r="MB118" i="24"/>
  <c r="MB122" i="24"/>
  <c r="LZ93" i="24"/>
  <c r="LZ95" i="24"/>
  <c r="LZ97" i="24"/>
  <c r="LZ99" i="24"/>
  <c r="LZ101" i="24"/>
  <c r="LZ103" i="24"/>
  <c r="LZ105" i="24"/>
  <c r="LZ107" i="24"/>
  <c r="LZ109" i="24"/>
  <c r="LZ111" i="24"/>
  <c r="LZ113" i="24"/>
  <c r="LZ115" i="24"/>
  <c r="LZ117" i="24"/>
  <c r="LZ119" i="24"/>
  <c r="LZ121" i="24"/>
  <c r="LZ92" i="24"/>
  <c r="LZ94" i="24"/>
  <c r="LZ98" i="24"/>
  <c r="LZ102" i="24"/>
  <c r="LZ106" i="24"/>
  <c r="LZ110" i="24"/>
  <c r="LZ114" i="24"/>
  <c r="LZ118" i="24"/>
  <c r="LZ122" i="24"/>
  <c r="LZ96" i="24"/>
  <c r="LZ100" i="24"/>
  <c r="LZ104" i="24"/>
  <c r="LZ108" i="24"/>
  <c r="LZ112" i="24"/>
  <c r="LZ116" i="24"/>
  <c r="LZ120" i="24"/>
  <c r="LX93" i="24"/>
  <c r="LX95" i="24"/>
  <c r="LX97" i="24"/>
  <c r="LX99" i="24"/>
  <c r="LX101" i="24"/>
  <c r="LX103" i="24"/>
  <c r="LX105" i="24"/>
  <c r="LX107" i="24"/>
  <c r="LX109" i="24"/>
  <c r="LX111" i="24"/>
  <c r="LX113" i="24"/>
  <c r="LX115" i="24"/>
  <c r="LX117" i="24"/>
  <c r="LX119" i="24"/>
  <c r="LX121" i="24"/>
  <c r="LX92" i="24"/>
  <c r="LX96" i="24"/>
  <c r="LX100" i="24"/>
  <c r="LX104" i="24"/>
  <c r="LX108" i="24"/>
  <c r="LX112" i="24"/>
  <c r="LX116" i="24"/>
  <c r="LX120" i="24"/>
  <c r="LX94" i="24"/>
  <c r="LX98" i="24"/>
  <c r="LX102" i="24"/>
  <c r="LX106" i="24"/>
  <c r="LX110" i="24"/>
  <c r="LX114" i="24"/>
  <c r="LX118" i="24"/>
  <c r="LX122" i="24"/>
  <c r="LV93" i="24"/>
  <c r="LV95" i="24"/>
  <c r="LV97" i="24"/>
  <c r="LV99" i="24"/>
  <c r="LV101" i="24"/>
  <c r="LV103" i="24"/>
  <c r="LV105" i="24"/>
  <c r="LV107" i="24"/>
  <c r="LV109" i="24"/>
  <c r="LV111" i="24"/>
  <c r="LV113" i="24"/>
  <c r="LV115" i="24"/>
  <c r="LV117" i="24"/>
  <c r="LV119" i="24"/>
  <c r="LV121" i="24"/>
  <c r="LV92" i="24"/>
  <c r="LV94" i="24"/>
  <c r="LV98" i="24"/>
  <c r="LV102" i="24"/>
  <c r="LV106" i="24"/>
  <c r="LV110" i="24"/>
  <c r="LV114" i="24"/>
  <c r="LV118" i="24"/>
  <c r="LV122" i="24"/>
  <c r="LV96" i="24"/>
  <c r="LV100" i="24"/>
  <c r="LV104" i="24"/>
  <c r="LV108" i="24"/>
  <c r="LV112" i="24"/>
  <c r="LV116" i="24"/>
  <c r="LV120" i="24"/>
  <c r="LT93" i="24"/>
  <c r="LT95" i="24"/>
  <c r="LT97" i="24"/>
  <c r="LT99" i="24"/>
  <c r="LT101" i="24"/>
  <c r="LT103" i="24"/>
  <c r="LT105" i="24"/>
  <c r="LT107" i="24"/>
  <c r="LT109" i="24"/>
  <c r="LT111" i="24"/>
  <c r="LT113" i="24"/>
  <c r="LT115" i="24"/>
  <c r="LT117" i="24"/>
  <c r="LT119" i="24"/>
  <c r="LT121" i="24"/>
  <c r="LT92" i="24"/>
  <c r="LT96" i="24"/>
  <c r="LT100" i="24"/>
  <c r="LT104" i="24"/>
  <c r="LT108" i="24"/>
  <c r="LT112" i="24"/>
  <c r="LT116" i="24"/>
  <c r="LT120" i="24"/>
  <c r="LT94" i="24"/>
  <c r="LT98" i="24"/>
  <c r="LT102" i="24"/>
  <c r="LT106" i="24"/>
  <c r="LT110" i="24"/>
  <c r="LT114" i="24"/>
  <c r="LT118" i="24"/>
  <c r="LT122" i="24"/>
  <c r="LR93" i="24"/>
  <c r="LR95" i="24"/>
  <c r="LR97" i="24"/>
  <c r="LR99" i="24"/>
  <c r="LR101" i="24"/>
  <c r="LR103" i="24"/>
  <c r="LR105" i="24"/>
  <c r="LR107" i="24"/>
  <c r="LR109" i="24"/>
  <c r="LR111" i="24"/>
  <c r="LR113" i="24"/>
  <c r="LR115" i="24"/>
  <c r="LR117" i="24"/>
  <c r="LR119" i="24"/>
  <c r="LR121" i="24"/>
  <c r="LR92" i="24"/>
  <c r="LR94" i="24"/>
  <c r="LR98" i="24"/>
  <c r="LR102" i="24"/>
  <c r="LR106" i="24"/>
  <c r="LR110" i="24"/>
  <c r="LR114" i="24"/>
  <c r="LR118" i="24"/>
  <c r="LR122" i="24"/>
  <c r="LR96" i="24"/>
  <c r="LR100" i="24"/>
  <c r="LR104" i="24"/>
  <c r="LR108" i="24"/>
  <c r="LR112" i="24"/>
  <c r="LR116" i="24"/>
  <c r="LR120" i="24"/>
  <c r="NG93" i="24"/>
  <c r="NG95" i="24"/>
  <c r="NG97" i="24"/>
  <c r="NG99" i="24"/>
  <c r="NG101" i="24"/>
  <c r="NG103" i="24"/>
  <c r="NG105" i="24"/>
  <c r="NG107" i="24"/>
  <c r="NG109" i="24"/>
  <c r="NG111" i="24"/>
  <c r="NG113" i="24"/>
  <c r="NG115" i="24"/>
  <c r="NG117" i="24"/>
  <c r="NG94" i="24"/>
  <c r="NG98" i="24"/>
  <c r="NG102" i="24"/>
  <c r="NG106" i="24"/>
  <c r="NG110" i="24"/>
  <c r="NG114" i="24"/>
  <c r="NG119" i="24"/>
  <c r="NG121" i="24"/>
  <c r="NG92" i="24"/>
  <c r="NG96" i="24"/>
  <c r="NG104" i="24"/>
  <c r="NG112" i="24"/>
  <c r="NG120" i="24"/>
  <c r="NG108" i="24"/>
  <c r="NG122" i="24"/>
  <c r="NG100" i="24"/>
  <c r="NG116" i="24"/>
  <c r="NG118" i="24"/>
  <c r="NE93" i="24"/>
  <c r="NE95" i="24"/>
  <c r="NE97" i="24"/>
  <c r="NE99" i="24"/>
  <c r="NE101" i="24"/>
  <c r="NE103" i="24"/>
  <c r="NE105" i="24"/>
  <c r="NE107" i="24"/>
  <c r="NE109" i="24"/>
  <c r="NE111" i="24"/>
  <c r="NE113" i="24"/>
  <c r="NE115" i="24"/>
  <c r="NE117" i="24"/>
  <c r="NE96" i="24"/>
  <c r="NE100" i="24"/>
  <c r="NE104" i="24"/>
  <c r="NE108" i="24"/>
  <c r="NE112" i="24"/>
  <c r="NE116" i="24"/>
  <c r="NE119" i="24"/>
  <c r="NE121" i="24"/>
  <c r="NE92" i="24"/>
  <c r="NE98" i="24"/>
  <c r="NE106" i="24"/>
  <c r="NE114" i="24"/>
  <c r="NE118" i="24"/>
  <c r="NE122" i="24"/>
  <c r="NE102" i="24"/>
  <c r="NE94" i="24"/>
  <c r="NE110" i="24"/>
  <c r="NE120" i="24"/>
  <c r="NC93" i="24"/>
  <c r="NC95" i="24"/>
  <c r="NC97" i="24"/>
  <c r="NC99" i="24"/>
  <c r="NC101" i="24"/>
  <c r="NC103" i="24"/>
  <c r="NC105" i="24"/>
  <c r="NC107" i="24"/>
  <c r="NC109" i="24"/>
  <c r="NC111" i="24"/>
  <c r="NC113" i="24"/>
  <c r="NC115" i="24"/>
  <c r="NC117" i="24"/>
  <c r="NC94" i="24"/>
  <c r="NC98" i="24"/>
  <c r="NC102" i="24"/>
  <c r="NC106" i="24"/>
  <c r="NC110" i="24"/>
  <c r="NC114" i="24"/>
  <c r="NC119" i="24"/>
  <c r="NC121" i="24"/>
  <c r="NC92" i="24"/>
  <c r="NC100" i="24"/>
  <c r="NC108" i="24"/>
  <c r="NC116" i="24"/>
  <c r="NC120" i="24"/>
  <c r="NC96" i="24"/>
  <c r="NC112" i="24"/>
  <c r="NC118" i="24"/>
  <c r="NC104" i="24"/>
  <c r="NC122" i="24"/>
  <c r="NA93" i="24"/>
  <c r="NA95" i="24"/>
  <c r="NA97" i="24"/>
  <c r="NA99" i="24"/>
  <c r="NA101" i="24"/>
  <c r="NA103" i="24"/>
  <c r="NA105" i="24"/>
  <c r="NA107" i="24"/>
  <c r="NA109" i="24"/>
  <c r="NA111" i="24"/>
  <c r="NA113" i="24"/>
  <c r="NA115" i="24"/>
  <c r="NA117" i="24"/>
  <c r="NA96" i="24"/>
  <c r="NA100" i="24"/>
  <c r="NA104" i="24"/>
  <c r="NA108" i="24"/>
  <c r="NA112" i="24"/>
  <c r="NA116" i="24"/>
  <c r="NA119" i="24"/>
  <c r="NA121" i="24"/>
  <c r="NA92" i="24"/>
  <c r="NA94" i="24"/>
  <c r="NA102" i="24"/>
  <c r="NA110" i="24"/>
  <c r="NA118" i="24"/>
  <c r="NA122" i="24"/>
  <c r="NA106" i="24"/>
  <c r="NA120" i="24"/>
  <c r="NA98" i="24"/>
  <c r="NA114" i="24"/>
  <c r="MY93" i="24"/>
  <c r="MY95" i="24"/>
  <c r="MY97" i="24"/>
  <c r="MY99" i="24"/>
  <c r="MY101" i="24"/>
  <c r="MY103" i="24"/>
  <c r="MY105" i="24"/>
  <c r="MY107" i="24"/>
  <c r="MY109" i="24"/>
  <c r="MY111" i="24"/>
  <c r="MY113" i="24"/>
  <c r="MY115" i="24"/>
  <c r="MY117" i="24"/>
  <c r="MY94" i="24"/>
  <c r="MY98" i="24"/>
  <c r="MY102" i="24"/>
  <c r="MY106" i="24"/>
  <c r="MY110" i="24"/>
  <c r="MY114" i="24"/>
  <c r="MY118" i="24"/>
  <c r="MY119" i="24"/>
  <c r="MY121" i="24"/>
  <c r="MY92" i="24"/>
  <c r="MY96" i="24"/>
  <c r="MY104" i="24"/>
  <c r="MY112" i="24"/>
  <c r="MY120" i="24"/>
  <c r="MY100" i="24"/>
  <c r="MY116" i="24"/>
  <c r="MY122" i="24"/>
  <c r="MY108" i="24"/>
  <c r="MW93" i="24"/>
  <c r="MW95" i="24"/>
  <c r="MW97" i="24"/>
  <c r="MW99" i="24"/>
  <c r="MW101" i="24"/>
  <c r="MW103" i="24"/>
  <c r="MW105" i="24"/>
  <c r="MW107" i="24"/>
  <c r="MW109" i="24"/>
  <c r="MW111" i="24"/>
  <c r="MW113" i="24"/>
  <c r="MW115" i="24"/>
  <c r="MW117" i="24"/>
  <c r="MW96" i="24"/>
  <c r="MW100" i="24"/>
  <c r="MW104" i="24"/>
  <c r="MW108" i="24"/>
  <c r="MW112" i="24"/>
  <c r="MW116" i="24"/>
  <c r="MW119" i="24"/>
  <c r="MW121" i="24"/>
  <c r="MW92" i="24"/>
  <c r="MW98" i="24"/>
  <c r="MW106" i="24"/>
  <c r="MW114" i="24"/>
  <c r="MW122" i="24"/>
  <c r="MW94" i="24"/>
  <c r="MW110" i="24"/>
  <c r="MW102" i="24"/>
  <c r="MW118" i="24"/>
  <c r="MW120" i="24"/>
  <c r="MU93" i="24"/>
  <c r="MU95" i="24"/>
  <c r="MU97" i="24"/>
  <c r="MU99" i="24"/>
  <c r="MU101" i="24"/>
  <c r="MU103" i="24"/>
  <c r="MU105" i="24"/>
  <c r="MU107" i="24"/>
  <c r="MU109" i="24"/>
  <c r="MU111" i="24"/>
  <c r="MU113" i="24"/>
  <c r="MU115" i="24"/>
  <c r="MU117" i="24"/>
  <c r="MU94" i="24"/>
  <c r="MU98" i="24"/>
  <c r="MU102" i="24"/>
  <c r="MU106" i="24"/>
  <c r="MU110" i="24"/>
  <c r="MU114" i="24"/>
  <c r="MU118" i="24"/>
  <c r="MU119" i="24"/>
  <c r="MU121" i="24"/>
  <c r="MU92" i="24"/>
  <c r="MU100" i="24"/>
  <c r="MU108" i="24"/>
  <c r="MU116" i="24"/>
  <c r="MU120" i="24"/>
  <c r="MU104" i="24"/>
  <c r="MU96" i="24"/>
  <c r="MU112" i="24"/>
  <c r="MU122" i="24"/>
  <c r="OJ93" i="24"/>
  <c r="OJ95" i="24"/>
  <c r="OJ97" i="24"/>
  <c r="OJ99" i="24"/>
  <c r="OJ101" i="24"/>
  <c r="OJ103" i="24"/>
  <c r="OJ105" i="24"/>
  <c r="OJ107" i="24"/>
  <c r="OJ109" i="24"/>
  <c r="OJ111" i="24"/>
  <c r="OJ113" i="24"/>
  <c r="OJ115" i="24"/>
  <c r="OJ117" i="24"/>
  <c r="OJ96" i="24"/>
  <c r="OJ100" i="24"/>
  <c r="OJ104" i="24"/>
  <c r="OJ108" i="24"/>
  <c r="OJ112" i="24"/>
  <c r="OJ116" i="24"/>
  <c r="OJ120" i="24"/>
  <c r="OJ122" i="24"/>
  <c r="OJ94" i="24"/>
  <c r="OJ102" i="24"/>
  <c r="OJ110" i="24"/>
  <c r="OJ118" i="24"/>
  <c r="OJ119" i="24"/>
  <c r="OJ92" i="24"/>
  <c r="OJ98" i="24"/>
  <c r="OJ114" i="24"/>
  <c r="OJ121" i="24"/>
  <c r="OJ106" i="24"/>
  <c r="OH93" i="24"/>
  <c r="OH95" i="24"/>
  <c r="OH97" i="24"/>
  <c r="OH99" i="24"/>
  <c r="OH101" i="24"/>
  <c r="OH103" i="24"/>
  <c r="OH105" i="24"/>
  <c r="OH107" i="24"/>
  <c r="OH109" i="24"/>
  <c r="OH111" i="24"/>
  <c r="OH113" i="24"/>
  <c r="OH115" i="24"/>
  <c r="OH117" i="24"/>
  <c r="OH94" i="24"/>
  <c r="OH98" i="24"/>
  <c r="OH102" i="24"/>
  <c r="OH106" i="24"/>
  <c r="OH110" i="24"/>
  <c r="OH114" i="24"/>
  <c r="OH118" i="24"/>
  <c r="OH120" i="24"/>
  <c r="OH122" i="24"/>
  <c r="OH96" i="24"/>
  <c r="OH104" i="24"/>
  <c r="OH112" i="24"/>
  <c r="OH121" i="24"/>
  <c r="OH108" i="24"/>
  <c r="OH92" i="24"/>
  <c r="OH100" i="24"/>
  <c r="OH119" i="24"/>
  <c r="OH116" i="24"/>
  <c r="OF93" i="24"/>
  <c r="OF95" i="24"/>
  <c r="OF97" i="24"/>
  <c r="OF99" i="24"/>
  <c r="OF101" i="24"/>
  <c r="OF103" i="24"/>
  <c r="OF105" i="24"/>
  <c r="OF107" i="24"/>
  <c r="OF109" i="24"/>
  <c r="OF111" i="24"/>
  <c r="OF113" i="24"/>
  <c r="OF115" i="24"/>
  <c r="OF117" i="24"/>
  <c r="OF96" i="24"/>
  <c r="OF100" i="24"/>
  <c r="OF104" i="24"/>
  <c r="OF108" i="24"/>
  <c r="OF112" i="24"/>
  <c r="OF116" i="24"/>
  <c r="OF120" i="24"/>
  <c r="OF122" i="24"/>
  <c r="OF98" i="24"/>
  <c r="OF106" i="24"/>
  <c r="OF114" i="24"/>
  <c r="OF119" i="24"/>
  <c r="OF92" i="24"/>
  <c r="OF102" i="24"/>
  <c r="OF118" i="24"/>
  <c r="OF110" i="24"/>
  <c r="OF94" i="24"/>
  <c r="OF121" i="24"/>
  <c r="OD93" i="24"/>
  <c r="OD95" i="24"/>
  <c r="OD97" i="24"/>
  <c r="OD99" i="24"/>
  <c r="OD101" i="24"/>
  <c r="OD103" i="24"/>
  <c r="OD105" i="24"/>
  <c r="OD107" i="24"/>
  <c r="OD109" i="24"/>
  <c r="OD111" i="24"/>
  <c r="OD113" i="24"/>
  <c r="OD115" i="24"/>
  <c r="OD117" i="24"/>
  <c r="OD94" i="24"/>
  <c r="OD98" i="24"/>
  <c r="OD102" i="24"/>
  <c r="OD106" i="24"/>
  <c r="OD110" i="24"/>
  <c r="OD114" i="24"/>
  <c r="OD118" i="24"/>
  <c r="OD120" i="24"/>
  <c r="OD122" i="24"/>
  <c r="OD100" i="24"/>
  <c r="OD108" i="24"/>
  <c r="OD116" i="24"/>
  <c r="OD121" i="24"/>
  <c r="OD96" i="24"/>
  <c r="OD112" i="24"/>
  <c r="OD119" i="24"/>
  <c r="OD92" i="24"/>
  <c r="OD104" i="24"/>
  <c r="OB93" i="24"/>
  <c r="OB95" i="24"/>
  <c r="OB97" i="24"/>
  <c r="OB99" i="24"/>
  <c r="OB101" i="24"/>
  <c r="OB103" i="24"/>
  <c r="OB105" i="24"/>
  <c r="OB107" i="24"/>
  <c r="OB109" i="24"/>
  <c r="OB111" i="24"/>
  <c r="OB113" i="24"/>
  <c r="OB115" i="24"/>
  <c r="OB117" i="24"/>
  <c r="OB96" i="24"/>
  <c r="OB100" i="24"/>
  <c r="OB104" i="24"/>
  <c r="OB108" i="24"/>
  <c r="OB112" i="24"/>
  <c r="OB116" i="24"/>
  <c r="OB120" i="24"/>
  <c r="OB122" i="24"/>
  <c r="OB94" i="24"/>
  <c r="OB102" i="24"/>
  <c r="OB110" i="24"/>
  <c r="OB118" i="24"/>
  <c r="OB119" i="24"/>
  <c r="OB92" i="24"/>
  <c r="OB106" i="24"/>
  <c r="OB121" i="24"/>
  <c r="OB98" i="24"/>
  <c r="OB114" i="24"/>
  <c r="NZ93" i="24"/>
  <c r="NZ95" i="24"/>
  <c r="NZ97" i="24"/>
  <c r="NZ99" i="24"/>
  <c r="NZ101" i="24"/>
  <c r="NZ103" i="24"/>
  <c r="NZ105" i="24"/>
  <c r="NZ107" i="24"/>
  <c r="NZ109" i="24"/>
  <c r="NZ111" i="24"/>
  <c r="NZ113" i="24"/>
  <c r="NZ115" i="24"/>
  <c r="NZ117" i="24"/>
  <c r="NZ94" i="24"/>
  <c r="NZ98" i="24"/>
  <c r="NZ102" i="24"/>
  <c r="NZ106" i="24"/>
  <c r="NZ110" i="24"/>
  <c r="NZ114" i="24"/>
  <c r="NZ118" i="24"/>
  <c r="NZ120" i="24"/>
  <c r="NZ122" i="24"/>
  <c r="NZ96" i="24"/>
  <c r="NZ104" i="24"/>
  <c r="NZ112" i="24"/>
  <c r="NZ121" i="24"/>
  <c r="NZ100" i="24"/>
  <c r="NZ116" i="24"/>
  <c r="NZ92" i="24"/>
  <c r="NZ108" i="24"/>
  <c r="NZ119" i="24"/>
  <c r="NX93" i="24"/>
  <c r="NX95" i="24"/>
  <c r="NX97" i="24"/>
  <c r="NX99" i="24"/>
  <c r="NX101" i="24"/>
  <c r="NX103" i="24"/>
  <c r="NX105" i="24"/>
  <c r="NX107" i="24"/>
  <c r="NX109" i="24"/>
  <c r="NX111" i="24"/>
  <c r="NX113" i="24"/>
  <c r="NX115" i="24"/>
  <c r="NX117" i="24"/>
  <c r="NX119" i="24"/>
  <c r="NX96" i="24"/>
  <c r="NX100" i="24"/>
  <c r="NX104" i="24"/>
  <c r="NX108" i="24"/>
  <c r="NX112" i="24"/>
  <c r="NX116" i="24"/>
  <c r="NX120" i="24"/>
  <c r="NX122" i="24"/>
  <c r="NX98" i="24"/>
  <c r="NX106" i="24"/>
  <c r="NX114" i="24"/>
  <c r="NX92" i="24"/>
  <c r="NX94" i="24"/>
  <c r="NX110" i="24"/>
  <c r="NX118" i="24"/>
  <c r="NX121" i="24"/>
  <c r="NX102" i="24"/>
  <c r="BO93" i="24"/>
  <c r="BK93" i="24"/>
  <c r="BP93" i="24"/>
  <c r="BL93" i="24"/>
  <c r="BO109" i="24"/>
  <c r="BK109" i="24"/>
  <c r="BP109" i="24"/>
  <c r="BL109" i="24"/>
  <c r="BP112" i="24"/>
  <c r="BL112" i="24"/>
  <c r="BO112" i="24"/>
  <c r="BK112" i="24"/>
  <c r="BP116" i="24"/>
  <c r="BL116" i="24"/>
  <c r="BO116" i="24"/>
  <c r="BK116" i="24"/>
  <c r="BP118" i="24"/>
  <c r="BL118" i="24"/>
  <c r="BO118" i="24"/>
  <c r="BK118" i="24"/>
  <c r="BO119" i="24"/>
  <c r="BK119" i="24"/>
  <c r="BP119" i="24"/>
  <c r="BL119" i="24"/>
  <c r="BJ92" i="24"/>
  <c r="BM92" i="24"/>
  <c r="BI92" i="24"/>
  <c r="BN92" i="24"/>
  <c r="BP94" i="24"/>
  <c r="BL94" i="24"/>
  <c r="BO94" i="24"/>
  <c r="BK94" i="24"/>
  <c r="BO95" i="24"/>
  <c r="BK95" i="24"/>
  <c r="BP95" i="24"/>
  <c r="BL95" i="24"/>
  <c r="BP96" i="24"/>
  <c r="BL96" i="24"/>
  <c r="BO96" i="24"/>
  <c r="BK96" i="24"/>
  <c r="BO97" i="24"/>
  <c r="BK97" i="24"/>
  <c r="BP97" i="24"/>
  <c r="BL97" i="24"/>
  <c r="BP98" i="24"/>
  <c r="BL98" i="24"/>
  <c r="BO98" i="24"/>
  <c r="BK98" i="24"/>
  <c r="BO99" i="24"/>
  <c r="BK99" i="24"/>
  <c r="BP99" i="24"/>
  <c r="BL99" i="24"/>
  <c r="BP100" i="24"/>
  <c r="BL100" i="24"/>
  <c r="BO100" i="24"/>
  <c r="BK100" i="24"/>
  <c r="BO101" i="24"/>
  <c r="BK101" i="24"/>
  <c r="BP101" i="24"/>
  <c r="BL101" i="24"/>
  <c r="BP102" i="24"/>
  <c r="BL102" i="24"/>
  <c r="BO102" i="24"/>
  <c r="BK102" i="24"/>
  <c r="BO103" i="24"/>
  <c r="BK103" i="24"/>
  <c r="BP103" i="24"/>
  <c r="BL103" i="24"/>
  <c r="BP104" i="24"/>
  <c r="BL104" i="24"/>
  <c r="BO104" i="24"/>
  <c r="BK104" i="24"/>
  <c r="BO105" i="24"/>
  <c r="BK105" i="24"/>
  <c r="BP105" i="24"/>
  <c r="BL105" i="24"/>
  <c r="BP106" i="24"/>
  <c r="BL106" i="24"/>
  <c r="BO106" i="24"/>
  <c r="BK106" i="24"/>
  <c r="BO107" i="24"/>
  <c r="BK107" i="24"/>
  <c r="BP107" i="24"/>
  <c r="BL107" i="24"/>
  <c r="BP108" i="24"/>
  <c r="BL108" i="24"/>
  <c r="BO108" i="24"/>
  <c r="BK108" i="24"/>
  <c r="BP110" i="24"/>
  <c r="BL110" i="24"/>
  <c r="BO110" i="24"/>
  <c r="BK110" i="24"/>
  <c r="BO111" i="24"/>
  <c r="BK111" i="24"/>
  <c r="BP111" i="24"/>
  <c r="BL111" i="24"/>
  <c r="BO113" i="24"/>
  <c r="BK113" i="24"/>
  <c r="BP113" i="24"/>
  <c r="BL113" i="24"/>
  <c r="BP114" i="24"/>
  <c r="BL114" i="24"/>
  <c r="BO114" i="24"/>
  <c r="BK114" i="24"/>
  <c r="BO115" i="24"/>
  <c r="BK115" i="24"/>
  <c r="BP115" i="24"/>
  <c r="BL115" i="24"/>
  <c r="BO117" i="24"/>
  <c r="BK117" i="24"/>
  <c r="BP117" i="24"/>
  <c r="BL117" i="24"/>
  <c r="BP120" i="24"/>
  <c r="BL120" i="24"/>
  <c r="BO120" i="24"/>
  <c r="BK120" i="24"/>
  <c r="BO121" i="24"/>
  <c r="BK121" i="24"/>
  <c r="BP121" i="24"/>
  <c r="BL121" i="24"/>
  <c r="CS122" i="24"/>
  <c r="CS118" i="24"/>
  <c r="CS114" i="24"/>
  <c r="CS110" i="24"/>
  <c r="CS106" i="24"/>
  <c r="CS102" i="24"/>
  <c r="CS98" i="24"/>
  <c r="CS121" i="24"/>
  <c r="CS119" i="24"/>
  <c r="CS117" i="24"/>
  <c r="CS115" i="24"/>
  <c r="CS113" i="24"/>
  <c r="CS111" i="24"/>
  <c r="CS109" i="24"/>
  <c r="CS107" i="24"/>
  <c r="CS105" i="24"/>
  <c r="CS103" i="24"/>
  <c r="CS101" i="24"/>
  <c r="CS99" i="24"/>
  <c r="CS97" i="24"/>
  <c r="CS95" i="24"/>
  <c r="CS94" i="24"/>
  <c r="CS93" i="24"/>
  <c r="CS120" i="24"/>
  <c r="CS116" i="24"/>
  <c r="CS112" i="24"/>
  <c r="CS108" i="24"/>
  <c r="CS104" i="24"/>
  <c r="CS100" i="24"/>
  <c r="CS96" i="24"/>
  <c r="CS92" i="24"/>
  <c r="CQ95" i="24"/>
  <c r="CQ93" i="24"/>
  <c r="CQ120" i="24"/>
  <c r="CQ116" i="24"/>
  <c r="CQ112" i="24"/>
  <c r="CQ108" i="24"/>
  <c r="CQ104" i="24"/>
  <c r="CQ100" i="24"/>
  <c r="CQ94" i="24"/>
  <c r="CQ92" i="24"/>
  <c r="CQ121" i="24"/>
  <c r="CQ119" i="24"/>
  <c r="CQ117" i="24"/>
  <c r="CQ115" i="24"/>
  <c r="CQ113" i="24"/>
  <c r="CQ111" i="24"/>
  <c r="CQ109" i="24"/>
  <c r="CQ107" i="24"/>
  <c r="CQ105" i="24"/>
  <c r="CQ103" i="24"/>
  <c r="CQ101" i="24"/>
  <c r="CQ99" i="24"/>
  <c r="CQ97" i="24"/>
  <c r="CQ96" i="24"/>
  <c r="CQ122" i="24"/>
  <c r="CQ118" i="24"/>
  <c r="CQ114" i="24"/>
  <c r="CQ110" i="24"/>
  <c r="CQ106" i="24"/>
  <c r="CQ102" i="24"/>
  <c r="CQ98" i="24"/>
  <c r="CO121" i="24"/>
  <c r="CO119" i="24"/>
  <c r="CO117" i="24"/>
  <c r="CO115" i="24"/>
  <c r="CO113" i="24"/>
  <c r="CO111" i="24"/>
  <c r="CO109" i="24"/>
  <c r="CO107" i="24"/>
  <c r="CO105" i="24"/>
  <c r="CO103" i="24"/>
  <c r="CO101" i="24"/>
  <c r="CO99" i="24"/>
  <c r="CO97" i="24"/>
  <c r="CO94" i="24"/>
  <c r="CO122" i="24"/>
  <c r="CO118" i="24"/>
  <c r="CO114" i="24"/>
  <c r="CO110" i="24"/>
  <c r="CO106" i="24"/>
  <c r="CO102" i="24"/>
  <c r="CO98" i="24"/>
  <c r="CO96" i="24"/>
  <c r="CO95" i="24"/>
  <c r="CO93" i="24"/>
  <c r="CO120" i="24"/>
  <c r="CO116" i="24"/>
  <c r="CO112" i="24"/>
  <c r="CO108" i="24"/>
  <c r="CO104" i="24"/>
  <c r="CO100" i="24"/>
  <c r="CO92" i="24"/>
  <c r="CM122" i="24"/>
  <c r="CM120" i="24"/>
  <c r="CM118" i="24"/>
  <c r="CM116" i="24"/>
  <c r="CM114" i="24"/>
  <c r="CM112" i="24"/>
  <c r="CM110" i="24"/>
  <c r="CM108" i="24"/>
  <c r="CM106" i="24"/>
  <c r="CM104" i="24"/>
  <c r="CM102" i="24"/>
  <c r="CM100" i="24"/>
  <c r="CM98" i="24"/>
  <c r="CM96" i="24"/>
  <c r="CM95" i="24"/>
  <c r="CM93" i="24"/>
  <c r="CM92" i="24"/>
  <c r="CM94" i="24"/>
  <c r="CM121" i="24"/>
  <c r="CM119" i="24"/>
  <c r="CM117" i="24"/>
  <c r="CM115" i="24"/>
  <c r="CM113" i="24"/>
  <c r="CM111" i="24"/>
  <c r="CM109" i="24"/>
  <c r="CM107" i="24"/>
  <c r="CM105" i="24"/>
  <c r="CM103" i="24"/>
  <c r="CM101" i="24"/>
  <c r="CM99" i="24"/>
  <c r="CM97" i="24"/>
  <c r="DV122" i="24"/>
  <c r="DV92" i="24"/>
  <c r="DV120" i="24"/>
  <c r="DV118" i="24"/>
  <c r="DV116" i="24"/>
  <c r="DV114" i="24"/>
  <c r="DV112" i="24"/>
  <c r="DV110" i="24"/>
  <c r="DV108" i="24"/>
  <c r="DV104" i="24"/>
  <c r="DV100" i="24"/>
  <c r="DV98" i="24"/>
  <c r="DV94" i="24"/>
  <c r="DV107" i="24"/>
  <c r="DV101" i="24"/>
  <c r="DV95" i="24"/>
  <c r="DV121" i="24"/>
  <c r="DV119" i="24"/>
  <c r="DV117" i="24"/>
  <c r="DV115" i="24"/>
  <c r="DV105" i="24"/>
  <c r="DV103" i="24"/>
  <c r="DV97" i="24"/>
  <c r="DV111" i="24"/>
  <c r="DV106" i="24"/>
  <c r="DV109" i="24"/>
  <c r="DV96" i="24"/>
  <c r="DV113" i="24"/>
  <c r="DV102" i="24"/>
  <c r="DV99" i="24"/>
  <c r="DV93" i="24"/>
  <c r="DT122" i="24"/>
  <c r="DT92" i="24"/>
  <c r="DT121" i="24"/>
  <c r="DT119" i="24"/>
  <c r="DT117" i="24"/>
  <c r="DT115" i="24"/>
  <c r="DT105" i="24"/>
  <c r="DT103" i="24"/>
  <c r="DT97" i="24"/>
  <c r="DT120" i="24"/>
  <c r="DT118" i="24"/>
  <c r="DT116" i="24"/>
  <c r="DT114" i="24"/>
  <c r="DT112" i="24"/>
  <c r="DT110" i="24"/>
  <c r="DT108" i="24"/>
  <c r="DT104" i="24"/>
  <c r="DT100" i="24"/>
  <c r="DT98" i="24"/>
  <c r="DT94" i="24"/>
  <c r="DT107" i="24"/>
  <c r="DT101" i="24"/>
  <c r="DT95" i="24"/>
  <c r="DT113" i="24"/>
  <c r="DT109" i="24"/>
  <c r="DT102" i="24"/>
  <c r="DT106" i="24"/>
  <c r="DT99" i="24"/>
  <c r="DT93" i="24"/>
  <c r="DT111" i="24"/>
  <c r="DT96" i="24"/>
  <c r="DR122" i="24"/>
  <c r="DR120" i="24"/>
  <c r="DR118" i="24"/>
  <c r="DR116" i="24"/>
  <c r="DR114" i="24"/>
  <c r="DR112" i="24"/>
  <c r="DR110" i="24"/>
  <c r="DR108" i="24"/>
  <c r="DR104" i="24"/>
  <c r="DR100" i="24"/>
  <c r="DR98" i="24"/>
  <c r="DR94" i="24"/>
  <c r="DR107" i="24"/>
  <c r="DR101" i="24"/>
  <c r="DR95" i="24"/>
  <c r="DR92" i="24"/>
  <c r="DR121" i="24"/>
  <c r="DR119" i="24"/>
  <c r="DR117" i="24"/>
  <c r="DR115" i="24"/>
  <c r="DR105" i="24"/>
  <c r="DR103" i="24"/>
  <c r="DR97" i="24"/>
  <c r="DR111" i="24"/>
  <c r="DR106" i="24"/>
  <c r="DR113" i="24"/>
  <c r="DR102" i="24"/>
  <c r="DR96" i="24"/>
  <c r="DR109" i="24"/>
  <c r="DR99" i="24"/>
  <c r="DR93" i="24"/>
  <c r="DP122" i="24"/>
  <c r="DP119" i="24"/>
  <c r="DP107" i="24"/>
  <c r="DP103" i="24"/>
  <c r="DP113" i="24"/>
  <c r="DP109" i="24"/>
  <c r="DP92" i="24"/>
  <c r="DP121" i="24"/>
  <c r="DP117" i="24"/>
  <c r="DP105" i="24"/>
  <c r="DP101" i="24"/>
  <c r="DP95" i="24"/>
  <c r="DP115" i="24"/>
  <c r="DP97" i="24"/>
  <c r="DP111" i="24"/>
  <c r="DP99" i="24"/>
  <c r="DP93" i="24"/>
  <c r="DP120" i="24"/>
  <c r="DP118" i="24"/>
  <c r="DP116" i="24"/>
  <c r="DP114" i="24"/>
  <c r="DP112" i="24"/>
  <c r="DP110" i="24"/>
  <c r="DP108" i="24"/>
  <c r="DP104" i="24"/>
  <c r="DP100" i="24"/>
  <c r="DP98" i="24"/>
  <c r="DP94" i="24"/>
  <c r="DP106" i="24"/>
  <c r="DP102" i="24"/>
  <c r="DP96" i="24"/>
  <c r="EY122" i="24"/>
  <c r="EY120" i="24"/>
  <c r="EY118" i="24"/>
  <c r="EY116" i="24"/>
  <c r="EY114" i="24"/>
  <c r="EY112" i="24"/>
  <c r="EY110" i="24"/>
  <c r="EY108" i="24"/>
  <c r="EY106" i="24"/>
  <c r="EY104" i="24"/>
  <c r="EY102" i="24"/>
  <c r="EY100" i="24"/>
  <c r="EY98" i="24"/>
  <c r="EY96" i="24"/>
  <c r="EY94" i="24"/>
  <c r="EY121" i="24"/>
  <c r="EY119" i="24"/>
  <c r="EY117" i="24"/>
  <c r="EY115" i="24"/>
  <c r="EY113" i="24"/>
  <c r="EY111" i="24"/>
  <c r="EY109" i="24"/>
  <c r="EY107" i="24"/>
  <c r="EY105" i="24"/>
  <c r="EY103" i="24"/>
  <c r="EY101" i="24"/>
  <c r="EY99" i="24"/>
  <c r="EY97" i="24"/>
  <c r="EY95" i="24"/>
  <c r="EY93" i="24"/>
  <c r="EY92" i="24"/>
  <c r="EW92" i="24"/>
  <c r="EW122" i="24"/>
  <c r="EW120" i="24"/>
  <c r="EW118" i="24"/>
  <c r="EW116" i="24"/>
  <c r="EW114" i="24"/>
  <c r="EW112" i="24"/>
  <c r="EW110" i="24"/>
  <c r="EW108" i="24"/>
  <c r="EW106" i="24"/>
  <c r="EW104" i="24"/>
  <c r="EW102" i="24"/>
  <c r="EW100" i="24"/>
  <c r="EW98" i="24"/>
  <c r="EW96" i="24"/>
  <c r="EW94" i="24"/>
  <c r="EW121" i="24"/>
  <c r="EW119" i="24"/>
  <c r="EW117" i="24"/>
  <c r="EW115" i="24"/>
  <c r="EW113" i="24"/>
  <c r="EW111" i="24"/>
  <c r="EW109" i="24"/>
  <c r="EW107" i="24"/>
  <c r="EW105" i="24"/>
  <c r="EW103" i="24"/>
  <c r="EW101" i="24"/>
  <c r="EW99" i="24"/>
  <c r="EW97" i="24"/>
  <c r="EW95" i="24"/>
  <c r="EW93" i="24"/>
  <c r="EU122" i="24"/>
  <c r="EU120" i="24"/>
  <c r="EU118" i="24"/>
  <c r="EU116" i="24"/>
  <c r="EU114" i="24"/>
  <c r="EU112" i="24"/>
  <c r="EU110" i="24"/>
  <c r="EU108" i="24"/>
  <c r="EU106" i="24"/>
  <c r="EU104" i="24"/>
  <c r="EU102" i="24"/>
  <c r="EU100" i="24"/>
  <c r="EU98" i="24"/>
  <c r="EU96" i="24"/>
  <c r="EU94" i="24"/>
  <c r="EU121" i="24"/>
  <c r="EU119" i="24"/>
  <c r="EU117" i="24"/>
  <c r="EU115" i="24"/>
  <c r="EU113" i="24"/>
  <c r="EU111" i="24"/>
  <c r="EU109" i="24"/>
  <c r="EU107" i="24"/>
  <c r="EU105" i="24"/>
  <c r="EU103" i="24"/>
  <c r="EU101" i="24"/>
  <c r="EU99" i="24"/>
  <c r="EU97" i="24"/>
  <c r="EU95" i="24"/>
  <c r="EU93" i="24"/>
  <c r="EU92" i="24"/>
  <c r="ES119" i="24"/>
  <c r="ES115" i="24"/>
  <c r="ES113" i="24"/>
  <c r="ES111" i="24"/>
  <c r="ES109" i="24"/>
  <c r="ES107" i="24"/>
  <c r="ES105" i="24"/>
  <c r="ES103" i="24"/>
  <c r="ES101" i="24"/>
  <c r="ES99" i="24"/>
  <c r="ES97" i="24"/>
  <c r="ES95" i="24"/>
  <c r="ES93" i="24"/>
  <c r="ES92" i="24"/>
  <c r="ES121" i="24"/>
  <c r="ES117" i="24"/>
  <c r="ES122" i="24"/>
  <c r="ES120" i="24"/>
  <c r="ES118" i="24"/>
  <c r="ES116" i="24"/>
  <c r="ES114" i="24"/>
  <c r="ES112" i="24"/>
  <c r="ES110" i="24"/>
  <c r="ES108" i="24"/>
  <c r="ES106" i="24"/>
  <c r="ES104" i="24"/>
  <c r="ES102" i="24"/>
  <c r="ES100" i="24"/>
  <c r="ES98" i="24"/>
  <c r="ES96" i="24"/>
  <c r="ES94" i="24"/>
  <c r="GB92" i="24"/>
  <c r="GB122" i="24"/>
  <c r="GB120" i="24"/>
  <c r="GB118" i="24"/>
  <c r="GB116" i="24"/>
  <c r="GB114" i="24"/>
  <c r="GB112" i="24"/>
  <c r="GB110" i="24"/>
  <c r="GB108" i="24"/>
  <c r="GB106" i="24"/>
  <c r="GB104" i="24"/>
  <c r="GB98" i="24"/>
  <c r="GB94" i="24"/>
  <c r="GB121" i="24"/>
  <c r="GB119" i="24"/>
  <c r="GB117" i="24"/>
  <c r="GB115" i="24"/>
  <c r="GB113" i="24"/>
  <c r="GB111" i="24"/>
  <c r="GB109" i="24"/>
  <c r="GB107" i="24"/>
  <c r="GB105" i="24"/>
  <c r="GB103" i="24"/>
  <c r="GB99" i="24"/>
  <c r="GB102" i="24"/>
  <c r="GB100" i="24"/>
  <c r="GB96" i="24"/>
  <c r="GB93" i="24"/>
  <c r="GB101" i="24"/>
  <c r="GB95" i="24"/>
  <c r="GB97" i="24"/>
  <c r="FZ92" i="24"/>
  <c r="FZ99" i="24"/>
  <c r="FZ122" i="24"/>
  <c r="FZ120" i="24"/>
  <c r="FZ118" i="24"/>
  <c r="FZ116" i="24"/>
  <c r="FZ114" i="24"/>
  <c r="FZ112" i="24"/>
  <c r="FZ110" i="24"/>
  <c r="FZ108" i="24"/>
  <c r="FZ106" i="24"/>
  <c r="FZ104" i="24"/>
  <c r="FZ98" i="24"/>
  <c r="FZ94" i="24"/>
  <c r="FZ121" i="24"/>
  <c r="FZ119" i="24"/>
  <c r="FZ117" i="24"/>
  <c r="FZ115" i="24"/>
  <c r="FZ113" i="24"/>
  <c r="FZ111" i="24"/>
  <c r="FZ109" i="24"/>
  <c r="FZ107" i="24"/>
  <c r="FZ105" i="24"/>
  <c r="FZ103" i="24"/>
  <c r="FZ101" i="24"/>
  <c r="FZ97" i="24"/>
  <c r="FZ95" i="24"/>
  <c r="FZ100" i="24"/>
  <c r="FZ93" i="24"/>
  <c r="FZ102" i="24"/>
  <c r="FZ96" i="24"/>
  <c r="FX122" i="24"/>
  <c r="FX120" i="24"/>
  <c r="FX118" i="24"/>
  <c r="FX116" i="24"/>
  <c r="FX114" i="24"/>
  <c r="FX112" i="24"/>
  <c r="FX110" i="24"/>
  <c r="FX108" i="24"/>
  <c r="FX106" i="24"/>
  <c r="FX104" i="24"/>
  <c r="FX98" i="24"/>
  <c r="FX94" i="24"/>
  <c r="FX121" i="24"/>
  <c r="FX119" i="24"/>
  <c r="FX117" i="24"/>
  <c r="FX115" i="24"/>
  <c r="FX113" i="24"/>
  <c r="FX111" i="24"/>
  <c r="FX109" i="24"/>
  <c r="FX107" i="24"/>
  <c r="FX105" i="24"/>
  <c r="FX103" i="24"/>
  <c r="FX92" i="24"/>
  <c r="FX99" i="24"/>
  <c r="FX102" i="24"/>
  <c r="FX100" i="24"/>
  <c r="FX96" i="24"/>
  <c r="FX93" i="24"/>
  <c r="FX97" i="24"/>
  <c r="FX101" i="24"/>
  <c r="FX95" i="24"/>
  <c r="FV121" i="24"/>
  <c r="FV119" i="24"/>
  <c r="FV117" i="24"/>
  <c r="FV115" i="24"/>
  <c r="FV113" i="24"/>
  <c r="FV111" i="24"/>
  <c r="FV109" i="24"/>
  <c r="FV107" i="24"/>
  <c r="FV105" i="24"/>
  <c r="FV103" i="24"/>
  <c r="FV101" i="24"/>
  <c r="FV97" i="24"/>
  <c r="FV95" i="24"/>
  <c r="FV92" i="24"/>
  <c r="FV99" i="24"/>
  <c r="FV93" i="24"/>
  <c r="FV122" i="24"/>
  <c r="FV120" i="24"/>
  <c r="FV118" i="24"/>
  <c r="FV116" i="24"/>
  <c r="FV114" i="24"/>
  <c r="FV112" i="24"/>
  <c r="FV110" i="24"/>
  <c r="FV108" i="24"/>
  <c r="FV106" i="24"/>
  <c r="FV104" i="24"/>
  <c r="FV98" i="24"/>
  <c r="FV94" i="24"/>
  <c r="FV102" i="24"/>
  <c r="FV96" i="24"/>
  <c r="FV100" i="24"/>
  <c r="HE122" i="24"/>
  <c r="HE120" i="24"/>
  <c r="HE118" i="24"/>
  <c r="HE116" i="24"/>
  <c r="HE114" i="24"/>
  <c r="HE112" i="24"/>
  <c r="HE110" i="24"/>
  <c r="HE108" i="24"/>
  <c r="HE106" i="24"/>
  <c r="HE104" i="24"/>
  <c r="HE102" i="24"/>
  <c r="HE100" i="24"/>
  <c r="HE92" i="24"/>
  <c r="HE121" i="24"/>
  <c r="HE119" i="24"/>
  <c r="HE117" i="24"/>
  <c r="HE115" i="24"/>
  <c r="HE113" i="24"/>
  <c r="HE111" i="24"/>
  <c r="HE109" i="24"/>
  <c r="HE107" i="24"/>
  <c r="HE105" i="24"/>
  <c r="HE103" i="24"/>
  <c r="HE101" i="24"/>
  <c r="HE99" i="24"/>
  <c r="HE97" i="24"/>
  <c r="HE95" i="24"/>
  <c r="HE93" i="24"/>
  <c r="HE98" i="24"/>
  <c r="HE94" i="24"/>
  <c r="HE96" i="24"/>
  <c r="HC122" i="24"/>
  <c r="HC121" i="24"/>
  <c r="HC119" i="24"/>
  <c r="HC117" i="24"/>
  <c r="HC115" i="24"/>
  <c r="HC113" i="24"/>
  <c r="HC111" i="24"/>
  <c r="HC109" i="24"/>
  <c r="HC107" i="24"/>
  <c r="HC105" i="24"/>
  <c r="HC103" i="24"/>
  <c r="HC101" i="24"/>
  <c r="HC120" i="24"/>
  <c r="HC118" i="24"/>
  <c r="HC116" i="24"/>
  <c r="HC114" i="24"/>
  <c r="HC112" i="24"/>
  <c r="HC110" i="24"/>
  <c r="HC108" i="24"/>
  <c r="HC106" i="24"/>
  <c r="HC104" i="24"/>
  <c r="HC102" i="24"/>
  <c r="HC100" i="24"/>
  <c r="HC98" i="24"/>
  <c r="HC96" i="24"/>
  <c r="HC94" i="24"/>
  <c r="HC97" i="24"/>
  <c r="HC93" i="24"/>
  <c r="HC92" i="24"/>
  <c r="HC99" i="24"/>
  <c r="HC95" i="24"/>
  <c r="HA122" i="24"/>
  <c r="HA120" i="24"/>
  <c r="HA118" i="24"/>
  <c r="HA116" i="24"/>
  <c r="HA114" i="24"/>
  <c r="HA112" i="24"/>
  <c r="HA110" i="24"/>
  <c r="HA108" i="24"/>
  <c r="HA106" i="24"/>
  <c r="HA104" i="24"/>
  <c r="HA102" i="24"/>
  <c r="HA100" i="24"/>
  <c r="HA121" i="24"/>
  <c r="HA119" i="24"/>
  <c r="HA117" i="24"/>
  <c r="HA115" i="24"/>
  <c r="HA113" i="24"/>
  <c r="HA111" i="24"/>
  <c r="HA109" i="24"/>
  <c r="HA107" i="24"/>
  <c r="HA105" i="24"/>
  <c r="HA103" i="24"/>
  <c r="HA101" i="24"/>
  <c r="HA99" i="24"/>
  <c r="HA97" i="24"/>
  <c r="HA95" i="24"/>
  <c r="HA93" i="24"/>
  <c r="HA92" i="24"/>
  <c r="HA96" i="24"/>
  <c r="HA98" i="24"/>
  <c r="HA94" i="24"/>
  <c r="GY122" i="24"/>
  <c r="GY121" i="24"/>
  <c r="GY119" i="24"/>
  <c r="GY117" i="24"/>
  <c r="GY115" i="24"/>
  <c r="GY113" i="24"/>
  <c r="GY111" i="24"/>
  <c r="GY109" i="24"/>
  <c r="GY107" i="24"/>
  <c r="GY105" i="24"/>
  <c r="GY103" i="24"/>
  <c r="GY101" i="24"/>
  <c r="GY99" i="24"/>
  <c r="GY97" i="24"/>
  <c r="GY95" i="24"/>
  <c r="GY93" i="24"/>
  <c r="GY120" i="24"/>
  <c r="GY118" i="24"/>
  <c r="GY116" i="24"/>
  <c r="GY114" i="24"/>
  <c r="GY112" i="24"/>
  <c r="GY110" i="24"/>
  <c r="GY108" i="24"/>
  <c r="GY106" i="24"/>
  <c r="GY104" i="24"/>
  <c r="GY102" i="24"/>
  <c r="GY100" i="24"/>
  <c r="GY98" i="24"/>
  <c r="GY96" i="24"/>
  <c r="GY94" i="24"/>
  <c r="GY92" i="24"/>
  <c r="IH92" i="24"/>
  <c r="IH122" i="24"/>
  <c r="IH120" i="24"/>
  <c r="IH118" i="24"/>
  <c r="IH116" i="24"/>
  <c r="IH114" i="24"/>
  <c r="IH112" i="24"/>
  <c r="IH110" i="24"/>
  <c r="IH108" i="24"/>
  <c r="IH106" i="24"/>
  <c r="IH104" i="24"/>
  <c r="IH102" i="24"/>
  <c r="IH100" i="24"/>
  <c r="IH98" i="24"/>
  <c r="IH96" i="24"/>
  <c r="IH94" i="24"/>
  <c r="IH121" i="24"/>
  <c r="IH119" i="24"/>
  <c r="IH117" i="24"/>
  <c r="IH115" i="24"/>
  <c r="IH113" i="24"/>
  <c r="IH111" i="24"/>
  <c r="IH109" i="24"/>
  <c r="IH107" i="24"/>
  <c r="IH105" i="24"/>
  <c r="IH103" i="24"/>
  <c r="IH101" i="24"/>
  <c r="IH99" i="24"/>
  <c r="IH97" i="24"/>
  <c r="IH95" i="24"/>
  <c r="IH93" i="24"/>
  <c r="IF121" i="24"/>
  <c r="IF119" i="24"/>
  <c r="IF117" i="24"/>
  <c r="IF115" i="24"/>
  <c r="IF113" i="24"/>
  <c r="IF111" i="24"/>
  <c r="IF109" i="24"/>
  <c r="IF107" i="24"/>
  <c r="IF105" i="24"/>
  <c r="IF103" i="24"/>
  <c r="IF101" i="24"/>
  <c r="IF99" i="24"/>
  <c r="IF97" i="24"/>
  <c r="IF95" i="24"/>
  <c r="IF93" i="24"/>
  <c r="IF122" i="24"/>
  <c r="IF120" i="24"/>
  <c r="IF118" i="24"/>
  <c r="IF116" i="24"/>
  <c r="IF114" i="24"/>
  <c r="IF112" i="24"/>
  <c r="IF110" i="24"/>
  <c r="IF108" i="24"/>
  <c r="IF106" i="24"/>
  <c r="IF104" i="24"/>
  <c r="IF102" i="24"/>
  <c r="IF100" i="24"/>
  <c r="IF98" i="24"/>
  <c r="IF96" i="24"/>
  <c r="IF94" i="24"/>
  <c r="IF92" i="24"/>
  <c r="ID122" i="24"/>
  <c r="ID120" i="24"/>
  <c r="ID118" i="24"/>
  <c r="ID116" i="24"/>
  <c r="ID114" i="24"/>
  <c r="ID112" i="24"/>
  <c r="ID110" i="24"/>
  <c r="ID108" i="24"/>
  <c r="ID106" i="24"/>
  <c r="ID104" i="24"/>
  <c r="ID102" i="24"/>
  <c r="ID100" i="24"/>
  <c r="ID98" i="24"/>
  <c r="ID96" i="24"/>
  <c r="ID94" i="24"/>
  <c r="ID92" i="24"/>
  <c r="ID121" i="24"/>
  <c r="ID119" i="24"/>
  <c r="ID117" i="24"/>
  <c r="ID115" i="24"/>
  <c r="ID113" i="24"/>
  <c r="ID111" i="24"/>
  <c r="ID109" i="24"/>
  <c r="ID107" i="24"/>
  <c r="ID105" i="24"/>
  <c r="ID103" i="24"/>
  <c r="ID101" i="24"/>
  <c r="ID99" i="24"/>
  <c r="ID97" i="24"/>
  <c r="ID95" i="24"/>
  <c r="ID93" i="24"/>
  <c r="IB121" i="24"/>
  <c r="IB119" i="24"/>
  <c r="IB117" i="24"/>
  <c r="IB115" i="24"/>
  <c r="IB113" i="24"/>
  <c r="IB111" i="24"/>
  <c r="IB109" i="24"/>
  <c r="IB107" i="24"/>
  <c r="IB105" i="24"/>
  <c r="IB103" i="24"/>
  <c r="IB101" i="24"/>
  <c r="IB99" i="24"/>
  <c r="IB97" i="24"/>
  <c r="IB95" i="24"/>
  <c r="IB93" i="24"/>
  <c r="IB122" i="24"/>
  <c r="IB120" i="24"/>
  <c r="IB118" i="24"/>
  <c r="IB116" i="24"/>
  <c r="IB114" i="24"/>
  <c r="IB112" i="24"/>
  <c r="IB110" i="24"/>
  <c r="IB108" i="24"/>
  <c r="IB106" i="24"/>
  <c r="IB104" i="24"/>
  <c r="IB102" i="24"/>
  <c r="IB100" i="24"/>
  <c r="IB98" i="24"/>
  <c r="IB96" i="24"/>
  <c r="IB94" i="24"/>
  <c r="IB92" i="24"/>
  <c r="JK122" i="24"/>
  <c r="JK120" i="24"/>
  <c r="JK118" i="24"/>
  <c r="JK116" i="24"/>
  <c r="JK114" i="24"/>
  <c r="JK112" i="24"/>
  <c r="JK110" i="24"/>
  <c r="JK108" i="24"/>
  <c r="JK106" i="24"/>
  <c r="JK104" i="24"/>
  <c r="JK102" i="24"/>
  <c r="JK100" i="24"/>
  <c r="JK98" i="24"/>
  <c r="JK96" i="24"/>
  <c r="JK94" i="24"/>
  <c r="JK92" i="24"/>
  <c r="JK121" i="24"/>
  <c r="JK119" i="24"/>
  <c r="JK117" i="24"/>
  <c r="JK115" i="24"/>
  <c r="JK113" i="24"/>
  <c r="JK111" i="24"/>
  <c r="JK109" i="24"/>
  <c r="JK107" i="24"/>
  <c r="JK105" i="24"/>
  <c r="JK103" i="24"/>
  <c r="JK101" i="24"/>
  <c r="JK99" i="24"/>
  <c r="JK97" i="24"/>
  <c r="JK95" i="24"/>
  <c r="JK93" i="24"/>
  <c r="JI122" i="24"/>
  <c r="JI92" i="24"/>
  <c r="JI121" i="24"/>
  <c r="JI119" i="24"/>
  <c r="JI117" i="24"/>
  <c r="JI115" i="24"/>
  <c r="JI113" i="24"/>
  <c r="JI111" i="24"/>
  <c r="JI109" i="24"/>
  <c r="JI107" i="24"/>
  <c r="JI105" i="24"/>
  <c r="JI103" i="24"/>
  <c r="JI101" i="24"/>
  <c r="JI99" i="24"/>
  <c r="JI97" i="24"/>
  <c r="JI95" i="24"/>
  <c r="JI93" i="24"/>
  <c r="JI120" i="24"/>
  <c r="JI118" i="24"/>
  <c r="JI116" i="24"/>
  <c r="JI114" i="24"/>
  <c r="JI112" i="24"/>
  <c r="JI110" i="24"/>
  <c r="JI108" i="24"/>
  <c r="JI106" i="24"/>
  <c r="JI104" i="24"/>
  <c r="JI102" i="24"/>
  <c r="JI100" i="24"/>
  <c r="JI98" i="24"/>
  <c r="JI96" i="24"/>
  <c r="JI94" i="24"/>
  <c r="JG122" i="24"/>
  <c r="JG120" i="24"/>
  <c r="JG118" i="24"/>
  <c r="JG116" i="24"/>
  <c r="JG114" i="24"/>
  <c r="JG112" i="24"/>
  <c r="JG110" i="24"/>
  <c r="JG108" i="24"/>
  <c r="JG106" i="24"/>
  <c r="JG104" i="24"/>
  <c r="JG102" i="24"/>
  <c r="JG100" i="24"/>
  <c r="JG98" i="24"/>
  <c r="JG96" i="24"/>
  <c r="JG94" i="24"/>
  <c r="JG92" i="24"/>
  <c r="JG121" i="24"/>
  <c r="JG119" i="24"/>
  <c r="JG117" i="24"/>
  <c r="JG115" i="24"/>
  <c r="JG113" i="24"/>
  <c r="JG111" i="24"/>
  <c r="JG109" i="24"/>
  <c r="JG107" i="24"/>
  <c r="JG105" i="24"/>
  <c r="JG103" i="24"/>
  <c r="JG101" i="24"/>
  <c r="JG99" i="24"/>
  <c r="JG97" i="24"/>
  <c r="JG95" i="24"/>
  <c r="JG93" i="24"/>
  <c r="JE122" i="24"/>
  <c r="JE121" i="24"/>
  <c r="JE119" i="24"/>
  <c r="JE117" i="24"/>
  <c r="JE115" i="24"/>
  <c r="JE113" i="24"/>
  <c r="JE111" i="24"/>
  <c r="JE109" i="24"/>
  <c r="JE107" i="24"/>
  <c r="JE105" i="24"/>
  <c r="JE103" i="24"/>
  <c r="JE101" i="24"/>
  <c r="JE99" i="24"/>
  <c r="JE97" i="24"/>
  <c r="JE95" i="24"/>
  <c r="JE93" i="24"/>
  <c r="JE92" i="24"/>
  <c r="JE120" i="24"/>
  <c r="JE118" i="24"/>
  <c r="JE116" i="24"/>
  <c r="JE114" i="24"/>
  <c r="JE112" i="24"/>
  <c r="JE110" i="24"/>
  <c r="JE108" i="24"/>
  <c r="JE106" i="24"/>
  <c r="JE104" i="24"/>
  <c r="JE102" i="24"/>
  <c r="JE100" i="24"/>
  <c r="JE98" i="24"/>
  <c r="JE96" i="24"/>
  <c r="JE94" i="24"/>
  <c r="KN99" i="24"/>
  <c r="KN103" i="24"/>
  <c r="KN105" i="24"/>
  <c r="KN107" i="24"/>
  <c r="KN109" i="24"/>
  <c r="KN111" i="24"/>
  <c r="KN113" i="24"/>
  <c r="KN115" i="24"/>
  <c r="KN117" i="24"/>
  <c r="KN119" i="24"/>
  <c r="KN121" i="24"/>
  <c r="KN92" i="24"/>
  <c r="KN122" i="24"/>
  <c r="KN120" i="24"/>
  <c r="KN118" i="24"/>
  <c r="KN116" i="24"/>
  <c r="KN114" i="24"/>
  <c r="KN112" i="24"/>
  <c r="KN110" i="24"/>
  <c r="KN108" i="24"/>
  <c r="KN106" i="24"/>
  <c r="KN104" i="24"/>
  <c r="KN102" i="24"/>
  <c r="KN101" i="24"/>
  <c r="KN98" i="24"/>
  <c r="KN96" i="24"/>
  <c r="KN94" i="24"/>
  <c r="KN100" i="24"/>
  <c r="KN95" i="24"/>
  <c r="KN97" i="24"/>
  <c r="KN93" i="24"/>
  <c r="KL99" i="24"/>
  <c r="KL103" i="24"/>
  <c r="KL105" i="24"/>
  <c r="KL107" i="24"/>
  <c r="KL109" i="24"/>
  <c r="KL111" i="24"/>
  <c r="KL113" i="24"/>
  <c r="KL115" i="24"/>
  <c r="KL117" i="24"/>
  <c r="KL119" i="24"/>
  <c r="KL121" i="24"/>
  <c r="KL92" i="24"/>
  <c r="KL122" i="24"/>
  <c r="KL120" i="24"/>
  <c r="KL118" i="24"/>
  <c r="KL116" i="24"/>
  <c r="KL114" i="24"/>
  <c r="KL112" i="24"/>
  <c r="KL110" i="24"/>
  <c r="KL108" i="24"/>
  <c r="KL106" i="24"/>
  <c r="KL104" i="24"/>
  <c r="KL102" i="24"/>
  <c r="KL100" i="24"/>
  <c r="KL97" i="24"/>
  <c r="KL95" i="24"/>
  <c r="KL93" i="24"/>
  <c r="KL98" i="24"/>
  <c r="KL94" i="24"/>
  <c r="KL101" i="24"/>
  <c r="KL96" i="24"/>
  <c r="KJ99" i="24"/>
  <c r="KJ103" i="24"/>
  <c r="KJ105" i="24"/>
  <c r="KJ107" i="24"/>
  <c r="KJ109" i="24"/>
  <c r="KJ111" i="24"/>
  <c r="KJ113" i="24"/>
  <c r="KJ115" i="24"/>
  <c r="KJ117" i="24"/>
  <c r="KJ119" i="24"/>
  <c r="KJ121" i="24"/>
  <c r="KJ92" i="24"/>
  <c r="KJ122" i="24"/>
  <c r="KJ120" i="24"/>
  <c r="KJ118" i="24"/>
  <c r="KJ116" i="24"/>
  <c r="KJ114" i="24"/>
  <c r="KJ112" i="24"/>
  <c r="KJ110" i="24"/>
  <c r="KJ108" i="24"/>
  <c r="KJ106" i="24"/>
  <c r="KJ104" i="24"/>
  <c r="KJ102" i="24"/>
  <c r="KJ101" i="24"/>
  <c r="KJ98" i="24"/>
  <c r="KJ96" i="24"/>
  <c r="KJ94" i="24"/>
  <c r="KJ97" i="24"/>
  <c r="KJ93" i="24"/>
  <c r="KJ100" i="24"/>
  <c r="KJ95" i="24"/>
  <c r="KH99" i="24"/>
  <c r="KH103" i="24"/>
  <c r="KH105" i="24"/>
  <c r="KH107" i="24"/>
  <c r="KH109" i="24"/>
  <c r="KH111" i="24"/>
  <c r="KH113" i="24"/>
  <c r="KH115" i="24"/>
  <c r="KH117" i="24"/>
  <c r="KH119" i="24"/>
  <c r="KH121" i="24"/>
  <c r="KH122" i="24"/>
  <c r="KH120" i="24"/>
  <c r="KH118" i="24"/>
  <c r="KH116" i="24"/>
  <c r="KH114" i="24"/>
  <c r="KH112" i="24"/>
  <c r="KH110" i="24"/>
  <c r="KH108" i="24"/>
  <c r="KH106" i="24"/>
  <c r="KH104" i="24"/>
  <c r="KH102" i="24"/>
  <c r="KH101" i="24"/>
  <c r="KH92" i="24"/>
  <c r="KH97" i="24"/>
  <c r="KH95" i="24"/>
  <c r="KH93" i="24"/>
  <c r="KH100" i="24"/>
  <c r="KH96" i="24"/>
  <c r="KH98" i="24"/>
  <c r="KH94" i="24"/>
  <c r="LQ95" i="24"/>
  <c r="LQ99" i="24"/>
  <c r="LQ103" i="24"/>
  <c r="LQ107" i="24"/>
  <c r="LQ111" i="24"/>
  <c r="LQ115" i="24"/>
  <c r="LQ119" i="24"/>
  <c r="LQ93" i="24"/>
  <c r="LQ97" i="24"/>
  <c r="LQ101" i="24"/>
  <c r="LQ105" i="24"/>
  <c r="LQ109" i="24"/>
  <c r="LQ113" i="24"/>
  <c r="LQ117" i="24"/>
  <c r="LQ121" i="24"/>
  <c r="LQ92" i="24"/>
  <c r="LQ122" i="24"/>
  <c r="LQ120" i="24"/>
  <c r="LQ118" i="24"/>
  <c r="LQ116" i="24"/>
  <c r="LQ114" i="24"/>
  <c r="LQ112" i="24"/>
  <c r="LQ110" i="24"/>
  <c r="LQ108" i="24"/>
  <c r="LQ106" i="24"/>
  <c r="LQ104" i="24"/>
  <c r="LQ102" i="24"/>
  <c r="LQ100" i="24"/>
  <c r="LQ98" i="24"/>
  <c r="LQ96" i="24"/>
  <c r="LQ94" i="24"/>
  <c r="LO93" i="24"/>
  <c r="LO97" i="24"/>
  <c r="LO101" i="24"/>
  <c r="LO105" i="24"/>
  <c r="LO109" i="24"/>
  <c r="LO113" i="24"/>
  <c r="LO117" i="24"/>
  <c r="LO121" i="24"/>
  <c r="LO95" i="24"/>
  <c r="LO99" i="24"/>
  <c r="LO103" i="24"/>
  <c r="LO107" i="24"/>
  <c r="LO111" i="24"/>
  <c r="LO115" i="24"/>
  <c r="LO119" i="24"/>
  <c r="LO92" i="24"/>
  <c r="LO122" i="24"/>
  <c r="LO120" i="24"/>
  <c r="LO118" i="24"/>
  <c r="LO116" i="24"/>
  <c r="LO114" i="24"/>
  <c r="LO112" i="24"/>
  <c r="LO110" i="24"/>
  <c r="LO108" i="24"/>
  <c r="LO106" i="24"/>
  <c r="LO104" i="24"/>
  <c r="LO102" i="24"/>
  <c r="LO100" i="24"/>
  <c r="LO98" i="24"/>
  <c r="LO96" i="24"/>
  <c r="LO94" i="24"/>
  <c r="LM95" i="24"/>
  <c r="LM99" i="24"/>
  <c r="LM103" i="24"/>
  <c r="LM107" i="24"/>
  <c r="LM111" i="24"/>
  <c r="LM115" i="24"/>
  <c r="LM119" i="24"/>
  <c r="LM93" i="24"/>
  <c r="LM97" i="24"/>
  <c r="LM101" i="24"/>
  <c r="LM105" i="24"/>
  <c r="LM109" i="24"/>
  <c r="LM113" i="24"/>
  <c r="LM117" i="24"/>
  <c r="LM121" i="24"/>
  <c r="LM92" i="24"/>
  <c r="LM122" i="24"/>
  <c r="LM120" i="24"/>
  <c r="LM118" i="24"/>
  <c r="LM116" i="24"/>
  <c r="LM114" i="24"/>
  <c r="LM112" i="24"/>
  <c r="LM110" i="24"/>
  <c r="LM108" i="24"/>
  <c r="LM106" i="24"/>
  <c r="LM104" i="24"/>
  <c r="LM102" i="24"/>
  <c r="LM100" i="24"/>
  <c r="LM98" i="24"/>
  <c r="LM96" i="24"/>
  <c r="LM94" i="24"/>
  <c r="LK93" i="24"/>
  <c r="LK97" i="24"/>
  <c r="LK101" i="24"/>
  <c r="LK105" i="24"/>
  <c r="LK109" i="24"/>
  <c r="LK113" i="24"/>
  <c r="LK117" i="24"/>
  <c r="LK121" i="24"/>
  <c r="LK95" i="24"/>
  <c r="LK99" i="24"/>
  <c r="LK103" i="24"/>
  <c r="LK107" i="24"/>
  <c r="LK111" i="24"/>
  <c r="LK115" i="24"/>
  <c r="LK119" i="24"/>
  <c r="LK122" i="24"/>
  <c r="LK120" i="24"/>
  <c r="LK118" i="24"/>
  <c r="LK116" i="24"/>
  <c r="LK114" i="24"/>
  <c r="LK112" i="24"/>
  <c r="LK110" i="24"/>
  <c r="LK108" i="24"/>
  <c r="LK106" i="24"/>
  <c r="LK104" i="24"/>
  <c r="LK102" i="24"/>
  <c r="LK100" i="24"/>
  <c r="LK98" i="24"/>
  <c r="LK96" i="24"/>
  <c r="LK94" i="24"/>
  <c r="LK92" i="24"/>
  <c r="MT122" i="24"/>
  <c r="MT95" i="24"/>
  <c r="MT103" i="24"/>
  <c r="MT111" i="24"/>
  <c r="MT121" i="24"/>
  <c r="MT99" i="24"/>
  <c r="MT107" i="24"/>
  <c r="MT115" i="24"/>
  <c r="MT119" i="24"/>
  <c r="MT92" i="24"/>
  <c r="MT118" i="24"/>
  <c r="MT116" i="24"/>
  <c r="MT114" i="24"/>
  <c r="MT112" i="24"/>
  <c r="MT110" i="24"/>
  <c r="MT108" i="24"/>
  <c r="MT106" i="24"/>
  <c r="MT104" i="24"/>
  <c r="MT102" i="24"/>
  <c r="MT100" i="24"/>
  <c r="MT98" i="24"/>
  <c r="MT96" i="24"/>
  <c r="MT94" i="24"/>
  <c r="MT120" i="24"/>
  <c r="MT117" i="24"/>
  <c r="MT113" i="24"/>
  <c r="MT109" i="24"/>
  <c r="MT105" i="24"/>
  <c r="MT101" i="24"/>
  <c r="MT97" i="24"/>
  <c r="MT93" i="24"/>
  <c r="MR122" i="24"/>
  <c r="MR97" i="24"/>
  <c r="MR105" i="24"/>
  <c r="MR113" i="24"/>
  <c r="MR119" i="24"/>
  <c r="MR92" i="24"/>
  <c r="MR93" i="24"/>
  <c r="MR101" i="24"/>
  <c r="MR109" i="24"/>
  <c r="MR117" i="24"/>
  <c r="MR121" i="24"/>
  <c r="MR120" i="24"/>
  <c r="MR118" i="24"/>
  <c r="MR116" i="24"/>
  <c r="MR114" i="24"/>
  <c r="MR112" i="24"/>
  <c r="MR110" i="24"/>
  <c r="MR108" i="24"/>
  <c r="MR106" i="24"/>
  <c r="MR104" i="24"/>
  <c r="MR102" i="24"/>
  <c r="MR100" i="24"/>
  <c r="MR98" i="24"/>
  <c r="MR96" i="24"/>
  <c r="MR94" i="24"/>
  <c r="MR115" i="24"/>
  <c r="MR111" i="24"/>
  <c r="MR107" i="24"/>
  <c r="MR103" i="24"/>
  <c r="MR99" i="24"/>
  <c r="MR95" i="24"/>
  <c r="MP122" i="24"/>
  <c r="MP99" i="24"/>
  <c r="MP107" i="24"/>
  <c r="MP115" i="24"/>
  <c r="MP121" i="24"/>
  <c r="MP95" i="24"/>
  <c r="MP103" i="24"/>
  <c r="MP111" i="24"/>
  <c r="MP119" i="24"/>
  <c r="MP118" i="24"/>
  <c r="MP116" i="24"/>
  <c r="MP114" i="24"/>
  <c r="MP112" i="24"/>
  <c r="MP110" i="24"/>
  <c r="MP108" i="24"/>
  <c r="MP106" i="24"/>
  <c r="MP104" i="24"/>
  <c r="MP102" i="24"/>
  <c r="MP100" i="24"/>
  <c r="MP98" i="24"/>
  <c r="MP96" i="24"/>
  <c r="MP94" i="24"/>
  <c r="MP117" i="24"/>
  <c r="MP113" i="24"/>
  <c r="MP109" i="24"/>
  <c r="MP105" i="24"/>
  <c r="MP101" i="24"/>
  <c r="MP97" i="24"/>
  <c r="MP93" i="24"/>
  <c r="MP92" i="24"/>
  <c r="MP120" i="24"/>
  <c r="MN122" i="24"/>
  <c r="MN93" i="24"/>
  <c r="MN101" i="24"/>
  <c r="MN109" i="24"/>
  <c r="MN117" i="24"/>
  <c r="MN92" i="24"/>
  <c r="MN97" i="24"/>
  <c r="MN105" i="24"/>
  <c r="MN113" i="24"/>
  <c r="MN121" i="24"/>
  <c r="MN119" i="24"/>
  <c r="MN115" i="24"/>
  <c r="MN111" i="24"/>
  <c r="MN107" i="24"/>
  <c r="MN103" i="24"/>
  <c r="MN99" i="24"/>
  <c r="MN95" i="24"/>
  <c r="MN120" i="24"/>
  <c r="MN118" i="24"/>
  <c r="MN116" i="24"/>
  <c r="MN114" i="24"/>
  <c r="MN112" i="24"/>
  <c r="MN110" i="24"/>
  <c r="MN108" i="24"/>
  <c r="MN106" i="24"/>
  <c r="MN104" i="24"/>
  <c r="MN102" i="24"/>
  <c r="MN100" i="24"/>
  <c r="MN98" i="24"/>
  <c r="MN96" i="24"/>
  <c r="MN94" i="24"/>
  <c r="NW98" i="24"/>
  <c r="NW105" i="24"/>
  <c r="NW109" i="24"/>
  <c r="NW113" i="24"/>
  <c r="NW117" i="24"/>
  <c r="NW121" i="24"/>
  <c r="NW102" i="24"/>
  <c r="NW111" i="24"/>
  <c r="NW119" i="24"/>
  <c r="NW107" i="24"/>
  <c r="NW94" i="24"/>
  <c r="NW115" i="24"/>
  <c r="NW103" i="24"/>
  <c r="NW101" i="24"/>
  <c r="NW99" i="24"/>
  <c r="NW97" i="24"/>
  <c r="NW95" i="24"/>
  <c r="NW93" i="24"/>
  <c r="NW92" i="24"/>
  <c r="NW122" i="24"/>
  <c r="NW120" i="24"/>
  <c r="NW118" i="24"/>
  <c r="NW116" i="24"/>
  <c r="NW114" i="24"/>
  <c r="NW112" i="24"/>
  <c r="NW110" i="24"/>
  <c r="NW108" i="24"/>
  <c r="NW106" i="24"/>
  <c r="NW104" i="24"/>
  <c r="NW100" i="24"/>
  <c r="NW96" i="24"/>
  <c r="NU100" i="24"/>
  <c r="NU107" i="24"/>
  <c r="NU111" i="24"/>
  <c r="NU115" i="24"/>
  <c r="NU119" i="24"/>
  <c r="NU104" i="24"/>
  <c r="NU105" i="24"/>
  <c r="NU113" i="24"/>
  <c r="NU121" i="24"/>
  <c r="NU96" i="24"/>
  <c r="NU109" i="24"/>
  <c r="NU117" i="24"/>
  <c r="NU92" i="24"/>
  <c r="NU122" i="24"/>
  <c r="NU120" i="24"/>
  <c r="NU118" i="24"/>
  <c r="NU116" i="24"/>
  <c r="NU114" i="24"/>
  <c r="NU112" i="24"/>
  <c r="NU110" i="24"/>
  <c r="NU108" i="24"/>
  <c r="NU106" i="24"/>
  <c r="NU103" i="24"/>
  <c r="NU101" i="24"/>
  <c r="NU99" i="24"/>
  <c r="NU97" i="24"/>
  <c r="NU95" i="24"/>
  <c r="NU93" i="24"/>
  <c r="NU102" i="24"/>
  <c r="NU98" i="24"/>
  <c r="NU94" i="24"/>
  <c r="NS94" i="24"/>
  <c r="NS102" i="24"/>
  <c r="NS105" i="24"/>
  <c r="NS109" i="24"/>
  <c r="NS113" i="24"/>
  <c r="NS117" i="24"/>
  <c r="NS121" i="24"/>
  <c r="NS107" i="24"/>
  <c r="NS115" i="24"/>
  <c r="NS111" i="24"/>
  <c r="NS98" i="24"/>
  <c r="NS119" i="24"/>
  <c r="NS92" i="24"/>
  <c r="NS103" i="24"/>
  <c r="NS101" i="24"/>
  <c r="NS99" i="24"/>
  <c r="NS97" i="24"/>
  <c r="NS95" i="24"/>
  <c r="NS93" i="24"/>
  <c r="NS104" i="24"/>
  <c r="NS100" i="24"/>
  <c r="NS96" i="24"/>
  <c r="NS122" i="24"/>
  <c r="NS120" i="24"/>
  <c r="NS118" i="24"/>
  <c r="NS116" i="24"/>
  <c r="NS114" i="24"/>
  <c r="NS112" i="24"/>
  <c r="NS110" i="24"/>
  <c r="NS108" i="24"/>
  <c r="NS106" i="24"/>
  <c r="NQ96" i="24"/>
  <c r="NQ104" i="24"/>
  <c r="NQ107" i="24"/>
  <c r="NQ111" i="24"/>
  <c r="NQ115" i="24"/>
  <c r="NQ119" i="24"/>
  <c r="NQ109" i="24"/>
  <c r="NQ117" i="24"/>
  <c r="NQ100" i="24"/>
  <c r="NQ113" i="24"/>
  <c r="NQ105" i="24"/>
  <c r="NQ121" i="24"/>
  <c r="NQ102" i="24"/>
  <c r="NQ98" i="24"/>
  <c r="NQ94" i="24"/>
  <c r="NQ92" i="24"/>
  <c r="NQ122" i="24"/>
  <c r="NQ120" i="24"/>
  <c r="NQ118" i="24"/>
  <c r="NQ116" i="24"/>
  <c r="NQ114" i="24"/>
  <c r="NQ112" i="24"/>
  <c r="NQ110" i="24"/>
  <c r="NQ108" i="24"/>
  <c r="NQ106" i="24"/>
  <c r="NQ103" i="24"/>
  <c r="NQ101" i="24"/>
  <c r="NQ99" i="24"/>
  <c r="NQ97" i="24"/>
  <c r="NQ95" i="24"/>
  <c r="NQ93" i="24"/>
  <c r="BH93" i="24"/>
  <c r="BH95" i="24"/>
  <c r="BH97" i="24"/>
  <c r="BH99" i="24"/>
  <c r="BH101" i="24"/>
  <c r="BH103" i="24"/>
  <c r="BH105" i="24"/>
  <c r="BH107" i="24"/>
  <c r="BH109" i="24"/>
  <c r="BH111" i="24"/>
  <c r="BH113" i="24"/>
  <c r="BH115" i="24"/>
  <c r="BH117" i="24"/>
  <c r="BH119" i="24"/>
  <c r="BH121" i="24"/>
  <c r="BH94" i="24"/>
  <c r="BH96" i="24"/>
  <c r="BH98" i="24"/>
  <c r="BH100" i="24"/>
  <c r="BH102" i="24"/>
  <c r="BH104" i="24"/>
  <c r="BH106" i="24"/>
  <c r="BH108" i="24"/>
  <c r="BH110" i="24"/>
  <c r="BH112" i="24"/>
  <c r="BH114" i="24"/>
  <c r="BH116" i="24"/>
  <c r="BH118" i="24"/>
  <c r="BH120" i="24"/>
  <c r="BH122" i="24"/>
  <c r="BH92" i="24"/>
  <c r="CB94" i="24"/>
  <c r="CB96" i="24"/>
  <c r="CB98" i="24"/>
  <c r="CB100" i="24"/>
  <c r="CB102" i="24"/>
  <c r="CB104" i="24"/>
  <c r="CB106" i="24"/>
  <c r="CB108" i="24"/>
  <c r="CB110" i="24"/>
  <c r="CB112" i="24"/>
  <c r="CB114" i="24"/>
  <c r="CB116" i="24"/>
  <c r="CB118" i="24"/>
  <c r="CB120" i="24"/>
  <c r="CB122" i="24"/>
  <c r="CB93" i="24"/>
  <c r="CB95" i="24"/>
  <c r="CB97" i="24"/>
  <c r="CB99" i="24"/>
  <c r="CB101" i="24"/>
  <c r="CB103" i="24"/>
  <c r="CB105" i="24"/>
  <c r="CB107" i="24"/>
  <c r="CB109" i="24"/>
  <c r="CB111" i="24"/>
  <c r="CB113" i="24"/>
  <c r="CB115" i="24"/>
  <c r="CB117" i="24"/>
  <c r="CB119" i="24"/>
  <c r="CB121" i="24"/>
  <c r="CB92" i="24"/>
  <c r="BZ94" i="24"/>
  <c r="BZ96" i="24"/>
  <c r="BZ98" i="24"/>
  <c r="BZ100" i="24"/>
  <c r="BZ102" i="24"/>
  <c r="BZ104" i="24"/>
  <c r="BZ106" i="24"/>
  <c r="BZ108" i="24"/>
  <c r="BZ110" i="24"/>
  <c r="BZ112" i="24"/>
  <c r="BZ114" i="24"/>
  <c r="BZ116" i="24"/>
  <c r="BZ118" i="24"/>
  <c r="BZ120" i="24"/>
  <c r="BZ122" i="24"/>
  <c r="BZ93" i="24"/>
  <c r="BZ95" i="24"/>
  <c r="BZ97" i="24"/>
  <c r="BZ99" i="24"/>
  <c r="BZ101" i="24"/>
  <c r="BZ103" i="24"/>
  <c r="BZ105" i="24"/>
  <c r="BZ107" i="24"/>
  <c r="BZ109" i="24"/>
  <c r="BZ111" i="24"/>
  <c r="BZ113" i="24"/>
  <c r="BZ115" i="24"/>
  <c r="BZ117" i="24"/>
  <c r="BZ119" i="24"/>
  <c r="BZ121" i="24"/>
  <c r="BZ92" i="24"/>
  <c r="BX94" i="24"/>
  <c r="BX96" i="24"/>
  <c r="BX98" i="24"/>
  <c r="BX100" i="24"/>
  <c r="BX102" i="24"/>
  <c r="BX104" i="24"/>
  <c r="BX106" i="24"/>
  <c r="BX108" i="24"/>
  <c r="BX110" i="24"/>
  <c r="BX112" i="24"/>
  <c r="BX114" i="24"/>
  <c r="BX116" i="24"/>
  <c r="BX118" i="24"/>
  <c r="BX120" i="24"/>
  <c r="BX122" i="24"/>
  <c r="BX93" i="24"/>
  <c r="BX95" i="24"/>
  <c r="BX97" i="24"/>
  <c r="BX99" i="24"/>
  <c r="BX101" i="24"/>
  <c r="BX103" i="24"/>
  <c r="BX105" i="24"/>
  <c r="BX107" i="24"/>
  <c r="BX109" i="24"/>
  <c r="BX111" i="24"/>
  <c r="BX113" i="24"/>
  <c r="BX115" i="24"/>
  <c r="BX117" i="24"/>
  <c r="BX119" i="24"/>
  <c r="BX121" i="24"/>
  <c r="BX92" i="24"/>
  <c r="BV94" i="24"/>
  <c r="BV96" i="24"/>
  <c r="BV98" i="24"/>
  <c r="BV100" i="24"/>
  <c r="BV102" i="24"/>
  <c r="BV104" i="24"/>
  <c r="BV106" i="24"/>
  <c r="BV108" i="24"/>
  <c r="BV110" i="24"/>
  <c r="BV112" i="24"/>
  <c r="BV114" i="24"/>
  <c r="BV116" i="24"/>
  <c r="BV118" i="24"/>
  <c r="BV120" i="24"/>
  <c r="BV122" i="24"/>
  <c r="BV93" i="24"/>
  <c r="BV95" i="24"/>
  <c r="BV97" i="24"/>
  <c r="BV99" i="24"/>
  <c r="BV101" i="24"/>
  <c r="BV103" i="24"/>
  <c r="BV105" i="24"/>
  <c r="BV107" i="24"/>
  <c r="BV109" i="24"/>
  <c r="BV111" i="24"/>
  <c r="BV113" i="24"/>
  <c r="BV115" i="24"/>
  <c r="BV117" i="24"/>
  <c r="BV119" i="24"/>
  <c r="BV121" i="24"/>
  <c r="BV92" i="24"/>
  <c r="BT94" i="24"/>
  <c r="BT96" i="24"/>
  <c r="BT98" i="24"/>
  <c r="BT100" i="24"/>
  <c r="BT102" i="24"/>
  <c r="BT104" i="24"/>
  <c r="BT106" i="24"/>
  <c r="BT108" i="24"/>
  <c r="BT110" i="24"/>
  <c r="BT112" i="24"/>
  <c r="BT114" i="24"/>
  <c r="BT116" i="24"/>
  <c r="BT118" i="24"/>
  <c r="BT120" i="24"/>
  <c r="BT122" i="24"/>
  <c r="BT93" i="24"/>
  <c r="BT95" i="24"/>
  <c r="BT97" i="24"/>
  <c r="BT99" i="24"/>
  <c r="BT101" i="24"/>
  <c r="BT103" i="24"/>
  <c r="BT105" i="24"/>
  <c r="BT107" i="24"/>
  <c r="BT109" i="24"/>
  <c r="BT111" i="24"/>
  <c r="BT113" i="24"/>
  <c r="BT115" i="24"/>
  <c r="BT117" i="24"/>
  <c r="BT119" i="24"/>
  <c r="BT121" i="24"/>
  <c r="BT92" i="24"/>
  <c r="BR94" i="24"/>
  <c r="BR96" i="24"/>
  <c r="BR98" i="24"/>
  <c r="BR100" i="24"/>
  <c r="BR102" i="24"/>
  <c r="BR104" i="24"/>
  <c r="BR106" i="24"/>
  <c r="BR108" i="24"/>
  <c r="BR110" i="24"/>
  <c r="BR112" i="24"/>
  <c r="BR114" i="24"/>
  <c r="BR116" i="24"/>
  <c r="BR118" i="24"/>
  <c r="BR120" i="24"/>
  <c r="BR122" i="24"/>
  <c r="BR93" i="24"/>
  <c r="BR95" i="24"/>
  <c r="BR97" i="24"/>
  <c r="BR99" i="24"/>
  <c r="BR101" i="24"/>
  <c r="BR103" i="24"/>
  <c r="BR105" i="24"/>
  <c r="BR107" i="24"/>
  <c r="BR109" i="24"/>
  <c r="BR111" i="24"/>
  <c r="BR113" i="24"/>
  <c r="BR115" i="24"/>
  <c r="BR117" i="24"/>
  <c r="BR119" i="24"/>
  <c r="BR121" i="24"/>
  <c r="BR92" i="24"/>
  <c r="CK97" i="24"/>
  <c r="CK95" i="24"/>
  <c r="CK94" i="24"/>
  <c r="CK119" i="24"/>
  <c r="CK115" i="24"/>
  <c r="CK111" i="24"/>
  <c r="CK105" i="24"/>
  <c r="CK101" i="24"/>
  <c r="CK120" i="24"/>
  <c r="CK116" i="24"/>
  <c r="CK112" i="24"/>
  <c r="CK108" i="24"/>
  <c r="CK104" i="24"/>
  <c r="CK100" i="24"/>
  <c r="CK96" i="24"/>
  <c r="CK93" i="24"/>
  <c r="CK109" i="24"/>
  <c r="CK121" i="24"/>
  <c r="CK117" i="24"/>
  <c r="CK113" i="24"/>
  <c r="CK107" i="24"/>
  <c r="CK103" i="24"/>
  <c r="CK99" i="24"/>
  <c r="CK122" i="24"/>
  <c r="CK118" i="24"/>
  <c r="CK114" i="24"/>
  <c r="CK110" i="24"/>
  <c r="CK106" i="24"/>
  <c r="CK102" i="24"/>
  <c r="CK98" i="24"/>
  <c r="CK92" i="24"/>
  <c r="DE121" i="24"/>
  <c r="DE114" i="24"/>
  <c r="DE113" i="24"/>
  <c r="DE111" i="24"/>
  <c r="DE100" i="24"/>
  <c r="DE118" i="24"/>
  <c r="DE117" i="24"/>
  <c r="DE115" i="24"/>
  <c r="DE103" i="24"/>
  <c r="DE97" i="24"/>
  <c r="DE96" i="24"/>
  <c r="DE120" i="24"/>
  <c r="DE112" i="24"/>
  <c r="DE108" i="24"/>
  <c r="DE101" i="24"/>
  <c r="DE92" i="24"/>
  <c r="DE110" i="24"/>
  <c r="DE107" i="24"/>
  <c r="DE99" i="24"/>
  <c r="DE98" i="24"/>
  <c r="DE93" i="24"/>
  <c r="DE122" i="24"/>
  <c r="DE119" i="24"/>
  <c r="DE109" i="24"/>
  <c r="DE106" i="24"/>
  <c r="DE105" i="24"/>
  <c r="DE104" i="24"/>
  <c r="DE102" i="24"/>
  <c r="DE95" i="24"/>
  <c r="DE94" i="24"/>
  <c r="DE116" i="24"/>
  <c r="DC116" i="24"/>
  <c r="DC112" i="24"/>
  <c r="DC107" i="24"/>
  <c r="DC98" i="24"/>
  <c r="DC93" i="24"/>
  <c r="DC119" i="24"/>
  <c r="DC109" i="24"/>
  <c r="DC104" i="24"/>
  <c r="DC102" i="24"/>
  <c r="DC97" i="24"/>
  <c r="DC94" i="24"/>
  <c r="DC122" i="24"/>
  <c r="DC106" i="24"/>
  <c r="DC103" i="24"/>
  <c r="DC118" i="24"/>
  <c r="DC92" i="24"/>
  <c r="DC121" i="24"/>
  <c r="DC113" i="24"/>
  <c r="DC111" i="24"/>
  <c r="DC108" i="24"/>
  <c r="DC100" i="24"/>
  <c r="DC99" i="24"/>
  <c r="DC114" i="24"/>
  <c r="DC120" i="24"/>
  <c r="DC117" i="24"/>
  <c r="DC115" i="24"/>
  <c r="DC105" i="24"/>
  <c r="DC101" i="24"/>
  <c r="DC96" i="24"/>
  <c r="DC110" i="24"/>
  <c r="DC95" i="24"/>
  <c r="DA97" i="24"/>
  <c r="DA121" i="24"/>
  <c r="DA113" i="24"/>
  <c r="DA111" i="24"/>
  <c r="DA110" i="24"/>
  <c r="DA100" i="24"/>
  <c r="DA99" i="24"/>
  <c r="DA93" i="24"/>
  <c r="DA116" i="24"/>
  <c r="DA122" i="24"/>
  <c r="DA117" i="24"/>
  <c r="DA115" i="24"/>
  <c r="DA106" i="24"/>
  <c r="DA101" i="24"/>
  <c r="DA96" i="24"/>
  <c r="DA95" i="24"/>
  <c r="DA108" i="24"/>
  <c r="DA112" i="24"/>
  <c r="DA114" i="24"/>
  <c r="DA107" i="24"/>
  <c r="DA98" i="24"/>
  <c r="DA119" i="24"/>
  <c r="DA118" i="24"/>
  <c r="DA109" i="24"/>
  <c r="DA104" i="24"/>
  <c r="DA103" i="24"/>
  <c r="DA102" i="24"/>
  <c r="DA94" i="24"/>
  <c r="DA120" i="24"/>
  <c r="DA105" i="24"/>
  <c r="DA92" i="24"/>
  <c r="CY118" i="24"/>
  <c r="CY108" i="24"/>
  <c r="CY107" i="24"/>
  <c r="CY98" i="24"/>
  <c r="CY110" i="24"/>
  <c r="CY120" i="24"/>
  <c r="CY119" i="24"/>
  <c r="CY109" i="24"/>
  <c r="CY105" i="24"/>
  <c r="CY104" i="24"/>
  <c r="CY102" i="24"/>
  <c r="CY101" i="24"/>
  <c r="CY94" i="24"/>
  <c r="CY122" i="24"/>
  <c r="CY106" i="24"/>
  <c r="CY99" i="24"/>
  <c r="CY92" i="24"/>
  <c r="CY121" i="24"/>
  <c r="CY116" i="24"/>
  <c r="CY113" i="24"/>
  <c r="CY112" i="24"/>
  <c r="CY111" i="24"/>
  <c r="CY100" i="24"/>
  <c r="CY93" i="24"/>
  <c r="CY117" i="24"/>
  <c r="CY115" i="24"/>
  <c r="CY103" i="24"/>
  <c r="CY97" i="24"/>
  <c r="CY96" i="24"/>
  <c r="CY95" i="24"/>
  <c r="CY114" i="24"/>
  <c r="CW121" i="24"/>
  <c r="CW114" i="24"/>
  <c r="CW113" i="24"/>
  <c r="CW111" i="24"/>
  <c r="CW100" i="24"/>
  <c r="CW118" i="24"/>
  <c r="CW117" i="24"/>
  <c r="CW115" i="24"/>
  <c r="CW105" i="24"/>
  <c r="CW103" i="24"/>
  <c r="CW96" i="24"/>
  <c r="CW116" i="24"/>
  <c r="CW110" i="24"/>
  <c r="CW107" i="24"/>
  <c r="CW99" i="24"/>
  <c r="CW98" i="24"/>
  <c r="CW112" i="24"/>
  <c r="CW122" i="24"/>
  <c r="CW119" i="24"/>
  <c r="CW109" i="24"/>
  <c r="CW106" i="24"/>
  <c r="CW104" i="24"/>
  <c r="CW102" i="24"/>
  <c r="CW97" i="24"/>
  <c r="CW95" i="24"/>
  <c r="CW94" i="24"/>
  <c r="CW120" i="24"/>
  <c r="CW101" i="24"/>
  <c r="CW108" i="24"/>
  <c r="CW93" i="24"/>
  <c r="CW92" i="24"/>
  <c r="CU106" i="24"/>
  <c r="CU116" i="24"/>
  <c r="CU112" i="24"/>
  <c r="CU107" i="24"/>
  <c r="CU99" i="24"/>
  <c r="CU98" i="24"/>
  <c r="CU93" i="24"/>
  <c r="CU119" i="24"/>
  <c r="CU109" i="24"/>
  <c r="CU104" i="24"/>
  <c r="CU102" i="24"/>
  <c r="CU97" i="24"/>
  <c r="CU94" i="24"/>
  <c r="CU95" i="24"/>
  <c r="CU110" i="24"/>
  <c r="CU92" i="24"/>
  <c r="CU121" i="24"/>
  <c r="CU113" i="24"/>
  <c r="CU111" i="24"/>
  <c r="CU108" i="24"/>
  <c r="CU100" i="24"/>
  <c r="CU120" i="24"/>
  <c r="CU117" i="24"/>
  <c r="CU115" i="24"/>
  <c r="CU105" i="24"/>
  <c r="CU101" i="24"/>
  <c r="CU96" i="24"/>
  <c r="CU122" i="24"/>
  <c r="CU114" i="24"/>
  <c r="CU118" i="24"/>
  <c r="CU103" i="24"/>
  <c r="DN93" i="24"/>
  <c r="DN95" i="24"/>
  <c r="DN97" i="24"/>
  <c r="DN99" i="24"/>
  <c r="DN101" i="24"/>
  <c r="DN103" i="24"/>
  <c r="DN105" i="24"/>
  <c r="DN107" i="24"/>
  <c r="DN109" i="24"/>
  <c r="DN111" i="24"/>
  <c r="DN113" i="24"/>
  <c r="DN115" i="24"/>
  <c r="DN117" i="24"/>
  <c r="DN119" i="24"/>
  <c r="DN121" i="24"/>
  <c r="DN92" i="24"/>
  <c r="DN94" i="24"/>
  <c r="DN96" i="24"/>
  <c r="DN98" i="24"/>
  <c r="DN100" i="24"/>
  <c r="DN102" i="24"/>
  <c r="DN104" i="24"/>
  <c r="DN106" i="24"/>
  <c r="DN108" i="24"/>
  <c r="DN110" i="24"/>
  <c r="DN112" i="24"/>
  <c r="DN114" i="24"/>
  <c r="DN116" i="24"/>
  <c r="DN118" i="24"/>
  <c r="DN120" i="24"/>
  <c r="DN122" i="24"/>
  <c r="EH93" i="24"/>
  <c r="EH95" i="24"/>
  <c r="EH97" i="24"/>
  <c r="EH99" i="24"/>
  <c r="EH101" i="24"/>
  <c r="EH103" i="24"/>
  <c r="EH105" i="24"/>
  <c r="EH107" i="24"/>
  <c r="EH109" i="24"/>
  <c r="EH111" i="24"/>
  <c r="EH113" i="24"/>
  <c r="EH115" i="24"/>
  <c r="EH117" i="24"/>
  <c r="EH119" i="24"/>
  <c r="EH121" i="24"/>
  <c r="EH92" i="24"/>
  <c r="EH94" i="24"/>
  <c r="EH96" i="24"/>
  <c r="EH98" i="24"/>
  <c r="EH100" i="24"/>
  <c r="EH102" i="24"/>
  <c r="EH104" i="24"/>
  <c r="EH106" i="24"/>
  <c r="EH108" i="24"/>
  <c r="EH110" i="24"/>
  <c r="EH112" i="24"/>
  <c r="EH114" i="24"/>
  <c r="EH116" i="24"/>
  <c r="EH118" i="24"/>
  <c r="EH120" i="24"/>
  <c r="EH122" i="24"/>
  <c r="EF93" i="24"/>
  <c r="EF95" i="24"/>
  <c r="EF97" i="24"/>
  <c r="EF99" i="24"/>
  <c r="EF101" i="24"/>
  <c r="EF103" i="24"/>
  <c r="EF105" i="24"/>
  <c r="EF107" i="24"/>
  <c r="EF109" i="24"/>
  <c r="EF111" i="24"/>
  <c r="EF113" i="24"/>
  <c r="EF115" i="24"/>
  <c r="EF117" i="24"/>
  <c r="EF119" i="24"/>
  <c r="EF121" i="24"/>
  <c r="EF94" i="24"/>
  <c r="EF96" i="24"/>
  <c r="EF98" i="24"/>
  <c r="EF100" i="24"/>
  <c r="EF102" i="24"/>
  <c r="EF104" i="24"/>
  <c r="EF106" i="24"/>
  <c r="EF108" i="24"/>
  <c r="EF110" i="24"/>
  <c r="EF112" i="24"/>
  <c r="EF114" i="24"/>
  <c r="EF116" i="24"/>
  <c r="EF118" i="24"/>
  <c r="EF120" i="24"/>
  <c r="EF122" i="24"/>
  <c r="EF92" i="24"/>
  <c r="ED93" i="24"/>
  <c r="ED95" i="24"/>
  <c r="ED97" i="24"/>
  <c r="ED99" i="24"/>
  <c r="ED101" i="24"/>
  <c r="ED103" i="24"/>
  <c r="ED105" i="24"/>
  <c r="ED107" i="24"/>
  <c r="ED109" i="24"/>
  <c r="ED111" i="24"/>
  <c r="ED113" i="24"/>
  <c r="ED115" i="24"/>
  <c r="ED117" i="24"/>
  <c r="ED119" i="24"/>
  <c r="ED121" i="24"/>
  <c r="ED92" i="24"/>
  <c r="ED94" i="24"/>
  <c r="ED96" i="24"/>
  <c r="ED98" i="24"/>
  <c r="ED100" i="24"/>
  <c r="ED102" i="24"/>
  <c r="ED104" i="24"/>
  <c r="ED106" i="24"/>
  <c r="ED108" i="24"/>
  <c r="ED110" i="24"/>
  <c r="ED112" i="24"/>
  <c r="ED114" i="24"/>
  <c r="ED116" i="24"/>
  <c r="ED118" i="24"/>
  <c r="ED120" i="24"/>
  <c r="ED122" i="24"/>
  <c r="EB93" i="24"/>
  <c r="EB95" i="24"/>
  <c r="EB97" i="24"/>
  <c r="EB99" i="24"/>
  <c r="EB101" i="24"/>
  <c r="EB103" i="24"/>
  <c r="EB105" i="24"/>
  <c r="EB107" i="24"/>
  <c r="EB109" i="24"/>
  <c r="EB111" i="24"/>
  <c r="EB113" i="24"/>
  <c r="EB115" i="24"/>
  <c r="EB117" i="24"/>
  <c r="EB119" i="24"/>
  <c r="EB121" i="24"/>
  <c r="EB92" i="24"/>
  <c r="EB94" i="24"/>
  <c r="EB96" i="24"/>
  <c r="EB98" i="24"/>
  <c r="EB100" i="24"/>
  <c r="EB102" i="24"/>
  <c r="EB104" i="24"/>
  <c r="EB106" i="24"/>
  <c r="EB108" i="24"/>
  <c r="EB110" i="24"/>
  <c r="EB112" i="24"/>
  <c r="EB114" i="24"/>
  <c r="EB116" i="24"/>
  <c r="EB118" i="24"/>
  <c r="EB120" i="24"/>
  <c r="EB122" i="24"/>
  <c r="DZ93" i="24"/>
  <c r="DZ95" i="24"/>
  <c r="DZ97" i="24"/>
  <c r="DZ99" i="24"/>
  <c r="DZ101" i="24"/>
  <c r="DZ103" i="24"/>
  <c r="DZ105" i="24"/>
  <c r="DZ107" i="24"/>
  <c r="DZ109" i="24"/>
  <c r="DZ111" i="24"/>
  <c r="DZ113" i="24"/>
  <c r="DZ115" i="24"/>
  <c r="DZ117" i="24"/>
  <c r="DZ119" i="24"/>
  <c r="DZ121" i="24"/>
  <c r="DZ92" i="24"/>
  <c r="DZ94" i="24"/>
  <c r="DZ96" i="24"/>
  <c r="DZ98" i="24"/>
  <c r="DZ100" i="24"/>
  <c r="DZ102" i="24"/>
  <c r="DZ104" i="24"/>
  <c r="DZ106" i="24"/>
  <c r="DZ108" i="24"/>
  <c r="DZ110" i="24"/>
  <c r="DZ112" i="24"/>
  <c r="DZ114" i="24"/>
  <c r="DZ116" i="24"/>
  <c r="DZ118" i="24"/>
  <c r="DZ120" i="24"/>
  <c r="DZ122" i="24"/>
  <c r="DX93" i="24"/>
  <c r="DX95" i="24"/>
  <c r="DX97" i="24"/>
  <c r="DX99" i="24"/>
  <c r="DX101" i="24"/>
  <c r="DX103" i="24"/>
  <c r="DX105" i="24"/>
  <c r="DX107" i="24"/>
  <c r="DX109" i="24"/>
  <c r="DX111" i="24"/>
  <c r="DX113" i="24"/>
  <c r="DX115" i="24"/>
  <c r="DX117" i="24"/>
  <c r="DX119" i="24"/>
  <c r="DX121" i="24"/>
  <c r="DX92" i="24"/>
  <c r="DX94" i="24"/>
  <c r="DX96" i="24"/>
  <c r="DX98" i="24"/>
  <c r="DX100" i="24"/>
  <c r="DX102" i="24"/>
  <c r="DX104" i="24"/>
  <c r="DX106" i="24"/>
  <c r="DX108" i="24"/>
  <c r="DX110" i="24"/>
  <c r="DX112" i="24"/>
  <c r="DX114" i="24"/>
  <c r="DX116" i="24"/>
  <c r="DX118" i="24"/>
  <c r="DX120" i="24"/>
  <c r="DX122" i="24"/>
  <c r="EQ93" i="24"/>
  <c r="EQ95" i="24"/>
  <c r="EQ97" i="24"/>
  <c r="EQ99" i="24"/>
  <c r="EQ101" i="24"/>
  <c r="EQ103" i="24"/>
  <c r="EQ105" i="24"/>
  <c r="EQ107" i="24"/>
  <c r="EQ109" i="24"/>
  <c r="EQ111" i="24"/>
  <c r="EQ113" i="24"/>
  <c r="EQ115" i="24"/>
  <c r="EQ117" i="24"/>
  <c r="EQ119" i="24"/>
  <c r="EQ121" i="24"/>
  <c r="EQ92" i="24"/>
  <c r="EQ94" i="24"/>
  <c r="EQ96" i="24"/>
  <c r="EQ98" i="24"/>
  <c r="EQ100" i="24"/>
  <c r="EQ102" i="24"/>
  <c r="EQ104" i="24"/>
  <c r="EQ106" i="24"/>
  <c r="EQ108" i="24"/>
  <c r="EQ110" i="24"/>
  <c r="EQ112" i="24"/>
  <c r="EQ114" i="24"/>
  <c r="EQ116" i="24"/>
  <c r="EQ118" i="24"/>
  <c r="EQ120" i="24"/>
  <c r="EQ122" i="24"/>
  <c r="FK93" i="24"/>
  <c r="FK95" i="24"/>
  <c r="FK97" i="24"/>
  <c r="FK99" i="24"/>
  <c r="FK101" i="24"/>
  <c r="FK103" i="24"/>
  <c r="FK105" i="24"/>
  <c r="FK107" i="24"/>
  <c r="FK109" i="24"/>
  <c r="FK94" i="24"/>
  <c r="FK96" i="24"/>
  <c r="FK98" i="24"/>
  <c r="FK100" i="24"/>
  <c r="FK102" i="24"/>
  <c r="FK104" i="24"/>
  <c r="FK106" i="24"/>
  <c r="FK108" i="24"/>
  <c r="FK111" i="24"/>
  <c r="FK113" i="24"/>
  <c r="FK115" i="24"/>
  <c r="FK117" i="24"/>
  <c r="FK119" i="24"/>
  <c r="FK121" i="24"/>
  <c r="FK92" i="24"/>
  <c r="FK110" i="24"/>
  <c r="FK112" i="24"/>
  <c r="FK114" i="24"/>
  <c r="FK116" i="24"/>
  <c r="FK118" i="24"/>
  <c r="FK120" i="24"/>
  <c r="FK122" i="24"/>
  <c r="FI93" i="24"/>
  <c r="FI95" i="24"/>
  <c r="FI97" i="24"/>
  <c r="FI99" i="24"/>
  <c r="FI101" i="24"/>
  <c r="FI103" i="24"/>
  <c r="FI105" i="24"/>
  <c r="FI107" i="24"/>
  <c r="FI109" i="24"/>
  <c r="FI94" i="24"/>
  <c r="FI96" i="24"/>
  <c r="FI98" i="24"/>
  <c r="FI100" i="24"/>
  <c r="FI102" i="24"/>
  <c r="FI104" i="24"/>
  <c r="FI106" i="24"/>
  <c r="FI108" i="24"/>
  <c r="FI111" i="24"/>
  <c r="FI113" i="24"/>
  <c r="FI115" i="24"/>
  <c r="FI117" i="24"/>
  <c r="FI119" i="24"/>
  <c r="FI121" i="24"/>
  <c r="FI92" i="24"/>
  <c r="FI110" i="24"/>
  <c r="FI112" i="24"/>
  <c r="FI114" i="24"/>
  <c r="FI116" i="24"/>
  <c r="FI118" i="24"/>
  <c r="FI120" i="24"/>
  <c r="FI122" i="24"/>
  <c r="FG93" i="24"/>
  <c r="FG95" i="24"/>
  <c r="FG97" i="24"/>
  <c r="FG99" i="24"/>
  <c r="FG101" i="24"/>
  <c r="FG103" i="24"/>
  <c r="FG105" i="24"/>
  <c r="FG107" i="24"/>
  <c r="FG109" i="24"/>
  <c r="FG94" i="24"/>
  <c r="FG96" i="24"/>
  <c r="FG98" i="24"/>
  <c r="FG100" i="24"/>
  <c r="FG102" i="24"/>
  <c r="FG104" i="24"/>
  <c r="FG106" i="24"/>
  <c r="FG108" i="24"/>
  <c r="FG111" i="24"/>
  <c r="FG113" i="24"/>
  <c r="FG115" i="24"/>
  <c r="FG117" i="24"/>
  <c r="FG119" i="24"/>
  <c r="FG121" i="24"/>
  <c r="FG92" i="24"/>
  <c r="FG110" i="24"/>
  <c r="FG112" i="24"/>
  <c r="FG114" i="24"/>
  <c r="FG116" i="24"/>
  <c r="FG118" i="24"/>
  <c r="FG120" i="24"/>
  <c r="FG122" i="24"/>
  <c r="FE93" i="24"/>
  <c r="FE95" i="24"/>
  <c r="FE97" i="24"/>
  <c r="FE99" i="24"/>
  <c r="FE101" i="24"/>
  <c r="FE103" i="24"/>
  <c r="FE105" i="24"/>
  <c r="FE107" i="24"/>
  <c r="FE109" i="24"/>
  <c r="FE94" i="24"/>
  <c r="FE96" i="24"/>
  <c r="FE98" i="24"/>
  <c r="FE100" i="24"/>
  <c r="FE102" i="24"/>
  <c r="FE104" i="24"/>
  <c r="FE106" i="24"/>
  <c r="FE108" i="24"/>
  <c r="FE111" i="24"/>
  <c r="FE113" i="24"/>
  <c r="FE115" i="24"/>
  <c r="FE117" i="24"/>
  <c r="FE119" i="24"/>
  <c r="FE121" i="24"/>
  <c r="FE92" i="24"/>
  <c r="FE110" i="24"/>
  <c r="FE112" i="24"/>
  <c r="FE114" i="24"/>
  <c r="FE116" i="24"/>
  <c r="FE118" i="24"/>
  <c r="FE120" i="24"/>
  <c r="FE122" i="24"/>
  <c r="FC93" i="24"/>
  <c r="FC95" i="24"/>
  <c r="FC97" i="24"/>
  <c r="FC99" i="24"/>
  <c r="FC101" i="24"/>
  <c r="FC103" i="24"/>
  <c r="FC105" i="24"/>
  <c r="FC107" i="24"/>
  <c r="FC109" i="24"/>
  <c r="FC94" i="24"/>
  <c r="FC96" i="24"/>
  <c r="FC98" i="24"/>
  <c r="FC100" i="24"/>
  <c r="FC102" i="24"/>
  <c r="FC104" i="24"/>
  <c r="FC106" i="24"/>
  <c r="FC108" i="24"/>
  <c r="FC111" i="24"/>
  <c r="FC113" i="24"/>
  <c r="FC115" i="24"/>
  <c r="FC117" i="24"/>
  <c r="FC119" i="24"/>
  <c r="FC121" i="24"/>
  <c r="FC92" i="24"/>
  <c r="FC110" i="24"/>
  <c r="FC112" i="24"/>
  <c r="FC114" i="24"/>
  <c r="FC116" i="24"/>
  <c r="FC118" i="24"/>
  <c r="FC120" i="24"/>
  <c r="FC122" i="24"/>
  <c r="FA93" i="24"/>
  <c r="FA95" i="24"/>
  <c r="FA97" i="24"/>
  <c r="FA99" i="24"/>
  <c r="FA101" i="24"/>
  <c r="FA103" i="24"/>
  <c r="FA105" i="24"/>
  <c r="FA107" i="24"/>
  <c r="FA109" i="24"/>
  <c r="FA94" i="24"/>
  <c r="FA96" i="24"/>
  <c r="FA98" i="24"/>
  <c r="FA100" i="24"/>
  <c r="FA102" i="24"/>
  <c r="FA104" i="24"/>
  <c r="FA106" i="24"/>
  <c r="FA108" i="24"/>
  <c r="FA111" i="24"/>
  <c r="FA113" i="24"/>
  <c r="FA115" i="24"/>
  <c r="FA117" i="24"/>
  <c r="FA119" i="24"/>
  <c r="FA121" i="24"/>
  <c r="FA92" i="24"/>
  <c r="FA110" i="24"/>
  <c r="FA112" i="24"/>
  <c r="FA114" i="24"/>
  <c r="FA116" i="24"/>
  <c r="FA118" i="24"/>
  <c r="FA120" i="24"/>
  <c r="FA122" i="24"/>
  <c r="FT93" i="24"/>
  <c r="FT95" i="24"/>
  <c r="FT97" i="24"/>
  <c r="FT99" i="24"/>
  <c r="FT101" i="24"/>
  <c r="FT103" i="24"/>
  <c r="FT105" i="24"/>
  <c r="FT107" i="24"/>
  <c r="FT109" i="24"/>
  <c r="FT111" i="24"/>
  <c r="FT113" i="24"/>
  <c r="FT115" i="24"/>
  <c r="FT117" i="24"/>
  <c r="FT119" i="24"/>
  <c r="FT121" i="24"/>
  <c r="FT92" i="24"/>
  <c r="FT94" i="24"/>
  <c r="FT96" i="24"/>
  <c r="FT98" i="24"/>
  <c r="FT100" i="24"/>
  <c r="FT102" i="24"/>
  <c r="FT104" i="24"/>
  <c r="FT106" i="24"/>
  <c r="FT108" i="24"/>
  <c r="FT110" i="24"/>
  <c r="FT112" i="24"/>
  <c r="FT114" i="24"/>
  <c r="FT116" i="24"/>
  <c r="FT118" i="24"/>
  <c r="FT120" i="24"/>
  <c r="FT122" i="24"/>
  <c r="GN93" i="24"/>
  <c r="GN95" i="24"/>
  <c r="GN97" i="24"/>
  <c r="GN99" i="24"/>
  <c r="GN101" i="24"/>
  <c r="GN103" i="24"/>
  <c r="GN105" i="24"/>
  <c r="GN107" i="24"/>
  <c r="GN109" i="24"/>
  <c r="GN111" i="24"/>
  <c r="GN113" i="24"/>
  <c r="GN115" i="24"/>
  <c r="GN117" i="24"/>
  <c r="GN119" i="24"/>
  <c r="GN121" i="24"/>
  <c r="GN92" i="24"/>
  <c r="GN94" i="24"/>
  <c r="GN96" i="24"/>
  <c r="GN98" i="24"/>
  <c r="GN100" i="24"/>
  <c r="GN102" i="24"/>
  <c r="GN104" i="24"/>
  <c r="GN106" i="24"/>
  <c r="GN108" i="24"/>
  <c r="GN110" i="24"/>
  <c r="GN112" i="24"/>
  <c r="GN114" i="24"/>
  <c r="GN116" i="24"/>
  <c r="GN118" i="24"/>
  <c r="GN120" i="24"/>
  <c r="GN122" i="24"/>
  <c r="GL93" i="24"/>
  <c r="GL95" i="24"/>
  <c r="GL97" i="24"/>
  <c r="GL99" i="24"/>
  <c r="GL101" i="24"/>
  <c r="GL103" i="24"/>
  <c r="GL105" i="24"/>
  <c r="GL107" i="24"/>
  <c r="GL109" i="24"/>
  <c r="GL111" i="24"/>
  <c r="GL113" i="24"/>
  <c r="GL115" i="24"/>
  <c r="GL117" i="24"/>
  <c r="GL119" i="24"/>
  <c r="GL121" i="24"/>
  <c r="GL92" i="24"/>
  <c r="GL94" i="24"/>
  <c r="GL96" i="24"/>
  <c r="GL98" i="24"/>
  <c r="GL100" i="24"/>
  <c r="GL102" i="24"/>
  <c r="GL104" i="24"/>
  <c r="GL106" i="24"/>
  <c r="GL108" i="24"/>
  <c r="GL110" i="24"/>
  <c r="GL112" i="24"/>
  <c r="GL114" i="24"/>
  <c r="GL116" i="24"/>
  <c r="GL118" i="24"/>
  <c r="GL120" i="24"/>
  <c r="GL122" i="24"/>
  <c r="GJ93" i="24"/>
  <c r="GJ95" i="24"/>
  <c r="GJ97" i="24"/>
  <c r="GJ99" i="24"/>
  <c r="GJ101" i="24"/>
  <c r="GJ103" i="24"/>
  <c r="GJ105" i="24"/>
  <c r="GJ107" i="24"/>
  <c r="GJ109" i="24"/>
  <c r="GJ111" i="24"/>
  <c r="GJ113" i="24"/>
  <c r="GJ115" i="24"/>
  <c r="GJ117" i="24"/>
  <c r="GJ119" i="24"/>
  <c r="GJ121" i="24"/>
  <c r="GJ92" i="24"/>
  <c r="GJ94" i="24"/>
  <c r="GJ96" i="24"/>
  <c r="GJ98" i="24"/>
  <c r="GJ100" i="24"/>
  <c r="GJ102" i="24"/>
  <c r="GJ104" i="24"/>
  <c r="GJ106" i="24"/>
  <c r="GJ108" i="24"/>
  <c r="GJ110" i="24"/>
  <c r="GJ112" i="24"/>
  <c r="GJ114" i="24"/>
  <c r="GJ116" i="24"/>
  <c r="GJ118" i="24"/>
  <c r="GJ120" i="24"/>
  <c r="GJ122" i="24"/>
  <c r="GH93" i="24"/>
  <c r="GH95" i="24"/>
  <c r="GH97" i="24"/>
  <c r="GH99" i="24"/>
  <c r="GH101" i="24"/>
  <c r="GH103" i="24"/>
  <c r="GH105" i="24"/>
  <c r="GH107" i="24"/>
  <c r="GH109" i="24"/>
  <c r="GH111" i="24"/>
  <c r="GH113" i="24"/>
  <c r="GH115" i="24"/>
  <c r="GH117" i="24"/>
  <c r="GH119" i="24"/>
  <c r="GH121" i="24"/>
  <c r="GH92" i="24"/>
  <c r="GH94" i="24"/>
  <c r="GH96" i="24"/>
  <c r="GH98" i="24"/>
  <c r="GH100" i="24"/>
  <c r="GH102" i="24"/>
  <c r="GH104" i="24"/>
  <c r="GH106" i="24"/>
  <c r="GH108" i="24"/>
  <c r="GH110" i="24"/>
  <c r="GH112" i="24"/>
  <c r="GH114" i="24"/>
  <c r="GH116" i="24"/>
  <c r="GH118" i="24"/>
  <c r="GH120" i="24"/>
  <c r="GH122" i="24"/>
  <c r="GF93" i="24"/>
  <c r="GF95" i="24"/>
  <c r="GF97" i="24"/>
  <c r="GF99" i="24"/>
  <c r="GF101" i="24"/>
  <c r="GF103" i="24"/>
  <c r="GF105" i="24"/>
  <c r="GF107" i="24"/>
  <c r="GF109" i="24"/>
  <c r="GF111" i="24"/>
  <c r="GF113" i="24"/>
  <c r="GF115" i="24"/>
  <c r="GF117" i="24"/>
  <c r="GF119" i="24"/>
  <c r="GF121" i="24"/>
  <c r="GF92" i="24"/>
  <c r="GF94" i="24"/>
  <c r="GF96" i="24"/>
  <c r="GF98" i="24"/>
  <c r="GF100" i="24"/>
  <c r="GF102" i="24"/>
  <c r="GF104" i="24"/>
  <c r="GF106" i="24"/>
  <c r="GF108" i="24"/>
  <c r="GF110" i="24"/>
  <c r="GF112" i="24"/>
  <c r="GF114" i="24"/>
  <c r="GF116" i="24"/>
  <c r="GF118" i="24"/>
  <c r="GF120" i="24"/>
  <c r="GF122" i="24"/>
  <c r="GD93" i="24"/>
  <c r="GD95" i="24"/>
  <c r="GD97" i="24"/>
  <c r="GD99" i="24"/>
  <c r="GD101" i="24"/>
  <c r="GD103" i="24"/>
  <c r="GD105" i="24"/>
  <c r="GD107" i="24"/>
  <c r="GD109" i="24"/>
  <c r="GD111" i="24"/>
  <c r="GD113" i="24"/>
  <c r="GD115" i="24"/>
  <c r="GD117" i="24"/>
  <c r="GD119" i="24"/>
  <c r="GD121" i="24"/>
  <c r="GD92" i="24"/>
  <c r="GD94" i="24"/>
  <c r="GD96" i="24"/>
  <c r="GD98" i="24"/>
  <c r="GD100" i="24"/>
  <c r="GD102" i="24"/>
  <c r="GD104" i="24"/>
  <c r="GD106" i="24"/>
  <c r="GD108" i="24"/>
  <c r="GD110" i="24"/>
  <c r="GD112" i="24"/>
  <c r="GD114" i="24"/>
  <c r="GD116" i="24"/>
  <c r="GD118" i="24"/>
  <c r="GD120" i="24"/>
  <c r="GD122" i="24"/>
  <c r="GW93" i="24"/>
  <c r="GW95" i="24"/>
  <c r="GW97" i="24"/>
  <c r="GW99" i="24"/>
  <c r="GW101" i="24"/>
  <c r="GW103" i="24"/>
  <c r="GW105" i="24"/>
  <c r="GW107" i="24"/>
  <c r="GW109" i="24"/>
  <c r="GW111" i="24"/>
  <c r="GW113" i="24"/>
  <c r="GW115" i="24"/>
  <c r="GW117" i="24"/>
  <c r="GW119" i="24"/>
  <c r="GW121" i="24"/>
  <c r="GW92" i="24"/>
  <c r="GW94" i="24"/>
  <c r="GW96" i="24"/>
  <c r="GW98" i="24"/>
  <c r="GW100" i="24"/>
  <c r="GW102" i="24"/>
  <c r="GW104" i="24"/>
  <c r="GW106" i="24"/>
  <c r="GW108" i="24"/>
  <c r="GW110" i="24"/>
  <c r="GW112" i="24"/>
  <c r="GW114" i="24"/>
  <c r="GW116" i="24"/>
  <c r="GW118" i="24"/>
  <c r="GW120" i="24"/>
  <c r="GW122" i="24"/>
  <c r="HQ93" i="24"/>
  <c r="HQ95" i="24"/>
  <c r="HQ97" i="24"/>
  <c r="HQ99" i="24"/>
  <c r="HQ101" i="24"/>
  <c r="HQ103" i="24"/>
  <c r="HQ105" i="24"/>
  <c r="HQ107" i="24"/>
  <c r="HQ109" i="24"/>
  <c r="HQ111" i="24"/>
  <c r="HQ113" i="24"/>
  <c r="HQ115" i="24"/>
  <c r="HQ117" i="24"/>
  <c r="HQ119" i="24"/>
  <c r="HQ121" i="24"/>
  <c r="HQ92" i="24"/>
  <c r="HQ94" i="24"/>
  <c r="HQ96" i="24"/>
  <c r="HQ98" i="24"/>
  <c r="HQ100" i="24"/>
  <c r="HQ102" i="24"/>
  <c r="HQ104" i="24"/>
  <c r="HQ106" i="24"/>
  <c r="HQ108" i="24"/>
  <c r="HQ110" i="24"/>
  <c r="HQ112" i="24"/>
  <c r="HQ114" i="24"/>
  <c r="HQ116" i="24"/>
  <c r="HQ118" i="24"/>
  <c r="HQ120" i="24"/>
  <c r="HQ122" i="24"/>
  <c r="HO93" i="24"/>
  <c r="HO95" i="24"/>
  <c r="HO97" i="24"/>
  <c r="HO99" i="24"/>
  <c r="HO101" i="24"/>
  <c r="HO103" i="24"/>
  <c r="HO105" i="24"/>
  <c r="HO107" i="24"/>
  <c r="HO109" i="24"/>
  <c r="HO111" i="24"/>
  <c r="HO113" i="24"/>
  <c r="HO115" i="24"/>
  <c r="HO117" i="24"/>
  <c r="HO119" i="24"/>
  <c r="HO121" i="24"/>
  <c r="HO92" i="24"/>
  <c r="HO94" i="24"/>
  <c r="HO96" i="24"/>
  <c r="HO98" i="24"/>
  <c r="HO100" i="24"/>
  <c r="HO102" i="24"/>
  <c r="HO104" i="24"/>
  <c r="HO106" i="24"/>
  <c r="HO108" i="24"/>
  <c r="HO110" i="24"/>
  <c r="HO112" i="24"/>
  <c r="HO114" i="24"/>
  <c r="HO116" i="24"/>
  <c r="HO118" i="24"/>
  <c r="HO120" i="24"/>
  <c r="HO122" i="24"/>
  <c r="HM93" i="24"/>
  <c r="HM95" i="24"/>
  <c r="HM97" i="24"/>
  <c r="HM99" i="24"/>
  <c r="HM101" i="24"/>
  <c r="HM103" i="24"/>
  <c r="HM105" i="24"/>
  <c r="HM107" i="24"/>
  <c r="HM109" i="24"/>
  <c r="HM111" i="24"/>
  <c r="HM113" i="24"/>
  <c r="HM115" i="24"/>
  <c r="HM117" i="24"/>
  <c r="HM119" i="24"/>
  <c r="HM121" i="24"/>
  <c r="HM92" i="24"/>
  <c r="HM94" i="24"/>
  <c r="HM96" i="24"/>
  <c r="HM98" i="24"/>
  <c r="HM100" i="24"/>
  <c r="HM102" i="24"/>
  <c r="HM104" i="24"/>
  <c r="HM106" i="24"/>
  <c r="HM108" i="24"/>
  <c r="HM110" i="24"/>
  <c r="HM112" i="24"/>
  <c r="HM114" i="24"/>
  <c r="HM116" i="24"/>
  <c r="HM118" i="24"/>
  <c r="HM120" i="24"/>
  <c r="HM122" i="24"/>
  <c r="HK93" i="24"/>
  <c r="HK95" i="24"/>
  <c r="HK97" i="24"/>
  <c r="HK99" i="24"/>
  <c r="HK101" i="24"/>
  <c r="HK103" i="24"/>
  <c r="HK105" i="24"/>
  <c r="HK107" i="24"/>
  <c r="HK109" i="24"/>
  <c r="HK111" i="24"/>
  <c r="HK113" i="24"/>
  <c r="HK115" i="24"/>
  <c r="HK117" i="24"/>
  <c r="HK119" i="24"/>
  <c r="HK121" i="24"/>
  <c r="HK92" i="24"/>
  <c r="HK94" i="24"/>
  <c r="HK96" i="24"/>
  <c r="HK98" i="24"/>
  <c r="HK100" i="24"/>
  <c r="HK102" i="24"/>
  <c r="HK104" i="24"/>
  <c r="HK106" i="24"/>
  <c r="HK108" i="24"/>
  <c r="HK110" i="24"/>
  <c r="HK112" i="24"/>
  <c r="HK114" i="24"/>
  <c r="HK116" i="24"/>
  <c r="HK118" i="24"/>
  <c r="HK120" i="24"/>
  <c r="HK122" i="24"/>
  <c r="HI93" i="24"/>
  <c r="HI95" i="24"/>
  <c r="HI97" i="24"/>
  <c r="HI99" i="24"/>
  <c r="HI101" i="24"/>
  <c r="HI103" i="24"/>
  <c r="HI105" i="24"/>
  <c r="HI107" i="24"/>
  <c r="HI109" i="24"/>
  <c r="HI111" i="24"/>
  <c r="HI113" i="24"/>
  <c r="HI115" i="24"/>
  <c r="HI117" i="24"/>
  <c r="HI119" i="24"/>
  <c r="HI121" i="24"/>
  <c r="HI92" i="24"/>
  <c r="HI94" i="24"/>
  <c r="HI96" i="24"/>
  <c r="HI98" i="24"/>
  <c r="HI100" i="24"/>
  <c r="HI102" i="24"/>
  <c r="HI104" i="24"/>
  <c r="HI106" i="24"/>
  <c r="HI108" i="24"/>
  <c r="HI110" i="24"/>
  <c r="HI112" i="24"/>
  <c r="HI114" i="24"/>
  <c r="HI116" i="24"/>
  <c r="HI118" i="24"/>
  <c r="HI120" i="24"/>
  <c r="HI122" i="24"/>
  <c r="HG93" i="24"/>
  <c r="HG95" i="24"/>
  <c r="HG97" i="24"/>
  <c r="HG99" i="24"/>
  <c r="HG101" i="24"/>
  <c r="HG103" i="24"/>
  <c r="HG105" i="24"/>
  <c r="HG107" i="24"/>
  <c r="HG109" i="24"/>
  <c r="HG111" i="24"/>
  <c r="HG113" i="24"/>
  <c r="HG115" i="24"/>
  <c r="HG117" i="24"/>
  <c r="HG119" i="24"/>
  <c r="HG121" i="24"/>
  <c r="HG92" i="24"/>
  <c r="HG94" i="24"/>
  <c r="HG96" i="24"/>
  <c r="HG98" i="24"/>
  <c r="HG100" i="24"/>
  <c r="HG102" i="24"/>
  <c r="HG104" i="24"/>
  <c r="HG106" i="24"/>
  <c r="HG108" i="24"/>
  <c r="HG110" i="24"/>
  <c r="HG112" i="24"/>
  <c r="HG114" i="24"/>
  <c r="HG116" i="24"/>
  <c r="HG118" i="24"/>
  <c r="HG120" i="24"/>
  <c r="HG122" i="24"/>
  <c r="HZ93" i="24"/>
  <c r="HZ95" i="24"/>
  <c r="HZ97" i="24"/>
  <c r="HZ99" i="24"/>
  <c r="HZ101" i="24"/>
  <c r="HZ103" i="24"/>
  <c r="HZ105" i="24"/>
  <c r="HZ107" i="24"/>
  <c r="HZ109" i="24"/>
  <c r="HZ111" i="24"/>
  <c r="HZ113" i="24"/>
  <c r="HZ115" i="24"/>
  <c r="HZ117" i="24"/>
  <c r="HZ119" i="24"/>
  <c r="HZ121" i="24"/>
  <c r="HZ92" i="24"/>
  <c r="HZ94" i="24"/>
  <c r="HZ96" i="24"/>
  <c r="HZ98" i="24"/>
  <c r="HZ100" i="24"/>
  <c r="HZ102" i="24"/>
  <c r="HZ104" i="24"/>
  <c r="HZ106" i="24"/>
  <c r="HZ108" i="24"/>
  <c r="HZ110" i="24"/>
  <c r="HZ112" i="24"/>
  <c r="HZ114" i="24"/>
  <c r="HZ116" i="24"/>
  <c r="HZ118" i="24"/>
  <c r="HZ120" i="24"/>
  <c r="HZ122" i="24"/>
  <c r="IT93" i="24"/>
  <c r="IT95" i="24"/>
  <c r="IT97" i="24"/>
  <c r="IT99" i="24"/>
  <c r="IT101" i="24"/>
  <c r="IT103" i="24"/>
  <c r="IT105" i="24"/>
  <c r="IT107" i="24"/>
  <c r="IT109" i="24"/>
  <c r="IT111" i="24"/>
  <c r="IT113" i="24"/>
  <c r="IT115" i="24"/>
  <c r="IT117" i="24"/>
  <c r="IT119" i="24"/>
  <c r="IT121" i="24"/>
  <c r="IT92" i="24"/>
  <c r="IT94" i="24"/>
  <c r="IT96" i="24"/>
  <c r="IT98" i="24"/>
  <c r="IT100" i="24"/>
  <c r="IT102" i="24"/>
  <c r="IT104" i="24"/>
  <c r="IT106" i="24"/>
  <c r="IT108" i="24"/>
  <c r="IT110" i="24"/>
  <c r="IT112" i="24"/>
  <c r="IT114" i="24"/>
  <c r="IT116" i="24"/>
  <c r="IT118" i="24"/>
  <c r="IT120" i="24"/>
  <c r="IT122" i="24"/>
  <c r="IR93" i="24"/>
  <c r="IR95" i="24"/>
  <c r="IR97" i="24"/>
  <c r="IR99" i="24"/>
  <c r="IR101" i="24"/>
  <c r="IR103" i="24"/>
  <c r="IR105" i="24"/>
  <c r="IR107" i="24"/>
  <c r="IR109" i="24"/>
  <c r="IR111" i="24"/>
  <c r="IR113" i="24"/>
  <c r="IR115" i="24"/>
  <c r="IR117" i="24"/>
  <c r="IR119" i="24"/>
  <c r="IR121" i="24"/>
  <c r="IR92" i="24"/>
  <c r="IR94" i="24"/>
  <c r="IR96" i="24"/>
  <c r="IR98" i="24"/>
  <c r="IR100" i="24"/>
  <c r="IR102" i="24"/>
  <c r="IR104" i="24"/>
  <c r="IR106" i="24"/>
  <c r="IR108" i="24"/>
  <c r="IR110" i="24"/>
  <c r="IR112" i="24"/>
  <c r="IR114" i="24"/>
  <c r="IR116" i="24"/>
  <c r="IR118" i="24"/>
  <c r="IR120" i="24"/>
  <c r="IR122" i="24"/>
  <c r="IP93" i="24"/>
  <c r="IP95" i="24"/>
  <c r="IP97" i="24"/>
  <c r="IP99" i="24"/>
  <c r="IP101" i="24"/>
  <c r="IP103" i="24"/>
  <c r="IP105" i="24"/>
  <c r="IP107" i="24"/>
  <c r="IP109" i="24"/>
  <c r="IP111" i="24"/>
  <c r="IP113" i="24"/>
  <c r="IP115" i="24"/>
  <c r="IP117" i="24"/>
  <c r="IP119" i="24"/>
  <c r="IP121" i="24"/>
  <c r="IP92" i="24"/>
  <c r="IP94" i="24"/>
  <c r="IP96" i="24"/>
  <c r="IP98" i="24"/>
  <c r="IP100" i="24"/>
  <c r="IP102" i="24"/>
  <c r="IP104" i="24"/>
  <c r="IP106" i="24"/>
  <c r="IP108" i="24"/>
  <c r="IP110" i="24"/>
  <c r="IP112" i="24"/>
  <c r="IP114" i="24"/>
  <c r="IP116" i="24"/>
  <c r="IP118" i="24"/>
  <c r="IP120" i="24"/>
  <c r="IP122" i="24"/>
  <c r="IN93" i="24"/>
  <c r="IN95" i="24"/>
  <c r="IN97" i="24"/>
  <c r="IN99" i="24"/>
  <c r="IN101" i="24"/>
  <c r="IN103" i="24"/>
  <c r="IN105" i="24"/>
  <c r="IN107" i="24"/>
  <c r="IN109" i="24"/>
  <c r="IN111" i="24"/>
  <c r="IN113" i="24"/>
  <c r="IN115" i="24"/>
  <c r="IN117" i="24"/>
  <c r="IN119" i="24"/>
  <c r="IN121" i="24"/>
  <c r="IN92" i="24"/>
  <c r="IN94" i="24"/>
  <c r="IN96" i="24"/>
  <c r="IN98" i="24"/>
  <c r="IN100" i="24"/>
  <c r="IN102" i="24"/>
  <c r="IN104" i="24"/>
  <c r="IN106" i="24"/>
  <c r="IN108" i="24"/>
  <c r="IN110" i="24"/>
  <c r="IN112" i="24"/>
  <c r="IN114" i="24"/>
  <c r="IN116" i="24"/>
  <c r="IN118" i="24"/>
  <c r="IN120" i="24"/>
  <c r="IN122" i="24"/>
  <c r="IL93" i="24"/>
  <c r="IL95" i="24"/>
  <c r="IL97" i="24"/>
  <c r="IL99" i="24"/>
  <c r="IL101" i="24"/>
  <c r="IL103" i="24"/>
  <c r="IL105" i="24"/>
  <c r="IL107" i="24"/>
  <c r="IL109" i="24"/>
  <c r="IL111" i="24"/>
  <c r="IL113" i="24"/>
  <c r="IL115" i="24"/>
  <c r="IL117" i="24"/>
  <c r="IL119" i="24"/>
  <c r="IL121" i="24"/>
  <c r="IL92" i="24"/>
  <c r="IL94" i="24"/>
  <c r="IL96" i="24"/>
  <c r="IL98" i="24"/>
  <c r="IL100" i="24"/>
  <c r="IL102" i="24"/>
  <c r="IL104" i="24"/>
  <c r="IL106" i="24"/>
  <c r="IL108" i="24"/>
  <c r="IL110" i="24"/>
  <c r="IL112" i="24"/>
  <c r="IL114" i="24"/>
  <c r="IL116" i="24"/>
  <c r="IL118" i="24"/>
  <c r="IL120" i="24"/>
  <c r="IL122" i="24"/>
  <c r="IJ93" i="24"/>
  <c r="IJ95" i="24"/>
  <c r="IJ97" i="24"/>
  <c r="IJ99" i="24"/>
  <c r="IJ101" i="24"/>
  <c r="IJ103" i="24"/>
  <c r="IJ105" i="24"/>
  <c r="IJ107" i="24"/>
  <c r="IJ109" i="24"/>
  <c r="IJ111" i="24"/>
  <c r="IJ113" i="24"/>
  <c r="IJ115" i="24"/>
  <c r="IJ117" i="24"/>
  <c r="IJ119" i="24"/>
  <c r="IJ121" i="24"/>
  <c r="IJ92" i="24"/>
  <c r="IJ94" i="24"/>
  <c r="IJ96" i="24"/>
  <c r="IJ98" i="24"/>
  <c r="IJ100" i="24"/>
  <c r="IJ102" i="24"/>
  <c r="IJ104" i="24"/>
  <c r="IJ106" i="24"/>
  <c r="IJ108" i="24"/>
  <c r="IJ110" i="24"/>
  <c r="IJ112" i="24"/>
  <c r="IJ114" i="24"/>
  <c r="IJ116" i="24"/>
  <c r="IJ118" i="24"/>
  <c r="IJ120" i="24"/>
  <c r="IJ122" i="24"/>
  <c r="JC93" i="24"/>
  <c r="JC95" i="24"/>
  <c r="JC97" i="24"/>
  <c r="JC99" i="24"/>
  <c r="JC101" i="24"/>
  <c r="JC103" i="24"/>
  <c r="JC105" i="24"/>
  <c r="JC107" i="24"/>
  <c r="JC109" i="24"/>
  <c r="JC111" i="24"/>
  <c r="JC113" i="24"/>
  <c r="JC115" i="24"/>
  <c r="JC117" i="24"/>
  <c r="JC119" i="24"/>
  <c r="JC121" i="24"/>
  <c r="JC92" i="24"/>
  <c r="JC94" i="24"/>
  <c r="JC96" i="24"/>
  <c r="JC98" i="24"/>
  <c r="JC100" i="24"/>
  <c r="JC102" i="24"/>
  <c r="JC104" i="24"/>
  <c r="JC106" i="24"/>
  <c r="JC108" i="24"/>
  <c r="JC110" i="24"/>
  <c r="JC112" i="24"/>
  <c r="JC114" i="24"/>
  <c r="JC116" i="24"/>
  <c r="JC118" i="24"/>
  <c r="JC120" i="24"/>
  <c r="JC122" i="24"/>
  <c r="JW94" i="24"/>
  <c r="JW96" i="24"/>
  <c r="JW98" i="24"/>
  <c r="JW100" i="24"/>
  <c r="JW102" i="24"/>
  <c r="JW104" i="24"/>
  <c r="JW106" i="24"/>
  <c r="JW108" i="24"/>
  <c r="JW110" i="24"/>
  <c r="JW112" i="24"/>
  <c r="JW114" i="24"/>
  <c r="JW95" i="24"/>
  <c r="JW99" i="24"/>
  <c r="JW103" i="24"/>
  <c r="JW107" i="24"/>
  <c r="JW111" i="24"/>
  <c r="JW115" i="24"/>
  <c r="JW117" i="24"/>
  <c r="JW119" i="24"/>
  <c r="JW121" i="24"/>
  <c r="JW92" i="24"/>
  <c r="JW93" i="24"/>
  <c r="JW97" i="24"/>
  <c r="JW101" i="24"/>
  <c r="JW105" i="24"/>
  <c r="JW109" i="24"/>
  <c r="JW113" i="24"/>
  <c r="JW116" i="24"/>
  <c r="JW118" i="24"/>
  <c r="JW120" i="24"/>
  <c r="JW122" i="24"/>
  <c r="JU94" i="24"/>
  <c r="JU96" i="24"/>
  <c r="JU98" i="24"/>
  <c r="JU100" i="24"/>
  <c r="JU102" i="24"/>
  <c r="JU104" i="24"/>
  <c r="JU106" i="24"/>
  <c r="JU108" i="24"/>
  <c r="JU110" i="24"/>
  <c r="JU112" i="24"/>
  <c r="JU114" i="24"/>
  <c r="JU93" i="24"/>
  <c r="JU97" i="24"/>
  <c r="JU101" i="24"/>
  <c r="JU105" i="24"/>
  <c r="JU109" i="24"/>
  <c r="JU113" i="24"/>
  <c r="JU117" i="24"/>
  <c r="JU119" i="24"/>
  <c r="JU121" i="24"/>
  <c r="JU92" i="24"/>
  <c r="JU95" i="24"/>
  <c r="JU99" i="24"/>
  <c r="JU103" i="24"/>
  <c r="JU107" i="24"/>
  <c r="JU111" i="24"/>
  <c r="JU115" i="24"/>
  <c r="JU116" i="24"/>
  <c r="JU118" i="24"/>
  <c r="JU120" i="24"/>
  <c r="JU122" i="24"/>
  <c r="JS94" i="24"/>
  <c r="JS96" i="24"/>
  <c r="JS98" i="24"/>
  <c r="JS100" i="24"/>
  <c r="JS102" i="24"/>
  <c r="JS104" i="24"/>
  <c r="JS106" i="24"/>
  <c r="JS108" i="24"/>
  <c r="JS110" i="24"/>
  <c r="JS112" i="24"/>
  <c r="JS114" i="24"/>
  <c r="JS95" i="24"/>
  <c r="JS99" i="24"/>
  <c r="JS103" i="24"/>
  <c r="JS107" i="24"/>
  <c r="JS111" i="24"/>
  <c r="JS115" i="24"/>
  <c r="JS117" i="24"/>
  <c r="JS119" i="24"/>
  <c r="JS121" i="24"/>
  <c r="JS92" i="24"/>
  <c r="JS93" i="24"/>
  <c r="JS97" i="24"/>
  <c r="JS101" i="24"/>
  <c r="JS105" i="24"/>
  <c r="JS109" i="24"/>
  <c r="JS113" i="24"/>
  <c r="JS116" i="24"/>
  <c r="JS118" i="24"/>
  <c r="JS120" i="24"/>
  <c r="JS122" i="24"/>
  <c r="JQ94" i="24"/>
  <c r="JQ96" i="24"/>
  <c r="JQ98" i="24"/>
  <c r="JQ100" i="24"/>
  <c r="JQ102" i="24"/>
  <c r="JQ104" i="24"/>
  <c r="JQ106" i="24"/>
  <c r="JQ108" i="24"/>
  <c r="JQ110" i="24"/>
  <c r="JQ112" i="24"/>
  <c r="JQ114" i="24"/>
  <c r="JQ93" i="24"/>
  <c r="JQ97" i="24"/>
  <c r="JQ101" i="24"/>
  <c r="JQ105" i="24"/>
  <c r="JQ109" i="24"/>
  <c r="JQ113" i="24"/>
  <c r="JQ117" i="24"/>
  <c r="JQ119" i="24"/>
  <c r="JQ121" i="24"/>
  <c r="JQ92" i="24"/>
  <c r="JQ95" i="24"/>
  <c r="JQ99" i="24"/>
  <c r="JQ103" i="24"/>
  <c r="JQ107" i="24"/>
  <c r="JQ111" i="24"/>
  <c r="JQ115" i="24"/>
  <c r="JQ116" i="24"/>
  <c r="JQ118" i="24"/>
  <c r="JQ120" i="24"/>
  <c r="JQ122" i="24"/>
  <c r="JO94" i="24"/>
  <c r="JO96" i="24"/>
  <c r="JO98" i="24"/>
  <c r="JO100" i="24"/>
  <c r="JO102" i="24"/>
  <c r="JO104" i="24"/>
  <c r="JO106" i="24"/>
  <c r="JO108" i="24"/>
  <c r="JO110" i="24"/>
  <c r="JO112" i="24"/>
  <c r="JO114" i="24"/>
  <c r="JO95" i="24"/>
  <c r="JO99" i="24"/>
  <c r="JO103" i="24"/>
  <c r="JO107" i="24"/>
  <c r="JO111" i="24"/>
  <c r="JO115" i="24"/>
  <c r="JO117" i="24"/>
  <c r="JO119" i="24"/>
  <c r="JO121" i="24"/>
  <c r="JO92" i="24"/>
  <c r="JO93" i="24"/>
  <c r="JO97" i="24"/>
  <c r="JO101" i="24"/>
  <c r="JO105" i="24"/>
  <c r="JO109" i="24"/>
  <c r="JO113" i="24"/>
  <c r="JO116" i="24"/>
  <c r="JO118" i="24"/>
  <c r="JO120" i="24"/>
  <c r="JO122" i="24"/>
  <c r="JM94" i="24"/>
  <c r="JM96" i="24"/>
  <c r="JM98" i="24"/>
  <c r="JM100" i="24"/>
  <c r="JM102" i="24"/>
  <c r="JM104" i="24"/>
  <c r="JM106" i="24"/>
  <c r="JM108" i="24"/>
  <c r="JM110" i="24"/>
  <c r="JM112" i="24"/>
  <c r="JM114" i="24"/>
  <c r="JM93" i="24"/>
  <c r="JM97" i="24"/>
  <c r="JM101" i="24"/>
  <c r="JM105" i="24"/>
  <c r="JM109" i="24"/>
  <c r="JM113" i="24"/>
  <c r="JM117" i="24"/>
  <c r="JM119" i="24"/>
  <c r="JM121" i="24"/>
  <c r="JM92" i="24"/>
  <c r="JM95" i="24"/>
  <c r="JM99" i="24"/>
  <c r="JM103" i="24"/>
  <c r="JM107" i="24"/>
  <c r="JM111" i="24"/>
  <c r="JM115" i="24"/>
  <c r="JM116" i="24"/>
  <c r="JM118" i="24"/>
  <c r="JM120" i="24"/>
  <c r="JM122" i="24"/>
  <c r="KF93" i="24"/>
  <c r="KF95" i="24"/>
  <c r="KF97" i="24"/>
  <c r="KF99" i="24"/>
  <c r="KF101" i="24"/>
  <c r="KF103" i="24"/>
  <c r="KF105" i="24"/>
  <c r="KF107" i="24"/>
  <c r="KF109" i="24"/>
  <c r="KF111" i="24"/>
  <c r="KF113" i="24"/>
  <c r="KF115" i="24"/>
  <c r="KF117" i="24"/>
  <c r="KF119" i="24"/>
  <c r="KF121" i="24"/>
  <c r="KF92" i="24"/>
  <c r="KF94" i="24"/>
  <c r="KF96" i="24"/>
  <c r="KF98" i="24"/>
  <c r="KF100" i="24"/>
  <c r="KF102" i="24"/>
  <c r="KF104" i="24"/>
  <c r="KF106" i="24"/>
  <c r="KF108" i="24"/>
  <c r="KF110" i="24"/>
  <c r="KF112" i="24"/>
  <c r="KF114" i="24"/>
  <c r="KF116" i="24"/>
  <c r="KF118" i="24"/>
  <c r="KF120" i="24"/>
  <c r="KF122" i="24"/>
  <c r="KZ94" i="24"/>
  <c r="KZ96" i="24"/>
  <c r="KZ98" i="24"/>
  <c r="KZ100" i="24"/>
  <c r="KZ102" i="24"/>
  <c r="KZ104" i="24"/>
  <c r="KZ106" i="24"/>
  <c r="KZ108" i="24"/>
  <c r="KZ110" i="24"/>
  <c r="KZ112" i="24"/>
  <c r="KZ114" i="24"/>
  <c r="KZ93" i="24"/>
  <c r="KZ97" i="24"/>
  <c r="KZ101" i="24"/>
  <c r="KZ105" i="24"/>
  <c r="KZ109" i="24"/>
  <c r="KZ113" i="24"/>
  <c r="KZ117" i="24"/>
  <c r="KZ119" i="24"/>
  <c r="KZ121" i="24"/>
  <c r="KZ92" i="24"/>
  <c r="KZ95" i="24"/>
  <c r="KZ99" i="24"/>
  <c r="KZ103" i="24"/>
  <c r="KZ107" i="24"/>
  <c r="KZ111" i="24"/>
  <c r="KZ115" i="24"/>
  <c r="KZ116" i="24"/>
  <c r="KZ118" i="24"/>
  <c r="KZ120" i="24"/>
  <c r="KZ122" i="24"/>
  <c r="KX94" i="24"/>
  <c r="KX96" i="24"/>
  <c r="KX98" i="24"/>
  <c r="KX100" i="24"/>
  <c r="KX102" i="24"/>
  <c r="KX104" i="24"/>
  <c r="KX106" i="24"/>
  <c r="KX108" i="24"/>
  <c r="KX110" i="24"/>
  <c r="KX112" i="24"/>
  <c r="KX114" i="24"/>
  <c r="KX95" i="24"/>
  <c r="KX99" i="24"/>
  <c r="KX103" i="24"/>
  <c r="KX107" i="24"/>
  <c r="KX111" i="24"/>
  <c r="KX115" i="24"/>
  <c r="KX117" i="24"/>
  <c r="KX119" i="24"/>
  <c r="KX121" i="24"/>
  <c r="KX92" i="24"/>
  <c r="KX93" i="24"/>
  <c r="KX97" i="24"/>
  <c r="KX101" i="24"/>
  <c r="KX105" i="24"/>
  <c r="KX109" i="24"/>
  <c r="KX113" i="24"/>
  <c r="KX116" i="24"/>
  <c r="KX118" i="24"/>
  <c r="KX120" i="24"/>
  <c r="KX122" i="24"/>
  <c r="KV94" i="24"/>
  <c r="KV96" i="24"/>
  <c r="KV98" i="24"/>
  <c r="KV100" i="24"/>
  <c r="KV102" i="24"/>
  <c r="KV104" i="24"/>
  <c r="KV106" i="24"/>
  <c r="KV108" i="24"/>
  <c r="KV110" i="24"/>
  <c r="KV112" i="24"/>
  <c r="KV114" i="24"/>
  <c r="KV93" i="24"/>
  <c r="KV97" i="24"/>
  <c r="KV101" i="24"/>
  <c r="KV105" i="24"/>
  <c r="KV109" i="24"/>
  <c r="KV113" i="24"/>
  <c r="KV117" i="24"/>
  <c r="KV119" i="24"/>
  <c r="KV121" i="24"/>
  <c r="KV92" i="24"/>
  <c r="KV95" i="24"/>
  <c r="KV99" i="24"/>
  <c r="KV103" i="24"/>
  <c r="KV107" i="24"/>
  <c r="KV111" i="24"/>
  <c r="KV115" i="24"/>
  <c r="KV116" i="24"/>
  <c r="KV118" i="24"/>
  <c r="KV120" i="24"/>
  <c r="KV122" i="24"/>
  <c r="KT94" i="24"/>
  <c r="KT96" i="24"/>
  <c r="KT98" i="24"/>
  <c r="KT100" i="24"/>
  <c r="KT102" i="24"/>
  <c r="KT104" i="24"/>
  <c r="KT106" i="24"/>
  <c r="KT108" i="24"/>
  <c r="KT110" i="24"/>
  <c r="KT112" i="24"/>
  <c r="KT114" i="24"/>
  <c r="KT95" i="24"/>
  <c r="KT99" i="24"/>
  <c r="KT103" i="24"/>
  <c r="KT107" i="24"/>
  <c r="KT111" i="24"/>
  <c r="KT115" i="24"/>
  <c r="KT117" i="24"/>
  <c r="KT119" i="24"/>
  <c r="KT121" i="24"/>
  <c r="KT92" i="24"/>
  <c r="KT93" i="24"/>
  <c r="KT97" i="24"/>
  <c r="KT101" i="24"/>
  <c r="KT105" i="24"/>
  <c r="KT109" i="24"/>
  <c r="KT113" i="24"/>
  <c r="KT116" i="24"/>
  <c r="KT118" i="24"/>
  <c r="KT120" i="24"/>
  <c r="KT122" i="24"/>
  <c r="KR94" i="24"/>
  <c r="KR96" i="24"/>
  <c r="KR98" i="24"/>
  <c r="KR100" i="24"/>
  <c r="KR102" i="24"/>
  <c r="KR104" i="24"/>
  <c r="KR106" i="24"/>
  <c r="KR108" i="24"/>
  <c r="KR110" i="24"/>
  <c r="KR112" i="24"/>
  <c r="KR114" i="24"/>
  <c r="KR93" i="24"/>
  <c r="KR97" i="24"/>
  <c r="KR101" i="24"/>
  <c r="KR105" i="24"/>
  <c r="KR109" i="24"/>
  <c r="KR113" i="24"/>
  <c r="KR117" i="24"/>
  <c r="KR119" i="24"/>
  <c r="KR121" i="24"/>
  <c r="KR92" i="24"/>
  <c r="KR95" i="24"/>
  <c r="KR99" i="24"/>
  <c r="KR103" i="24"/>
  <c r="KR107" i="24"/>
  <c r="KR111" i="24"/>
  <c r="KR115" i="24"/>
  <c r="KR116" i="24"/>
  <c r="KR118" i="24"/>
  <c r="KR120" i="24"/>
  <c r="KR122" i="24"/>
  <c r="KP94" i="24"/>
  <c r="KP96" i="24"/>
  <c r="KP98" i="24"/>
  <c r="KP100" i="24"/>
  <c r="KP102" i="24"/>
  <c r="KP104" i="24"/>
  <c r="KP106" i="24"/>
  <c r="KP108" i="24"/>
  <c r="KP110" i="24"/>
  <c r="KP112" i="24"/>
  <c r="KP114" i="24"/>
  <c r="KP95" i="24"/>
  <c r="KP99" i="24"/>
  <c r="KP103" i="24"/>
  <c r="KP107" i="24"/>
  <c r="KP111" i="24"/>
  <c r="KP115" i="24"/>
  <c r="KP117" i="24"/>
  <c r="KP119" i="24"/>
  <c r="KP121" i="24"/>
  <c r="KP92" i="24"/>
  <c r="KP93" i="24"/>
  <c r="KP97" i="24"/>
  <c r="KP101" i="24"/>
  <c r="KP105" i="24"/>
  <c r="KP109" i="24"/>
  <c r="KP113" i="24"/>
  <c r="KP116" i="24"/>
  <c r="KP118" i="24"/>
  <c r="KP120" i="24"/>
  <c r="KP122" i="24"/>
  <c r="LI94" i="24"/>
  <c r="LI96" i="24"/>
  <c r="LI98" i="24"/>
  <c r="LI100" i="24"/>
  <c r="LI102" i="24"/>
  <c r="LI104" i="24"/>
  <c r="LI106" i="24"/>
  <c r="LI108" i="24"/>
  <c r="LI110" i="24"/>
  <c r="LI112" i="24"/>
  <c r="LI114" i="24"/>
  <c r="LI116" i="24"/>
  <c r="LI118" i="24"/>
  <c r="LI120" i="24"/>
  <c r="LI122" i="24"/>
  <c r="LI95" i="24"/>
  <c r="LI99" i="24"/>
  <c r="LI103" i="24"/>
  <c r="LI107" i="24"/>
  <c r="LI111" i="24"/>
  <c r="LI115" i="24"/>
  <c r="LI119" i="24"/>
  <c r="LI92" i="24"/>
  <c r="LI93" i="24"/>
  <c r="LI97" i="24"/>
  <c r="LI101" i="24"/>
  <c r="LI105" i="24"/>
  <c r="LI109" i="24"/>
  <c r="LI113" i="24"/>
  <c r="LI117" i="24"/>
  <c r="LI121" i="24"/>
  <c r="MC94" i="24"/>
  <c r="MC96" i="24"/>
  <c r="MC98" i="24"/>
  <c r="MC100" i="24"/>
  <c r="MC102" i="24"/>
  <c r="MC104" i="24"/>
  <c r="MC106" i="24"/>
  <c r="MC108" i="24"/>
  <c r="MC110" i="24"/>
  <c r="MC112" i="24"/>
  <c r="MC114" i="24"/>
  <c r="MC116" i="24"/>
  <c r="MC118" i="24"/>
  <c r="MC120" i="24"/>
  <c r="MC122" i="24"/>
  <c r="MC95" i="24"/>
  <c r="MC99" i="24"/>
  <c r="MC103" i="24"/>
  <c r="MC107" i="24"/>
  <c r="MC111" i="24"/>
  <c r="MC115" i="24"/>
  <c r="MC119" i="24"/>
  <c r="MC93" i="24"/>
  <c r="MC97" i="24"/>
  <c r="MC101" i="24"/>
  <c r="MC105" i="24"/>
  <c r="MC109" i="24"/>
  <c r="MC113" i="24"/>
  <c r="MC117" i="24"/>
  <c r="MC121" i="24"/>
  <c r="MC92" i="24"/>
  <c r="MA94" i="24"/>
  <c r="MA96" i="24"/>
  <c r="MA98" i="24"/>
  <c r="MA100" i="24"/>
  <c r="MA102" i="24"/>
  <c r="MA104" i="24"/>
  <c r="MA106" i="24"/>
  <c r="MA108" i="24"/>
  <c r="MA110" i="24"/>
  <c r="MA112" i="24"/>
  <c r="MA114" i="24"/>
  <c r="MA116" i="24"/>
  <c r="MA118" i="24"/>
  <c r="MA120" i="24"/>
  <c r="MA122" i="24"/>
  <c r="MA93" i="24"/>
  <c r="MA97" i="24"/>
  <c r="MA101" i="24"/>
  <c r="MA105" i="24"/>
  <c r="MA109" i="24"/>
  <c r="MA113" i="24"/>
  <c r="MA117" i="24"/>
  <c r="MA121" i="24"/>
  <c r="MA92" i="24"/>
  <c r="MA95" i="24"/>
  <c r="MA99" i="24"/>
  <c r="MA103" i="24"/>
  <c r="MA107" i="24"/>
  <c r="MA111" i="24"/>
  <c r="MA115" i="24"/>
  <c r="MA119" i="24"/>
  <c r="LY94" i="24"/>
  <c r="LY96" i="24"/>
  <c r="LY98" i="24"/>
  <c r="LY100" i="24"/>
  <c r="LY102" i="24"/>
  <c r="LY104" i="24"/>
  <c r="LY106" i="24"/>
  <c r="LY108" i="24"/>
  <c r="LY110" i="24"/>
  <c r="LY112" i="24"/>
  <c r="LY114" i="24"/>
  <c r="LY116" i="24"/>
  <c r="LY118" i="24"/>
  <c r="LY120" i="24"/>
  <c r="LY122" i="24"/>
  <c r="LY95" i="24"/>
  <c r="LY99" i="24"/>
  <c r="LY103" i="24"/>
  <c r="LY107" i="24"/>
  <c r="LY111" i="24"/>
  <c r="LY115" i="24"/>
  <c r="LY119" i="24"/>
  <c r="LY93" i="24"/>
  <c r="LY97" i="24"/>
  <c r="LY101" i="24"/>
  <c r="LY105" i="24"/>
  <c r="LY109" i="24"/>
  <c r="LY113" i="24"/>
  <c r="LY117" i="24"/>
  <c r="LY121" i="24"/>
  <c r="LY92" i="24"/>
  <c r="LW94" i="24"/>
  <c r="LW96" i="24"/>
  <c r="LW98" i="24"/>
  <c r="LW100" i="24"/>
  <c r="LW102" i="24"/>
  <c r="LW104" i="24"/>
  <c r="LW106" i="24"/>
  <c r="LW108" i="24"/>
  <c r="LW110" i="24"/>
  <c r="LW112" i="24"/>
  <c r="LW114" i="24"/>
  <c r="LW116" i="24"/>
  <c r="LW118" i="24"/>
  <c r="LW120" i="24"/>
  <c r="LW122" i="24"/>
  <c r="LW93" i="24"/>
  <c r="LW97" i="24"/>
  <c r="LW101" i="24"/>
  <c r="LW105" i="24"/>
  <c r="LW109" i="24"/>
  <c r="LW113" i="24"/>
  <c r="LW117" i="24"/>
  <c r="LW121" i="24"/>
  <c r="LW92" i="24"/>
  <c r="LW95" i="24"/>
  <c r="LW99" i="24"/>
  <c r="LW103" i="24"/>
  <c r="LW107" i="24"/>
  <c r="LW111" i="24"/>
  <c r="LW115" i="24"/>
  <c r="LW119" i="24"/>
  <c r="LU94" i="24"/>
  <c r="LU96" i="24"/>
  <c r="LU98" i="24"/>
  <c r="LU100" i="24"/>
  <c r="LU102" i="24"/>
  <c r="LU104" i="24"/>
  <c r="LU106" i="24"/>
  <c r="LU108" i="24"/>
  <c r="LU110" i="24"/>
  <c r="LU112" i="24"/>
  <c r="LU114" i="24"/>
  <c r="LU116" i="24"/>
  <c r="LU118" i="24"/>
  <c r="LU120" i="24"/>
  <c r="LU122" i="24"/>
  <c r="LU95" i="24"/>
  <c r="LU99" i="24"/>
  <c r="LU103" i="24"/>
  <c r="LU107" i="24"/>
  <c r="LU111" i="24"/>
  <c r="LU115" i="24"/>
  <c r="LU119" i="24"/>
  <c r="LU93" i="24"/>
  <c r="LU97" i="24"/>
  <c r="LU101" i="24"/>
  <c r="LU105" i="24"/>
  <c r="LU109" i="24"/>
  <c r="LU113" i="24"/>
  <c r="LU117" i="24"/>
  <c r="LU121" i="24"/>
  <c r="LU92" i="24"/>
  <c r="LS94" i="24"/>
  <c r="LS96" i="24"/>
  <c r="LS98" i="24"/>
  <c r="LS100" i="24"/>
  <c r="LS102" i="24"/>
  <c r="LS104" i="24"/>
  <c r="LS106" i="24"/>
  <c r="LS108" i="24"/>
  <c r="LS110" i="24"/>
  <c r="LS112" i="24"/>
  <c r="LS114" i="24"/>
  <c r="LS116" i="24"/>
  <c r="LS118" i="24"/>
  <c r="LS120" i="24"/>
  <c r="LS122" i="24"/>
  <c r="LS93" i="24"/>
  <c r="LS97" i="24"/>
  <c r="LS101" i="24"/>
  <c r="LS105" i="24"/>
  <c r="LS109" i="24"/>
  <c r="LS113" i="24"/>
  <c r="LS117" i="24"/>
  <c r="LS121" i="24"/>
  <c r="LS92" i="24"/>
  <c r="LS95" i="24"/>
  <c r="LS99" i="24"/>
  <c r="LS103" i="24"/>
  <c r="LS107" i="24"/>
  <c r="LS111" i="24"/>
  <c r="LS115" i="24"/>
  <c r="LS119" i="24"/>
  <c r="ML94" i="24"/>
  <c r="ML96" i="24"/>
  <c r="ML98" i="24"/>
  <c r="ML100" i="24"/>
  <c r="ML102" i="24"/>
  <c r="ML104" i="24"/>
  <c r="ML106" i="24"/>
  <c r="ML108" i="24"/>
  <c r="ML110" i="24"/>
  <c r="ML112" i="24"/>
  <c r="ML114" i="24"/>
  <c r="ML116" i="24"/>
  <c r="ML118" i="24"/>
  <c r="ML93" i="24"/>
  <c r="ML97" i="24"/>
  <c r="ML101" i="24"/>
  <c r="ML105" i="24"/>
  <c r="ML109" i="24"/>
  <c r="ML113" i="24"/>
  <c r="ML117" i="24"/>
  <c r="ML120" i="24"/>
  <c r="ML122" i="24"/>
  <c r="ML95" i="24"/>
  <c r="ML103" i="24"/>
  <c r="ML111" i="24"/>
  <c r="ML119" i="24"/>
  <c r="ML121" i="24"/>
  <c r="ML99" i="24"/>
  <c r="ML107" i="24"/>
  <c r="ML115" i="24"/>
  <c r="ML92" i="24"/>
  <c r="NF94" i="24"/>
  <c r="NF96" i="24"/>
  <c r="NF98" i="24"/>
  <c r="NF100" i="24"/>
  <c r="NF102" i="24"/>
  <c r="NF104" i="24"/>
  <c r="NF106" i="24"/>
  <c r="NF108" i="24"/>
  <c r="NF110" i="24"/>
  <c r="NF112" i="24"/>
  <c r="NF114" i="24"/>
  <c r="NF116" i="24"/>
  <c r="NF95" i="24"/>
  <c r="NF99" i="24"/>
  <c r="NF103" i="24"/>
  <c r="NF107" i="24"/>
  <c r="NF111" i="24"/>
  <c r="NF115" i="24"/>
  <c r="NF118" i="24"/>
  <c r="NF120" i="24"/>
  <c r="NF122" i="24"/>
  <c r="NF93" i="24"/>
  <c r="NF101" i="24"/>
  <c r="NF109" i="24"/>
  <c r="NF117" i="24"/>
  <c r="NF121" i="24"/>
  <c r="NF92" i="24"/>
  <c r="NF97" i="24"/>
  <c r="NF113" i="24"/>
  <c r="NF119" i="24"/>
  <c r="NF105" i="24"/>
  <c r="ND94" i="24"/>
  <c r="ND96" i="24"/>
  <c r="ND98" i="24"/>
  <c r="ND100" i="24"/>
  <c r="ND102" i="24"/>
  <c r="ND104" i="24"/>
  <c r="ND106" i="24"/>
  <c r="ND108" i="24"/>
  <c r="ND110" i="24"/>
  <c r="ND112" i="24"/>
  <c r="ND114" i="24"/>
  <c r="ND116" i="24"/>
  <c r="ND93" i="24"/>
  <c r="ND97" i="24"/>
  <c r="ND101" i="24"/>
  <c r="ND105" i="24"/>
  <c r="ND109" i="24"/>
  <c r="ND113" i="24"/>
  <c r="ND117" i="24"/>
  <c r="ND118" i="24"/>
  <c r="ND120" i="24"/>
  <c r="ND122" i="24"/>
  <c r="ND95" i="24"/>
  <c r="ND103" i="24"/>
  <c r="ND111" i="24"/>
  <c r="ND119" i="24"/>
  <c r="ND107" i="24"/>
  <c r="ND121" i="24"/>
  <c r="ND99" i="24"/>
  <c r="ND115" i="24"/>
  <c r="ND92" i="24"/>
  <c r="NB94" i="24"/>
  <c r="NB96" i="24"/>
  <c r="NB98" i="24"/>
  <c r="NB100" i="24"/>
  <c r="NB102" i="24"/>
  <c r="NB104" i="24"/>
  <c r="NB106" i="24"/>
  <c r="NB108" i="24"/>
  <c r="NB110" i="24"/>
  <c r="NB112" i="24"/>
  <c r="NB114" i="24"/>
  <c r="NB116" i="24"/>
  <c r="NB95" i="24"/>
  <c r="NB99" i="24"/>
  <c r="NB103" i="24"/>
  <c r="NB107" i="24"/>
  <c r="NB111" i="24"/>
  <c r="NB115" i="24"/>
  <c r="NB118" i="24"/>
  <c r="NB120" i="24"/>
  <c r="NB122" i="24"/>
  <c r="NB97" i="24"/>
  <c r="NB105" i="24"/>
  <c r="NB113" i="24"/>
  <c r="NB121" i="24"/>
  <c r="NB92" i="24"/>
  <c r="NB101" i="24"/>
  <c r="NB117" i="24"/>
  <c r="NB93" i="24"/>
  <c r="NB109" i="24"/>
  <c r="NB119" i="24"/>
  <c r="MZ94" i="24"/>
  <c r="MZ96" i="24"/>
  <c r="MZ98" i="24"/>
  <c r="MZ100" i="24"/>
  <c r="MZ102" i="24"/>
  <c r="MZ104" i="24"/>
  <c r="MZ106" i="24"/>
  <c r="MZ108" i="24"/>
  <c r="MZ110" i="24"/>
  <c r="MZ112" i="24"/>
  <c r="MZ114" i="24"/>
  <c r="MZ116" i="24"/>
  <c r="MZ118" i="24"/>
  <c r="MZ93" i="24"/>
  <c r="MZ97" i="24"/>
  <c r="MZ101" i="24"/>
  <c r="MZ105" i="24"/>
  <c r="MZ109" i="24"/>
  <c r="MZ113" i="24"/>
  <c r="MZ117" i="24"/>
  <c r="MZ120" i="24"/>
  <c r="MZ122" i="24"/>
  <c r="MZ99" i="24"/>
  <c r="MZ107" i="24"/>
  <c r="MZ115" i="24"/>
  <c r="MZ119" i="24"/>
  <c r="MZ95" i="24"/>
  <c r="MZ111" i="24"/>
  <c r="MZ92" i="24"/>
  <c r="MZ103" i="24"/>
  <c r="MZ121" i="24"/>
  <c r="MX94" i="24"/>
  <c r="MX96" i="24"/>
  <c r="MX98" i="24"/>
  <c r="MX100" i="24"/>
  <c r="MX102" i="24"/>
  <c r="MX104" i="24"/>
  <c r="MX106" i="24"/>
  <c r="MX108" i="24"/>
  <c r="MX110" i="24"/>
  <c r="MX112" i="24"/>
  <c r="MX114" i="24"/>
  <c r="MX116" i="24"/>
  <c r="MX118" i="24"/>
  <c r="MX95" i="24"/>
  <c r="MX99" i="24"/>
  <c r="MX103" i="24"/>
  <c r="MX107" i="24"/>
  <c r="MX111" i="24"/>
  <c r="MX115" i="24"/>
  <c r="MX120" i="24"/>
  <c r="MX122" i="24"/>
  <c r="MX93" i="24"/>
  <c r="MX101" i="24"/>
  <c r="MX109" i="24"/>
  <c r="MX117" i="24"/>
  <c r="MX121" i="24"/>
  <c r="MX92" i="24"/>
  <c r="MX105" i="24"/>
  <c r="MX119" i="24"/>
  <c r="MX97" i="24"/>
  <c r="MX113" i="24"/>
  <c r="MV94" i="24"/>
  <c r="MV96" i="24"/>
  <c r="MV98" i="24"/>
  <c r="MV100" i="24"/>
  <c r="MV102" i="24"/>
  <c r="MV104" i="24"/>
  <c r="MV106" i="24"/>
  <c r="MV108" i="24"/>
  <c r="MV110" i="24"/>
  <c r="MV112" i="24"/>
  <c r="MV114" i="24"/>
  <c r="MV116" i="24"/>
  <c r="MV118" i="24"/>
  <c r="MV93" i="24"/>
  <c r="MV97" i="24"/>
  <c r="MV101" i="24"/>
  <c r="MV105" i="24"/>
  <c r="MV109" i="24"/>
  <c r="MV113" i="24"/>
  <c r="MV117" i="24"/>
  <c r="MV120" i="24"/>
  <c r="MV122" i="24"/>
  <c r="MV95" i="24"/>
  <c r="MV103" i="24"/>
  <c r="MV111" i="24"/>
  <c r="MV119" i="24"/>
  <c r="MV99" i="24"/>
  <c r="MV115" i="24"/>
  <c r="MV121" i="24"/>
  <c r="MV107" i="24"/>
  <c r="MV92" i="24"/>
  <c r="NO93" i="24"/>
  <c r="NO95" i="24"/>
  <c r="NO97" i="24"/>
  <c r="NO99" i="24"/>
  <c r="NO101" i="24"/>
  <c r="NO103" i="24"/>
  <c r="NO96" i="24"/>
  <c r="NO100" i="24"/>
  <c r="NO104" i="24"/>
  <c r="NO106" i="24"/>
  <c r="NO108" i="24"/>
  <c r="NO110" i="24"/>
  <c r="NO112" i="24"/>
  <c r="NO114" i="24"/>
  <c r="NO116" i="24"/>
  <c r="NO118" i="24"/>
  <c r="NO120" i="24"/>
  <c r="NO122" i="24"/>
  <c r="NO98" i="24"/>
  <c r="NO105" i="24"/>
  <c r="NO109" i="24"/>
  <c r="NO113" i="24"/>
  <c r="NO117" i="24"/>
  <c r="NO121" i="24"/>
  <c r="NO94" i="24"/>
  <c r="NO111" i="24"/>
  <c r="NO119" i="24"/>
  <c r="NO115" i="24"/>
  <c r="NO92" i="24"/>
  <c r="NO102" i="24"/>
  <c r="NO107" i="24"/>
  <c r="OI94" i="24"/>
  <c r="OI96" i="24"/>
  <c r="OI98" i="24"/>
  <c r="OI100" i="24"/>
  <c r="OI102" i="24"/>
  <c r="OI104" i="24"/>
  <c r="OI106" i="24"/>
  <c r="OI108" i="24"/>
  <c r="OI110" i="24"/>
  <c r="OI112" i="24"/>
  <c r="OI114" i="24"/>
  <c r="OI116" i="24"/>
  <c r="OI118" i="24"/>
  <c r="OI93" i="24"/>
  <c r="OI97" i="24"/>
  <c r="OI101" i="24"/>
  <c r="OI105" i="24"/>
  <c r="OI109" i="24"/>
  <c r="OI113" i="24"/>
  <c r="OI117" i="24"/>
  <c r="OI119" i="24"/>
  <c r="OI121" i="24"/>
  <c r="OI92" i="24"/>
  <c r="OI99" i="24"/>
  <c r="OI107" i="24"/>
  <c r="OI115" i="24"/>
  <c r="OI120" i="24"/>
  <c r="OI103" i="24"/>
  <c r="OI95" i="24"/>
  <c r="OI111" i="24"/>
  <c r="OI122" i="24"/>
  <c r="OG94" i="24"/>
  <c r="OG96" i="24"/>
  <c r="OG98" i="24"/>
  <c r="OG100" i="24"/>
  <c r="OG102" i="24"/>
  <c r="OG104" i="24"/>
  <c r="OG106" i="24"/>
  <c r="OG108" i="24"/>
  <c r="OG110" i="24"/>
  <c r="OG112" i="24"/>
  <c r="OG114" i="24"/>
  <c r="OG116" i="24"/>
  <c r="OG118" i="24"/>
  <c r="OG95" i="24"/>
  <c r="OG99" i="24"/>
  <c r="OG103" i="24"/>
  <c r="OG107" i="24"/>
  <c r="OG111" i="24"/>
  <c r="OG115" i="24"/>
  <c r="OG119" i="24"/>
  <c r="OG121" i="24"/>
  <c r="OG92" i="24"/>
  <c r="OG93" i="24"/>
  <c r="OG101" i="24"/>
  <c r="OG109" i="24"/>
  <c r="OG117" i="24"/>
  <c r="OG122" i="24"/>
  <c r="OG97" i="24"/>
  <c r="OG113" i="24"/>
  <c r="OG120" i="24"/>
  <c r="OG105" i="24"/>
  <c r="OE94" i="24"/>
  <c r="OE96" i="24"/>
  <c r="OE98" i="24"/>
  <c r="OE100" i="24"/>
  <c r="OE102" i="24"/>
  <c r="OE104" i="24"/>
  <c r="OE106" i="24"/>
  <c r="OE108" i="24"/>
  <c r="OE110" i="24"/>
  <c r="OE112" i="24"/>
  <c r="OE114" i="24"/>
  <c r="OE116" i="24"/>
  <c r="OE118" i="24"/>
  <c r="OE93" i="24"/>
  <c r="OE97" i="24"/>
  <c r="OE101" i="24"/>
  <c r="OE105" i="24"/>
  <c r="OE109" i="24"/>
  <c r="OE113" i="24"/>
  <c r="OE117" i="24"/>
  <c r="OE119" i="24"/>
  <c r="OE121" i="24"/>
  <c r="OE92" i="24"/>
  <c r="OE95" i="24"/>
  <c r="OE103" i="24"/>
  <c r="OE111" i="24"/>
  <c r="OE120" i="24"/>
  <c r="OE107" i="24"/>
  <c r="OE122" i="24"/>
  <c r="OE115" i="24"/>
  <c r="OE99" i="24"/>
  <c r="OC94" i="24"/>
  <c r="OC96" i="24"/>
  <c r="OC98" i="24"/>
  <c r="OC100" i="24"/>
  <c r="OC102" i="24"/>
  <c r="OC104" i="24"/>
  <c r="OC106" i="24"/>
  <c r="OC108" i="24"/>
  <c r="OC110" i="24"/>
  <c r="OC112" i="24"/>
  <c r="OC114" i="24"/>
  <c r="OC116" i="24"/>
  <c r="OC118" i="24"/>
  <c r="OC95" i="24"/>
  <c r="OC99" i="24"/>
  <c r="OC103" i="24"/>
  <c r="OC107" i="24"/>
  <c r="OC111" i="24"/>
  <c r="OC115" i="24"/>
  <c r="OC119" i="24"/>
  <c r="OC121" i="24"/>
  <c r="OC92" i="24"/>
  <c r="OC97" i="24"/>
  <c r="OC105" i="24"/>
  <c r="OC113" i="24"/>
  <c r="OC122" i="24"/>
  <c r="OC101" i="24"/>
  <c r="OC117" i="24"/>
  <c r="OC93" i="24"/>
  <c r="OC109" i="24"/>
  <c r="OC120" i="24"/>
  <c r="OA94" i="24"/>
  <c r="OA96" i="24"/>
  <c r="OA98" i="24"/>
  <c r="OA100" i="24"/>
  <c r="OA102" i="24"/>
  <c r="OA104" i="24"/>
  <c r="OA106" i="24"/>
  <c r="OA108" i="24"/>
  <c r="OA110" i="24"/>
  <c r="OA112" i="24"/>
  <c r="OA114" i="24"/>
  <c r="OA116" i="24"/>
  <c r="OA118" i="24"/>
  <c r="OA93" i="24"/>
  <c r="OA97" i="24"/>
  <c r="OA101" i="24"/>
  <c r="OA105" i="24"/>
  <c r="OA109" i="24"/>
  <c r="OA113" i="24"/>
  <c r="OA117" i="24"/>
  <c r="OA119" i="24"/>
  <c r="OA121" i="24"/>
  <c r="OA92" i="24"/>
  <c r="OA99" i="24"/>
  <c r="OA107" i="24"/>
  <c r="OA115" i="24"/>
  <c r="OA120" i="24"/>
  <c r="OA95" i="24"/>
  <c r="OA111" i="24"/>
  <c r="OA103" i="24"/>
  <c r="OA122" i="24"/>
  <c r="NY94" i="24"/>
  <c r="NY96" i="24"/>
  <c r="NY98" i="24"/>
  <c r="NY100" i="24"/>
  <c r="NY102" i="24"/>
  <c r="NY104" i="24"/>
  <c r="NY106" i="24"/>
  <c r="NY108" i="24"/>
  <c r="NY110" i="24"/>
  <c r="NY112" i="24"/>
  <c r="NY114" i="24"/>
  <c r="NY116" i="24"/>
  <c r="NY118" i="24"/>
  <c r="NY95" i="24"/>
  <c r="NY99" i="24"/>
  <c r="NY103" i="24"/>
  <c r="NY107" i="24"/>
  <c r="NY111" i="24"/>
  <c r="NY115" i="24"/>
  <c r="NY119" i="24"/>
  <c r="NY121" i="24"/>
  <c r="NY92" i="24"/>
  <c r="NY93" i="24"/>
  <c r="NY101" i="24"/>
  <c r="NY109" i="24"/>
  <c r="NY117" i="24"/>
  <c r="NY122" i="24"/>
  <c r="NY105" i="24"/>
  <c r="NY120" i="24"/>
  <c r="NY113" i="24"/>
  <c r="NY97" i="24"/>
  <c r="BM93" i="24"/>
  <c r="BI93" i="24"/>
  <c r="BN93" i="24"/>
  <c r="BJ93" i="24"/>
  <c r="BM109" i="24"/>
  <c r="BI109" i="24"/>
  <c r="BN109" i="24"/>
  <c r="BJ109" i="24"/>
  <c r="BN112" i="24"/>
  <c r="BJ112" i="24"/>
  <c r="BM112" i="24"/>
  <c r="BI112" i="24"/>
  <c r="BN116" i="24"/>
  <c r="BJ116" i="24"/>
  <c r="BM116" i="24"/>
  <c r="BI116" i="24"/>
  <c r="BN118" i="24"/>
  <c r="BJ118" i="24"/>
  <c r="BM118" i="24"/>
  <c r="BI118" i="24"/>
  <c r="BM119" i="24"/>
  <c r="BI119" i="24"/>
  <c r="BN119" i="24"/>
  <c r="BJ119" i="24"/>
  <c r="BK92" i="24"/>
  <c r="BO92" i="24"/>
  <c r="BL92" i="24"/>
  <c r="BP92" i="24"/>
  <c r="BN94" i="24"/>
  <c r="BJ94" i="24"/>
  <c r="BM94" i="24"/>
  <c r="BI94" i="24"/>
  <c r="BM95" i="24"/>
  <c r="BI95" i="24"/>
  <c r="BN95" i="24"/>
  <c r="BJ95" i="24"/>
  <c r="BN96" i="24"/>
  <c r="BJ96" i="24"/>
  <c r="BM96" i="24"/>
  <c r="BI96" i="24"/>
  <c r="BM97" i="24"/>
  <c r="BI97" i="24"/>
  <c r="BN97" i="24"/>
  <c r="BJ97" i="24"/>
  <c r="BN98" i="24"/>
  <c r="BJ98" i="24"/>
  <c r="BM98" i="24"/>
  <c r="BI98" i="24"/>
  <c r="BM99" i="24"/>
  <c r="BI99" i="24"/>
  <c r="BN99" i="24"/>
  <c r="BJ99" i="24"/>
  <c r="BN100" i="24"/>
  <c r="BJ100" i="24"/>
  <c r="BM100" i="24"/>
  <c r="BI100" i="24"/>
  <c r="BM101" i="24"/>
  <c r="BI101" i="24"/>
  <c r="BN101" i="24"/>
  <c r="BJ101" i="24"/>
  <c r="BN102" i="24"/>
  <c r="BJ102" i="24"/>
  <c r="BM102" i="24"/>
  <c r="BI102" i="24"/>
  <c r="BM103" i="24"/>
  <c r="BI103" i="24"/>
  <c r="BN103" i="24"/>
  <c r="BJ103" i="24"/>
  <c r="BN104" i="24"/>
  <c r="BJ104" i="24"/>
  <c r="BM104" i="24"/>
  <c r="BI104" i="24"/>
  <c r="BM105" i="24"/>
  <c r="BI105" i="24"/>
  <c r="BN105" i="24"/>
  <c r="BJ105" i="24"/>
  <c r="BN106" i="24"/>
  <c r="BJ106" i="24"/>
  <c r="BM106" i="24"/>
  <c r="BI106" i="24"/>
  <c r="BM107" i="24"/>
  <c r="BI107" i="24"/>
  <c r="BN107" i="24"/>
  <c r="BJ107" i="24"/>
  <c r="BN108" i="24"/>
  <c r="BJ108" i="24"/>
  <c r="BM108" i="24"/>
  <c r="BI108" i="24"/>
  <c r="BN110" i="24"/>
  <c r="BJ110" i="24"/>
  <c r="BM110" i="24"/>
  <c r="BI110" i="24"/>
  <c r="BM111" i="24"/>
  <c r="BI111" i="24"/>
  <c r="BN111" i="24"/>
  <c r="BJ111" i="24"/>
  <c r="BM113" i="24"/>
  <c r="BI113" i="24"/>
  <c r="BN113" i="24"/>
  <c r="BJ113" i="24"/>
  <c r="BN114" i="24"/>
  <c r="BJ114" i="24"/>
  <c r="BM114" i="24"/>
  <c r="BI114" i="24"/>
  <c r="BM115" i="24"/>
  <c r="BI115" i="24"/>
  <c r="BN115" i="24"/>
  <c r="BJ115" i="24"/>
  <c r="BM117" i="24"/>
  <c r="BI117" i="24"/>
  <c r="BN117" i="24"/>
  <c r="BJ117" i="24"/>
  <c r="BN120" i="24"/>
  <c r="BJ120" i="24"/>
  <c r="BM120" i="24"/>
  <c r="BI120" i="24"/>
  <c r="BM121" i="24"/>
  <c r="BI121" i="24"/>
  <c r="BN121" i="24"/>
  <c r="BJ121" i="24"/>
  <c r="BJ76" i="14"/>
  <c r="NO89" i="24"/>
  <c r="AZ76" i="14"/>
  <c r="HZ89" i="24"/>
  <c r="KF89" i="24"/>
  <c r="ML89" i="24"/>
  <c r="CK89" i="24"/>
  <c r="JD89" i="24"/>
  <c r="GJ89" i="24"/>
  <c r="GB89" i="24"/>
  <c r="BI89" i="14"/>
  <c r="MQ89" i="24"/>
  <c r="BG92" i="14"/>
  <c r="EZ89" i="24"/>
  <c r="BJ84" i="14"/>
  <c r="OD89" i="24"/>
  <c r="NV89" i="24"/>
  <c r="BG88" i="14"/>
  <c r="BG80" i="14"/>
  <c r="BE84" i="14"/>
  <c r="BD88" i="14"/>
  <c r="BF136" i="14"/>
  <c r="BN136" i="14"/>
  <c r="BD89" i="14"/>
  <c r="BS134" i="14"/>
  <c r="BS137" i="14"/>
  <c r="BH84" i="14"/>
  <c r="BH92" i="14"/>
  <c r="BJ80" i="14"/>
  <c r="NS89" i="24"/>
  <c r="MX89" i="24"/>
  <c r="BI84" i="14"/>
  <c r="MP89" i="24"/>
  <c r="BG91" i="14"/>
  <c r="KM89" i="24"/>
  <c r="BO125" i="14"/>
  <c r="BK125" i="14"/>
  <c r="BG125" i="14"/>
  <c r="BC125" i="14"/>
  <c r="JM89" i="24"/>
  <c r="JE89" i="24"/>
  <c r="BP122" i="14"/>
  <c r="BL122" i="14"/>
  <c r="BH122" i="14"/>
  <c r="BD122" i="14"/>
  <c r="BE90" i="14"/>
  <c r="BE78" i="14"/>
  <c r="BD87" i="14"/>
  <c r="BD79" i="14"/>
  <c r="BO113" i="14"/>
  <c r="BK113" i="14"/>
  <c r="BG113" i="14"/>
  <c r="FZ89" i="24" s="1"/>
  <c r="BC113" i="14"/>
  <c r="BP110" i="14"/>
  <c r="E31" i="25" s="1"/>
  <c r="BL110" i="14"/>
  <c r="E27" i="25" s="1"/>
  <c r="BH110" i="14"/>
  <c r="E23" i="25" s="1"/>
  <c r="BD110" i="14"/>
  <c r="E19" i="25" s="1"/>
  <c r="BA90" i="14"/>
  <c r="EB89" i="24"/>
  <c r="BA86" i="14"/>
  <c r="DX89" i="24"/>
  <c r="BA78" i="14"/>
  <c r="DP89" i="24"/>
  <c r="AZ91" i="14"/>
  <c r="AZ83" i="14"/>
  <c r="AZ79" i="14"/>
  <c r="BC136" i="14"/>
  <c r="CX89" i="24"/>
  <c r="BB89" i="14"/>
  <c r="CT89" i="24"/>
  <c r="CP89" i="24"/>
  <c r="CL89" i="24"/>
  <c r="CO89" i="24"/>
  <c r="BO134" i="14"/>
  <c r="BK134" i="14"/>
  <c r="BG134" i="14"/>
  <c r="CV89" i="24"/>
  <c r="BO101" i="14"/>
  <c r="BV89" i="24" s="1"/>
  <c r="BV91" i="24" s="1"/>
  <c r="BK101" i="14"/>
  <c r="BR89" i="24" s="1"/>
  <c r="BR91" i="24" s="1"/>
  <c r="BG101" i="14"/>
  <c r="BN89" i="24" s="1"/>
  <c r="BN91" i="24" s="1"/>
  <c r="BC101" i="14"/>
  <c r="BJ89" i="24" s="1"/>
  <c r="BJ91" i="24" s="1"/>
  <c r="BQ131" i="14"/>
  <c r="BR125" i="14"/>
  <c r="BQ122" i="14"/>
  <c r="BR113" i="14"/>
  <c r="GK89" i="24" s="1"/>
  <c r="BQ110" i="14"/>
  <c r="BS151" i="14"/>
  <c r="BQ104" i="14"/>
  <c r="DB89" i="24"/>
  <c r="AX94" i="14"/>
  <c r="BK135" i="14"/>
  <c r="BC134" i="14"/>
  <c r="BG135" i="14"/>
  <c r="BO135" i="14"/>
  <c r="BD136" i="14"/>
  <c r="BH136" i="14"/>
  <c r="BL136" i="14"/>
  <c r="BP136" i="14"/>
  <c r="BK136" i="14"/>
  <c r="BG136" i="14"/>
  <c r="BS140" i="14"/>
  <c r="BS149" i="14"/>
  <c r="BS152" i="14"/>
  <c r="BS118" i="14"/>
  <c r="AZ77" i="14"/>
  <c r="AZ81" i="14"/>
  <c r="AZ85" i="14"/>
  <c r="AZ89" i="14"/>
  <c r="AZ93" i="14"/>
  <c r="BS130" i="14"/>
  <c r="BS145" i="14"/>
  <c r="BH76" i="14"/>
  <c r="BD135" i="14"/>
  <c r="BH135" i="14"/>
  <c r="BL135" i="14"/>
  <c r="BP135" i="14"/>
  <c r="BA136" i="14"/>
  <c r="BE136" i="14"/>
  <c r="BI136" i="14"/>
  <c r="BM136" i="14"/>
  <c r="BQ136" i="14"/>
  <c r="BA101" i="14"/>
  <c r="F23" i="31" s="1"/>
  <c r="BC85" i="14"/>
  <c r="BS131" i="14"/>
  <c r="BS119" i="14"/>
  <c r="BS121" i="14"/>
  <c r="BS127" i="14"/>
  <c r="BS133" i="14"/>
  <c r="BH77" i="14"/>
  <c r="BS146" i="14"/>
  <c r="BS142" i="14"/>
  <c r="BS148" i="14"/>
  <c r="NM123" i="24"/>
  <c r="CV140" i="24" s="1"/>
  <c r="NL123" i="24"/>
  <c r="CU140" i="24" s="1"/>
  <c r="CS140" i="24" s="1"/>
  <c r="NI92" i="24"/>
  <c r="NI93" i="24" s="1"/>
  <c r="MJ123" i="24"/>
  <c r="CV139" i="24" s="1"/>
  <c r="MI123" i="24"/>
  <c r="CU139" i="24" s="1"/>
  <c r="CS139" i="24" s="1"/>
  <c r="MF92" i="24"/>
  <c r="MF93" i="24" s="1"/>
  <c r="LH123" i="24"/>
  <c r="CW138" i="24" s="1"/>
  <c r="I32" i="31" s="1"/>
  <c r="LG123" i="24"/>
  <c r="CV138" i="24" s="1"/>
  <c r="LF123" i="24"/>
  <c r="CU138" i="24" s="1"/>
  <c r="CS138" i="24" s="1"/>
  <c r="LC92" i="24"/>
  <c r="LC93" i="24" s="1"/>
  <c r="KD123" i="24"/>
  <c r="CV137" i="24" s="1"/>
  <c r="KC123" i="24"/>
  <c r="CU137" i="24" s="1"/>
  <c r="CS137" i="24" s="1"/>
  <c r="JZ92" i="24"/>
  <c r="JZ93" i="24" s="1"/>
  <c r="JA123" i="24"/>
  <c r="CV136" i="24" s="1"/>
  <c r="IZ123" i="24"/>
  <c r="CU136" i="24" s="1"/>
  <c r="CS136" i="24" s="1"/>
  <c r="IW92" i="24"/>
  <c r="IW93" i="24" s="1"/>
  <c r="HX123" i="24"/>
  <c r="CV135" i="24" s="1"/>
  <c r="HW123" i="24"/>
  <c r="CU135" i="24" s="1"/>
  <c r="CS135" i="24" s="1"/>
  <c r="HT92" i="24"/>
  <c r="HT93" i="24" s="1"/>
  <c r="GU123" i="24"/>
  <c r="CV134" i="24" s="1"/>
  <c r="GT123" i="24"/>
  <c r="CU134" i="24" s="1"/>
  <c r="CS134" i="24" s="1"/>
  <c r="GQ92" i="24"/>
  <c r="GQ93" i="24" s="1"/>
  <c r="FR123" i="24"/>
  <c r="CV133" i="24" s="1"/>
  <c r="FQ123" i="24"/>
  <c r="CU133" i="24" s="1"/>
  <c r="CS133" i="24" s="1"/>
  <c r="FN92" i="24"/>
  <c r="FN93" i="24" s="1"/>
  <c r="EO123" i="24"/>
  <c r="CV132" i="24" s="1"/>
  <c r="EN123" i="24"/>
  <c r="CU132" i="24" s="1"/>
  <c r="CS132" i="24" s="1"/>
  <c r="EK92" i="24"/>
  <c r="EK93" i="24" s="1"/>
  <c r="DL123" i="24"/>
  <c r="CV131" i="24" s="1"/>
  <c r="DK123" i="24"/>
  <c r="CU131" i="24" s="1"/>
  <c r="CS131" i="24" s="1"/>
  <c r="DH92" i="24"/>
  <c r="DH93" i="24" s="1"/>
  <c r="CI123" i="24"/>
  <c r="CV130" i="24" s="1"/>
  <c r="CH123" i="24"/>
  <c r="CU130" i="24" s="1"/>
  <c r="CS130" i="24" s="1"/>
  <c r="CE92" i="24"/>
  <c r="CE93" i="24" s="1"/>
  <c r="BF123" i="24"/>
  <c r="CV129" i="24" s="1"/>
  <c r="BE123" i="24"/>
  <c r="CU129" i="24" s="1"/>
  <c r="CS129" i="24" s="1"/>
  <c r="BB92" i="24"/>
  <c r="BB93" i="24" s="1"/>
  <c r="BY128" i="24"/>
  <c r="BX128" i="24"/>
  <c r="BW128" i="24"/>
  <c r="BV128" i="24"/>
  <c r="BU128" i="24"/>
  <c r="BT128" i="24"/>
  <c r="BS128" i="24"/>
  <c r="BR128" i="24"/>
  <c r="BQ128" i="24"/>
  <c r="BW77" i="30" l="1"/>
  <c r="BI91" i="14"/>
  <c r="BE92" i="14"/>
  <c r="BT82" i="30"/>
  <c r="BQ82" i="30"/>
  <c r="BW61" i="30"/>
  <c r="BW79" i="30"/>
  <c r="BW65" i="30"/>
  <c r="BW67" i="30"/>
  <c r="BV82" i="30"/>
  <c r="BW53" i="30"/>
  <c r="BK82" i="30"/>
  <c r="Q17" i="50" s="1"/>
  <c r="BU82" i="30"/>
  <c r="G12" i="50" s="1"/>
  <c r="G21" i="50" s="1"/>
  <c r="I21" i="50" s="1"/>
  <c r="BW71" i="30"/>
  <c r="BW57" i="30"/>
  <c r="BW73" i="30"/>
  <c r="BW55" i="30"/>
  <c r="BN82" i="30"/>
  <c r="Q20" i="50" s="1"/>
  <c r="BM82" i="30"/>
  <c r="Q19" i="50" s="1"/>
  <c r="BI82" i="30"/>
  <c r="Q15" i="50" s="1"/>
  <c r="BW59" i="30"/>
  <c r="BL82" i="30"/>
  <c r="Q18" i="50" s="1"/>
  <c r="BJ82" i="30"/>
  <c r="Q16" i="50" s="1"/>
  <c r="BP82" i="30"/>
  <c r="BF82" i="30"/>
  <c r="Q12" i="50" s="1"/>
  <c r="BO82" i="30"/>
  <c r="BC82" i="30"/>
  <c r="BS82" i="30"/>
  <c r="BH82" i="30"/>
  <c r="Q14" i="50" s="1"/>
  <c r="BG82" i="30"/>
  <c r="Q13" i="50" s="1"/>
  <c r="EV89" i="24"/>
  <c r="BN38" i="30"/>
  <c r="BO38" i="30"/>
  <c r="BU38" i="30"/>
  <c r="BT87" i="30"/>
  <c r="BV38" i="30"/>
  <c r="G12" i="33" s="1"/>
  <c r="G21" i="33" s="1"/>
  <c r="I21" i="33" s="1"/>
  <c r="E17" i="25"/>
  <c r="Q32" i="31"/>
  <c r="R32" i="31"/>
  <c r="E25" i="25"/>
  <c r="BW16" i="30"/>
  <c r="DI92" i="24"/>
  <c r="EL92" i="24"/>
  <c r="K10" i="28"/>
  <c r="BC93" i="14"/>
  <c r="S10" i="28"/>
  <c r="O99" i="44"/>
  <c r="AU286" i="44" s="1"/>
  <c r="BJ38" i="30"/>
  <c r="BK38" i="30"/>
  <c r="BT38" i="30"/>
  <c r="BM38" i="30"/>
  <c r="BT43" i="30"/>
  <c r="BR69" i="30" s="1"/>
  <c r="BL38" i="30"/>
  <c r="BW38" i="30"/>
  <c r="S22" i="30"/>
  <c r="S7" i="30"/>
  <c r="BH93" i="14"/>
  <c r="JT89" i="24"/>
  <c r="BC80" i="14"/>
  <c r="BI78" i="14"/>
  <c r="BI82" i="14"/>
  <c r="BI86" i="14"/>
  <c r="BI90" i="14"/>
  <c r="BJ79" i="14"/>
  <c r="BJ87" i="14"/>
  <c r="MM89" i="24"/>
  <c r="BD93" i="14"/>
  <c r="BD82" i="14"/>
  <c r="E29" i="25"/>
  <c r="E22" i="25"/>
  <c r="S15" i="30"/>
  <c r="S12" i="30"/>
  <c r="S36" i="30"/>
  <c r="S14" i="30"/>
  <c r="S19" i="30"/>
  <c r="S30" i="30"/>
  <c r="S24" i="30"/>
  <c r="S34" i="30"/>
  <c r="S16" i="30"/>
  <c r="S26" i="30"/>
  <c r="S20" i="30"/>
  <c r="S29" i="30"/>
  <c r="S9" i="30"/>
  <c r="S35" i="30"/>
  <c r="S31" i="30"/>
  <c r="S37" i="30"/>
  <c r="S33" i="30"/>
  <c r="S28" i="30"/>
  <c r="S23" i="30"/>
  <c r="S27" i="30"/>
  <c r="S17" i="30"/>
  <c r="S13" i="30"/>
  <c r="BW17" i="30"/>
  <c r="BW37" i="30"/>
  <c r="BI38" i="30"/>
  <c r="BA76" i="14"/>
  <c r="F25" i="31"/>
  <c r="BI76" i="14"/>
  <c r="F33" i="31"/>
  <c r="BE76" i="14"/>
  <c r="F29" i="31"/>
  <c r="GW89" i="24"/>
  <c r="F28" i="31"/>
  <c r="BG76" i="14"/>
  <c r="F31" i="31"/>
  <c r="EQ89" i="24"/>
  <c r="F26" i="31"/>
  <c r="H10" i="34" s="1"/>
  <c r="LI89" i="24"/>
  <c r="F32" i="31"/>
  <c r="JC89" i="24"/>
  <c r="F30" i="31"/>
  <c r="FT89" i="24"/>
  <c r="F27" i="31"/>
  <c r="BG38" i="30"/>
  <c r="BF38" i="30"/>
  <c r="BW18" i="30"/>
  <c r="BC38" i="30"/>
  <c r="BH38" i="30"/>
  <c r="GR92" i="24"/>
  <c r="IX92" i="24"/>
  <c r="MG92" i="24"/>
  <c r="NJ92" i="24"/>
  <c r="G7" i="25"/>
  <c r="T32" i="31"/>
  <c r="S32" i="31"/>
  <c r="G38" i="30"/>
  <c r="H38" i="30"/>
  <c r="AA38" i="30"/>
  <c r="X43" i="30"/>
  <c r="W31" i="30" s="1"/>
  <c r="Q38" i="30"/>
  <c r="S25" i="30"/>
  <c r="S18" i="30"/>
  <c r="K38" i="30"/>
  <c r="R38" i="30"/>
  <c r="O38" i="30"/>
  <c r="N38" i="30"/>
  <c r="P38" i="30"/>
  <c r="M38" i="30"/>
  <c r="X38" i="30"/>
  <c r="S32" i="30"/>
  <c r="S21" i="30"/>
  <c r="S11" i="30"/>
  <c r="Y38" i="30"/>
  <c r="S10" i="30"/>
  <c r="T9" i="30"/>
  <c r="X9" i="30" s="1"/>
  <c r="J38" i="30"/>
  <c r="L38" i="30"/>
  <c r="S8" i="30"/>
  <c r="U17" i="30"/>
  <c r="T10" i="30"/>
  <c r="X10" i="30" s="1"/>
  <c r="BC82" i="14"/>
  <c r="BH85" i="14"/>
  <c r="BC89" i="14"/>
  <c r="BC77" i="14"/>
  <c r="BB76" i="14"/>
  <c r="CS89" i="24"/>
  <c r="CW89" i="24"/>
  <c r="J10" i="28"/>
  <c r="N10" i="28"/>
  <c r="R10" i="28"/>
  <c r="EW89" i="24"/>
  <c r="BD83" i="14"/>
  <c r="BD91" i="14"/>
  <c r="BG87" i="14"/>
  <c r="BH88" i="14"/>
  <c r="BH80" i="14"/>
  <c r="BE91" i="14"/>
  <c r="JH89" i="24"/>
  <c r="BI79" i="14"/>
  <c r="BB85" i="14"/>
  <c r="MU89" i="24"/>
  <c r="NC89" i="24"/>
  <c r="E30" i="25"/>
  <c r="BE88" i="14"/>
  <c r="BS138" i="14"/>
  <c r="BH89" i="14"/>
  <c r="BH81" i="14"/>
  <c r="CU89" i="24"/>
  <c r="BB80" i="14"/>
  <c r="BB88" i="14"/>
  <c r="BE86" i="14"/>
  <c r="BF84" i="14"/>
  <c r="BG85" i="14"/>
  <c r="NP89" i="24"/>
  <c r="NT89" i="24"/>
  <c r="NX89" i="24"/>
  <c r="OB89" i="24"/>
  <c r="ER89" i="24"/>
  <c r="BF85" i="14"/>
  <c r="I10" i="28"/>
  <c r="BB84" i="14"/>
  <c r="EY89" i="24"/>
  <c r="E21" i="25"/>
  <c r="ID89" i="24"/>
  <c r="GF89" i="24"/>
  <c r="BH91" i="14"/>
  <c r="BH87" i="14"/>
  <c r="BH83" i="14"/>
  <c r="BH79" i="14"/>
  <c r="BC91" i="14"/>
  <c r="BC87" i="14"/>
  <c r="BC83" i="14"/>
  <c r="BS126" i="14"/>
  <c r="BS153" i="14"/>
  <c r="OE89" i="24"/>
  <c r="BS150" i="14"/>
  <c r="CM89" i="24"/>
  <c r="M10" i="28"/>
  <c r="Q10" i="28"/>
  <c r="FD89" i="24"/>
  <c r="L10" i="28"/>
  <c r="BB82" i="14"/>
  <c r="BF80" i="14"/>
  <c r="BF88" i="14"/>
  <c r="BD92" i="14"/>
  <c r="BI87" i="14"/>
  <c r="BI83" i="14"/>
  <c r="BE79" i="14"/>
  <c r="BG84" i="14"/>
  <c r="DN89" i="24"/>
  <c r="IC123" i="24"/>
  <c r="BL151" i="24" s="1"/>
  <c r="I43" i="26" s="1"/>
  <c r="IG123" i="24"/>
  <c r="BP151" i="24" s="1"/>
  <c r="M43" i="26" s="1"/>
  <c r="BE82" i="14"/>
  <c r="BD77" i="14"/>
  <c r="BB90" i="14"/>
  <c r="BB78" i="14"/>
  <c r="E18" i="25"/>
  <c r="E26" i="25"/>
  <c r="BF89" i="14"/>
  <c r="JJ123" i="24"/>
  <c r="BP152" i="24" s="1"/>
  <c r="M48" i="26" s="1"/>
  <c r="BS135" i="14"/>
  <c r="BC79" i="14"/>
  <c r="BS123" i="14"/>
  <c r="BF76" i="14"/>
  <c r="BC76" i="14"/>
  <c r="OF89" i="24"/>
  <c r="CQ89" i="24"/>
  <c r="U10" i="28"/>
  <c r="P10" i="28"/>
  <c r="T10" i="28"/>
  <c r="X10" i="28"/>
  <c r="EU89" i="24"/>
  <c r="FC89" i="24"/>
  <c r="BD81" i="14"/>
  <c r="BE81" i="14"/>
  <c r="BB77" i="14"/>
  <c r="BD78" i="14"/>
  <c r="BS129" i="14"/>
  <c r="DR89" i="24"/>
  <c r="BA80" i="14"/>
  <c r="DZ89" i="24"/>
  <c r="BA88" i="14"/>
  <c r="HA89" i="24"/>
  <c r="BD80" i="14"/>
  <c r="HE89" i="24"/>
  <c r="BD84" i="14"/>
  <c r="IK89" i="24"/>
  <c r="BE87" i="14"/>
  <c r="KI89" i="24"/>
  <c r="BG79" i="14"/>
  <c r="E16" i="25"/>
  <c r="BE83" i="14"/>
  <c r="FA89" i="24"/>
  <c r="DV89" i="24"/>
  <c r="BA84" i="14"/>
  <c r="ED89" i="24"/>
  <c r="BA92" i="14"/>
  <c r="HG89" i="24"/>
  <c r="BD86" i="14"/>
  <c r="HK89" i="24"/>
  <c r="BD90" i="14"/>
  <c r="IA89" i="24"/>
  <c r="BE77" i="14"/>
  <c r="II89" i="24"/>
  <c r="BE85" i="14"/>
  <c r="IM89" i="24"/>
  <c r="BE89" i="14"/>
  <c r="IQ89" i="24"/>
  <c r="BE93" i="14"/>
  <c r="KG89" i="24"/>
  <c r="BG77" i="14"/>
  <c r="KK89" i="24"/>
  <c r="BG81" i="14"/>
  <c r="KS89" i="24"/>
  <c r="BG89" i="14"/>
  <c r="BH89" i="24"/>
  <c r="BH91" i="24" s="1"/>
  <c r="DO89" i="24"/>
  <c r="BA77" i="14"/>
  <c r="DS89" i="24"/>
  <c r="BA81" i="14"/>
  <c r="DW89" i="24"/>
  <c r="BA85" i="14"/>
  <c r="EA89" i="24"/>
  <c r="BA89" i="14"/>
  <c r="EE89" i="24"/>
  <c r="BA93" i="14"/>
  <c r="JI89" i="24"/>
  <c r="BF82" i="14"/>
  <c r="JQ89" i="24"/>
  <c r="BF90" i="14"/>
  <c r="Z10" i="28"/>
  <c r="O10" i="28"/>
  <c r="W10" i="28"/>
  <c r="AZ90" i="14"/>
  <c r="DQ89" i="24"/>
  <c r="BA79" i="14"/>
  <c r="DU89" i="24"/>
  <c r="BA83" i="14"/>
  <c r="DY89" i="24"/>
  <c r="BA87" i="14"/>
  <c r="EC89" i="24"/>
  <c r="BA91" i="14"/>
  <c r="BB93" i="14"/>
  <c r="E33" i="25"/>
  <c r="LK89" i="24"/>
  <c r="BH78" i="14"/>
  <c r="LO89" i="24"/>
  <c r="BH82" i="14"/>
  <c r="LS89" i="24"/>
  <c r="BH86" i="14"/>
  <c r="LW89" i="24"/>
  <c r="BH90" i="14"/>
  <c r="V10" i="28"/>
  <c r="BX89" i="24"/>
  <c r="BX91" i="24" s="1"/>
  <c r="E32" i="25"/>
  <c r="BM123" i="24"/>
  <c r="BN145" i="24" s="1"/>
  <c r="K13" i="26" s="1"/>
  <c r="FY123" i="24"/>
  <c r="BN149" i="24" s="1"/>
  <c r="K33" i="26" s="1"/>
  <c r="ET123" i="24"/>
  <c r="BL148" i="24" s="1"/>
  <c r="I28" i="26" s="1"/>
  <c r="BI123" i="24"/>
  <c r="BJ145" i="24" s="1"/>
  <c r="G13" i="26" s="1"/>
  <c r="IH123" i="24"/>
  <c r="BQ151" i="24" s="1"/>
  <c r="N43" i="26" s="1"/>
  <c r="BC92" i="24"/>
  <c r="CF92" i="24"/>
  <c r="FO92" i="24"/>
  <c r="HU92" i="24"/>
  <c r="KA92" i="24"/>
  <c r="LD92" i="24"/>
  <c r="BJ78" i="14"/>
  <c r="NQ89" i="24"/>
  <c r="BJ86" i="14"/>
  <c r="NY89" i="24"/>
  <c r="BB83" i="14"/>
  <c r="EX89" i="24"/>
  <c r="BB91" i="14"/>
  <c r="FF89" i="24"/>
  <c r="BC90" i="14"/>
  <c r="GH89" i="24"/>
  <c r="BF83" i="14"/>
  <c r="JJ89" i="24"/>
  <c r="BF91" i="14"/>
  <c r="JR89" i="24"/>
  <c r="BG82" i="14"/>
  <c r="KL89" i="24"/>
  <c r="BG90" i="14"/>
  <c r="KT89" i="24"/>
  <c r="BS144" i="14"/>
  <c r="BS141" i="14"/>
  <c r="BC81" i="14"/>
  <c r="BJ82" i="14"/>
  <c r="NU89" i="24"/>
  <c r="BJ90" i="14"/>
  <c r="OC89" i="24"/>
  <c r="BB79" i="14"/>
  <c r="ET89" i="24"/>
  <c r="BB87" i="14"/>
  <c r="FB89" i="24"/>
  <c r="BC78" i="14"/>
  <c r="FV89" i="24"/>
  <c r="BC86" i="14"/>
  <c r="GD89" i="24"/>
  <c r="BF79" i="14"/>
  <c r="JF89" i="24"/>
  <c r="BF87" i="14"/>
  <c r="JN89" i="24"/>
  <c r="BG78" i="14"/>
  <c r="KH89" i="24"/>
  <c r="BG86" i="14"/>
  <c r="KP89" i="24"/>
  <c r="Y10" i="28"/>
  <c r="DA89" i="24"/>
  <c r="AZ92" i="14"/>
  <c r="BG93" i="14"/>
  <c r="KW89" i="24"/>
  <c r="BB92" i="14"/>
  <c r="FG89" i="24"/>
  <c r="BF92" i="14"/>
  <c r="JS89" i="24"/>
  <c r="BI92" i="14"/>
  <c r="NB89" i="24"/>
  <c r="NW123" i="24"/>
  <c r="BQ156" i="24" s="1"/>
  <c r="N68" i="26" s="1"/>
  <c r="NR123" i="24"/>
  <c r="BL156" i="24" s="1"/>
  <c r="I68" i="26" s="1"/>
  <c r="NV123" i="24"/>
  <c r="BP156" i="24" s="1"/>
  <c r="M68" i="26" s="1"/>
  <c r="MM123" i="24"/>
  <c r="BJ155" i="24" s="1"/>
  <c r="G63" i="26" s="1"/>
  <c r="MQ123" i="24"/>
  <c r="BN155" i="24" s="1"/>
  <c r="K63" i="26" s="1"/>
  <c r="LL123" i="24"/>
  <c r="BL154" i="24" s="1"/>
  <c r="I58" i="26" s="1"/>
  <c r="JH123" i="24"/>
  <c r="BN152" i="24" s="1"/>
  <c r="K48" i="26" s="1"/>
  <c r="GZ123" i="24"/>
  <c r="BL150" i="24" s="1"/>
  <c r="I38" i="26" s="1"/>
  <c r="GB123" i="24"/>
  <c r="BQ149" i="24" s="1"/>
  <c r="N33" i="26" s="1"/>
  <c r="GA123" i="24"/>
  <c r="BP149" i="24" s="1"/>
  <c r="M33" i="26" s="1"/>
  <c r="BS154" i="14"/>
  <c r="AY91" i="14"/>
  <c r="BP137" i="14"/>
  <c r="BH137" i="14"/>
  <c r="AY83" i="14"/>
  <c r="BM137" i="14"/>
  <c r="AY88" i="14"/>
  <c r="BE137" i="14"/>
  <c r="AY80" i="14"/>
  <c r="BS155" i="14"/>
  <c r="BK137" i="14"/>
  <c r="AY86" i="14"/>
  <c r="BC137" i="14"/>
  <c r="AY78" i="14"/>
  <c r="BS147" i="14"/>
  <c r="BL137" i="14"/>
  <c r="AY87" i="14"/>
  <c r="BD137" i="14"/>
  <c r="AY79" i="14"/>
  <c r="BQ137" i="14"/>
  <c r="AY92" i="14"/>
  <c r="BI137" i="14"/>
  <c r="AY84" i="14"/>
  <c r="BA137" i="14"/>
  <c r="BS120" i="14"/>
  <c r="AY76" i="14"/>
  <c r="BR137" i="14"/>
  <c r="AY93" i="14"/>
  <c r="BN137" i="14"/>
  <c r="AY89" i="14"/>
  <c r="BJ137" i="14"/>
  <c r="AY85" i="14"/>
  <c r="BF137" i="14"/>
  <c r="AY81" i="14"/>
  <c r="BB137" i="14"/>
  <c r="AY77" i="14"/>
  <c r="BO137" i="14"/>
  <c r="AY90" i="14"/>
  <c r="BG137" i="14"/>
  <c r="AY82" i="14"/>
  <c r="BS132" i="14"/>
  <c r="NP123" i="24"/>
  <c r="BJ156" i="24" s="1"/>
  <c r="G68" i="26" s="1"/>
  <c r="NT123" i="24"/>
  <c r="BN156" i="24" s="1"/>
  <c r="K68" i="26" s="1"/>
  <c r="MO123" i="24"/>
  <c r="BL155" i="24" s="1"/>
  <c r="I63" i="26" s="1"/>
  <c r="LJ123" i="24"/>
  <c r="BJ154" i="24" s="1"/>
  <c r="G58" i="26" s="1"/>
  <c r="KK123" i="24"/>
  <c r="BN153" i="24" s="1"/>
  <c r="K53" i="26" s="1"/>
  <c r="HE123" i="24"/>
  <c r="BQ150" i="24" s="1"/>
  <c r="N38" i="26" s="1"/>
  <c r="GX123" i="24"/>
  <c r="BJ150" i="24" s="1"/>
  <c r="G38" i="26" s="1"/>
  <c r="HB123" i="24"/>
  <c r="BN150" i="24" s="1"/>
  <c r="K38" i="26" s="1"/>
  <c r="ER123" i="24"/>
  <c r="BJ148" i="24" s="1"/>
  <c r="G28" i="26" s="1"/>
  <c r="EV123" i="24"/>
  <c r="BN148" i="24" s="1"/>
  <c r="K28" i="26" s="1"/>
  <c r="DO123" i="24"/>
  <c r="BJ147" i="24" s="1"/>
  <c r="G23" i="26" s="1"/>
  <c r="BO123" i="24"/>
  <c r="BP145" i="24" s="1"/>
  <c r="M13" i="26" s="1"/>
  <c r="DH94" i="24"/>
  <c r="DI93" i="24"/>
  <c r="EK94" i="24"/>
  <c r="EL93" i="24"/>
  <c r="FN94" i="24"/>
  <c r="FO93" i="24"/>
  <c r="GQ94" i="24"/>
  <c r="GR93" i="24"/>
  <c r="HT94" i="24"/>
  <c r="HU93" i="24"/>
  <c r="IW94" i="24"/>
  <c r="IX93" i="24"/>
  <c r="JZ94" i="24"/>
  <c r="KA93" i="24"/>
  <c r="LC94" i="24"/>
  <c r="LD93" i="24"/>
  <c r="MF94" i="24"/>
  <c r="MG93" i="24"/>
  <c r="NI94" i="24"/>
  <c r="NJ93" i="24"/>
  <c r="BB94" i="24"/>
  <c r="BC93" i="24"/>
  <c r="BP123" i="24"/>
  <c r="BQ145" i="24" s="1"/>
  <c r="N13" i="26" s="1"/>
  <c r="CE94" i="24"/>
  <c r="CF93" i="24"/>
  <c r="CS123" i="24"/>
  <c r="BQ146" i="24" s="1"/>
  <c r="N18" i="26" s="1"/>
  <c r="BI128" i="24"/>
  <c r="CD130" i="24"/>
  <c r="BK128" i="24"/>
  <c r="CD132" i="24"/>
  <c r="BM128" i="24"/>
  <c r="CD134" i="24"/>
  <c r="BO128" i="24"/>
  <c r="CD136" i="24"/>
  <c r="CU141" i="24"/>
  <c r="F10" i="34"/>
  <c r="BG123" i="24"/>
  <c r="CW129" i="24" s="1"/>
  <c r="I23" i="31" s="1"/>
  <c r="CP123" i="24"/>
  <c r="BN146" i="24" s="1"/>
  <c r="K18" i="26" s="1"/>
  <c r="DM123" i="24"/>
  <c r="CW131" i="24" s="1"/>
  <c r="I25" i="31" s="1"/>
  <c r="EP123" i="24"/>
  <c r="CW132" i="24" s="1"/>
  <c r="FS123" i="24"/>
  <c r="CW133" i="24" s="1"/>
  <c r="I27" i="31" s="1"/>
  <c r="HY123" i="24"/>
  <c r="CW135" i="24" s="1"/>
  <c r="I29" i="31" s="1"/>
  <c r="JB123" i="24"/>
  <c r="CW136" i="24" s="1"/>
  <c r="I30" i="31" s="1"/>
  <c r="KE123" i="24"/>
  <c r="CW137" i="24" s="1"/>
  <c r="I31" i="31" s="1"/>
  <c r="MK123" i="24"/>
  <c r="CW139" i="24" s="1"/>
  <c r="I33" i="31" s="1"/>
  <c r="NN123" i="24"/>
  <c r="CW140" i="24" s="1"/>
  <c r="I34" i="31" s="1"/>
  <c r="KM123" i="24"/>
  <c r="BP153" i="24" s="1"/>
  <c r="M53" i="26" s="1"/>
  <c r="LN123" i="24"/>
  <c r="BN154" i="24" s="1"/>
  <c r="K58" i="26" s="1"/>
  <c r="HD123" i="24"/>
  <c r="BP150" i="24" s="1"/>
  <c r="M38" i="26" s="1"/>
  <c r="LP123" i="24"/>
  <c r="BP154" i="24" s="1"/>
  <c r="M58" i="26" s="1"/>
  <c r="CR123" i="24"/>
  <c r="BP146" i="24" s="1"/>
  <c r="M18" i="26" s="1"/>
  <c r="DU123" i="24"/>
  <c r="BP147" i="24" s="1"/>
  <c r="M23" i="26" s="1"/>
  <c r="GV123" i="24"/>
  <c r="CW134" i="24" s="1"/>
  <c r="I28" i="31" s="1"/>
  <c r="CD129" i="24"/>
  <c r="BH128" i="24"/>
  <c r="CD131" i="24"/>
  <c r="BJ128" i="24"/>
  <c r="CD133" i="24"/>
  <c r="BL128" i="24"/>
  <c r="CD135" i="24"/>
  <c r="BN128" i="24"/>
  <c r="CD137" i="24"/>
  <c r="BP128" i="24"/>
  <c r="CV141" i="24"/>
  <c r="IA123" i="24"/>
  <c r="BJ151" i="24" s="1"/>
  <c r="G43" i="26" s="1"/>
  <c r="KN123" i="24"/>
  <c r="BQ153" i="24" s="1"/>
  <c r="N53" i="26" s="1"/>
  <c r="EY123" i="24"/>
  <c r="BQ148" i="24" s="1"/>
  <c r="N28" i="26" s="1"/>
  <c r="LQ123" i="24"/>
  <c r="BQ154" i="24" s="1"/>
  <c r="N58" i="26" s="1"/>
  <c r="FU123" i="24"/>
  <c r="BJ149" i="24" s="1"/>
  <c r="G33" i="26" s="1"/>
  <c r="JK123" i="24"/>
  <c r="BQ152" i="24" s="1"/>
  <c r="N48" i="26" s="1"/>
  <c r="DV123" i="24"/>
  <c r="BQ147" i="24" s="1"/>
  <c r="N23" i="26" s="1"/>
  <c r="KG123" i="24"/>
  <c r="BJ153" i="24" s="1"/>
  <c r="G53" i="26" s="1"/>
  <c r="CL123" i="24"/>
  <c r="BJ146" i="24" s="1"/>
  <c r="G18" i="26" s="1"/>
  <c r="IE123" i="24"/>
  <c r="BN151" i="24" s="1"/>
  <c r="K43" i="26" s="1"/>
  <c r="JD123" i="24"/>
  <c r="BJ152" i="24" s="1"/>
  <c r="G48" i="26" s="1"/>
  <c r="CJ123" i="24"/>
  <c r="CW130" i="24" s="1"/>
  <c r="I24" i="31" s="1"/>
  <c r="MT123" i="24"/>
  <c r="BQ155" i="24" s="1"/>
  <c r="N63" i="26" s="1"/>
  <c r="MS123" i="24"/>
  <c r="BP155" i="24" s="1"/>
  <c r="M63" i="26" s="1"/>
  <c r="CN123" i="24"/>
  <c r="BL146" i="24" s="1"/>
  <c r="I18" i="26" s="1"/>
  <c r="DQ123" i="24"/>
  <c r="BL147" i="24" s="1"/>
  <c r="I23" i="26" s="1"/>
  <c r="JF123" i="24"/>
  <c r="BL152" i="24" s="1"/>
  <c r="I48" i="26" s="1"/>
  <c r="KI123" i="24"/>
  <c r="BL153" i="24" s="1"/>
  <c r="I53" i="26" s="1"/>
  <c r="AA13" i="28"/>
  <c r="J6" i="28"/>
  <c r="J26" i="28" s="1"/>
  <c r="I6" i="28"/>
  <c r="J13" i="28"/>
  <c r="C10" i="28"/>
  <c r="P5" i="28"/>
  <c r="F44" i="28"/>
  <c r="C13" i="28"/>
  <c r="C14" i="28" s="1"/>
  <c r="C15" i="28" s="1"/>
  <c r="C16" i="28" s="1"/>
  <c r="C17" i="28" s="1"/>
  <c r="C18" i="28" s="1"/>
  <c r="C19" i="28" s="1"/>
  <c r="C20" i="28" s="1"/>
  <c r="C21" i="28" s="1"/>
  <c r="C22" i="28" s="1"/>
  <c r="Z6" i="28"/>
  <c r="Y6" i="28"/>
  <c r="X6" i="28"/>
  <c r="W6" i="28"/>
  <c r="V6" i="28"/>
  <c r="U6" i="28"/>
  <c r="T6" i="28"/>
  <c r="S6" i="28"/>
  <c r="R6" i="28"/>
  <c r="Q6" i="28"/>
  <c r="P6" i="28"/>
  <c r="P40" i="28" s="1"/>
  <c r="O6" i="28"/>
  <c r="N6" i="28"/>
  <c r="N25" i="28" s="1"/>
  <c r="M6" i="28"/>
  <c r="L6" i="28"/>
  <c r="L43" i="28" s="1"/>
  <c r="K6" i="28"/>
  <c r="P5" i="11"/>
  <c r="J4" i="27"/>
  <c r="C8" i="27"/>
  <c r="M5" i="27"/>
  <c r="I5" i="27"/>
  <c r="G5" i="27"/>
  <c r="C5" i="27"/>
  <c r="M5" i="6"/>
  <c r="F65" i="26"/>
  <c r="F64" i="26"/>
  <c r="F60" i="26"/>
  <c r="F59" i="26"/>
  <c r="F55" i="26"/>
  <c r="F54" i="26"/>
  <c r="F50" i="26"/>
  <c r="F49" i="26"/>
  <c r="F45" i="26"/>
  <c r="F44" i="26"/>
  <c r="F47" i="26" s="1"/>
  <c r="F40" i="26"/>
  <c r="F39" i="26"/>
  <c r="F35" i="26"/>
  <c r="F34" i="26"/>
  <c r="F37" i="26" s="1"/>
  <c r="F30" i="26"/>
  <c r="F29" i="26"/>
  <c r="F25" i="26"/>
  <c r="F24" i="26"/>
  <c r="F27" i="26" s="1"/>
  <c r="F20" i="26"/>
  <c r="F19" i="26"/>
  <c r="F15" i="26"/>
  <c r="F14" i="26"/>
  <c r="F17" i="26" s="1"/>
  <c r="F10" i="26"/>
  <c r="F9" i="26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8" i="26"/>
  <c r="C7" i="17"/>
  <c r="U4" i="17"/>
  <c r="V4" i="26"/>
  <c r="D64" i="26"/>
  <c r="D59" i="26"/>
  <c r="D54" i="26"/>
  <c r="D49" i="26"/>
  <c r="D44" i="26"/>
  <c r="D39" i="26"/>
  <c r="D34" i="26"/>
  <c r="D29" i="26"/>
  <c r="D24" i="26"/>
  <c r="D19" i="26"/>
  <c r="D14" i="26"/>
  <c r="D9" i="26"/>
  <c r="F69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T4" i="26"/>
  <c r="S4" i="26"/>
  <c r="P4" i="26"/>
  <c r="M4" i="26"/>
  <c r="J4" i="26"/>
  <c r="D4" i="26"/>
  <c r="F57" i="26" l="1"/>
  <c r="F12" i="26"/>
  <c r="F32" i="26"/>
  <c r="F42" i="26"/>
  <c r="F52" i="26"/>
  <c r="F62" i="26"/>
  <c r="F67" i="26"/>
  <c r="Q21" i="50"/>
  <c r="S21" i="50" s="1"/>
  <c r="BT69" i="30"/>
  <c r="BW69" i="30" s="1"/>
  <c r="BR82" i="30"/>
  <c r="D22" i="50"/>
  <c r="N22" i="50"/>
  <c r="K8" i="27"/>
  <c r="G8" i="27"/>
  <c r="Q28" i="31"/>
  <c r="R28" i="31"/>
  <c r="R33" i="31"/>
  <c r="Q33" i="31"/>
  <c r="Q30" i="31"/>
  <c r="R30" i="31"/>
  <c r="R27" i="31"/>
  <c r="Q27" i="31"/>
  <c r="R24" i="31"/>
  <c r="Q24" i="31"/>
  <c r="Q34" i="31"/>
  <c r="R34" i="31"/>
  <c r="R31" i="31"/>
  <c r="Q31" i="31"/>
  <c r="R29" i="31"/>
  <c r="Q29" i="31"/>
  <c r="R25" i="31"/>
  <c r="Q25" i="31"/>
  <c r="BS34" i="30"/>
  <c r="BT34" i="30" s="1"/>
  <c r="BW34" i="30" s="1"/>
  <c r="AA9" i="30"/>
  <c r="R23" i="31"/>
  <c r="Q23" i="31"/>
  <c r="AA10" i="30"/>
  <c r="BS35" i="30"/>
  <c r="BP13" i="30"/>
  <c r="BT13" i="30" s="1"/>
  <c r="BW13" i="30" s="1"/>
  <c r="BP7" i="30"/>
  <c r="D8" i="27"/>
  <c r="S38" i="30"/>
  <c r="D28" i="31"/>
  <c r="D24" i="31"/>
  <c r="O100" i="44"/>
  <c r="BQ22" i="30"/>
  <c r="BT22" i="30" s="1"/>
  <c r="BW22" i="30" s="1"/>
  <c r="BR29" i="30"/>
  <c r="BT29" i="30" s="1"/>
  <c r="BW29" i="30" s="1"/>
  <c r="BQ15" i="30"/>
  <c r="BT15" i="30" s="1"/>
  <c r="BW15" i="30" s="1"/>
  <c r="BP8" i="30"/>
  <c r="BT8" i="30" s="1"/>
  <c r="BW8" i="30" s="1"/>
  <c r="BS36" i="30"/>
  <c r="BT36" i="30" s="1"/>
  <c r="BW36" i="30" s="1"/>
  <c r="F22" i="26"/>
  <c r="BH94" i="14"/>
  <c r="W32" i="30"/>
  <c r="X32" i="30" s="1"/>
  <c r="AA32" i="30" s="1"/>
  <c r="T11" i="30"/>
  <c r="X11" i="30" s="1"/>
  <c r="AA11" i="30" s="1"/>
  <c r="F35" i="31"/>
  <c r="BI94" i="14"/>
  <c r="U18" i="30"/>
  <c r="X18" i="30" s="1"/>
  <c r="AA18" i="30" s="1"/>
  <c r="BR26" i="30"/>
  <c r="BT26" i="30" s="1"/>
  <c r="BW26" i="30" s="1"/>
  <c r="BP12" i="30"/>
  <c r="BT12" i="30" s="1"/>
  <c r="BW12" i="30" s="1"/>
  <c r="BQ19" i="30"/>
  <c r="BT19" i="30" s="1"/>
  <c r="BW19" i="30" s="1"/>
  <c r="BS33" i="30"/>
  <c r="BT33" i="30" s="1"/>
  <c r="BW33" i="30" s="1"/>
  <c r="V25" i="30"/>
  <c r="X25" i="30" s="1"/>
  <c r="AA25" i="30" s="1"/>
  <c r="T28" i="31"/>
  <c r="S28" i="31"/>
  <c r="S33" i="31"/>
  <c r="T33" i="31"/>
  <c r="S31" i="31"/>
  <c r="T31" i="31"/>
  <c r="T30" i="31"/>
  <c r="S30" i="31"/>
  <c r="S29" i="31"/>
  <c r="T29" i="31"/>
  <c r="T24" i="31"/>
  <c r="S24" i="31"/>
  <c r="S27" i="31"/>
  <c r="T27" i="31"/>
  <c r="G38" i="25"/>
  <c r="I26" i="31"/>
  <c r="K10" i="34" s="1"/>
  <c r="S25" i="31"/>
  <c r="T25" i="31"/>
  <c r="T23" i="31"/>
  <c r="S23" i="31"/>
  <c r="V24" i="30"/>
  <c r="X24" i="30" s="1"/>
  <c r="AA24" i="30" s="1"/>
  <c r="T13" i="30"/>
  <c r="X13" i="30" s="1"/>
  <c r="AA13" i="30" s="1"/>
  <c r="V27" i="30"/>
  <c r="X27" i="30" s="1"/>
  <c r="AA27" i="30" s="1"/>
  <c r="U20" i="30"/>
  <c r="X20" i="30" s="1"/>
  <c r="AA20" i="30" s="1"/>
  <c r="W34" i="30"/>
  <c r="X34" i="30" s="1"/>
  <c r="AA34" i="30" s="1"/>
  <c r="U16" i="30"/>
  <c r="X16" i="30" s="1"/>
  <c r="AA16" i="30" s="1"/>
  <c r="BT14" i="30"/>
  <c r="BW14" i="30" s="1"/>
  <c r="U21" i="30"/>
  <c r="X21" i="30" s="1"/>
  <c r="AA21" i="30" s="1"/>
  <c r="V28" i="30"/>
  <c r="X28" i="30" s="1"/>
  <c r="AA28" i="30" s="1"/>
  <c r="T7" i="30"/>
  <c r="X7" i="30" s="1"/>
  <c r="AA7" i="30" s="1"/>
  <c r="W35" i="30"/>
  <c r="X35" i="30" s="1"/>
  <c r="AA35" i="30" s="1"/>
  <c r="T14" i="30"/>
  <c r="X14" i="30" s="1"/>
  <c r="AA14" i="30" s="1"/>
  <c r="T12" i="30"/>
  <c r="X12" i="30" s="1"/>
  <c r="AA12" i="30" s="1"/>
  <c r="V26" i="30"/>
  <c r="X26" i="30" s="1"/>
  <c r="AA26" i="30" s="1"/>
  <c r="U19" i="30"/>
  <c r="X19" i="30" s="1"/>
  <c r="AA19" i="30" s="1"/>
  <c r="W33" i="30"/>
  <c r="X33" i="30" s="1"/>
  <c r="AA33" i="30" s="1"/>
  <c r="W36" i="30"/>
  <c r="X36" i="30" s="1"/>
  <c r="AA36" i="30" s="1"/>
  <c r="U22" i="30"/>
  <c r="X22" i="30" s="1"/>
  <c r="AA22" i="30" s="1"/>
  <c r="T8" i="30"/>
  <c r="X8" i="30" s="1"/>
  <c r="AA8" i="30" s="1"/>
  <c r="U15" i="30"/>
  <c r="X15" i="30" s="1"/>
  <c r="AA15" i="30" s="1"/>
  <c r="V29" i="30"/>
  <c r="X29" i="30" s="1"/>
  <c r="AA29" i="30" s="1"/>
  <c r="W37" i="30"/>
  <c r="X37" i="30" s="1"/>
  <c r="AA37" i="30" s="1"/>
  <c r="V23" i="30"/>
  <c r="X23" i="30" s="1"/>
  <c r="AA23" i="30" s="1"/>
  <c r="V30" i="30"/>
  <c r="X30" i="30" s="1"/>
  <c r="AA30" i="30" s="1"/>
  <c r="T34" i="31"/>
  <c r="S34" i="31"/>
  <c r="X17" i="30"/>
  <c r="AA17" i="30" s="1"/>
  <c r="X31" i="30"/>
  <c r="AA31" i="30" s="1"/>
  <c r="N74" i="26"/>
  <c r="N75" i="26" s="1"/>
  <c r="G74" i="26"/>
  <c r="G75" i="26" s="1"/>
  <c r="BK84" i="14"/>
  <c r="J18" i="28"/>
  <c r="BD94" i="14"/>
  <c r="J14" i="28"/>
  <c r="J22" i="28"/>
  <c r="BK80" i="14"/>
  <c r="BK88" i="14"/>
  <c r="BK83" i="14"/>
  <c r="BE94" i="14"/>
  <c r="J16" i="28"/>
  <c r="J20" i="28"/>
  <c r="J25" i="28"/>
  <c r="BC94" i="14"/>
  <c r="BA94" i="14"/>
  <c r="J15" i="28"/>
  <c r="J17" i="28"/>
  <c r="J19" i="28"/>
  <c r="J21" i="28"/>
  <c r="J24" i="28"/>
  <c r="BK82" i="14"/>
  <c r="BK90" i="14"/>
  <c r="BK77" i="14"/>
  <c r="BK81" i="14"/>
  <c r="BK85" i="14"/>
  <c r="BK89" i="14"/>
  <c r="BK93" i="14"/>
  <c r="BK91" i="14"/>
  <c r="AZ94" i="14"/>
  <c r="H17" i="25"/>
  <c r="H24" i="25"/>
  <c r="BM124" i="24"/>
  <c r="BM129" i="24" s="1"/>
  <c r="C9" i="27"/>
  <c r="BP124" i="24"/>
  <c r="BP129" i="24" s="1"/>
  <c r="BI124" i="24"/>
  <c r="CL88" i="24" s="1"/>
  <c r="N13" i="28"/>
  <c r="N14" i="28"/>
  <c r="N15" i="28"/>
  <c r="N16" i="28"/>
  <c r="L17" i="28"/>
  <c r="P17" i="28"/>
  <c r="L18" i="28"/>
  <c r="P18" i="28"/>
  <c r="L19" i="28"/>
  <c r="P19" i="28"/>
  <c r="N20" i="28"/>
  <c r="N21" i="28"/>
  <c r="N22" i="28"/>
  <c r="L23" i="28"/>
  <c r="P23" i="28"/>
  <c r="L24" i="28"/>
  <c r="P24" i="28"/>
  <c r="L25" i="28"/>
  <c r="P25" i="28"/>
  <c r="N26" i="28"/>
  <c r="P39" i="28"/>
  <c r="P41" i="28"/>
  <c r="L13" i="28"/>
  <c r="P13" i="28"/>
  <c r="L14" i="28"/>
  <c r="P14" i="28"/>
  <c r="L15" i="28"/>
  <c r="P15" i="28"/>
  <c r="L16" i="28"/>
  <c r="N17" i="28"/>
  <c r="N18" i="28"/>
  <c r="N19" i="28"/>
  <c r="P20" i="28"/>
  <c r="L21" i="28"/>
  <c r="P21" i="28"/>
  <c r="L22" i="28"/>
  <c r="P22" i="28"/>
  <c r="N23" i="28"/>
  <c r="N24" i="28"/>
  <c r="P26" i="28"/>
  <c r="BK79" i="14"/>
  <c r="BK87" i="14"/>
  <c r="BK78" i="14"/>
  <c r="BK86" i="14"/>
  <c r="BF94" i="14"/>
  <c r="BB94" i="14"/>
  <c r="BG94" i="14"/>
  <c r="BJ94" i="14"/>
  <c r="F71" i="26"/>
  <c r="BK92" i="14"/>
  <c r="BO124" i="24"/>
  <c r="BO129" i="24" s="1"/>
  <c r="D14" i="28"/>
  <c r="D17" i="28"/>
  <c r="D13" i="28"/>
  <c r="D15" i="28"/>
  <c r="D18" i="28"/>
  <c r="D16" i="28"/>
  <c r="BS156" i="14"/>
  <c r="AY94" i="14"/>
  <c r="BK76" i="14"/>
  <c r="BJ157" i="24"/>
  <c r="FW123" i="24"/>
  <c r="BL149" i="24" s="1"/>
  <c r="I33" i="26" s="1"/>
  <c r="DS123" i="24"/>
  <c r="BN147" i="24" s="1"/>
  <c r="K23" i="26" s="1"/>
  <c r="K74" i="26" s="1"/>
  <c r="K75" i="26" s="1"/>
  <c r="OG123" i="24"/>
  <c r="N34" i="31" s="1"/>
  <c r="OC123" i="24"/>
  <c r="BW156" i="24" s="1"/>
  <c r="T68" i="26" s="1"/>
  <c r="NY123" i="24"/>
  <c r="BS156" i="24" s="1"/>
  <c r="P68" i="26" s="1"/>
  <c r="NS123" i="24"/>
  <c r="BM156" i="24" s="1"/>
  <c r="J68" i="26" s="1"/>
  <c r="NO123" i="24"/>
  <c r="BI156" i="24" s="1"/>
  <c r="ND123" i="24"/>
  <c r="N33" i="31" s="1"/>
  <c r="MZ123" i="24"/>
  <c r="BW155" i="24" s="1"/>
  <c r="T63" i="26" s="1"/>
  <c r="MV123" i="24"/>
  <c r="BS155" i="24" s="1"/>
  <c r="P63" i="26" s="1"/>
  <c r="MP123" i="24"/>
  <c r="BM155" i="24" s="1"/>
  <c r="J63" i="26" s="1"/>
  <c r="ML123" i="24"/>
  <c r="BI155" i="24" s="1"/>
  <c r="MA123" i="24"/>
  <c r="N32" i="31" s="1"/>
  <c r="LW123" i="24"/>
  <c r="BW154" i="24" s="1"/>
  <c r="T58" i="26" s="1"/>
  <c r="LS123" i="24"/>
  <c r="BS154" i="24" s="1"/>
  <c r="P58" i="26" s="1"/>
  <c r="LM123" i="24"/>
  <c r="BM154" i="24" s="1"/>
  <c r="J58" i="26" s="1"/>
  <c r="LI123" i="24"/>
  <c r="BI154" i="24" s="1"/>
  <c r="KX123" i="24"/>
  <c r="N31" i="31" s="1"/>
  <c r="KT123" i="24"/>
  <c r="BW153" i="24" s="1"/>
  <c r="T53" i="26" s="1"/>
  <c r="KP123" i="24"/>
  <c r="BS153" i="24" s="1"/>
  <c r="P53" i="26" s="1"/>
  <c r="KJ123" i="24"/>
  <c r="BM153" i="24" s="1"/>
  <c r="J53" i="26" s="1"/>
  <c r="KF123" i="24"/>
  <c r="BI153" i="24" s="1"/>
  <c r="JU123" i="24"/>
  <c r="N30" i="31" s="1"/>
  <c r="JQ123" i="24"/>
  <c r="BW152" i="24" s="1"/>
  <c r="T48" i="26" s="1"/>
  <c r="JM123" i="24"/>
  <c r="BS152" i="24" s="1"/>
  <c r="P48" i="26" s="1"/>
  <c r="JG123" i="24"/>
  <c r="BM152" i="24" s="1"/>
  <c r="J48" i="26" s="1"/>
  <c r="JC123" i="24"/>
  <c r="BI152" i="24" s="1"/>
  <c r="IR123" i="24"/>
  <c r="N29" i="31" s="1"/>
  <c r="IN123" i="24"/>
  <c r="BW151" i="24" s="1"/>
  <c r="T43" i="26" s="1"/>
  <c r="IJ123" i="24"/>
  <c r="BS151" i="24" s="1"/>
  <c r="P43" i="26" s="1"/>
  <c r="ID123" i="24"/>
  <c r="BM151" i="24" s="1"/>
  <c r="J43" i="26" s="1"/>
  <c r="HZ123" i="24"/>
  <c r="BI151" i="24" s="1"/>
  <c r="HO123" i="24"/>
  <c r="N28" i="31" s="1"/>
  <c r="HK123" i="24"/>
  <c r="BW150" i="24" s="1"/>
  <c r="T38" i="26" s="1"/>
  <c r="HG123" i="24"/>
  <c r="BS150" i="24" s="1"/>
  <c r="P38" i="26" s="1"/>
  <c r="HA123" i="24"/>
  <c r="BM150" i="24" s="1"/>
  <c r="J38" i="26" s="1"/>
  <c r="GW123" i="24"/>
  <c r="BI150" i="24" s="1"/>
  <c r="GL123" i="24"/>
  <c r="N27" i="31" s="1"/>
  <c r="GH123" i="24"/>
  <c r="BW149" i="24" s="1"/>
  <c r="T33" i="26" s="1"/>
  <c r="BK123" i="24"/>
  <c r="BL145" i="24" s="1"/>
  <c r="I13" i="26" s="1"/>
  <c r="EX123" i="24"/>
  <c r="BP148" i="24" s="1"/>
  <c r="GD123" i="24"/>
  <c r="BS149" i="24" s="1"/>
  <c r="P33" i="26" s="1"/>
  <c r="FX123" i="24"/>
  <c r="BM149" i="24" s="1"/>
  <c r="J33" i="26" s="1"/>
  <c r="FT123" i="24"/>
  <c r="BI149" i="24" s="1"/>
  <c r="FI123" i="24"/>
  <c r="N26" i="31" s="1"/>
  <c r="FE123" i="24"/>
  <c r="BW148" i="24" s="1"/>
  <c r="T28" i="26" s="1"/>
  <c r="FA123" i="24"/>
  <c r="BS148" i="24" s="1"/>
  <c r="P28" i="26" s="1"/>
  <c r="EU123" i="24"/>
  <c r="BM148" i="24" s="1"/>
  <c r="J28" i="26" s="1"/>
  <c r="EQ123" i="24"/>
  <c r="BI148" i="24" s="1"/>
  <c r="J26" i="31" s="1"/>
  <c r="EF123" i="24"/>
  <c r="N25" i="31" s="1"/>
  <c r="EB123" i="24"/>
  <c r="BW147" i="24" s="1"/>
  <c r="T23" i="26" s="1"/>
  <c r="DX123" i="24"/>
  <c r="BS147" i="24" s="1"/>
  <c r="P23" i="26" s="1"/>
  <c r="DR123" i="24"/>
  <c r="BM147" i="24" s="1"/>
  <c r="J23" i="26" s="1"/>
  <c r="DN123" i="24"/>
  <c r="BI147" i="24" s="1"/>
  <c r="DC123" i="24"/>
  <c r="N24" i="31" s="1"/>
  <c r="CY123" i="24"/>
  <c r="BW146" i="24" s="1"/>
  <c r="T18" i="26" s="1"/>
  <c r="CU123" i="24"/>
  <c r="BS146" i="24" s="1"/>
  <c r="P18" i="26" s="1"/>
  <c r="CO123" i="24"/>
  <c r="BM146" i="24" s="1"/>
  <c r="J18" i="26" s="1"/>
  <c r="CK123" i="24"/>
  <c r="BI146" i="24" s="1"/>
  <c r="BZ123" i="24"/>
  <c r="N23" i="31" s="1"/>
  <c r="BV123" i="24"/>
  <c r="BW145" i="24" s="1"/>
  <c r="T13" i="26" s="1"/>
  <c r="BR123" i="24"/>
  <c r="BS145" i="24" s="1"/>
  <c r="P13" i="26" s="1"/>
  <c r="BL123" i="24"/>
  <c r="BM145" i="24" s="1"/>
  <c r="J13" i="26" s="1"/>
  <c r="BH123" i="24"/>
  <c r="BI145" i="24" s="1"/>
  <c r="OF123" i="24"/>
  <c r="BZ156" i="24" s="1"/>
  <c r="W68" i="26" s="1"/>
  <c r="OB123" i="24"/>
  <c r="BV156" i="24" s="1"/>
  <c r="S68" i="26" s="1"/>
  <c r="NX123" i="24"/>
  <c r="BR156" i="24" s="1"/>
  <c r="O68" i="26" s="1"/>
  <c r="NC123" i="24"/>
  <c r="BZ155" i="24" s="1"/>
  <c r="W63" i="26" s="1"/>
  <c r="MY123" i="24"/>
  <c r="BV155" i="24" s="1"/>
  <c r="S63" i="26" s="1"/>
  <c r="MU123" i="24"/>
  <c r="BR155" i="24" s="1"/>
  <c r="O63" i="26" s="1"/>
  <c r="MB123" i="24"/>
  <c r="O32" i="31" s="1"/>
  <c r="LX123" i="24"/>
  <c r="BX154" i="24" s="1"/>
  <c r="U58" i="26" s="1"/>
  <c r="LT123" i="24"/>
  <c r="BT154" i="24" s="1"/>
  <c r="Q58" i="26" s="1"/>
  <c r="KY123" i="24"/>
  <c r="O31" i="31" s="1"/>
  <c r="KU123" i="24"/>
  <c r="BX153" i="24" s="1"/>
  <c r="U53" i="26" s="1"/>
  <c r="KQ123" i="24"/>
  <c r="BT153" i="24" s="1"/>
  <c r="Q53" i="26" s="1"/>
  <c r="JT123" i="24"/>
  <c r="BZ152" i="24" s="1"/>
  <c r="W48" i="26" s="1"/>
  <c r="JP123" i="24"/>
  <c r="BV152" i="24" s="1"/>
  <c r="S48" i="26" s="1"/>
  <c r="JL123" i="24"/>
  <c r="BR152" i="24" s="1"/>
  <c r="O48" i="26" s="1"/>
  <c r="IQ123" i="24"/>
  <c r="BZ151" i="24" s="1"/>
  <c r="W43" i="26" s="1"/>
  <c r="IM123" i="24"/>
  <c r="BV151" i="24" s="1"/>
  <c r="S43" i="26" s="1"/>
  <c r="II123" i="24"/>
  <c r="BR151" i="24" s="1"/>
  <c r="O43" i="26" s="1"/>
  <c r="HN123" i="24"/>
  <c r="BZ150" i="24" s="1"/>
  <c r="W38" i="26" s="1"/>
  <c r="HJ123" i="24"/>
  <c r="BV150" i="24" s="1"/>
  <c r="S38" i="26" s="1"/>
  <c r="HF123" i="24"/>
  <c r="BR150" i="24" s="1"/>
  <c r="O38" i="26" s="1"/>
  <c r="GM123" i="24"/>
  <c r="O27" i="31" s="1"/>
  <c r="GI123" i="24"/>
  <c r="BX149" i="24" s="1"/>
  <c r="U33" i="26" s="1"/>
  <c r="GE123" i="24"/>
  <c r="BT149" i="24" s="1"/>
  <c r="Q33" i="26" s="1"/>
  <c r="FH123" i="24"/>
  <c r="BZ148" i="24" s="1"/>
  <c r="W28" i="26" s="1"/>
  <c r="FD123" i="24"/>
  <c r="BV148" i="24" s="1"/>
  <c r="S28" i="26" s="1"/>
  <c r="EZ123" i="24"/>
  <c r="BR148" i="24" s="1"/>
  <c r="O28" i="26" s="1"/>
  <c r="EG123" i="24"/>
  <c r="O25" i="31" s="1"/>
  <c r="EC123" i="24"/>
  <c r="BX147" i="24" s="1"/>
  <c r="U23" i="26" s="1"/>
  <c r="DY123" i="24"/>
  <c r="BT147" i="24" s="1"/>
  <c r="Q23" i="26" s="1"/>
  <c r="DB123" i="24"/>
  <c r="BZ146" i="24" s="1"/>
  <c r="W18" i="26" s="1"/>
  <c r="CX123" i="24"/>
  <c r="BV146" i="24" s="1"/>
  <c r="S18" i="26" s="1"/>
  <c r="CT123" i="24"/>
  <c r="BR146" i="24" s="1"/>
  <c r="O18" i="26" s="1"/>
  <c r="CA123" i="24"/>
  <c r="O23" i="31" s="1"/>
  <c r="BW123" i="24"/>
  <c r="BX145" i="24" s="1"/>
  <c r="U13" i="26" s="1"/>
  <c r="BS123" i="24"/>
  <c r="BT145" i="24" s="1"/>
  <c r="Q13" i="26" s="1"/>
  <c r="CT141" i="24"/>
  <c r="L35" i="31" s="1"/>
  <c r="E23" i="31"/>
  <c r="MF95" i="24"/>
  <c r="MG94" i="24"/>
  <c r="JZ95" i="24"/>
  <c r="KA94" i="24"/>
  <c r="FN95" i="24"/>
  <c r="FO94" i="24"/>
  <c r="OI123" i="24"/>
  <c r="P34" i="31" s="1"/>
  <c r="OE123" i="24"/>
  <c r="BY156" i="24" s="1"/>
  <c r="V68" i="26" s="1"/>
  <c r="OA123" i="24"/>
  <c r="BU156" i="24" s="1"/>
  <c r="R68" i="26" s="1"/>
  <c r="NU123" i="24"/>
  <c r="BO156" i="24" s="1"/>
  <c r="L68" i="26" s="1"/>
  <c r="NQ123" i="24"/>
  <c r="BK156" i="24" s="1"/>
  <c r="H68" i="26" s="1"/>
  <c r="NF123" i="24"/>
  <c r="P33" i="31" s="1"/>
  <c r="NB123" i="24"/>
  <c r="BY155" i="24" s="1"/>
  <c r="V63" i="26" s="1"/>
  <c r="MX123" i="24"/>
  <c r="BU155" i="24" s="1"/>
  <c r="R63" i="26" s="1"/>
  <c r="MR123" i="24"/>
  <c r="BO155" i="24" s="1"/>
  <c r="L63" i="26" s="1"/>
  <c r="MN123" i="24"/>
  <c r="BK155" i="24" s="1"/>
  <c r="H63" i="26" s="1"/>
  <c r="MC123" i="24"/>
  <c r="P32" i="31" s="1"/>
  <c r="LY123" i="24"/>
  <c r="BY154" i="24" s="1"/>
  <c r="V58" i="26" s="1"/>
  <c r="LU123" i="24"/>
  <c r="BU154" i="24" s="1"/>
  <c r="R58" i="26" s="1"/>
  <c r="LO123" i="24"/>
  <c r="BO154" i="24" s="1"/>
  <c r="L58" i="26" s="1"/>
  <c r="LK123" i="24"/>
  <c r="BK154" i="24" s="1"/>
  <c r="H58" i="26" s="1"/>
  <c r="KZ123" i="24"/>
  <c r="P31" i="31" s="1"/>
  <c r="KV123" i="24"/>
  <c r="BY153" i="24" s="1"/>
  <c r="V53" i="26" s="1"/>
  <c r="KR123" i="24"/>
  <c r="BU153" i="24" s="1"/>
  <c r="R53" i="26" s="1"/>
  <c r="KL123" i="24"/>
  <c r="BO153" i="24" s="1"/>
  <c r="L53" i="26" s="1"/>
  <c r="KH123" i="24"/>
  <c r="BK153" i="24" s="1"/>
  <c r="H53" i="26" s="1"/>
  <c r="JW123" i="24"/>
  <c r="P30" i="31" s="1"/>
  <c r="JS123" i="24"/>
  <c r="BY152" i="24" s="1"/>
  <c r="V48" i="26" s="1"/>
  <c r="JO123" i="24"/>
  <c r="BU152" i="24" s="1"/>
  <c r="R48" i="26" s="1"/>
  <c r="JI123" i="24"/>
  <c r="BO152" i="24" s="1"/>
  <c r="L48" i="26" s="1"/>
  <c r="JE123" i="24"/>
  <c r="BK152" i="24" s="1"/>
  <c r="H48" i="26" s="1"/>
  <c r="IT123" i="24"/>
  <c r="P29" i="31" s="1"/>
  <c r="IP123" i="24"/>
  <c r="BY151" i="24" s="1"/>
  <c r="V43" i="26" s="1"/>
  <c r="IL123" i="24"/>
  <c r="BU151" i="24" s="1"/>
  <c r="R43" i="26" s="1"/>
  <c r="IF123" i="24"/>
  <c r="BO151" i="24" s="1"/>
  <c r="L43" i="26" s="1"/>
  <c r="IB123" i="24"/>
  <c r="BK151" i="24" s="1"/>
  <c r="H43" i="26" s="1"/>
  <c r="HQ123" i="24"/>
  <c r="P28" i="31" s="1"/>
  <c r="HM123" i="24"/>
  <c r="BY150" i="24" s="1"/>
  <c r="V38" i="26" s="1"/>
  <c r="HI123" i="24"/>
  <c r="BU150" i="24" s="1"/>
  <c r="R38" i="26" s="1"/>
  <c r="HC123" i="24"/>
  <c r="BO150" i="24" s="1"/>
  <c r="L38" i="26" s="1"/>
  <c r="GY123" i="24"/>
  <c r="BK150" i="24" s="1"/>
  <c r="H38" i="26" s="1"/>
  <c r="GN123" i="24"/>
  <c r="P27" i="31" s="1"/>
  <c r="GJ123" i="24"/>
  <c r="BY149" i="24" s="1"/>
  <c r="V33" i="26" s="1"/>
  <c r="GF123" i="24"/>
  <c r="BU149" i="24" s="1"/>
  <c r="R33" i="26" s="1"/>
  <c r="FZ123" i="24"/>
  <c r="BO149" i="24" s="1"/>
  <c r="L33" i="26" s="1"/>
  <c r="FV123" i="24"/>
  <c r="BK149" i="24" s="1"/>
  <c r="H33" i="26" s="1"/>
  <c r="FK123" i="24"/>
  <c r="P26" i="31" s="1"/>
  <c r="FG123" i="24"/>
  <c r="BY148" i="24" s="1"/>
  <c r="V28" i="26" s="1"/>
  <c r="FC123" i="24"/>
  <c r="BU148" i="24" s="1"/>
  <c r="R28" i="26" s="1"/>
  <c r="EW123" i="24"/>
  <c r="BO148" i="24" s="1"/>
  <c r="L28" i="26" s="1"/>
  <c r="ES123" i="24"/>
  <c r="BK148" i="24" s="1"/>
  <c r="H28" i="26" s="1"/>
  <c r="EH123" i="24"/>
  <c r="P25" i="31" s="1"/>
  <c r="ED123" i="24"/>
  <c r="BY147" i="24" s="1"/>
  <c r="V23" i="26" s="1"/>
  <c r="DZ123" i="24"/>
  <c r="BU147" i="24" s="1"/>
  <c r="R23" i="26" s="1"/>
  <c r="DT123" i="24"/>
  <c r="BO147" i="24" s="1"/>
  <c r="L23" i="26" s="1"/>
  <c r="DP123" i="24"/>
  <c r="BK147" i="24" s="1"/>
  <c r="H23" i="26" s="1"/>
  <c r="DE123" i="24"/>
  <c r="P24" i="31" s="1"/>
  <c r="DA123" i="24"/>
  <c r="BY146" i="24" s="1"/>
  <c r="V18" i="26" s="1"/>
  <c r="CW123" i="24"/>
  <c r="BU146" i="24" s="1"/>
  <c r="R18" i="26" s="1"/>
  <c r="CQ123" i="24"/>
  <c r="BO146" i="24" s="1"/>
  <c r="L18" i="26" s="1"/>
  <c r="CM123" i="24"/>
  <c r="BK146" i="24" s="1"/>
  <c r="H18" i="26" s="1"/>
  <c r="CB123" i="24"/>
  <c r="P23" i="31" s="1"/>
  <c r="BX123" i="24"/>
  <c r="BY145" i="24" s="1"/>
  <c r="V13" i="26" s="1"/>
  <c r="BT123" i="24"/>
  <c r="BU145" i="24" s="1"/>
  <c r="R13" i="26" s="1"/>
  <c r="BN123" i="24"/>
  <c r="BO145" i="24" s="1"/>
  <c r="L13" i="26" s="1"/>
  <c r="BJ123" i="24"/>
  <c r="BK145" i="24" s="1"/>
  <c r="H13" i="26" s="1"/>
  <c r="OH123" i="24"/>
  <c r="O34" i="31" s="1"/>
  <c r="OD123" i="24"/>
  <c r="BX156" i="24" s="1"/>
  <c r="U68" i="26" s="1"/>
  <c r="NZ123" i="24"/>
  <c r="BT156" i="24" s="1"/>
  <c r="Q68" i="26" s="1"/>
  <c r="NE123" i="24"/>
  <c r="O33" i="31" s="1"/>
  <c r="NA123" i="24"/>
  <c r="BX155" i="24" s="1"/>
  <c r="U63" i="26" s="1"/>
  <c r="MW123" i="24"/>
  <c r="BT155" i="24" s="1"/>
  <c r="Q63" i="26" s="1"/>
  <c r="LZ123" i="24"/>
  <c r="BZ154" i="24" s="1"/>
  <c r="W58" i="26" s="1"/>
  <c r="LV123" i="24"/>
  <c r="BV154" i="24" s="1"/>
  <c r="S58" i="26" s="1"/>
  <c r="LR123" i="24"/>
  <c r="BR154" i="24" s="1"/>
  <c r="O58" i="26" s="1"/>
  <c r="KW123" i="24"/>
  <c r="BZ153" i="24" s="1"/>
  <c r="W53" i="26" s="1"/>
  <c r="KS123" i="24"/>
  <c r="BV153" i="24" s="1"/>
  <c r="S53" i="26" s="1"/>
  <c r="KO123" i="24"/>
  <c r="BR153" i="24" s="1"/>
  <c r="O53" i="26" s="1"/>
  <c r="JV123" i="24"/>
  <c r="O30" i="31" s="1"/>
  <c r="JR123" i="24"/>
  <c r="BX152" i="24" s="1"/>
  <c r="U48" i="26" s="1"/>
  <c r="JN123" i="24"/>
  <c r="BT152" i="24" s="1"/>
  <c r="Q48" i="26" s="1"/>
  <c r="IS123" i="24"/>
  <c r="O29" i="31" s="1"/>
  <c r="IO123" i="24"/>
  <c r="BX151" i="24" s="1"/>
  <c r="U43" i="26" s="1"/>
  <c r="IK123" i="24"/>
  <c r="BT151" i="24" s="1"/>
  <c r="Q43" i="26" s="1"/>
  <c r="HP123" i="24"/>
  <c r="O28" i="31" s="1"/>
  <c r="HL123" i="24"/>
  <c r="BX150" i="24" s="1"/>
  <c r="U38" i="26" s="1"/>
  <c r="HH123" i="24"/>
  <c r="BT150" i="24" s="1"/>
  <c r="Q38" i="26" s="1"/>
  <c r="GK123" i="24"/>
  <c r="BZ149" i="24" s="1"/>
  <c r="W33" i="26" s="1"/>
  <c r="GG123" i="24"/>
  <c r="BV149" i="24" s="1"/>
  <c r="S33" i="26" s="1"/>
  <c r="GC123" i="24"/>
  <c r="BR149" i="24" s="1"/>
  <c r="O33" i="26" s="1"/>
  <c r="FJ123" i="24"/>
  <c r="O26" i="31" s="1"/>
  <c r="FF123" i="24"/>
  <c r="BX148" i="24" s="1"/>
  <c r="U28" i="26" s="1"/>
  <c r="FB123" i="24"/>
  <c r="BT148" i="24" s="1"/>
  <c r="Q28" i="26" s="1"/>
  <c r="EE123" i="24"/>
  <c r="BZ147" i="24" s="1"/>
  <c r="W23" i="26" s="1"/>
  <c r="EA123" i="24"/>
  <c r="BV147" i="24" s="1"/>
  <c r="S23" i="26" s="1"/>
  <c r="DW123" i="24"/>
  <c r="BR147" i="24" s="1"/>
  <c r="O23" i="26" s="1"/>
  <c r="DD123" i="24"/>
  <c r="O24" i="31" s="1"/>
  <c r="CZ123" i="24"/>
  <c r="BX146" i="24" s="1"/>
  <c r="U18" i="26" s="1"/>
  <c r="CV123" i="24"/>
  <c r="BT146" i="24" s="1"/>
  <c r="Q18" i="26" s="1"/>
  <c r="BY123" i="24"/>
  <c r="BZ145" i="24" s="1"/>
  <c r="W13" i="26" s="1"/>
  <c r="BU123" i="24"/>
  <c r="BV145" i="24" s="1"/>
  <c r="S13" i="26" s="1"/>
  <c r="BQ123" i="24"/>
  <c r="BR145" i="24" s="1"/>
  <c r="O13" i="26" s="1"/>
  <c r="CW141" i="24"/>
  <c r="I35" i="31" s="1"/>
  <c r="CE95" i="24"/>
  <c r="CF94" i="24"/>
  <c r="BQ157" i="24"/>
  <c r="BB95" i="24"/>
  <c r="BC94" i="24"/>
  <c r="NI95" i="24"/>
  <c r="NJ94" i="24"/>
  <c r="LC95" i="24"/>
  <c r="LD94" i="24"/>
  <c r="IW95" i="24"/>
  <c r="IX94" i="24"/>
  <c r="HT95" i="24"/>
  <c r="HU94" i="24"/>
  <c r="GQ95" i="24"/>
  <c r="GR94" i="24"/>
  <c r="EK95" i="24"/>
  <c r="EL94" i="24"/>
  <c r="DH95" i="24"/>
  <c r="DI94" i="24"/>
  <c r="E44" i="28"/>
  <c r="H44" i="28"/>
  <c r="I13" i="28"/>
  <c r="T13" i="28"/>
  <c r="X13" i="28"/>
  <c r="AB13" i="28"/>
  <c r="I14" i="28"/>
  <c r="T14" i="28"/>
  <c r="X14" i="28"/>
  <c r="AB14" i="28"/>
  <c r="I15" i="28"/>
  <c r="T15" i="28"/>
  <c r="X15" i="28"/>
  <c r="AB15" i="28"/>
  <c r="I16" i="28"/>
  <c r="P16" i="28"/>
  <c r="T16" i="28"/>
  <c r="X16" i="28"/>
  <c r="AB16" i="28"/>
  <c r="I17" i="28"/>
  <c r="T17" i="28"/>
  <c r="X17" i="28"/>
  <c r="AB17" i="28"/>
  <c r="I18" i="28"/>
  <c r="T18" i="28"/>
  <c r="X18" i="28"/>
  <c r="AB18" i="28"/>
  <c r="D19" i="28"/>
  <c r="I19" i="28"/>
  <c r="T19" i="28"/>
  <c r="X19" i="28"/>
  <c r="AB19" i="28"/>
  <c r="D20" i="28"/>
  <c r="I20" i="28"/>
  <c r="L20" i="28"/>
  <c r="T20" i="28"/>
  <c r="X20" i="28"/>
  <c r="AB20" i="28"/>
  <c r="D21" i="28"/>
  <c r="I21" i="28"/>
  <c r="AE21" i="28"/>
  <c r="Z21" i="28"/>
  <c r="V21" i="28"/>
  <c r="R21" i="28"/>
  <c r="AB21" i="28"/>
  <c r="X21" i="28"/>
  <c r="T21" i="28"/>
  <c r="I22" i="28"/>
  <c r="I23" i="28"/>
  <c r="Q24" i="28"/>
  <c r="Q25" i="28"/>
  <c r="Q26" i="28"/>
  <c r="I33" i="28"/>
  <c r="I29" i="28"/>
  <c r="I28" i="28"/>
  <c r="I27" i="28"/>
  <c r="I38" i="28"/>
  <c r="I37" i="28"/>
  <c r="I36" i="28"/>
  <c r="I35" i="28"/>
  <c r="I34" i="28"/>
  <c r="I32" i="28"/>
  <c r="I31" i="28"/>
  <c r="I30" i="28"/>
  <c r="S43" i="28"/>
  <c r="S42" i="28"/>
  <c r="S41" i="28"/>
  <c r="S40" i="28"/>
  <c r="S39" i="28"/>
  <c r="S38" i="28"/>
  <c r="S37" i="28"/>
  <c r="S36" i="28"/>
  <c r="S35" i="28"/>
  <c r="S34" i="28"/>
  <c r="S33" i="28"/>
  <c r="S32" i="28"/>
  <c r="S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U43" i="28"/>
  <c r="U42" i="28"/>
  <c r="U41" i="28"/>
  <c r="U40" i="28"/>
  <c r="U39" i="28"/>
  <c r="U26" i="28"/>
  <c r="U25" i="28"/>
  <c r="U24" i="28"/>
  <c r="U23" i="28"/>
  <c r="U22" i="28"/>
  <c r="U21" i="28"/>
  <c r="U20" i="28"/>
  <c r="U19" i="28"/>
  <c r="U18" i="28"/>
  <c r="U17" i="28"/>
  <c r="U16" i="28"/>
  <c r="U15" i="28"/>
  <c r="U14" i="28"/>
  <c r="U13" i="28"/>
  <c r="U29" i="28"/>
  <c r="U28" i="28"/>
  <c r="U27" i="28"/>
  <c r="U38" i="28"/>
  <c r="U37" i="28"/>
  <c r="U36" i="28"/>
  <c r="U35" i="28"/>
  <c r="U34" i="28"/>
  <c r="U33" i="28"/>
  <c r="U32" i="28"/>
  <c r="U31" i="28"/>
  <c r="U30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Y43" i="28"/>
  <c r="Y42" i="28"/>
  <c r="Y41" i="28"/>
  <c r="Y40" i="28"/>
  <c r="Y39" i="28"/>
  <c r="Y26" i="28"/>
  <c r="Y25" i="28"/>
  <c r="Y24" i="28"/>
  <c r="Y23" i="28"/>
  <c r="Y22" i="28"/>
  <c r="Y21" i="28"/>
  <c r="Y20" i="28"/>
  <c r="Y19" i="28"/>
  <c r="Y18" i="28"/>
  <c r="Y17" i="28"/>
  <c r="Y16" i="28"/>
  <c r="Y15" i="28"/>
  <c r="Y14" i="28"/>
  <c r="Y13" i="28"/>
  <c r="Y29" i="28"/>
  <c r="Y28" i="28"/>
  <c r="Y27" i="28"/>
  <c r="Y38" i="28"/>
  <c r="Y37" i="28"/>
  <c r="Y36" i="28"/>
  <c r="Y35" i="28"/>
  <c r="Y34" i="28"/>
  <c r="Y33" i="28"/>
  <c r="Y32" i="28"/>
  <c r="Y31" i="28"/>
  <c r="Y30" i="28"/>
  <c r="AA43" i="28"/>
  <c r="AA42" i="28"/>
  <c r="AA41" i="28"/>
  <c r="AA40" i="28"/>
  <c r="AA39" i="28"/>
  <c r="AA38" i="28"/>
  <c r="AA37" i="28"/>
  <c r="AA36" i="28"/>
  <c r="AA35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A14" i="28"/>
  <c r="AC43" i="28"/>
  <c r="AC42" i="28"/>
  <c r="AC41" i="28"/>
  <c r="AC40" i="28"/>
  <c r="AC39" i="28"/>
  <c r="AC38" i="28"/>
  <c r="AC25" i="28"/>
  <c r="AC24" i="28"/>
  <c r="AC23" i="28"/>
  <c r="AC22" i="28"/>
  <c r="AC21" i="28"/>
  <c r="AC20" i="28"/>
  <c r="AC19" i="28"/>
  <c r="AC18" i="28"/>
  <c r="AC17" i="28"/>
  <c r="AC16" i="28"/>
  <c r="AC15" i="28"/>
  <c r="AC14" i="28"/>
  <c r="AC29" i="28"/>
  <c r="AC28" i="28"/>
  <c r="AC27" i="28"/>
  <c r="AC26" i="28"/>
  <c r="AC37" i="28"/>
  <c r="AC36" i="28"/>
  <c r="AC35" i="28"/>
  <c r="AC34" i="28"/>
  <c r="AC33" i="28"/>
  <c r="AC32" i="28"/>
  <c r="AC31" i="28"/>
  <c r="AC30" i="28"/>
  <c r="C23" i="28"/>
  <c r="D22" i="28"/>
  <c r="Q13" i="28"/>
  <c r="R13" i="28"/>
  <c r="V13" i="28"/>
  <c r="Z13" i="28"/>
  <c r="AE13" i="28"/>
  <c r="Q14" i="28"/>
  <c r="R14" i="28"/>
  <c r="V14" i="28"/>
  <c r="Z14" i="28"/>
  <c r="AE14" i="28"/>
  <c r="Q15" i="28"/>
  <c r="R15" i="28"/>
  <c r="V15" i="28"/>
  <c r="Z15" i="28"/>
  <c r="AE15" i="28"/>
  <c r="Q16" i="28"/>
  <c r="R16" i="28"/>
  <c r="V16" i="28"/>
  <c r="Z16" i="28"/>
  <c r="AE16" i="28"/>
  <c r="Q17" i="28"/>
  <c r="R17" i="28"/>
  <c r="V17" i="28"/>
  <c r="Z17" i="28"/>
  <c r="AE17" i="28"/>
  <c r="Q18" i="28"/>
  <c r="R18" i="28"/>
  <c r="V18" i="28"/>
  <c r="Z18" i="28"/>
  <c r="AE18" i="28"/>
  <c r="Q19" i="28"/>
  <c r="R19" i="28"/>
  <c r="V19" i="28"/>
  <c r="Z19" i="28"/>
  <c r="AE19" i="28"/>
  <c r="Q20" i="28"/>
  <c r="R20" i="28"/>
  <c r="V20" i="28"/>
  <c r="Z20" i="28"/>
  <c r="AE20" i="28"/>
  <c r="Q21" i="28"/>
  <c r="Q22" i="28"/>
  <c r="Q23" i="28"/>
  <c r="I24" i="28"/>
  <c r="I25" i="28"/>
  <c r="I26" i="28"/>
  <c r="Q31" i="28"/>
  <c r="Q32" i="28"/>
  <c r="Q33" i="28"/>
  <c r="Q34" i="28"/>
  <c r="Q35" i="28"/>
  <c r="Q36" i="28"/>
  <c r="Q37" i="28"/>
  <c r="Q38" i="28"/>
  <c r="R22" i="28"/>
  <c r="V22" i="28"/>
  <c r="X22" i="28"/>
  <c r="AB22" i="28"/>
  <c r="AE22" i="28"/>
  <c r="T23" i="28"/>
  <c r="X23" i="28"/>
  <c r="AE23" i="28"/>
  <c r="R24" i="28"/>
  <c r="V24" i="28"/>
  <c r="Z24" i="28"/>
  <c r="AE24" i="28"/>
  <c r="R25" i="28"/>
  <c r="T25" i="28"/>
  <c r="X25" i="28"/>
  <c r="Z25" i="28"/>
  <c r="AB25" i="28"/>
  <c r="AE25" i="28"/>
  <c r="P27" i="28"/>
  <c r="N27" i="28"/>
  <c r="L27" i="28"/>
  <c r="J27" i="28"/>
  <c r="P28" i="28"/>
  <c r="N28" i="28"/>
  <c r="L28" i="28"/>
  <c r="J28" i="28"/>
  <c r="P29" i="28"/>
  <c r="N29" i="28"/>
  <c r="L29" i="28"/>
  <c r="J29" i="28"/>
  <c r="P30" i="28"/>
  <c r="N30" i="28"/>
  <c r="L30" i="28"/>
  <c r="J30" i="28"/>
  <c r="Q30" i="28"/>
  <c r="M31" i="28"/>
  <c r="M32" i="28"/>
  <c r="M33" i="28"/>
  <c r="M34" i="28"/>
  <c r="M35" i="28"/>
  <c r="M36" i="28"/>
  <c r="M37" i="28"/>
  <c r="M38" i="28"/>
  <c r="I39" i="28"/>
  <c r="X39" i="28"/>
  <c r="I40" i="28"/>
  <c r="X40" i="28"/>
  <c r="I41" i="28"/>
  <c r="X41" i="28"/>
  <c r="I42" i="28"/>
  <c r="Q43" i="28"/>
  <c r="T22" i="28"/>
  <c r="Z22" i="28"/>
  <c r="J23" i="28"/>
  <c r="R23" i="28"/>
  <c r="V23" i="28"/>
  <c r="Z23" i="28"/>
  <c r="AB23" i="28"/>
  <c r="T24" i="28"/>
  <c r="X24" i="28"/>
  <c r="AB24" i="28"/>
  <c r="V25" i="28"/>
  <c r="L26" i="28"/>
  <c r="R26" i="28"/>
  <c r="T26" i="28"/>
  <c r="V26" i="28"/>
  <c r="X26" i="28"/>
  <c r="Z26" i="28"/>
  <c r="M27" i="28"/>
  <c r="Q27" i="28"/>
  <c r="M28" i="28"/>
  <c r="Q28" i="28"/>
  <c r="M29" i="28"/>
  <c r="Q29" i="28"/>
  <c r="M30" i="28"/>
  <c r="P31" i="28"/>
  <c r="N31" i="28"/>
  <c r="L31" i="28"/>
  <c r="J31" i="28"/>
  <c r="P32" i="28"/>
  <c r="N32" i="28"/>
  <c r="L32" i="28"/>
  <c r="J32" i="28"/>
  <c r="P33" i="28"/>
  <c r="N33" i="28"/>
  <c r="L33" i="28"/>
  <c r="J33" i="28"/>
  <c r="P34" i="28"/>
  <c r="N34" i="28"/>
  <c r="L34" i="28"/>
  <c r="J34" i="28"/>
  <c r="P35" i="28"/>
  <c r="N35" i="28"/>
  <c r="L35" i="28"/>
  <c r="J35" i="28"/>
  <c r="P36" i="28"/>
  <c r="N36" i="28"/>
  <c r="L36" i="28"/>
  <c r="J36" i="28"/>
  <c r="P37" i="28"/>
  <c r="N37" i="28"/>
  <c r="L37" i="28"/>
  <c r="J37" i="28"/>
  <c r="P38" i="28"/>
  <c r="N38" i="28"/>
  <c r="L38" i="28"/>
  <c r="J38" i="28"/>
  <c r="J43" i="28"/>
  <c r="J42" i="28"/>
  <c r="J41" i="28"/>
  <c r="J40" i="28"/>
  <c r="J39" i="28"/>
  <c r="N43" i="28"/>
  <c r="N42" i="28"/>
  <c r="N41" i="28"/>
  <c r="N40" i="28"/>
  <c r="N39" i="28"/>
  <c r="P43" i="28"/>
  <c r="P42" i="28"/>
  <c r="R43" i="28"/>
  <c r="R42" i="28"/>
  <c r="R41" i="28"/>
  <c r="R40" i="28"/>
  <c r="R39" i="28"/>
  <c r="R38" i="28"/>
  <c r="R37" i="28"/>
  <c r="R36" i="28"/>
  <c r="R35" i="28"/>
  <c r="R34" i="28"/>
  <c r="R33" i="28"/>
  <c r="R32" i="28"/>
  <c r="R31" i="28"/>
  <c r="R30" i="28"/>
  <c r="R29" i="28"/>
  <c r="R28" i="28"/>
  <c r="R27" i="28"/>
  <c r="T43" i="28"/>
  <c r="T42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V43" i="28"/>
  <c r="V42" i="28"/>
  <c r="V41" i="28"/>
  <c r="V40" i="28"/>
  <c r="V39" i="28"/>
  <c r="V38" i="28"/>
  <c r="V37" i="28"/>
  <c r="V36" i="28"/>
  <c r="V35" i="28"/>
  <c r="V34" i="28"/>
  <c r="V33" i="28"/>
  <c r="V32" i="28"/>
  <c r="V31" i="28"/>
  <c r="V30" i="28"/>
  <c r="V29" i="28"/>
  <c r="V28" i="28"/>
  <c r="V27" i="28"/>
  <c r="X43" i="28"/>
  <c r="X42" i="28"/>
  <c r="X38" i="28"/>
  <c r="X37" i="28"/>
  <c r="X36" i="28"/>
  <c r="X35" i="28"/>
  <c r="X34" i="28"/>
  <c r="X33" i="28"/>
  <c r="X32" i="28"/>
  <c r="X31" i="28"/>
  <c r="X30" i="28"/>
  <c r="X29" i="28"/>
  <c r="X28" i="28"/>
  <c r="X27" i="28"/>
  <c r="Z43" i="28"/>
  <c r="Z42" i="28"/>
  <c r="Z41" i="28"/>
  <c r="Z40" i="28"/>
  <c r="Z39" i="28"/>
  <c r="Z38" i="28"/>
  <c r="Z37" i="28"/>
  <c r="Z36" i="28"/>
  <c r="Z35" i="28"/>
  <c r="Z34" i="28"/>
  <c r="Z33" i="28"/>
  <c r="Z32" i="28"/>
  <c r="Z31" i="28"/>
  <c r="Z30" i="28"/>
  <c r="Z29" i="28"/>
  <c r="Z28" i="28"/>
  <c r="Z27" i="28"/>
  <c r="AB43" i="28"/>
  <c r="AB42" i="28"/>
  <c r="AB37" i="28"/>
  <c r="AB36" i="28"/>
  <c r="AB35" i="28"/>
  <c r="AB34" i="28"/>
  <c r="AB33" i="28"/>
  <c r="AB32" i="28"/>
  <c r="AB31" i="28"/>
  <c r="AB30" i="28"/>
  <c r="AB29" i="28"/>
  <c r="AB28" i="28"/>
  <c r="AB27" i="28"/>
  <c r="AB26" i="28"/>
  <c r="AE43" i="28"/>
  <c r="AE42" i="28"/>
  <c r="AE41" i="28"/>
  <c r="AE40" i="28"/>
  <c r="AE39" i="28"/>
  <c r="AE38" i="28"/>
  <c r="AE37" i="28"/>
  <c r="AE36" i="28"/>
  <c r="AE35" i="28"/>
  <c r="AE34" i="28"/>
  <c r="AE33" i="28"/>
  <c r="AE32" i="28"/>
  <c r="AE31" i="28"/>
  <c r="AE30" i="28"/>
  <c r="AE29" i="28"/>
  <c r="AE28" i="28"/>
  <c r="AE27" i="28"/>
  <c r="AE26" i="28"/>
  <c r="G44" i="28"/>
  <c r="K13" i="28"/>
  <c r="M13" i="28"/>
  <c r="O13" i="28"/>
  <c r="K14" i="28"/>
  <c r="M14" i="28"/>
  <c r="O14" i="28"/>
  <c r="K15" i="28"/>
  <c r="M15" i="28"/>
  <c r="O15" i="28"/>
  <c r="K16" i="28"/>
  <c r="M16" i="28"/>
  <c r="O16" i="28"/>
  <c r="K17" i="28"/>
  <c r="M17" i="28"/>
  <c r="O17" i="28"/>
  <c r="K18" i="28"/>
  <c r="M18" i="28"/>
  <c r="O18" i="28"/>
  <c r="K19" i="28"/>
  <c r="M19" i="28"/>
  <c r="O19" i="28"/>
  <c r="K20" i="28"/>
  <c r="M20" i="28"/>
  <c r="O20" i="28"/>
  <c r="K21" i="28"/>
  <c r="M21" i="28"/>
  <c r="O21" i="28"/>
  <c r="K22" i="28"/>
  <c r="M22" i="28"/>
  <c r="O22" i="28"/>
  <c r="K23" i="28"/>
  <c r="M23" i="28"/>
  <c r="O23" i="28"/>
  <c r="K24" i="28"/>
  <c r="M24" i="28"/>
  <c r="O24" i="28"/>
  <c r="K25" i="28"/>
  <c r="M25" i="28"/>
  <c r="O25" i="28"/>
  <c r="K26" i="28"/>
  <c r="M26" i="28"/>
  <c r="O26" i="28"/>
  <c r="K27" i="28"/>
  <c r="O27" i="28"/>
  <c r="K28" i="28"/>
  <c r="O28" i="28"/>
  <c r="K29" i="28"/>
  <c r="O29" i="28"/>
  <c r="K30" i="28"/>
  <c r="O30" i="28"/>
  <c r="K31" i="28"/>
  <c r="O31" i="28"/>
  <c r="K32" i="28"/>
  <c r="O32" i="28"/>
  <c r="K33" i="28"/>
  <c r="O33" i="28"/>
  <c r="K34" i="28"/>
  <c r="O34" i="28"/>
  <c r="K35" i="28"/>
  <c r="O35" i="28"/>
  <c r="K36" i="28"/>
  <c r="O36" i="28"/>
  <c r="K37" i="28"/>
  <c r="O37" i="28"/>
  <c r="K38" i="28"/>
  <c r="O38" i="28"/>
  <c r="AB38" i="28"/>
  <c r="L39" i="28"/>
  <c r="T39" i="28"/>
  <c r="AB39" i="28"/>
  <c r="L40" i="28"/>
  <c r="T40" i="28"/>
  <c r="AB40" i="28"/>
  <c r="L41" i="28"/>
  <c r="T41" i="28"/>
  <c r="AB41" i="28"/>
  <c r="L42" i="28"/>
  <c r="Q39" i="28"/>
  <c r="Q40" i="28"/>
  <c r="Q41" i="28"/>
  <c r="Q42" i="28"/>
  <c r="I43" i="28"/>
  <c r="K39" i="28"/>
  <c r="M39" i="28"/>
  <c r="O39" i="28"/>
  <c r="K40" i="28"/>
  <c r="M40" i="28"/>
  <c r="O40" i="28"/>
  <c r="K41" i="28"/>
  <c r="M41" i="28"/>
  <c r="O41" i="28"/>
  <c r="K42" i="28"/>
  <c r="M42" i="28"/>
  <c r="O42" i="28"/>
  <c r="K43" i="28"/>
  <c r="M43" i="28"/>
  <c r="O43" i="28"/>
  <c r="E39" i="27"/>
  <c r="I39" i="27"/>
  <c r="F70" i="26"/>
  <c r="G5" i="6"/>
  <c r="C5" i="6"/>
  <c r="J4" i="6"/>
  <c r="BF10" i="13"/>
  <c r="BF11" i="13"/>
  <c r="BF12" i="13"/>
  <c r="BF13" i="13"/>
  <c r="BF14" i="13"/>
  <c r="BF15" i="13"/>
  <c r="BF16" i="13"/>
  <c r="BF17" i="13"/>
  <c r="BF18" i="13"/>
  <c r="BF19" i="13"/>
  <c r="BF20" i="13"/>
  <c r="I40" i="5" s="1"/>
  <c r="BF9" i="13"/>
  <c r="G40" i="5"/>
  <c r="C5" i="5"/>
  <c r="C53" i="17"/>
  <c r="C58" i="17"/>
  <c r="C63" i="17"/>
  <c r="C48" i="17"/>
  <c r="C43" i="17"/>
  <c r="C38" i="17"/>
  <c r="C33" i="17"/>
  <c r="C28" i="17"/>
  <c r="C23" i="17"/>
  <c r="C18" i="17"/>
  <c r="C13" i="17"/>
  <c r="C8" i="17"/>
  <c r="S4" i="17"/>
  <c r="R4" i="17"/>
  <c r="O4" i="17"/>
  <c r="L4" i="17"/>
  <c r="I4" i="17"/>
  <c r="C4" i="17"/>
  <c r="H23" i="31" l="1"/>
  <c r="G9" i="27"/>
  <c r="K9" i="27"/>
  <c r="T9" i="27" s="1"/>
  <c r="Q26" i="31"/>
  <c r="Q35" i="31" s="1"/>
  <c r="R26" i="31"/>
  <c r="R35" i="31" s="1"/>
  <c r="T8" i="27"/>
  <c r="N10" i="34"/>
  <c r="CS141" i="24"/>
  <c r="D35" i="31" s="1"/>
  <c r="D9" i="27"/>
  <c r="D29" i="31"/>
  <c r="D31" i="31"/>
  <c r="D32" i="31"/>
  <c r="BY124" i="24"/>
  <c r="DB88" i="24" s="1"/>
  <c r="D34" i="31"/>
  <c r="D30" i="31"/>
  <c r="D33" i="31"/>
  <c r="D27" i="31"/>
  <c r="D26" i="31"/>
  <c r="H21" i="25"/>
  <c r="D25" i="31"/>
  <c r="D23" i="31"/>
  <c r="G6" i="25"/>
  <c r="O101" i="44"/>
  <c r="H19" i="25"/>
  <c r="I40" i="25"/>
  <c r="K40" i="25" s="1"/>
  <c r="P35" i="31"/>
  <c r="N35" i="31"/>
  <c r="F73" i="26"/>
  <c r="O35" i="31"/>
  <c r="F13" i="26"/>
  <c r="J23" i="31"/>
  <c r="F23" i="26"/>
  <c r="J25" i="31"/>
  <c r="F33" i="26"/>
  <c r="J27" i="31"/>
  <c r="F43" i="26"/>
  <c r="J29" i="31"/>
  <c r="F53" i="26"/>
  <c r="J31" i="31"/>
  <c r="F63" i="26"/>
  <c r="J33" i="31"/>
  <c r="T26" i="31"/>
  <c r="T35" i="31" s="1"/>
  <c r="S26" i="31"/>
  <c r="S35" i="31" s="1"/>
  <c r="F18" i="26"/>
  <c r="J24" i="31"/>
  <c r="F38" i="26"/>
  <c r="J28" i="31"/>
  <c r="F48" i="26"/>
  <c r="J30" i="31"/>
  <c r="F58" i="26"/>
  <c r="J32" i="31"/>
  <c r="BT28" i="30"/>
  <c r="BW28" i="30" s="1"/>
  <c r="BR38" i="30"/>
  <c r="Q14" i="33" s="1"/>
  <c r="BT21" i="30"/>
  <c r="BW21" i="30" s="1"/>
  <c r="BQ38" i="30"/>
  <c r="Q13" i="33" s="1"/>
  <c r="BT35" i="30"/>
  <c r="BW35" i="30" s="1"/>
  <c r="BS38" i="30"/>
  <c r="Q15" i="33" s="1"/>
  <c r="BT7" i="30"/>
  <c r="BW7" i="30" s="1"/>
  <c r="BP38" i="30"/>
  <c r="Q12" i="33" s="1"/>
  <c r="T38" i="30"/>
  <c r="U38" i="30"/>
  <c r="W38" i="30"/>
  <c r="V38" i="30"/>
  <c r="E35" i="31"/>
  <c r="H35" i="31" s="1"/>
  <c r="F68" i="26"/>
  <c r="J34" i="31"/>
  <c r="O74" i="26"/>
  <c r="O75" i="26" s="1"/>
  <c r="W74" i="26"/>
  <c r="W75" i="26" s="1"/>
  <c r="I74" i="26"/>
  <c r="I75" i="26" s="1"/>
  <c r="CL91" i="24"/>
  <c r="CL124" i="24" s="1"/>
  <c r="L74" i="26"/>
  <c r="L75" i="26" s="1"/>
  <c r="Q74" i="26"/>
  <c r="Q75" i="26" s="1"/>
  <c r="T74" i="26"/>
  <c r="T75" i="26" s="1"/>
  <c r="AX56" i="26" s="1"/>
  <c r="V74" i="26"/>
  <c r="V75" i="26" s="1"/>
  <c r="J74" i="26"/>
  <c r="J75" i="26" s="1"/>
  <c r="AN56" i="26" s="1"/>
  <c r="S74" i="26"/>
  <c r="S75" i="26" s="1"/>
  <c r="H74" i="26"/>
  <c r="H75" i="26" s="1"/>
  <c r="R74" i="26"/>
  <c r="R75" i="26" s="1"/>
  <c r="U74" i="26"/>
  <c r="U75" i="26" s="1"/>
  <c r="H23" i="25"/>
  <c r="M28" i="26"/>
  <c r="M74" i="26" s="1"/>
  <c r="M75" i="26" s="1"/>
  <c r="P74" i="26"/>
  <c r="P75" i="26" s="1"/>
  <c r="BL124" i="24"/>
  <c r="CO88" i="24" s="1"/>
  <c r="CP88" i="24"/>
  <c r="BQ124" i="24"/>
  <c r="CT88" i="24" s="1"/>
  <c r="BS124" i="24"/>
  <c r="CV88" i="24" s="1"/>
  <c r="BK94" i="14"/>
  <c r="BU124" i="24"/>
  <c r="CX88" i="24" s="1"/>
  <c r="BW124" i="24"/>
  <c r="CZ88" i="24" s="1"/>
  <c r="BI129" i="24"/>
  <c r="H27" i="25"/>
  <c r="H18" i="25"/>
  <c r="H28" i="25"/>
  <c r="H25" i="25"/>
  <c r="H33" i="25"/>
  <c r="H20" i="25"/>
  <c r="H30" i="25"/>
  <c r="H31" i="25"/>
  <c r="H22" i="25"/>
  <c r="H32" i="25"/>
  <c r="H29" i="25"/>
  <c r="F28" i="26"/>
  <c r="H16" i="25"/>
  <c r="H26" i="25"/>
  <c r="CS88" i="24"/>
  <c r="BH124" i="24"/>
  <c r="CK88" i="24" s="1"/>
  <c r="C10" i="27"/>
  <c r="AR56" i="26"/>
  <c r="BR124" i="24"/>
  <c r="BR129" i="24" s="1"/>
  <c r="K40" i="5"/>
  <c r="AP56" i="26"/>
  <c r="BN157" i="24"/>
  <c r="BP157" i="24"/>
  <c r="CR88" i="24"/>
  <c r="BL157" i="24"/>
  <c r="BN124" i="24"/>
  <c r="CQ88" i="24" s="1"/>
  <c r="BK124" i="24"/>
  <c r="BK129" i="24" s="1"/>
  <c r="BJ124" i="24"/>
  <c r="BJ129" i="24" s="1"/>
  <c r="BV157" i="24"/>
  <c r="BK157" i="24"/>
  <c r="BU157" i="24"/>
  <c r="BM157" i="24"/>
  <c r="BW157" i="24"/>
  <c r="BR157" i="24"/>
  <c r="BZ157" i="24"/>
  <c r="BO157" i="24"/>
  <c r="BY157" i="24"/>
  <c r="BI157" i="24"/>
  <c r="J35" i="31" s="1"/>
  <c r="BS157" i="24"/>
  <c r="BV124" i="24"/>
  <c r="BV129" i="24" s="1"/>
  <c r="DH96" i="24"/>
  <c r="DI95" i="24"/>
  <c r="EK96" i="24"/>
  <c r="EL95" i="24"/>
  <c r="GQ96" i="24"/>
  <c r="GR95" i="24"/>
  <c r="HT96" i="24"/>
  <c r="HU95" i="24"/>
  <c r="IW96" i="24"/>
  <c r="IX95" i="24"/>
  <c r="LC96" i="24"/>
  <c r="LD95" i="24"/>
  <c r="NI96" i="24"/>
  <c r="NJ95" i="24"/>
  <c r="BB96" i="24"/>
  <c r="BC95" i="24"/>
  <c r="BY129" i="24"/>
  <c r="BX157" i="24"/>
  <c r="BX124" i="24"/>
  <c r="DF123" i="24"/>
  <c r="FL123" i="24"/>
  <c r="GO123" i="24"/>
  <c r="IU123" i="24"/>
  <c r="LA123" i="24"/>
  <c r="NG123" i="24"/>
  <c r="CE96" i="24"/>
  <c r="CF95" i="24"/>
  <c r="FN96" i="24"/>
  <c r="FO95" i="24"/>
  <c r="JZ96" i="24"/>
  <c r="KA95" i="24"/>
  <c r="MF96" i="24"/>
  <c r="MG95" i="24"/>
  <c r="BT157" i="24"/>
  <c r="BT124" i="24"/>
  <c r="CC123" i="24"/>
  <c r="EI123" i="24"/>
  <c r="HR123" i="24"/>
  <c r="JX123" i="24"/>
  <c r="MD123" i="24"/>
  <c r="OJ123" i="24"/>
  <c r="J44" i="28"/>
  <c r="P44" i="28"/>
  <c r="N44" i="28"/>
  <c r="L44" i="28"/>
  <c r="M44" i="28"/>
  <c r="V44" i="28"/>
  <c r="Q44" i="28"/>
  <c r="C24" i="28"/>
  <c r="D23" i="28"/>
  <c r="AC44" i="28"/>
  <c r="Y44" i="28"/>
  <c r="U44" i="28"/>
  <c r="AB44" i="28"/>
  <c r="T44" i="28"/>
  <c r="O44" i="28"/>
  <c r="K44" i="28"/>
  <c r="Z44" i="28"/>
  <c r="R44" i="28"/>
  <c r="AA44" i="28"/>
  <c r="W44" i="28"/>
  <c r="S44" i="28"/>
  <c r="X44" i="28"/>
  <c r="I44" i="28"/>
  <c r="J39" i="27"/>
  <c r="AK56" i="26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Q21" i="33" l="1"/>
  <c r="S21" i="33" s="1"/>
  <c r="K23" i="31"/>
  <c r="AE44" i="28"/>
  <c r="G10" i="27"/>
  <c r="K10" i="27"/>
  <c r="T10" i="27" s="1"/>
  <c r="C11" i="27"/>
  <c r="K11" i="27" s="1"/>
  <c r="T11" i="27" s="1"/>
  <c r="D10" i="34"/>
  <c r="L10" i="34"/>
  <c r="BQ129" i="24"/>
  <c r="K35" i="31"/>
  <c r="O102" i="44"/>
  <c r="BL129" i="24"/>
  <c r="BW129" i="24"/>
  <c r="OI124" i="24"/>
  <c r="JW124" i="24"/>
  <c r="EH124" i="24"/>
  <c r="NF124" i="24"/>
  <c r="IT124" i="24"/>
  <c r="FK124" i="24"/>
  <c r="MC124" i="24"/>
  <c r="HQ124" i="24"/>
  <c r="CB124" i="24"/>
  <c r="KZ124" i="24"/>
  <c r="GN124" i="24"/>
  <c r="DE124" i="24"/>
  <c r="F74" i="26"/>
  <c r="F75" i="26" s="1"/>
  <c r="AJ56" i="26" s="1"/>
  <c r="BS129" i="24"/>
  <c r="BI130" i="24"/>
  <c r="DO88" i="24"/>
  <c r="CO91" i="24"/>
  <c r="CO124" i="24" s="1"/>
  <c r="DB91" i="24"/>
  <c r="DB124" i="24" s="1"/>
  <c r="CT91" i="24"/>
  <c r="CT124" i="24" s="1"/>
  <c r="CQ91" i="24"/>
  <c r="CQ124" i="24" s="1"/>
  <c r="CR91" i="24"/>
  <c r="CR124" i="24" s="1"/>
  <c r="CK91" i="24"/>
  <c r="CK124" i="24" s="1"/>
  <c r="CX91" i="24"/>
  <c r="CX124" i="24" s="1"/>
  <c r="CV91" i="24"/>
  <c r="CV124" i="24" s="1"/>
  <c r="CP91" i="24"/>
  <c r="CP124" i="24" s="1"/>
  <c r="CS91" i="24"/>
  <c r="CS124" i="24" s="1"/>
  <c r="CZ91" i="24"/>
  <c r="CZ124" i="24" s="1"/>
  <c r="BU129" i="24"/>
  <c r="BH129" i="24"/>
  <c r="E24" i="31" s="1"/>
  <c r="H24" i="31" s="1"/>
  <c r="K24" i="31" s="1"/>
  <c r="CY88" i="24"/>
  <c r="CU88" i="24"/>
  <c r="AV56" i="26"/>
  <c r="AS56" i="26"/>
  <c r="BA56" i="26"/>
  <c r="D10" i="27"/>
  <c r="AL56" i="26"/>
  <c r="CN88" i="24"/>
  <c r="AT56" i="26"/>
  <c r="BN129" i="24"/>
  <c r="AZ56" i="26"/>
  <c r="CM88" i="24"/>
  <c r="AO56" i="26"/>
  <c r="AW56" i="26"/>
  <c r="AM56" i="26"/>
  <c r="AU56" i="26"/>
  <c r="AQ56" i="26"/>
  <c r="AY56" i="26"/>
  <c r="CW88" i="24"/>
  <c r="BT129" i="24"/>
  <c r="BX129" i="24"/>
  <c r="DA88" i="24"/>
  <c r="MF97" i="24"/>
  <c r="MG96" i="24"/>
  <c r="JZ97" i="24"/>
  <c r="KA96" i="24"/>
  <c r="FN97" i="24"/>
  <c r="FO96" i="24"/>
  <c r="CE97" i="24"/>
  <c r="CF96" i="24"/>
  <c r="BB97" i="24"/>
  <c r="BC96" i="24"/>
  <c r="NI97" i="24"/>
  <c r="NJ96" i="24"/>
  <c r="LC97" i="24"/>
  <c r="LD96" i="24"/>
  <c r="IW97" i="24"/>
  <c r="IX96" i="24"/>
  <c r="HT97" i="24"/>
  <c r="HU96" i="24"/>
  <c r="GQ97" i="24"/>
  <c r="GR96" i="24"/>
  <c r="EK97" i="24"/>
  <c r="EL96" i="24"/>
  <c r="DH97" i="24"/>
  <c r="DI96" i="24"/>
  <c r="C25" i="28"/>
  <c r="D24" i="28"/>
  <c r="AC45" i="28"/>
  <c r="BD10" i="13"/>
  <c r="BE10" i="13"/>
  <c r="BD11" i="13"/>
  <c r="BE11" i="13"/>
  <c r="BD12" i="13"/>
  <c r="BE12" i="13"/>
  <c r="BD13" i="13"/>
  <c r="BE13" i="13"/>
  <c r="BD14" i="13"/>
  <c r="BE14" i="13"/>
  <c r="BD15" i="13"/>
  <c r="BE15" i="13"/>
  <c r="BD16" i="13"/>
  <c r="BE16" i="13"/>
  <c r="BD17" i="13"/>
  <c r="BE17" i="13"/>
  <c r="BD18" i="13"/>
  <c r="BE18" i="13"/>
  <c r="BD19" i="13"/>
  <c r="BE19" i="13"/>
  <c r="BD20" i="13"/>
  <c r="BE20" i="13"/>
  <c r="BE9" i="13"/>
  <c r="BD9" i="13"/>
  <c r="K5" i="5"/>
  <c r="H5" i="5"/>
  <c r="F5" i="5"/>
  <c r="B2" i="5"/>
  <c r="J2" i="18"/>
  <c r="I2" i="18"/>
  <c r="F4" i="18"/>
  <c r="D4" i="18"/>
  <c r="J3" i="18"/>
  <c r="D3" i="18"/>
  <c r="D22" i="13"/>
  <c r="O22" i="13"/>
  <c r="N22" i="13"/>
  <c r="O3" i="13"/>
  <c r="N3" i="13"/>
  <c r="D3" i="13"/>
  <c r="C12" i="27" l="1"/>
  <c r="G12" i="27"/>
  <c r="K12" i="27"/>
  <c r="T12" i="27" s="1"/>
  <c r="D11" i="27"/>
  <c r="G11" i="27"/>
  <c r="O103" i="44"/>
  <c r="I38" i="25"/>
  <c r="K39" i="25" s="1"/>
  <c r="K41" i="25" s="1"/>
  <c r="I38" i="5"/>
  <c r="DV88" i="24"/>
  <c r="BP130" i="24"/>
  <c r="DY88" i="24"/>
  <c r="BS130" i="24"/>
  <c r="BH130" i="24"/>
  <c r="E25" i="31" s="1"/>
  <c r="DN88" i="24"/>
  <c r="BN130" i="24"/>
  <c r="DT88" i="24"/>
  <c r="BY130" i="24"/>
  <c r="EE88" i="24"/>
  <c r="BW130" i="24"/>
  <c r="EC88" i="24"/>
  <c r="BM130" i="24"/>
  <c r="DS88" i="24"/>
  <c r="BU130" i="24"/>
  <c r="EA88" i="24"/>
  <c r="DU88" i="24"/>
  <c r="BO130" i="24"/>
  <c r="BQ130" i="24"/>
  <c r="DW88" i="24"/>
  <c r="BL130" i="24"/>
  <c r="DR88" i="24"/>
  <c r="DA91" i="24"/>
  <c r="DA124" i="24" s="1"/>
  <c r="CW91" i="24"/>
  <c r="CW124" i="24" s="1"/>
  <c r="CN91" i="24"/>
  <c r="CN124" i="24" s="1"/>
  <c r="CU91" i="24"/>
  <c r="CU124" i="24" s="1"/>
  <c r="CY91" i="24"/>
  <c r="CY124" i="24" s="1"/>
  <c r="DO91" i="24"/>
  <c r="DO124" i="24" s="1"/>
  <c r="CM91" i="24"/>
  <c r="CM124" i="24" s="1"/>
  <c r="DH98" i="24"/>
  <c r="DI97" i="24"/>
  <c r="EK98" i="24"/>
  <c r="EL97" i="24"/>
  <c r="GQ98" i="24"/>
  <c r="GR97" i="24"/>
  <c r="HT98" i="24"/>
  <c r="HU97" i="24"/>
  <c r="IW98" i="24"/>
  <c r="IX97" i="24"/>
  <c r="LC98" i="24"/>
  <c r="LD97" i="24"/>
  <c r="NI98" i="24"/>
  <c r="NJ97" i="24"/>
  <c r="BB98" i="24"/>
  <c r="BC97" i="24"/>
  <c r="CE98" i="24"/>
  <c r="CF97" i="24"/>
  <c r="FN98" i="24"/>
  <c r="FO97" i="24"/>
  <c r="JZ98" i="24"/>
  <c r="KA97" i="24"/>
  <c r="MF98" i="24"/>
  <c r="MG97" i="24"/>
  <c r="C26" i="28"/>
  <c r="D25" i="28"/>
  <c r="C13" i="27"/>
  <c r="D12" i="27"/>
  <c r="C8" i="18"/>
  <c r="D8" i="18" s="1"/>
  <c r="H25" i="31" l="1"/>
  <c r="G13" i="27"/>
  <c r="K13" i="27"/>
  <c r="T13" i="27" s="1"/>
  <c r="O104" i="44"/>
  <c r="BR130" i="24"/>
  <c r="DX88" i="24"/>
  <c r="DX91" i="24" s="1"/>
  <c r="DX124" i="24" s="1"/>
  <c r="DZ88" i="24"/>
  <c r="BT130" i="24"/>
  <c r="BJ130" i="24"/>
  <c r="DP88" i="24"/>
  <c r="DP91" i="24" s="1"/>
  <c r="DP124" i="24" s="1"/>
  <c r="DQ88" i="24"/>
  <c r="DQ91" i="24" s="1"/>
  <c r="DQ124" i="24" s="1"/>
  <c r="BK130" i="24"/>
  <c r="ED88" i="24"/>
  <c r="ED91" i="24" s="1"/>
  <c r="ED124" i="24" s="1"/>
  <c r="BX130" i="24"/>
  <c r="DR91" i="24"/>
  <c r="DR124" i="24" s="1"/>
  <c r="DW91" i="24"/>
  <c r="DW124" i="24" s="1"/>
  <c r="EA91" i="24"/>
  <c r="EA124" i="24" s="1"/>
  <c r="DS91" i="24"/>
  <c r="DS124" i="24" s="1"/>
  <c r="EC91" i="24"/>
  <c r="EC124" i="24" s="1"/>
  <c r="EE91" i="24"/>
  <c r="EE124" i="24" s="1"/>
  <c r="DT91" i="24"/>
  <c r="DT124" i="24" s="1"/>
  <c r="DN91" i="24"/>
  <c r="DN124" i="24" s="1"/>
  <c r="DZ91" i="24"/>
  <c r="DZ124" i="24" s="1"/>
  <c r="BI131" i="24"/>
  <c r="ER88" i="24"/>
  <c r="EB88" i="24"/>
  <c r="BV130" i="24"/>
  <c r="DU91" i="24"/>
  <c r="DU124" i="24" s="1"/>
  <c r="DY91" i="24"/>
  <c r="DY124" i="24" s="1"/>
  <c r="DV91" i="24"/>
  <c r="DV124" i="24" s="1"/>
  <c r="MF99" i="24"/>
  <c r="MG98" i="24"/>
  <c r="JZ99" i="24"/>
  <c r="KA98" i="24"/>
  <c r="FN99" i="24"/>
  <c r="FO98" i="24"/>
  <c r="CE99" i="24"/>
  <c r="CF98" i="24"/>
  <c r="BB99" i="24"/>
  <c r="BC98" i="24"/>
  <c r="NI99" i="24"/>
  <c r="NJ98" i="24"/>
  <c r="LC99" i="24"/>
  <c r="LD98" i="24"/>
  <c r="IW99" i="24"/>
  <c r="IX98" i="24"/>
  <c r="HT99" i="24"/>
  <c r="HU98" i="24"/>
  <c r="GQ99" i="24"/>
  <c r="GR98" i="24"/>
  <c r="EK99" i="24"/>
  <c r="EL98" i="24"/>
  <c r="DH99" i="24"/>
  <c r="DI98" i="24"/>
  <c r="C27" i="28"/>
  <c r="D26" i="28"/>
  <c r="C14" i="27"/>
  <c r="D13" i="27"/>
  <c r="D7" i="18"/>
  <c r="C9" i="18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A59" i="14"/>
  <c r="K25" i="31" l="1"/>
  <c r="G14" i="27"/>
  <c r="K14" i="27"/>
  <c r="O105" i="44"/>
  <c r="BT131" i="24"/>
  <c r="FC88" i="24"/>
  <c r="EW88" i="24"/>
  <c r="BN131" i="24"/>
  <c r="FF88" i="24"/>
  <c r="BW131" i="24"/>
  <c r="FD88" i="24"/>
  <c r="BU131" i="24"/>
  <c r="EU88" i="24"/>
  <c r="BL131" i="24"/>
  <c r="FA88" i="24"/>
  <c r="BR131" i="24"/>
  <c r="FG88" i="24"/>
  <c r="BX131" i="24"/>
  <c r="BH131" i="24"/>
  <c r="E26" i="31" s="1"/>
  <c r="EQ88" i="24"/>
  <c r="BY131" i="24"/>
  <c r="FH88" i="24"/>
  <c r="BM131" i="24"/>
  <c r="EV88" i="24"/>
  <c r="BQ131" i="24"/>
  <c r="EZ88" i="24"/>
  <c r="BJ131" i="24"/>
  <c r="ES88" i="24"/>
  <c r="ER91" i="24"/>
  <c r="ER124" i="24" s="1"/>
  <c r="BP131" i="24"/>
  <c r="EY88" i="24"/>
  <c r="FB88" i="24"/>
  <c r="BS131" i="24"/>
  <c r="EX88" i="24"/>
  <c r="BO131" i="24"/>
  <c r="ET88" i="24"/>
  <c r="BK131" i="24"/>
  <c r="EB91" i="24"/>
  <c r="EB124" i="24" s="1"/>
  <c r="DH100" i="24"/>
  <c r="DI99" i="24"/>
  <c r="EK100" i="24"/>
  <c r="EL99" i="24"/>
  <c r="GQ100" i="24"/>
  <c r="GR99" i="24"/>
  <c r="HT100" i="24"/>
  <c r="HU99" i="24"/>
  <c r="IW100" i="24"/>
  <c r="IX99" i="24"/>
  <c r="LC100" i="24"/>
  <c r="LD99" i="24"/>
  <c r="NI100" i="24"/>
  <c r="NJ99" i="24"/>
  <c r="BB100" i="24"/>
  <c r="BC99" i="24"/>
  <c r="CE100" i="24"/>
  <c r="CF99" i="24"/>
  <c r="FN100" i="24"/>
  <c r="FO99" i="24"/>
  <c r="JZ100" i="24"/>
  <c r="KA99" i="24"/>
  <c r="MF100" i="24"/>
  <c r="MG99" i="24"/>
  <c r="D27" i="28"/>
  <c r="C28" i="28"/>
  <c r="C15" i="27"/>
  <c r="D14" i="27"/>
  <c r="D9" i="18"/>
  <c r="C10" i="18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H26" i="31" l="1"/>
  <c r="G10" i="34"/>
  <c r="G15" i="27"/>
  <c r="K15" i="27"/>
  <c r="T15" i="27" s="1"/>
  <c r="T14" i="27"/>
  <c r="O106" i="44"/>
  <c r="FE88" i="24"/>
  <c r="BV131" i="24"/>
  <c r="FU88" i="24"/>
  <c r="BI132" i="24"/>
  <c r="EY91" i="24"/>
  <c r="EY124" i="24" s="1"/>
  <c r="ES91" i="24"/>
  <c r="ES124" i="24" s="1"/>
  <c r="EZ91" i="24"/>
  <c r="EZ124" i="24" s="1"/>
  <c r="EV91" i="24"/>
  <c r="EV124" i="24" s="1"/>
  <c r="FH91" i="24"/>
  <c r="FH124" i="24" s="1"/>
  <c r="EQ91" i="24"/>
  <c r="EQ124" i="24" s="1"/>
  <c r="FC91" i="24"/>
  <c r="FC124" i="24" s="1"/>
  <c r="ET91" i="24"/>
  <c r="ET124" i="24" s="1"/>
  <c r="EX91" i="24"/>
  <c r="EX124" i="24" s="1"/>
  <c r="FB91" i="24"/>
  <c r="FB124" i="24" s="1"/>
  <c r="FG91" i="24"/>
  <c r="FG124" i="24" s="1"/>
  <c r="FA91" i="24"/>
  <c r="FA124" i="24" s="1"/>
  <c r="EU91" i="24"/>
  <c r="EU124" i="24" s="1"/>
  <c r="FD91" i="24"/>
  <c r="FD124" i="24" s="1"/>
  <c r="FF91" i="24"/>
  <c r="FF124" i="24" s="1"/>
  <c r="EW91" i="24"/>
  <c r="EW124" i="24" s="1"/>
  <c r="AX24" i="14"/>
  <c r="MF101" i="24"/>
  <c r="MG100" i="24"/>
  <c r="JZ101" i="24"/>
  <c r="KA100" i="24"/>
  <c r="FN101" i="24"/>
  <c r="FO100" i="24"/>
  <c r="CE101" i="24"/>
  <c r="CF100" i="24"/>
  <c r="BB101" i="24"/>
  <c r="BC100" i="24"/>
  <c r="NI101" i="24"/>
  <c r="NJ100" i="24"/>
  <c r="LC101" i="24"/>
  <c r="LD100" i="24"/>
  <c r="IW101" i="24"/>
  <c r="IX100" i="24"/>
  <c r="HT101" i="24"/>
  <c r="HU100" i="24"/>
  <c r="GQ101" i="24"/>
  <c r="GR100" i="24"/>
  <c r="EK101" i="24"/>
  <c r="EL100" i="24"/>
  <c r="DH101" i="24"/>
  <c r="DI100" i="24"/>
  <c r="D28" i="28"/>
  <c r="C29" i="28"/>
  <c r="C16" i="27"/>
  <c r="D15" i="27"/>
  <c r="C11" i="18"/>
  <c r="D10" i="18"/>
  <c r="K26" i="31" l="1"/>
  <c r="M10" i="34" s="1"/>
  <c r="J10" i="34"/>
  <c r="G16" i="27"/>
  <c r="K16" i="27"/>
  <c r="T16" i="27" s="1"/>
  <c r="O107" i="44"/>
  <c r="BN132" i="24"/>
  <c r="FZ88" i="24"/>
  <c r="GG88" i="24"/>
  <c r="BU132" i="24"/>
  <c r="GD88" i="24"/>
  <c r="BR132" i="24"/>
  <c r="BS132" i="24"/>
  <c r="GE88" i="24"/>
  <c r="FW88" i="24"/>
  <c r="BK132" i="24"/>
  <c r="BH132" i="24"/>
  <c r="E27" i="31" s="1"/>
  <c r="H27" i="31" s="1"/>
  <c r="K27" i="31" s="1"/>
  <c r="FT88" i="24"/>
  <c r="BM132" i="24"/>
  <c r="FY88" i="24"/>
  <c r="BJ132" i="24"/>
  <c r="FV88" i="24"/>
  <c r="GI88" i="24"/>
  <c r="BW132" i="24"/>
  <c r="BL132" i="24"/>
  <c r="FX88" i="24"/>
  <c r="BX132" i="24"/>
  <c r="GJ88" i="24"/>
  <c r="GA88" i="24"/>
  <c r="BO132" i="24"/>
  <c r="BT132" i="24"/>
  <c r="GF88" i="24"/>
  <c r="BY132" i="24"/>
  <c r="GK88" i="24"/>
  <c r="BQ132" i="24"/>
  <c r="GC88" i="24"/>
  <c r="BP132" i="24"/>
  <c r="GB88" i="24"/>
  <c r="FU91" i="24"/>
  <c r="FU124" i="24" s="1"/>
  <c r="FE91" i="24"/>
  <c r="FE124" i="24" s="1"/>
  <c r="DH102" i="24"/>
  <c r="DI101" i="24"/>
  <c r="EK102" i="24"/>
  <c r="EL101" i="24"/>
  <c r="GQ102" i="24"/>
  <c r="GR101" i="24"/>
  <c r="HT102" i="24"/>
  <c r="HU101" i="24"/>
  <c r="IW102" i="24"/>
  <c r="IX101" i="24"/>
  <c r="LC102" i="24"/>
  <c r="LD101" i="24"/>
  <c r="NI102" i="24"/>
  <c r="NJ101" i="24"/>
  <c r="BB102" i="24"/>
  <c r="BC101" i="24"/>
  <c r="CE102" i="24"/>
  <c r="CF101" i="24"/>
  <c r="FN102" i="24"/>
  <c r="FO101" i="24"/>
  <c r="JZ102" i="24"/>
  <c r="KA101" i="24"/>
  <c r="MF102" i="24"/>
  <c r="MG101" i="24"/>
  <c r="D29" i="28"/>
  <c r="C30" i="28"/>
  <c r="C17" i="27"/>
  <c r="D16" i="27"/>
  <c r="C12" i="18"/>
  <c r="D11" i="18"/>
  <c r="G17" i="27" l="1"/>
  <c r="K17" i="27"/>
  <c r="T17" i="27" s="1"/>
  <c r="O108" i="44"/>
  <c r="GH88" i="24"/>
  <c r="BV132" i="24"/>
  <c r="GX88" i="24"/>
  <c r="BI133" i="24"/>
  <c r="GB91" i="24"/>
  <c r="GB124" i="24" s="1"/>
  <c r="GC91" i="24"/>
  <c r="GC124" i="24" s="1"/>
  <c r="GK91" i="24"/>
  <c r="GK124" i="24" s="1"/>
  <c r="GF91" i="24"/>
  <c r="GF124" i="24" s="1"/>
  <c r="GJ91" i="24"/>
  <c r="GJ124" i="24" s="1"/>
  <c r="FX91" i="24"/>
  <c r="FX124" i="24" s="1"/>
  <c r="FV91" i="24"/>
  <c r="FV124" i="24" s="1"/>
  <c r="FY91" i="24"/>
  <c r="FY124" i="24" s="1"/>
  <c r="FT91" i="24"/>
  <c r="FT124" i="24" s="1"/>
  <c r="GE91" i="24"/>
  <c r="GE124" i="24" s="1"/>
  <c r="FZ91" i="24"/>
  <c r="FZ124" i="24" s="1"/>
  <c r="GA91" i="24"/>
  <c r="GA124" i="24" s="1"/>
  <c r="GI91" i="24"/>
  <c r="GI124" i="24" s="1"/>
  <c r="FW91" i="24"/>
  <c r="FW124" i="24" s="1"/>
  <c r="GD91" i="24"/>
  <c r="GD124" i="24" s="1"/>
  <c r="GG91" i="24"/>
  <c r="GG124" i="24" s="1"/>
  <c r="MF103" i="24"/>
  <c r="MG102" i="24"/>
  <c r="JZ103" i="24"/>
  <c r="KA102" i="24"/>
  <c r="FN103" i="24"/>
  <c r="FO102" i="24"/>
  <c r="CE103" i="24"/>
  <c r="CF102" i="24"/>
  <c r="BB103" i="24"/>
  <c r="BC102" i="24"/>
  <c r="NI103" i="24"/>
  <c r="NJ102" i="24"/>
  <c r="LC103" i="24"/>
  <c r="LD102" i="24"/>
  <c r="IW103" i="24"/>
  <c r="IX102" i="24"/>
  <c r="HT103" i="24"/>
  <c r="HU102" i="24"/>
  <c r="GQ103" i="24"/>
  <c r="GR102" i="24"/>
  <c r="EK103" i="24"/>
  <c r="EL102" i="24"/>
  <c r="DH103" i="24"/>
  <c r="DI102" i="24"/>
  <c r="D30" i="28"/>
  <c r="C31" i="28"/>
  <c r="C18" i="27"/>
  <c r="D17" i="27"/>
  <c r="C13" i="18"/>
  <c r="D12" i="18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Q47" i="14"/>
  <c r="BR47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BR48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B60" i="14"/>
  <c r="BB61" i="14" s="1"/>
  <c r="MM11" i="24" s="1"/>
  <c r="BC60" i="14"/>
  <c r="BD60" i="14"/>
  <c r="BE60" i="14"/>
  <c r="BF60" i="14"/>
  <c r="BF61" i="14" s="1"/>
  <c r="BG60" i="14"/>
  <c r="BH60" i="14"/>
  <c r="BI60" i="14"/>
  <c r="BJ60" i="14"/>
  <c r="BJ61" i="14" s="1"/>
  <c r="BK60" i="14"/>
  <c r="BL60" i="14"/>
  <c r="BM60" i="14"/>
  <c r="BN60" i="14"/>
  <c r="BN61" i="14" s="1"/>
  <c r="BO60" i="14"/>
  <c r="BP60" i="14"/>
  <c r="BQ60" i="14"/>
  <c r="BR60" i="14"/>
  <c r="BR61" i="14" s="1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A63" i="14"/>
  <c r="BA60" i="14"/>
  <c r="BA57" i="14"/>
  <c r="BA54" i="14"/>
  <c r="BA51" i="14"/>
  <c r="BA48" i="14"/>
  <c r="BA45" i="14"/>
  <c r="BA42" i="14"/>
  <c r="BA39" i="14"/>
  <c r="BA36" i="14"/>
  <c r="BA33" i="14"/>
  <c r="BA30" i="14"/>
  <c r="BA62" i="14"/>
  <c r="BA61" i="14"/>
  <c r="BA56" i="14"/>
  <c r="BA58" i="14" s="1"/>
  <c r="F15" i="31" s="1"/>
  <c r="F49" i="31" s="1"/>
  <c r="BA53" i="14"/>
  <c r="BA55" i="14" s="1"/>
  <c r="F14" i="31" s="1"/>
  <c r="F48" i="31" s="1"/>
  <c r="BA50" i="14"/>
  <c r="BA47" i="14"/>
  <c r="BA44" i="14"/>
  <c r="BA46" i="14" s="1"/>
  <c r="F11" i="31" s="1"/>
  <c r="F45" i="31" s="1"/>
  <c r="BA41" i="14"/>
  <c r="BA38" i="14"/>
  <c r="BA35" i="14"/>
  <c r="BA32" i="14"/>
  <c r="BA34" i="14" s="1"/>
  <c r="BA29" i="14"/>
  <c r="BA31" i="14" s="1"/>
  <c r="EM15" i="24"/>
  <c r="EN15" i="24"/>
  <c r="EO15" i="24"/>
  <c r="EP15" i="24"/>
  <c r="EM16" i="24"/>
  <c r="EN16" i="24"/>
  <c r="EO16" i="24"/>
  <c r="EP16" i="24"/>
  <c r="EM17" i="24"/>
  <c r="EN17" i="24"/>
  <c r="EO17" i="24"/>
  <c r="EP17" i="24"/>
  <c r="EM18" i="24"/>
  <c r="EN18" i="24"/>
  <c r="EO18" i="24"/>
  <c r="EP18" i="24"/>
  <c r="EM19" i="24"/>
  <c r="EN19" i="24"/>
  <c r="EO19" i="24"/>
  <c r="EP19" i="24"/>
  <c r="EM20" i="24"/>
  <c r="EN20" i="24"/>
  <c r="EO20" i="24"/>
  <c r="EP20" i="24"/>
  <c r="EM21" i="24"/>
  <c r="EN21" i="24"/>
  <c r="EO21" i="24"/>
  <c r="EP21" i="24"/>
  <c r="EM22" i="24"/>
  <c r="EN22" i="24"/>
  <c r="EO22" i="24"/>
  <c r="EP22" i="24"/>
  <c r="EM23" i="24"/>
  <c r="EN23" i="24"/>
  <c r="EO23" i="24"/>
  <c r="EP23" i="24"/>
  <c r="EM24" i="24"/>
  <c r="EN24" i="24"/>
  <c r="EO24" i="24"/>
  <c r="EP24" i="24"/>
  <c r="EM25" i="24"/>
  <c r="EN25" i="24"/>
  <c r="EO25" i="24"/>
  <c r="EP25" i="24"/>
  <c r="EM26" i="24"/>
  <c r="EN26" i="24"/>
  <c r="EO26" i="24"/>
  <c r="EP26" i="24"/>
  <c r="EM27" i="24"/>
  <c r="EN27" i="24"/>
  <c r="EO27" i="24"/>
  <c r="EP27" i="24"/>
  <c r="EM28" i="24"/>
  <c r="EN28" i="24"/>
  <c r="EO28" i="24"/>
  <c r="EP28" i="24"/>
  <c r="EM29" i="24"/>
  <c r="EN29" i="24"/>
  <c r="EO29" i="24"/>
  <c r="EP29" i="24"/>
  <c r="EM30" i="24"/>
  <c r="EN30" i="24"/>
  <c r="EO30" i="24"/>
  <c r="EP30" i="24"/>
  <c r="EM31" i="24"/>
  <c r="EN31" i="24"/>
  <c r="EO31" i="24"/>
  <c r="EP31" i="24"/>
  <c r="EM32" i="24"/>
  <c r="EN32" i="24"/>
  <c r="EO32" i="24"/>
  <c r="EP32" i="24"/>
  <c r="EM33" i="24"/>
  <c r="EN33" i="24"/>
  <c r="EO33" i="24"/>
  <c r="EP33" i="24"/>
  <c r="EM34" i="24"/>
  <c r="EN34" i="24"/>
  <c r="EO34" i="24"/>
  <c r="EP34" i="24"/>
  <c r="EM35" i="24"/>
  <c r="EN35" i="24"/>
  <c r="EO35" i="24"/>
  <c r="EP35" i="24"/>
  <c r="EM36" i="24"/>
  <c r="EN36" i="24"/>
  <c r="EO36" i="24"/>
  <c r="EP36" i="24"/>
  <c r="EM37" i="24"/>
  <c r="EN37" i="24"/>
  <c r="EO37" i="24"/>
  <c r="EP37" i="24"/>
  <c r="EM38" i="24"/>
  <c r="EN38" i="24"/>
  <c r="EO38" i="24"/>
  <c r="EP38" i="24"/>
  <c r="EM39" i="24"/>
  <c r="EN39" i="24"/>
  <c r="EO39" i="24"/>
  <c r="EP39" i="24"/>
  <c r="EM40" i="24"/>
  <c r="EN40" i="24"/>
  <c r="EO40" i="24"/>
  <c r="EP40" i="24"/>
  <c r="EM41" i="24"/>
  <c r="EN41" i="24"/>
  <c r="EO41" i="24"/>
  <c r="EP41" i="24"/>
  <c r="EM42" i="24"/>
  <c r="EN42" i="24"/>
  <c r="EO42" i="24"/>
  <c r="EP42" i="24"/>
  <c r="EM43" i="24"/>
  <c r="EN43" i="24"/>
  <c r="EO43" i="24"/>
  <c r="EP43" i="24"/>
  <c r="EM44" i="24"/>
  <c r="EN44" i="24"/>
  <c r="EO44" i="24"/>
  <c r="EP44" i="24"/>
  <c r="G18" i="27" l="1"/>
  <c r="K18" i="27"/>
  <c r="T18" i="27" s="1"/>
  <c r="F7" i="31"/>
  <c r="F41" i="31" s="1"/>
  <c r="F6" i="31"/>
  <c r="BP58" i="14"/>
  <c r="BH21" i="14" s="1"/>
  <c r="BN58" i="14"/>
  <c r="BH19" i="14" s="1"/>
  <c r="BH58" i="14"/>
  <c r="BB40" i="14"/>
  <c r="BB7" i="14" s="1"/>
  <c r="BC37" i="14"/>
  <c r="BH34" i="14"/>
  <c r="AZ13" i="14" s="1"/>
  <c r="BH31" i="14"/>
  <c r="BO11" i="24" s="1"/>
  <c r="BG31" i="14"/>
  <c r="BN11" i="24" s="1"/>
  <c r="O109" i="44"/>
  <c r="BN31" i="14"/>
  <c r="BU11" i="24" s="1"/>
  <c r="BQ31" i="14"/>
  <c r="BX11" i="24" s="1"/>
  <c r="BO64" i="14"/>
  <c r="BJ20" i="14" s="1"/>
  <c r="BM64" i="14"/>
  <c r="BJ18" i="14" s="1"/>
  <c r="BK64" i="14"/>
  <c r="BJ16" i="14" s="1"/>
  <c r="BI64" i="14"/>
  <c r="BG64" i="14"/>
  <c r="BJ12" i="14" s="1"/>
  <c r="BE64" i="14"/>
  <c r="NS11" i="24" s="1"/>
  <c r="BC64" i="14"/>
  <c r="BJ8" i="14" s="1"/>
  <c r="ML11" i="24"/>
  <c r="F16" i="31"/>
  <c r="F50" i="31" s="1"/>
  <c r="BD65" i="14"/>
  <c r="BP31" i="14"/>
  <c r="BW11" i="24" s="1"/>
  <c r="BL31" i="14"/>
  <c r="BS11" i="24" s="1"/>
  <c r="BJ31" i="14"/>
  <c r="BQ11" i="24" s="1"/>
  <c r="BF31" i="14"/>
  <c r="BM11" i="24" s="1"/>
  <c r="BD31" i="14"/>
  <c r="BK11" i="24" s="1"/>
  <c r="BB31" i="14"/>
  <c r="BI11" i="24" s="1"/>
  <c r="BH11" i="24"/>
  <c r="BU133" i="24"/>
  <c r="HJ88" i="24"/>
  <c r="BK133" i="24"/>
  <c r="GZ88" i="24"/>
  <c r="HD88" i="24"/>
  <c r="BO133" i="24"/>
  <c r="BS133" i="24"/>
  <c r="HH88" i="24"/>
  <c r="BM133" i="24"/>
  <c r="HB88" i="24"/>
  <c r="BL133" i="24"/>
  <c r="HA88" i="24"/>
  <c r="HI88" i="24"/>
  <c r="BT133" i="24"/>
  <c r="BQ133" i="24"/>
  <c r="HF88" i="24"/>
  <c r="BR133" i="24"/>
  <c r="HG88" i="24"/>
  <c r="BW133" i="24"/>
  <c r="HL88" i="24"/>
  <c r="BN133" i="24"/>
  <c r="HC88" i="24"/>
  <c r="BH133" i="24"/>
  <c r="E28" i="31" s="1"/>
  <c r="H28" i="31" s="1"/>
  <c r="K28" i="31" s="1"/>
  <c r="GW88" i="24"/>
  <c r="BJ133" i="24"/>
  <c r="GY88" i="24"/>
  <c r="HM88" i="24"/>
  <c r="BX133" i="24"/>
  <c r="BY133" i="24"/>
  <c r="HN88" i="24"/>
  <c r="BP133" i="24"/>
  <c r="HE88" i="24"/>
  <c r="GX91" i="24"/>
  <c r="GX124" i="24" s="1"/>
  <c r="GH91" i="24"/>
  <c r="GH124" i="24" s="1"/>
  <c r="BD6" i="14"/>
  <c r="GW11" i="24"/>
  <c r="BH6" i="14"/>
  <c r="LI11" i="24"/>
  <c r="BJ14" i="14"/>
  <c r="NW11" i="24"/>
  <c r="BJ10" i="14"/>
  <c r="NQ11" i="24"/>
  <c r="LX11" i="24"/>
  <c r="LV11" i="24"/>
  <c r="BH13" i="14"/>
  <c r="LP11" i="24"/>
  <c r="ER11" i="24"/>
  <c r="BA8" i="14"/>
  <c r="DP11" i="24"/>
  <c r="CR11" i="24"/>
  <c r="BG6" i="14"/>
  <c r="KF11" i="24"/>
  <c r="BI23" i="14"/>
  <c r="NC11" i="24"/>
  <c r="BI19" i="14"/>
  <c r="MY11" i="24"/>
  <c r="BI15" i="14"/>
  <c r="MU11" i="24"/>
  <c r="BI11" i="14"/>
  <c r="MQ11" i="24"/>
  <c r="AZ6" i="14"/>
  <c r="CK11" i="24"/>
  <c r="BO31" i="14"/>
  <c r="BV11" i="24" s="1"/>
  <c r="BK31" i="14"/>
  <c r="BR11" i="24" s="1"/>
  <c r="BB52" i="14"/>
  <c r="BR46" i="14"/>
  <c r="BP46" i="14"/>
  <c r="BN46" i="14"/>
  <c r="BL46" i="14"/>
  <c r="BJ46" i="14"/>
  <c r="BH46" i="14"/>
  <c r="BF46" i="14"/>
  <c r="BD46" i="14"/>
  <c r="BQ43" i="14"/>
  <c r="BQ40" i="14"/>
  <c r="BO40" i="14"/>
  <c r="BM40" i="14"/>
  <c r="BK40" i="14"/>
  <c r="BI40" i="14"/>
  <c r="BG40" i="14"/>
  <c r="BE40" i="14"/>
  <c r="BC40" i="14"/>
  <c r="BR40" i="14"/>
  <c r="BP40" i="14"/>
  <c r="BN40" i="14"/>
  <c r="BL40" i="14"/>
  <c r="BJ40" i="14"/>
  <c r="BH40" i="14"/>
  <c r="BF40" i="14"/>
  <c r="BD40" i="14"/>
  <c r="BA40" i="14"/>
  <c r="F9" i="31" s="1"/>
  <c r="F43" i="31" s="1"/>
  <c r="BA52" i="14"/>
  <c r="F13" i="31" s="1"/>
  <c r="F47" i="31" s="1"/>
  <c r="BA64" i="14"/>
  <c r="F17" i="31" s="1"/>
  <c r="F51" i="31" s="1"/>
  <c r="BA65" i="14"/>
  <c r="BA37" i="14"/>
  <c r="F8" i="31" s="1"/>
  <c r="F42" i="31" s="1"/>
  <c r="BA43" i="14"/>
  <c r="F10" i="31" s="1"/>
  <c r="F44" i="31" s="1"/>
  <c r="BS67" i="14"/>
  <c r="BQ64" i="14"/>
  <c r="BO52" i="14"/>
  <c r="BM52" i="14"/>
  <c r="BK52" i="14"/>
  <c r="BI52" i="14"/>
  <c r="BG52" i="14"/>
  <c r="BE52" i="14"/>
  <c r="BC52" i="14"/>
  <c r="BO37" i="14"/>
  <c r="BK37" i="14"/>
  <c r="BI37" i="14"/>
  <c r="BG37" i="14"/>
  <c r="BE37" i="14"/>
  <c r="BN65" i="14"/>
  <c r="BQ52" i="14"/>
  <c r="BQ55" i="14"/>
  <c r="BR52" i="14"/>
  <c r="BC31" i="14"/>
  <c r="BJ11" i="24" s="1"/>
  <c r="BS32" i="14"/>
  <c r="BS38" i="14"/>
  <c r="BR58" i="14"/>
  <c r="BS69" i="14"/>
  <c r="BS66" i="14"/>
  <c r="BS81" i="14"/>
  <c r="BS75" i="14"/>
  <c r="BS63" i="14"/>
  <c r="BQ37" i="14"/>
  <c r="BR31" i="14"/>
  <c r="BS29" i="14"/>
  <c r="DH104" i="24"/>
  <c r="DI103" i="24"/>
  <c r="EK104" i="24"/>
  <c r="EL103" i="24"/>
  <c r="GQ104" i="24"/>
  <c r="GR103" i="24"/>
  <c r="HT104" i="24"/>
  <c r="HU103" i="24"/>
  <c r="IW104" i="24"/>
  <c r="IX103" i="24"/>
  <c r="LC104" i="24"/>
  <c r="LD103" i="24"/>
  <c r="NI104" i="24"/>
  <c r="NJ103" i="24"/>
  <c r="BB104" i="24"/>
  <c r="BC103" i="24"/>
  <c r="CE104" i="24"/>
  <c r="CF103" i="24"/>
  <c r="FN104" i="24"/>
  <c r="FO103" i="24"/>
  <c r="JZ104" i="24"/>
  <c r="KA103" i="24"/>
  <c r="MF104" i="24"/>
  <c r="MG103" i="24"/>
  <c r="D31" i="28"/>
  <c r="C32" i="28"/>
  <c r="C19" i="27"/>
  <c r="D18" i="27"/>
  <c r="BA66" i="14"/>
  <c r="BK49" i="14"/>
  <c r="BC49" i="14"/>
  <c r="BA49" i="14"/>
  <c r="F12" i="31" s="1"/>
  <c r="F46" i="31" s="1"/>
  <c r="BS61" i="14"/>
  <c r="BS39" i="14"/>
  <c r="BS36" i="14"/>
  <c r="AY6" i="14"/>
  <c r="C14" i="18"/>
  <c r="D13" i="18"/>
  <c r="BI6" i="14"/>
  <c r="BI7" i="14"/>
  <c r="BB46" i="14"/>
  <c r="GX11" i="24" s="1"/>
  <c r="BS64" i="14"/>
  <c r="BS60" i="14"/>
  <c r="BM37" i="14"/>
  <c r="BM66" i="14"/>
  <c r="BR65" i="14"/>
  <c r="BJ65" i="14"/>
  <c r="BS35" i="14"/>
  <c r="BE66" i="14"/>
  <c r="BS78" i="14"/>
  <c r="BS76" i="14"/>
  <c r="BS72" i="14"/>
  <c r="BS70" i="14"/>
  <c r="BS33" i="14"/>
  <c r="AY13" i="14"/>
  <c r="AY12" i="14"/>
  <c r="BS79" i="14"/>
  <c r="BS30" i="14"/>
  <c r="BR64" i="14"/>
  <c r="BP64" i="14"/>
  <c r="BN64" i="14"/>
  <c r="BL64" i="14"/>
  <c r="BJ64" i="14"/>
  <c r="BH64" i="14"/>
  <c r="BF64" i="14"/>
  <c r="BD64" i="14"/>
  <c r="BB64" i="14"/>
  <c r="NP11" i="24" s="1"/>
  <c r="BQ61" i="14"/>
  <c r="BO61" i="14"/>
  <c r="BM61" i="14"/>
  <c r="BK61" i="14"/>
  <c r="BI61" i="14"/>
  <c r="BG61" i="14"/>
  <c r="BE61" i="14"/>
  <c r="BC61" i="14"/>
  <c r="BP61" i="14"/>
  <c r="BL61" i="14"/>
  <c r="BR55" i="14"/>
  <c r="BP55" i="14"/>
  <c r="BN55" i="14"/>
  <c r="BL55" i="14"/>
  <c r="BJ55" i="14"/>
  <c r="KO11" i="24" s="1"/>
  <c r="BH55" i="14"/>
  <c r="BF55" i="14"/>
  <c r="BD55" i="14"/>
  <c r="BB55" i="14"/>
  <c r="BO55" i="14"/>
  <c r="BR43" i="14"/>
  <c r="BP43" i="14"/>
  <c r="BN43" i="14"/>
  <c r="BL43" i="14"/>
  <c r="BJ43" i="14"/>
  <c r="BH43" i="14"/>
  <c r="BF43" i="14"/>
  <c r="FY11" i="24" s="1"/>
  <c r="BD43" i="14"/>
  <c r="BB43" i="14"/>
  <c r="FU11" i="24" s="1"/>
  <c r="BO43" i="14"/>
  <c r="BM43" i="14"/>
  <c r="BK43" i="14"/>
  <c r="BI43" i="14"/>
  <c r="BG43" i="14"/>
  <c r="FZ11" i="24" s="1"/>
  <c r="BE43" i="14"/>
  <c r="BC43" i="14"/>
  <c r="BP34" i="14"/>
  <c r="BS82" i="14"/>
  <c r="BG15" i="14"/>
  <c r="BS73" i="14"/>
  <c r="BL58" i="14"/>
  <c r="BJ58" i="14"/>
  <c r="BF58" i="14"/>
  <c r="BD58" i="14"/>
  <c r="BB58" i="14"/>
  <c r="LJ11" i="24" s="1"/>
  <c r="BP52" i="14"/>
  <c r="BN52" i="14"/>
  <c r="BL52" i="14"/>
  <c r="BJ52" i="14"/>
  <c r="BH52" i="14"/>
  <c r="BF52" i="14"/>
  <c r="BD52" i="14"/>
  <c r="BQ49" i="14"/>
  <c r="BO49" i="14"/>
  <c r="BM49" i="14"/>
  <c r="BI49" i="14"/>
  <c r="BG49" i="14"/>
  <c r="BE49" i="14"/>
  <c r="BP65" i="14"/>
  <c r="BL65" i="14"/>
  <c r="BH65" i="14"/>
  <c r="BR34" i="14"/>
  <c r="BN34" i="14"/>
  <c r="BL34" i="14"/>
  <c r="BJ34" i="14"/>
  <c r="BF34" i="14"/>
  <c r="BD34" i="14"/>
  <c r="BB34" i="14"/>
  <c r="CL11" i="24" s="1"/>
  <c r="BH61" i="14"/>
  <c r="BD61" i="14"/>
  <c r="BM55" i="14"/>
  <c r="BK55" i="14"/>
  <c r="BI55" i="14"/>
  <c r="BG55" i="14"/>
  <c r="BE55" i="14"/>
  <c r="BC55" i="14"/>
  <c r="BQ65" i="14"/>
  <c r="BM65" i="14"/>
  <c r="BM31" i="14"/>
  <c r="BT11" i="24" s="1"/>
  <c r="BI65" i="14"/>
  <c r="BE65" i="14"/>
  <c r="BE31" i="14"/>
  <c r="BL11" i="24" s="1"/>
  <c r="BQ66" i="14"/>
  <c r="BI66" i="14"/>
  <c r="BO66" i="14"/>
  <c r="BK66" i="14"/>
  <c r="BG66" i="14"/>
  <c r="BC66" i="14"/>
  <c r="BF65" i="14"/>
  <c r="BB65" i="14"/>
  <c r="BI31" i="14"/>
  <c r="BP11" i="24" s="1"/>
  <c r="BQ58" i="14"/>
  <c r="BO58" i="14"/>
  <c r="BM58" i="14"/>
  <c r="BK58" i="14"/>
  <c r="BI58" i="14"/>
  <c r="BG58" i="14"/>
  <c r="BE58" i="14"/>
  <c r="BC58" i="14"/>
  <c r="BR49" i="14"/>
  <c r="BP49" i="14"/>
  <c r="BN49" i="14"/>
  <c r="BL49" i="14"/>
  <c r="BJ49" i="14"/>
  <c r="BH49" i="14"/>
  <c r="BF49" i="14"/>
  <c r="BD49" i="14"/>
  <c r="BB49" i="14"/>
  <c r="IA11" i="24" s="1"/>
  <c r="BQ46" i="14"/>
  <c r="BO46" i="14"/>
  <c r="BM46" i="14"/>
  <c r="BK46" i="14"/>
  <c r="BI46" i="14"/>
  <c r="BG46" i="14"/>
  <c r="BE46" i="14"/>
  <c r="BC46" i="14"/>
  <c r="BR37" i="14"/>
  <c r="BP37" i="14"/>
  <c r="BN37" i="14"/>
  <c r="BL37" i="14"/>
  <c r="BJ37" i="14"/>
  <c r="BH37" i="14"/>
  <c r="BF37" i="14"/>
  <c r="BD37" i="14"/>
  <c r="BB37" i="14"/>
  <c r="DO11" i="24" s="1"/>
  <c r="BQ34" i="14"/>
  <c r="BO34" i="14"/>
  <c r="BM34" i="14"/>
  <c r="BK34" i="14"/>
  <c r="BI34" i="14"/>
  <c r="BG34" i="14"/>
  <c r="BE34" i="14"/>
  <c r="BC34" i="14"/>
  <c r="BO65" i="14"/>
  <c r="BK65" i="14"/>
  <c r="BG65" i="14"/>
  <c r="BC65" i="14"/>
  <c r="BR66" i="14"/>
  <c r="BP66" i="14"/>
  <c r="BN66" i="14"/>
  <c r="BL66" i="14"/>
  <c r="BJ66" i="14"/>
  <c r="BH66" i="14"/>
  <c r="BF66" i="14"/>
  <c r="BD66" i="14"/>
  <c r="BB66" i="14"/>
  <c r="OA11" i="24" l="1"/>
  <c r="G19" i="27"/>
  <c r="K19" i="27"/>
  <c r="T19" i="27" s="1"/>
  <c r="NY11" i="24"/>
  <c r="H9" i="34"/>
  <c r="H11" i="34" s="1"/>
  <c r="F40" i="31"/>
  <c r="O110" i="44"/>
  <c r="AY11" i="14"/>
  <c r="AY8" i="14"/>
  <c r="AY15" i="14"/>
  <c r="AY19" i="14"/>
  <c r="AY17" i="14"/>
  <c r="NU11" i="24"/>
  <c r="OC11" i="24"/>
  <c r="AY22" i="14"/>
  <c r="AY21" i="14"/>
  <c r="AY20" i="14"/>
  <c r="AY16" i="14"/>
  <c r="AY9" i="14"/>
  <c r="AY7" i="14"/>
  <c r="F18" i="31"/>
  <c r="F52" i="31" s="1"/>
  <c r="BV133" i="24"/>
  <c r="HK88" i="24"/>
  <c r="BI134" i="24"/>
  <c r="IA88" i="24"/>
  <c r="HE91" i="24"/>
  <c r="HE124" i="24" s="1"/>
  <c r="HN91" i="24"/>
  <c r="HN124" i="24" s="1"/>
  <c r="GY91" i="24"/>
  <c r="GY124" i="24" s="1"/>
  <c r="GW91" i="24"/>
  <c r="GW124" i="24" s="1"/>
  <c r="HC91" i="24"/>
  <c r="HC124" i="24" s="1"/>
  <c r="HL91" i="24"/>
  <c r="HL124" i="24" s="1"/>
  <c r="HG91" i="24"/>
  <c r="HG124" i="24" s="1"/>
  <c r="HF91" i="24"/>
  <c r="HF124" i="24" s="1"/>
  <c r="HA91" i="24"/>
  <c r="HA124" i="24" s="1"/>
  <c r="HB91" i="24"/>
  <c r="HB124" i="24" s="1"/>
  <c r="HH91" i="24"/>
  <c r="HH124" i="24" s="1"/>
  <c r="GZ91" i="24"/>
  <c r="GZ124" i="24" s="1"/>
  <c r="HJ91" i="24"/>
  <c r="HJ124" i="24" s="1"/>
  <c r="HM91" i="24"/>
  <c r="HM124" i="24" s="1"/>
  <c r="HI91" i="24"/>
  <c r="HI124" i="24" s="1"/>
  <c r="HD91" i="24"/>
  <c r="HD124" i="24" s="1"/>
  <c r="BG19" i="14"/>
  <c r="KS11" i="24"/>
  <c r="BG23" i="14"/>
  <c r="KW11" i="24"/>
  <c r="BI21" i="14"/>
  <c r="NA11" i="24"/>
  <c r="BI10" i="14"/>
  <c r="MP11" i="24"/>
  <c r="BI14" i="14"/>
  <c r="MT11" i="24"/>
  <c r="BI18" i="14"/>
  <c r="MX11" i="24"/>
  <c r="BI22" i="14"/>
  <c r="NB11" i="24"/>
  <c r="BJ9" i="14"/>
  <c r="NR11" i="24"/>
  <c r="BJ13" i="14"/>
  <c r="NV11" i="24"/>
  <c r="BJ17" i="14"/>
  <c r="NZ11" i="24"/>
  <c r="BJ21" i="14"/>
  <c r="OD11" i="24"/>
  <c r="BE16" i="14"/>
  <c r="IJ11" i="24"/>
  <c r="BA22" i="14"/>
  <c r="ED11" i="24"/>
  <c r="BH23" i="14"/>
  <c r="LZ11" i="24"/>
  <c r="BF23" i="14"/>
  <c r="JT11" i="24"/>
  <c r="BF22" i="14"/>
  <c r="JS11" i="24"/>
  <c r="BA10" i="14"/>
  <c r="DR11" i="24"/>
  <c r="BA14" i="14"/>
  <c r="DV11" i="24"/>
  <c r="BA20" i="14"/>
  <c r="EB11" i="24"/>
  <c r="BF10" i="14"/>
  <c r="JG11" i="24"/>
  <c r="BF14" i="14"/>
  <c r="JK11" i="24"/>
  <c r="BF18" i="14"/>
  <c r="JO11" i="24"/>
  <c r="BJ22" i="14"/>
  <c r="OE11" i="24"/>
  <c r="BC6" i="14"/>
  <c r="FT11" i="24"/>
  <c r="BF6" i="14"/>
  <c r="JC11" i="24"/>
  <c r="BB9" i="14"/>
  <c r="ET11" i="24"/>
  <c r="BB13" i="14"/>
  <c r="EX11" i="24"/>
  <c r="BB17" i="14"/>
  <c r="FB11" i="24"/>
  <c r="BB21" i="14"/>
  <c r="FF11" i="24"/>
  <c r="BB8" i="14"/>
  <c r="ES11" i="24"/>
  <c r="BB12" i="14"/>
  <c r="EW11" i="24"/>
  <c r="BB16" i="14"/>
  <c r="FA11" i="24"/>
  <c r="BB20" i="14"/>
  <c r="FE11" i="24"/>
  <c r="BC22" i="14"/>
  <c r="GJ11" i="24"/>
  <c r="BD11" i="14"/>
  <c r="HB11" i="24"/>
  <c r="BD15" i="14"/>
  <c r="HF11" i="24"/>
  <c r="BD19" i="14"/>
  <c r="HJ11" i="24"/>
  <c r="BD23" i="14"/>
  <c r="HN11" i="24"/>
  <c r="AZ8" i="14"/>
  <c r="CM11" i="24"/>
  <c r="AZ12" i="14"/>
  <c r="CQ11" i="24"/>
  <c r="AZ16" i="14"/>
  <c r="CU11" i="24"/>
  <c r="AZ20" i="14"/>
  <c r="CY11" i="24"/>
  <c r="BA11" i="14"/>
  <c r="DS11" i="24"/>
  <c r="BA15" i="14"/>
  <c r="DW11" i="24"/>
  <c r="BA19" i="14"/>
  <c r="EA11" i="24"/>
  <c r="BA23" i="14"/>
  <c r="EE11" i="24"/>
  <c r="BD10" i="14"/>
  <c r="HA11" i="24"/>
  <c r="BD14" i="14"/>
  <c r="HE11" i="24"/>
  <c r="BD18" i="14"/>
  <c r="HI11" i="24"/>
  <c r="BD22" i="14"/>
  <c r="HM11" i="24"/>
  <c r="BE9" i="14"/>
  <c r="IC11" i="24"/>
  <c r="BE13" i="14"/>
  <c r="IG11" i="24"/>
  <c r="BE17" i="14"/>
  <c r="IK11" i="24"/>
  <c r="BE21" i="14"/>
  <c r="IO11" i="24"/>
  <c r="BH8" i="14"/>
  <c r="LK11" i="24"/>
  <c r="BH12" i="14"/>
  <c r="LO11" i="24"/>
  <c r="BH16" i="14"/>
  <c r="LS11" i="24"/>
  <c r="BH20" i="14"/>
  <c r="LW11" i="24"/>
  <c r="BG10" i="14"/>
  <c r="KJ11" i="24"/>
  <c r="BG14" i="14"/>
  <c r="KN11" i="24"/>
  <c r="BG18" i="14"/>
  <c r="KR11" i="24"/>
  <c r="BI13" i="14"/>
  <c r="MS11" i="24"/>
  <c r="AZ9" i="14"/>
  <c r="CN11" i="24"/>
  <c r="AZ15" i="14"/>
  <c r="CT11" i="24"/>
  <c r="AZ19" i="14"/>
  <c r="CX11" i="24"/>
  <c r="BE12" i="14"/>
  <c r="IF11" i="24"/>
  <c r="BE18" i="14"/>
  <c r="IL11" i="24"/>
  <c r="BE22" i="14"/>
  <c r="IP11" i="24"/>
  <c r="BF11" i="14"/>
  <c r="JH11" i="24"/>
  <c r="BF15" i="14"/>
  <c r="JL11" i="24"/>
  <c r="BF19" i="14"/>
  <c r="JP11" i="24"/>
  <c r="BH11" i="14"/>
  <c r="LN11" i="24"/>
  <c r="BH17" i="14"/>
  <c r="LT11" i="24"/>
  <c r="AZ21" i="14"/>
  <c r="CZ11" i="24"/>
  <c r="BC10" i="14"/>
  <c r="FX11" i="24"/>
  <c r="BC14" i="14"/>
  <c r="GB11" i="24"/>
  <c r="BC18" i="14"/>
  <c r="GF11" i="24"/>
  <c r="BC15" i="14"/>
  <c r="GC11" i="24"/>
  <c r="BC19" i="14"/>
  <c r="GG11" i="24"/>
  <c r="BC23" i="14"/>
  <c r="GK11" i="24"/>
  <c r="BG7" i="14"/>
  <c r="KG11" i="24"/>
  <c r="BG11" i="14"/>
  <c r="KK11" i="24"/>
  <c r="AZ10" i="14"/>
  <c r="CO11" i="24"/>
  <c r="AZ14" i="14"/>
  <c r="CS11" i="24"/>
  <c r="AZ18" i="14"/>
  <c r="CW11" i="24"/>
  <c r="AZ22" i="14"/>
  <c r="DA11" i="24"/>
  <c r="BA9" i="14"/>
  <c r="DQ11" i="24"/>
  <c r="BA13" i="14"/>
  <c r="DU11" i="24"/>
  <c r="BA17" i="14"/>
  <c r="DY11" i="24"/>
  <c r="BA21" i="14"/>
  <c r="EC11" i="24"/>
  <c r="BD8" i="14"/>
  <c r="GY11" i="24"/>
  <c r="BD12" i="14"/>
  <c r="HC11" i="24"/>
  <c r="BD16" i="14"/>
  <c r="HG11" i="24"/>
  <c r="BD20" i="14"/>
  <c r="HK11" i="24"/>
  <c r="BE11" i="14"/>
  <c r="IE11" i="24"/>
  <c r="BE15" i="14"/>
  <c r="II11" i="24"/>
  <c r="BE19" i="14"/>
  <c r="IM11" i="24"/>
  <c r="BE23" i="14"/>
  <c r="IQ11" i="24"/>
  <c r="BH10" i="14"/>
  <c r="LM11" i="24"/>
  <c r="BH14" i="14"/>
  <c r="LQ11" i="24"/>
  <c r="BH18" i="14"/>
  <c r="LU11" i="24"/>
  <c r="BH22" i="14"/>
  <c r="LY11" i="24"/>
  <c r="BG8" i="14"/>
  <c r="KH11" i="24"/>
  <c r="BG12" i="14"/>
  <c r="KL11" i="24"/>
  <c r="BG16" i="14"/>
  <c r="KP11" i="24"/>
  <c r="BI9" i="14"/>
  <c r="MO11" i="24"/>
  <c r="AZ11" i="14"/>
  <c r="CP11" i="24"/>
  <c r="AZ17" i="14"/>
  <c r="CV11" i="24"/>
  <c r="AZ23" i="14"/>
  <c r="DB11" i="24"/>
  <c r="BE10" i="14"/>
  <c r="ID11" i="24"/>
  <c r="BE14" i="14"/>
  <c r="IH11" i="24"/>
  <c r="BE20" i="14"/>
  <c r="IN11" i="24"/>
  <c r="BF9" i="14"/>
  <c r="JF11" i="24"/>
  <c r="BF13" i="14"/>
  <c r="JJ11" i="24"/>
  <c r="BF17" i="14"/>
  <c r="JN11" i="24"/>
  <c r="BF21" i="14"/>
  <c r="JR11" i="24"/>
  <c r="BH9" i="14"/>
  <c r="LL11" i="24"/>
  <c r="BH15" i="14"/>
  <c r="LR11" i="24"/>
  <c r="BC8" i="14"/>
  <c r="FV11" i="24"/>
  <c r="BC16" i="14"/>
  <c r="GD11" i="24"/>
  <c r="BC20" i="14"/>
  <c r="GH11" i="24"/>
  <c r="BC9" i="14"/>
  <c r="FW11" i="24"/>
  <c r="BC13" i="14"/>
  <c r="GA11" i="24"/>
  <c r="BC17" i="14"/>
  <c r="GE11" i="24"/>
  <c r="BC21" i="14"/>
  <c r="GI11" i="24"/>
  <c r="BG20" i="14"/>
  <c r="KT11" i="24"/>
  <c r="BG9" i="14"/>
  <c r="KI11" i="24"/>
  <c r="BG13" i="14"/>
  <c r="KM11" i="24"/>
  <c r="BG17" i="14"/>
  <c r="KQ11" i="24"/>
  <c r="BG21" i="14"/>
  <c r="E31" i="5" s="1"/>
  <c r="KU11" i="24"/>
  <c r="BI17" i="14"/>
  <c r="MW11" i="24"/>
  <c r="BI8" i="14"/>
  <c r="MN11" i="24"/>
  <c r="BI12" i="14"/>
  <c r="MR11" i="24"/>
  <c r="BI16" i="14"/>
  <c r="MV11" i="24"/>
  <c r="BI20" i="14"/>
  <c r="MZ11" i="24"/>
  <c r="BJ11" i="14"/>
  <c r="NT11" i="24"/>
  <c r="BJ15" i="14"/>
  <c r="NX11" i="24"/>
  <c r="BJ19" i="14"/>
  <c r="OB11" i="24"/>
  <c r="BJ23" i="14"/>
  <c r="OF11" i="24"/>
  <c r="BA18" i="14"/>
  <c r="DZ11" i="24"/>
  <c r="BE6" i="14"/>
  <c r="HZ11" i="24"/>
  <c r="BE8" i="14"/>
  <c r="IB11" i="24"/>
  <c r="AY23" i="14"/>
  <c r="E33" i="5" s="1"/>
  <c r="BY11" i="24"/>
  <c r="BG22" i="14"/>
  <c r="KV11" i="24"/>
  <c r="BA12" i="14"/>
  <c r="DT11" i="24"/>
  <c r="BA16" i="14"/>
  <c r="DX11" i="24"/>
  <c r="BF8" i="14"/>
  <c r="JE11" i="24"/>
  <c r="BF12" i="14"/>
  <c r="JI11" i="24"/>
  <c r="BF16" i="14"/>
  <c r="JM11" i="24"/>
  <c r="BF20" i="14"/>
  <c r="JQ11" i="24"/>
  <c r="BA6" i="14"/>
  <c r="E16" i="5" s="1"/>
  <c r="DN11" i="24"/>
  <c r="BJ6" i="14"/>
  <c r="NO11" i="24"/>
  <c r="BB6" i="14"/>
  <c r="EQ11" i="24"/>
  <c r="BB11" i="14"/>
  <c r="EV11" i="24"/>
  <c r="BB15" i="14"/>
  <c r="EZ11" i="24"/>
  <c r="BB19" i="14"/>
  <c r="FD11" i="24"/>
  <c r="BB23" i="14"/>
  <c r="FH11" i="24"/>
  <c r="BB10" i="14"/>
  <c r="EU11" i="24"/>
  <c r="BB14" i="14"/>
  <c r="EY11" i="24"/>
  <c r="BB18" i="14"/>
  <c r="FC11" i="24"/>
  <c r="BB22" i="14"/>
  <c r="FG11" i="24"/>
  <c r="BD9" i="14"/>
  <c r="GZ11" i="24"/>
  <c r="BD13" i="14"/>
  <c r="HD11" i="24"/>
  <c r="BD17" i="14"/>
  <c r="HH11" i="24"/>
  <c r="BD21" i="14"/>
  <c r="HL11" i="24"/>
  <c r="BF7" i="14"/>
  <c r="JD11" i="24"/>
  <c r="BS57" i="14"/>
  <c r="J10" i="11"/>
  <c r="P10" i="11"/>
  <c r="Z10" i="11"/>
  <c r="BA67" i="14"/>
  <c r="I10" i="11"/>
  <c r="K10" i="11"/>
  <c r="O10" i="11"/>
  <c r="S10" i="11"/>
  <c r="W10" i="11"/>
  <c r="V10" i="11"/>
  <c r="X10" i="11"/>
  <c r="L10" i="11"/>
  <c r="N10" i="11"/>
  <c r="R10" i="11"/>
  <c r="T10" i="11"/>
  <c r="MF105" i="24"/>
  <c r="MG104" i="24"/>
  <c r="JZ105" i="24"/>
  <c r="KA104" i="24"/>
  <c r="FN105" i="24"/>
  <c r="FO104" i="24"/>
  <c r="CE105" i="24"/>
  <c r="CF104" i="24"/>
  <c r="BB105" i="24"/>
  <c r="BC104" i="24"/>
  <c r="NI105" i="24"/>
  <c r="NJ104" i="24"/>
  <c r="LC105" i="24"/>
  <c r="LD104" i="24"/>
  <c r="IW105" i="24"/>
  <c r="IX104" i="24"/>
  <c r="HT105" i="24"/>
  <c r="HU104" i="24"/>
  <c r="GQ105" i="24"/>
  <c r="GR104" i="24"/>
  <c r="EK105" i="24"/>
  <c r="EL104" i="24"/>
  <c r="DH105" i="24"/>
  <c r="DI104" i="24"/>
  <c r="D32" i="28"/>
  <c r="C33" i="28"/>
  <c r="C20" i="27"/>
  <c r="D19" i="27"/>
  <c r="E25" i="5"/>
  <c r="C15" i="18"/>
  <c r="D14" i="18"/>
  <c r="BS85" i="14"/>
  <c r="BE7" i="14"/>
  <c r="BS68" i="14"/>
  <c r="BS84" i="14"/>
  <c r="AY10" i="14"/>
  <c r="BE67" i="14"/>
  <c r="M10" i="11"/>
  <c r="AZ7" i="14"/>
  <c r="BS34" i="14"/>
  <c r="BS62" i="14"/>
  <c r="BC7" i="14"/>
  <c r="BG67" i="14"/>
  <c r="BK67" i="14"/>
  <c r="BQ67" i="14"/>
  <c r="BS31" i="14"/>
  <c r="BD67" i="14"/>
  <c r="BH67" i="14"/>
  <c r="BP67" i="14"/>
  <c r="BS71" i="14"/>
  <c r="BD7" i="14"/>
  <c r="BS65" i="14"/>
  <c r="BS37" i="14"/>
  <c r="BA7" i="14"/>
  <c r="AY14" i="14"/>
  <c r="BI67" i="14"/>
  <c r="Q10" i="11"/>
  <c r="AY18" i="14"/>
  <c r="U10" i="11"/>
  <c r="BM67" i="14"/>
  <c r="BH7" i="14"/>
  <c r="BS77" i="14"/>
  <c r="BS74" i="14"/>
  <c r="BJ67" i="14"/>
  <c r="BC12" i="14"/>
  <c r="BC11" i="14"/>
  <c r="BS83" i="14"/>
  <c r="BJ7" i="14"/>
  <c r="BC67" i="14"/>
  <c r="BO67" i="14"/>
  <c r="BB67" i="14"/>
  <c r="BF67" i="14"/>
  <c r="BL67" i="14"/>
  <c r="BN67" i="14"/>
  <c r="BR67" i="14"/>
  <c r="BS80" i="14"/>
  <c r="E21" i="5" l="1"/>
  <c r="G20" i="27"/>
  <c r="K20" i="27"/>
  <c r="T20" i="27" s="1"/>
  <c r="E29" i="5"/>
  <c r="E19" i="5"/>
  <c r="E30" i="5"/>
  <c r="E22" i="5"/>
  <c r="BK8" i="14"/>
  <c r="O111" i="44"/>
  <c r="E18" i="5"/>
  <c r="BK6" i="14"/>
  <c r="BK19" i="14"/>
  <c r="BI24" i="14"/>
  <c r="BK13" i="14"/>
  <c r="BK20" i="14"/>
  <c r="BK17" i="14"/>
  <c r="BG24" i="14"/>
  <c r="BK21" i="14"/>
  <c r="BK15" i="14"/>
  <c r="BK9" i="14"/>
  <c r="BK16" i="14"/>
  <c r="BF24" i="14"/>
  <c r="BJ24" i="14"/>
  <c r="BK11" i="14"/>
  <c r="BA24" i="14"/>
  <c r="BD24" i="14"/>
  <c r="BK23" i="14"/>
  <c r="BK22" i="14"/>
  <c r="E32" i="5"/>
  <c r="E27" i="5"/>
  <c r="E23" i="5"/>
  <c r="BK12" i="14"/>
  <c r="BH24" i="14"/>
  <c r="BE24" i="14"/>
  <c r="E26" i="5"/>
  <c r="BO134" i="24"/>
  <c r="IG88" i="24"/>
  <c r="BX134" i="24"/>
  <c r="IP88" i="24"/>
  <c r="IC88" i="24"/>
  <c r="BK134" i="24"/>
  <c r="BM134" i="24"/>
  <c r="IE88" i="24"/>
  <c r="II88" i="24"/>
  <c r="BQ134" i="24"/>
  <c r="IO88" i="24"/>
  <c r="BW134" i="24"/>
  <c r="HZ88" i="24"/>
  <c r="BH134" i="24"/>
  <c r="E29" i="31" s="1"/>
  <c r="H29" i="31" s="1"/>
  <c r="K29" i="31" s="1"/>
  <c r="IQ88" i="24"/>
  <c r="BY134" i="24"/>
  <c r="BT134" i="24"/>
  <c r="IL88" i="24"/>
  <c r="IM88" i="24"/>
  <c r="BU134" i="24"/>
  <c r="IK88" i="24"/>
  <c r="BS134" i="24"/>
  <c r="ID88" i="24"/>
  <c r="BL134" i="24"/>
  <c r="IJ88" i="24"/>
  <c r="BR134" i="24"/>
  <c r="IF88" i="24"/>
  <c r="BN134" i="24"/>
  <c r="IB88" i="24"/>
  <c r="BJ134" i="24"/>
  <c r="BP134" i="24"/>
  <c r="IH88" i="24"/>
  <c r="IA91" i="24"/>
  <c r="IA124" i="24" s="1"/>
  <c r="HK91" i="24"/>
  <c r="HK124" i="24" s="1"/>
  <c r="E17" i="5"/>
  <c r="BB24" i="14"/>
  <c r="AY24" i="14"/>
  <c r="DH106" i="24"/>
  <c r="DI105" i="24"/>
  <c r="EK106" i="24"/>
  <c r="EL105" i="24"/>
  <c r="GQ106" i="24"/>
  <c r="GR105" i="24"/>
  <c r="HT106" i="24"/>
  <c r="HU105" i="24"/>
  <c r="IW106" i="24"/>
  <c r="IX105" i="24"/>
  <c r="LC106" i="24"/>
  <c r="LD105" i="24"/>
  <c r="NI106" i="24"/>
  <c r="NJ105" i="24"/>
  <c r="BB106" i="24"/>
  <c r="BC105" i="24"/>
  <c r="CE106" i="24"/>
  <c r="CF105" i="24"/>
  <c r="FN106" i="24"/>
  <c r="FO105" i="24"/>
  <c r="JZ106" i="24"/>
  <c r="KA105" i="24"/>
  <c r="MF106" i="24"/>
  <c r="MG105" i="24"/>
  <c r="D33" i="28"/>
  <c r="C34" i="28"/>
  <c r="C21" i="27"/>
  <c r="D20" i="27"/>
  <c r="BK18" i="14"/>
  <c r="E28" i="5"/>
  <c r="BK14" i="14"/>
  <c r="E24" i="5"/>
  <c r="BK10" i="14"/>
  <c r="E20" i="5"/>
  <c r="C16" i="18"/>
  <c r="D15" i="18"/>
  <c r="BS86" i="14"/>
  <c r="BC24" i="14"/>
  <c r="AZ24" i="14"/>
  <c r="BK7" i="14"/>
  <c r="G21" i="27" l="1"/>
  <c r="K21" i="27"/>
  <c r="T21" i="27" s="1"/>
  <c r="O112" i="44"/>
  <c r="IH91" i="24"/>
  <c r="IH124" i="24" s="1"/>
  <c r="IL91" i="24"/>
  <c r="IL124" i="24" s="1"/>
  <c r="IE91" i="24"/>
  <c r="IE124" i="24" s="1"/>
  <c r="IP91" i="24"/>
  <c r="IP124" i="24" s="1"/>
  <c r="IG91" i="24"/>
  <c r="IG124" i="24" s="1"/>
  <c r="IN88" i="24"/>
  <c r="BV134" i="24"/>
  <c r="JD88" i="24"/>
  <c r="BI135" i="24"/>
  <c r="IB91" i="24"/>
  <c r="IB124" i="24" s="1"/>
  <c r="IF91" i="24"/>
  <c r="IF124" i="24" s="1"/>
  <c r="IJ91" i="24"/>
  <c r="IJ124" i="24" s="1"/>
  <c r="ID91" i="24"/>
  <c r="ID124" i="24" s="1"/>
  <c r="IK91" i="24"/>
  <c r="IK124" i="24" s="1"/>
  <c r="IM91" i="24"/>
  <c r="IM124" i="24" s="1"/>
  <c r="IQ91" i="24"/>
  <c r="IQ124" i="24" s="1"/>
  <c r="HZ91" i="24"/>
  <c r="HZ124" i="24" s="1"/>
  <c r="IO91" i="24"/>
  <c r="IO124" i="24" s="1"/>
  <c r="II91" i="24"/>
  <c r="II124" i="24" s="1"/>
  <c r="IC91" i="24"/>
  <c r="IC124" i="24" s="1"/>
  <c r="MF107" i="24"/>
  <c r="MG106" i="24"/>
  <c r="JZ107" i="24"/>
  <c r="KA106" i="24"/>
  <c r="FN107" i="24"/>
  <c r="FO106" i="24"/>
  <c r="CE107" i="24"/>
  <c r="CF106" i="24"/>
  <c r="BB107" i="24"/>
  <c r="BC106" i="24"/>
  <c r="NI107" i="24"/>
  <c r="NJ106" i="24"/>
  <c r="LC107" i="24"/>
  <c r="LD106" i="24"/>
  <c r="IW107" i="24"/>
  <c r="IX106" i="24"/>
  <c r="HT107" i="24"/>
  <c r="HU106" i="24"/>
  <c r="GQ107" i="24"/>
  <c r="GR106" i="24"/>
  <c r="EK107" i="24"/>
  <c r="EL106" i="24"/>
  <c r="DH107" i="24"/>
  <c r="DI106" i="24"/>
  <c r="D34" i="28"/>
  <c r="C35" i="28"/>
  <c r="C22" i="27"/>
  <c r="D21" i="27"/>
  <c r="BK24" i="14"/>
  <c r="C17" i="18"/>
  <c r="D16" i="18"/>
  <c r="G22" i="27" l="1"/>
  <c r="K22" i="27"/>
  <c r="T22" i="27" s="1"/>
  <c r="O113" i="44"/>
  <c r="BK135" i="24"/>
  <c r="JF88" i="24"/>
  <c r="BQ135" i="24"/>
  <c r="JL88" i="24"/>
  <c r="BW135" i="24"/>
  <c r="JR88" i="24"/>
  <c r="BH135" i="24"/>
  <c r="E30" i="31" s="1"/>
  <c r="H30" i="31" s="1"/>
  <c r="K30" i="31" s="1"/>
  <c r="JC88" i="24"/>
  <c r="BY135" i="24"/>
  <c r="JT88" i="24"/>
  <c r="BU135" i="24"/>
  <c r="JP88" i="24"/>
  <c r="BS135" i="24"/>
  <c r="JN88" i="24"/>
  <c r="BL135" i="24"/>
  <c r="JG88" i="24"/>
  <c r="BR135" i="24"/>
  <c r="JM88" i="24"/>
  <c r="BN135" i="24"/>
  <c r="JI88" i="24"/>
  <c r="BJ135" i="24"/>
  <c r="JE88" i="24"/>
  <c r="JD91" i="24"/>
  <c r="JD124" i="24" s="1"/>
  <c r="IN91" i="24"/>
  <c r="IN124" i="24" s="1"/>
  <c r="JJ88" i="24"/>
  <c r="BO135" i="24"/>
  <c r="BX135" i="24"/>
  <c r="JS88" i="24"/>
  <c r="JH88" i="24"/>
  <c r="BM135" i="24"/>
  <c r="BT135" i="24"/>
  <c r="JO88" i="24"/>
  <c r="JK88" i="24"/>
  <c r="BP135" i="24"/>
  <c r="DH108" i="24"/>
  <c r="DI107" i="24"/>
  <c r="EK108" i="24"/>
  <c r="EL107" i="24"/>
  <c r="GQ108" i="24"/>
  <c r="GR107" i="24"/>
  <c r="HT108" i="24"/>
  <c r="HU107" i="24"/>
  <c r="IW108" i="24"/>
  <c r="IX107" i="24"/>
  <c r="LC108" i="24"/>
  <c r="LD107" i="24"/>
  <c r="NI108" i="24"/>
  <c r="NJ107" i="24"/>
  <c r="BB108" i="24"/>
  <c r="BC107" i="24"/>
  <c r="CE108" i="24"/>
  <c r="CF107" i="24"/>
  <c r="FN108" i="24"/>
  <c r="FO107" i="24"/>
  <c r="JZ108" i="24"/>
  <c r="KA107" i="24"/>
  <c r="MF108" i="24"/>
  <c r="MG107" i="24"/>
  <c r="D35" i="28"/>
  <c r="C36" i="28"/>
  <c r="C23" i="27"/>
  <c r="D22" i="27"/>
  <c r="C18" i="18"/>
  <c r="D17" i="18"/>
  <c r="G23" i="27" l="1"/>
  <c r="K23" i="27"/>
  <c r="T23" i="27" s="1"/>
  <c r="O114" i="44"/>
  <c r="JO91" i="24"/>
  <c r="JO124" i="24" s="1"/>
  <c r="JS91" i="24"/>
  <c r="JS124" i="24" s="1"/>
  <c r="JE91" i="24"/>
  <c r="JE124" i="24" s="1"/>
  <c r="JI91" i="24"/>
  <c r="JI124" i="24" s="1"/>
  <c r="JM91" i="24"/>
  <c r="JM124" i="24" s="1"/>
  <c r="JG91" i="24"/>
  <c r="JG124" i="24" s="1"/>
  <c r="JN91" i="24"/>
  <c r="JN124" i="24" s="1"/>
  <c r="JP91" i="24"/>
  <c r="JP124" i="24" s="1"/>
  <c r="JT91" i="24"/>
  <c r="JT124" i="24" s="1"/>
  <c r="JC91" i="24"/>
  <c r="JC124" i="24" s="1"/>
  <c r="JR91" i="24"/>
  <c r="JR124" i="24" s="1"/>
  <c r="JL91" i="24"/>
  <c r="JL124" i="24" s="1"/>
  <c r="JF91" i="24"/>
  <c r="JF124" i="24" s="1"/>
  <c r="JK91" i="24"/>
  <c r="JK124" i="24" s="1"/>
  <c r="JH91" i="24"/>
  <c r="JH124" i="24" s="1"/>
  <c r="JJ91" i="24"/>
  <c r="JJ124" i="24" s="1"/>
  <c r="BV135" i="24"/>
  <c r="JQ88" i="24"/>
  <c r="BI136" i="24"/>
  <c r="KG88" i="24"/>
  <c r="JZ109" i="24"/>
  <c r="KA108" i="24"/>
  <c r="MF109" i="24"/>
  <c r="MG108" i="24"/>
  <c r="FN109" i="24"/>
  <c r="FO108" i="24"/>
  <c r="CE109" i="24"/>
  <c r="CF108" i="24"/>
  <c r="BB109" i="24"/>
  <c r="BC108" i="24"/>
  <c r="NI109" i="24"/>
  <c r="NJ108" i="24"/>
  <c r="LC109" i="24"/>
  <c r="LD108" i="24"/>
  <c r="IW109" i="24"/>
  <c r="IX108" i="24"/>
  <c r="HT109" i="24"/>
  <c r="HU108" i="24"/>
  <c r="GQ109" i="24"/>
  <c r="GR108" i="24"/>
  <c r="EK109" i="24"/>
  <c r="EL108" i="24"/>
  <c r="DH109" i="24"/>
  <c r="DI108" i="24"/>
  <c r="D36" i="28"/>
  <c r="C37" i="28"/>
  <c r="C24" i="27"/>
  <c r="D23" i="27"/>
  <c r="C19" i="18"/>
  <c r="D18" i="18"/>
  <c r="J8" i="11"/>
  <c r="K8" i="11"/>
  <c r="G24" i="27" l="1"/>
  <c r="K24" i="27"/>
  <c r="T24" i="27" s="1"/>
  <c r="O115" i="44"/>
  <c r="BO136" i="24"/>
  <c r="KM88" i="24"/>
  <c r="BP136" i="24"/>
  <c r="KN88" i="24"/>
  <c r="BQ136" i="24"/>
  <c r="KO88" i="24"/>
  <c r="BH136" i="24"/>
  <c r="E31" i="31" s="1"/>
  <c r="H31" i="31" s="1"/>
  <c r="K31" i="31" s="1"/>
  <c r="KF88" i="24"/>
  <c r="BU136" i="24"/>
  <c r="KS88" i="24"/>
  <c r="BL136" i="24"/>
  <c r="KJ88" i="24"/>
  <c r="BN136" i="24"/>
  <c r="KL88" i="24"/>
  <c r="BX136" i="24"/>
  <c r="KV88" i="24"/>
  <c r="BM136" i="24"/>
  <c r="KK88" i="24"/>
  <c r="BK136" i="24"/>
  <c r="KI88" i="24"/>
  <c r="BW136" i="24"/>
  <c r="KU88" i="24"/>
  <c r="BY136" i="24"/>
  <c r="KW88" i="24"/>
  <c r="BS136" i="24"/>
  <c r="KQ88" i="24"/>
  <c r="BR136" i="24"/>
  <c r="KP88" i="24"/>
  <c r="BJ136" i="24"/>
  <c r="KH88" i="24"/>
  <c r="BT136" i="24"/>
  <c r="KR88" i="24"/>
  <c r="KG91" i="24"/>
  <c r="KG124" i="24" s="1"/>
  <c r="JQ91" i="24"/>
  <c r="JQ124" i="24" s="1"/>
  <c r="DH110" i="24"/>
  <c r="DI109" i="24"/>
  <c r="EK110" i="24"/>
  <c r="EL109" i="24"/>
  <c r="GQ110" i="24"/>
  <c r="GR109" i="24"/>
  <c r="HT110" i="24"/>
  <c r="HU109" i="24"/>
  <c r="IW110" i="24"/>
  <c r="IX109" i="24"/>
  <c r="LC110" i="24"/>
  <c r="LD109" i="24"/>
  <c r="NI110" i="24"/>
  <c r="NJ109" i="24"/>
  <c r="BB110" i="24"/>
  <c r="BC109" i="24"/>
  <c r="CE110" i="24"/>
  <c r="CF109" i="24"/>
  <c r="FN110" i="24"/>
  <c r="FO109" i="24"/>
  <c r="MF110" i="24"/>
  <c r="MG109" i="24"/>
  <c r="JZ110" i="24"/>
  <c r="KA109" i="24"/>
  <c r="D37" i="28"/>
  <c r="C38" i="28"/>
  <c r="C25" i="27"/>
  <c r="D24" i="27"/>
  <c r="C20" i="18"/>
  <c r="D19" i="18"/>
  <c r="BP149" i="12"/>
  <c r="BP112" i="12"/>
  <c r="BP75" i="12"/>
  <c r="BP263" i="12"/>
  <c r="BP226" i="12"/>
  <c r="BP188" i="12"/>
  <c r="BP37" i="12"/>
  <c r="BF122" i="12"/>
  <c r="E8" i="29" s="1"/>
  <c r="BG122" i="12"/>
  <c r="BH122" i="12"/>
  <c r="BJ48" i="29" s="1"/>
  <c r="BI122" i="12"/>
  <c r="BJ122" i="12"/>
  <c r="BK122" i="12"/>
  <c r="BL122" i="12"/>
  <c r="BM122" i="12"/>
  <c r="BN122" i="12"/>
  <c r="BO122" i="12"/>
  <c r="BP122" i="12"/>
  <c r="BQ122" i="12"/>
  <c r="BF123" i="12"/>
  <c r="BG123" i="12"/>
  <c r="BH123" i="12"/>
  <c r="BJ49" i="29" s="1"/>
  <c r="BI123" i="12"/>
  <c r="BJ123" i="12"/>
  <c r="BK123" i="12"/>
  <c r="BL123" i="12"/>
  <c r="BJ9" i="29" s="1"/>
  <c r="BM123" i="12"/>
  <c r="BN123" i="12"/>
  <c r="BO123" i="12"/>
  <c r="BP123" i="12"/>
  <c r="BQ123" i="12"/>
  <c r="BF124" i="12"/>
  <c r="BG124" i="12"/>
  <c r="BH124" i="12"/>
  <c r="BJ50" i="29" s="1"/>
  <c r="BI124" i="12"/>
  <c r="BJ124" i="12"/>
  <c r="BK124" i="12"/>
  <c r="BL124" i="12"/>
  <c r="BM124" i="12"/>
  <c r="BN124" i="12"/>
  <c r="BO124" i="12"/>
  <c r="BP124" i="12"/>
  <c r="BQ124" i="12"/>
  <c r="BF125" i="12"/>
  <c r="BG125" i="12"/>
  <c r="BH125" i="12"/>
  <c r="BJ51" i="29" s="1"/>
  <c r="BI125" i="12"/>
  <c r="BJ125" i="12"/>
  <c r="BK125" i="12"/>
  <c r="BL125" i="12"/>
  <c r="BM125" i="12"/>
  <c r="BN125" i="12"/>
  <c r="BO125" i="12"/>
  <c r="BP125" i="12"/>
  <c r="BQ125" i="12"/>
  <c r="BF126" i="12"/>
  <c r="BG126" i="12"/>
  <c r="BH126" i="12"/>
  <c r="BJ52" i="29" s="1"/>
  <c r="BI126" i="12"/>
  <c r="BJ126" i="12"/>
  <c r="BK126" i="12"/>
  <c r="BL126" i="12"/>
  <c r="BJ12" i="29" s="1"/>
  <c r="BM126" i="12"/>
  <c r="BN126" i="12"/>
  <c r="BO126" i="12"/>
  <c r="BP126" i="12"/>
  <c r="BQ126" i="12"/>
  <c r="BF127" i="12"/>
  <c r="BG127" i="12"/>
  <c r="BH127" i="12"/>
  <c r="BJ53" i="29" s="1"/>
  <c r="BI127" i="12"/>
  <c r="BJ127" i="12"/>
  <c r="BK127" i="12"/>
  <c r="BL127" i="12"/>
  <c r="BJ13" i="29" s="1"/>
  <c r="BM127" i="12"/>
  <c r="BN127" i="12"/>
  <c r="BO127" i="12"/>
  <c r="BP127" i="12"/>
  <c r="BQ127" i="12"/>
  <c r="BF128" i="12"/>
  <c r="BG128" i="12"/>
  <c r="BH128" i="12"/>
  <c r="BJ54" i="29" s="1"/>
  <c r="BI128" i="12"/>
  <c r="BJ128" i="12"/>
  <c r="BK128" i="12"/>
  <c r="BL128" i="12"/>
  <c r="BJ14" i="29" s="1"/>
  <c r="BM128" i="12"/>
  <c r="BN128" i="12"/>
  <c r="BO128" i="12"/>
  <c r="BP128" i="12"/>
  <c r="BQ128" i="12"/>
  <c r="BF129" i="12"/>
  <c r="BG129" i="12"/>
  <c r="BH129" i="12"/>
  <c r="BJ55" i="29" s="1"/>
  <c r="BI129" i="12"/>
  <c r="BJ129" i="12"/>
  <c r="BK129" i="12"/>
  <c r="BL129" i="12"/>
  <c r="BJ15" i="29" s="1"/>
  <c r="BM129" i="12"/>
  <c r="BN129" i="12"/>
  <c r="BO129" i="12"/>
  <c r="BP129" i="12"/>
  <c r="BQ129" i="12"/>
  <c r="BF130" i="12"/>
  <c r="BG130" i="12"/>
  <c r="BH130" i="12"/>
  <c r="BJ56" i="29" s="1"/>
  <c r="BI130" i="12"/>
  <c r="BJ130" i="12"/>
  <c r="BK130" i="12"/>
  <c r="BL130" i="12"/>
  <c r="BJ16" i="29" s="1"/>
  <c r="BM130" i="12"/>
  <c r="BN130" i="12"/>
  <c r="BO130" i="12"/>
  <c r="BP130" i="12"/>
  <c r="BQ130" i="12"/>
  <c r="BF131" i="12"/>
  <c r="BG131" i="12"/>
  <c r="BH131" i="12"/>
  <c r="BJ57" i="29" s="1"/>
  <c r="BI131" i="12"/>
  <c r="BJ131" i="12"/>
  <c r="BK131" i="12"/>
  <c r="BL131" i="12"/>
  <c r="BJ17" i="29" s="1"/>
  <c r="BM131" i="12"/>
  <c r="BN131" i="12"/>
  <c r="BO131" i="12"/>
  <c r="BP131" i="12"/>
  <c r="BQ131" i="12"/>
  <c r="BF132" i="12"/>
  <c r="BG132" i="12"/>
  <c r="BH132" i="12"/>
  <c r="BJ58" i="29" s="1"/>
  <c r="BI132" i="12"/>
  <c r="BJ132" i="12"/>
  <c r="BK132" i="12"/>
  <c r="BL132" i="12"/>
  <c r="BJ18" i="29" s="1"/>
  <c r="BM132" i="12"/>
  <c r="BN132" i="12"/>
  <c r="BO132" i="12"/>
  <c r="BP132" i="12"/>
  <c r="BQ132" i="12"/>
  <c r="BF133" i="12"/>
  <c r="BG133" i="12"/>
  <c r="BH133" i="12"/>
  <c r="BJ59" i="29" s="1"/>
  <c r="BI133" i="12"/>
  <c r="BJ133" i="12"/>
  <c r="BK133" i="12"/>
  <c r="BL133" i="12"/>
  <c r="BJ19" i="29" s="1"/>
  <c r="BM133" i="12"/>
  <c r="BN133" i="12"/>
  <c r="BO133" i="12"/>
  <c r="BP133" i="12"/>
  <c r="BQ133" i="12"/>
  <c r="BF134" i="12"/>
  <c r="BG134" i="12"/>
  <c r="BH134" i="12"/>
  <c r="BJ60" i="29" s="1"/>
  <c r="BI134" i="12"/>
  <c r="BJ134" i="12"/>
  <c r="BK134" i="12"/>
  <c r="BL134" i="12"/>
  <c r="BJ20" i="29" s="1"/>
  <c r="BM134" i="12"/>
  <c r="BN134" i="12"/>
  <c r="BO134" i="12"/>
  <c r="BP134" i="12"/>
  <c r="BQ134" i="12"/>
  <c r="BF135" i="12"/>
  <c r="BG135" i="12"/>
  <c r="BH135" i="12"/>
  <c r="BJ61" i="29" s="1"/>
  <c r="BI135" i="12"/>
  <c r="BJ135" i="12"/>
  <c r="BK135" i="12"/>
  <c r="BL135" i="12"/>
  <c r="BJ21" i="29" s="1"/>
  <c r="BM135" i="12"/>
  <c r="BN135" i="12"/>
  <c r="BO135" i="12"/>
  <c r="BP135" i="12"/>
  <c r="BQ135" i="12"/>
  <c r="BF136" i="12"/>
  <c r="BG136" i="12"/>
  <c r="BH136" i="12"/>
  <c r="BJ62" i="29" s="1"/>
  <c r="BI136" i="12"/>
  <c r="BJ136" i="12"/>
  <c r="BK136" i="12"/>
  <c r="BL136" i="12"/>
  <c r="BJ22" i="29" s="1"/>
  <c r="BM136" i="12"/>
  <c r="BN136" i="12"/>
  <c r="BO136" i="12"/>
  <c r="BP136" i="12"/>
  <c r="BQ136" i="12"/>
  <c r="BF137" i="12"/>
  <c r="BG137" i="12"/>
  <c r="BH137" i="12"/>
  <c r="BJ63" i="29" s="1"/>
  <c r="BI137" i="12"/>
  <c r="BJ137" i="12"/>
  <c r="BK137" i="12"/>
  <c r="BL137" i="12"/>
  <c r="BM137" i="12"/>
  <c r="BN137" i="12"/>
  <c r="BO137" i="12"/>
  <c r="BP137" i="12"/>
  <c r="BQ137" i="12"/>
  <c r="BF138" i="12"/>
  <c r="BG138" i="12"/>
  <c r="BH138" i="12"/>
  <c r="BJ64" i="29" s="1"/>
  <c r="BI138" i="12"/>
  <c r="BJ138" i="12"/>
  <c r="BK138" i="12"/>
  <c r="BL138" i="12"/>
  <c r="BJ24" i="29" s="1"/>
  <c r="BM138" i="12"/>
  <c r="BN138" i="12"/>
  <c r="BO138" i="12"/>
  <c r="BP138" i="12"/>
  <c r="BQ138" i="12"/>
  <c r="BF139" i="12"/>
  <c r="BG139" i="12"/>
  <c r="BH139" i="12"/>
  <c r="BJ65" i="29" s="1"/>
  <c r="BI139" i="12"/>
  <c r="BJ139" i="12"/>
  <c r="BK139" i="12"/>
  <c r="BL139" i="12"/>
  <c r="BJ25" i="29" s="1"/>
  <c r="BM139" i="12"/>
  <c r="BN139" i="12"/>
  <c r="BO139" i="12"/>
  <c r="BP139" i="12"/>
  <c r="BQ139" i="12"/>
  <c r="BF140" i="12"/>
  <c r="BG140" i="12"/>
  <c r="BH140" i="12"/>
  <c r="BJ66" i="29" s="1"/>
  <c r="BI140" i="12"/>
  <c r="BJ140" i="12"/>
  <c r="BK140" i="12"/>
  <c r="BL140" i="12"/>
  <c r="BJ26" i="29" s="1"/>
  <c r="BM140" i="12"/>
  <c r="BN140" i="12"/>
  <c r="BO140" i="12"/>
  <c r="BP140" i="12"/>
  <c r="BQ140" i="12"/>
  <c r="BF141" i="12"/>
  <c r="BG141" i="12"/>
  <c r="BH141" i="12"/>
  <c r="BJ67" i="29" s="1"/>
  <c r="BI141" i="12"/>
  <c r="BJ141" i="12"/>
  <c r="BK141" i="12"/>
  <c r="BL141" i="12"/>
  <c r="BJ27" i="29" s="1"/>
  <c r="BM141" i="12"/>
  <c r="BN141" i="12"/>
  <c r="BO141" i="12"/>
  <c r="BP141" i="12"/>
  <c r="BQ141" i="12"/>
  <c r="BF142" i="12"/>
  <c r="BG142" i="12"/>
  <c r="BH142" i="12"/>
  <c r="BJ68" i="29" s="1"/>
  <c r="BI142" i="12"/>
  <c r="BJ142" i="12"/>
  <c r="BK142" i="12"/>
  <c r="BL142" i="12"/>
  <c r="BJ28" i="29" s="1"/>
  <c r="BM142" i="12"/>
  <c r="BN142" i="12"/>
  <c r="BO142" i="12"/>
  <c r="BP142" i="12"/>
  <c r="BQ142" i="12"/>
  <c r="BF143" i="12"/>
  <c r="BG143" i="12"/>
  <c r="BH143" i="12"/>
  <c r="BJ69" i="29" s="1"/>
  <c r="BI143" i="12"/>
  <c r="BJ143" i="12"/>
  <c r="BK143" i="12"/>
  <c r="BL143" i="12"/>
  <c r="BJ29" i="29" s="1"/>
  <c r="BM143" i="12"/>
  <c r="BN143" i="12"/>
  <c r="BO143" i="12"/>
  <c r="BP143" i="12"/>
  <c r="BQ143" i="12"/>
  <c r="BF144" i="12"/>
  <c r="BG144" i="12"/>
  <c r="BH144" i="12"/>
  <c r="BJ70" i="29" s="1"/>
  <c r="BI144" i="12"/>
  <c r="BJ144" i="12"/>
  <c r="BK144" i="12"/>
  <c r="BL144" i="12"/>
  <c r="BJ30" i="29" s="1"/>
  <c r="BM144" i="12"/>
  <c r="BN144" i="12"/>
  <c r="BO144" i="12"/>
  <c r="BP144" i="12"/>
  <c r="BQ144" i="12"/>
  <c r="BF145" i="12"/>
  <c r="BG145" i="12"/>
  <c r="BH145" i="12"/>
  <c r="BJ71" i="29" s="1"/>
  <c r="BI145" i="12"/>
  <c r="BJ145" i="12"/>
  <c r="BK145" i="12"/>
  <c r="BL145" i="12"/>
  <c r="BJ31" i="29" s="1"/>
  <c r="BM145" i="12"/>
  <c r="BN145" i="12"/>
  <c r="BO145" i="12"/>
  <c r="BP145" i="12"/>
  <c r="BQ145" i="12"/>
  <c r="BF146" i="12"/>
  <c r="BG146" i="12"/>
  <c r="BH146" i="12"/>
  <c r="BJ72" i="29" s="1"/>
  <c r="BI146" i="12"/>
  <c r="BJ146" i="12"/>
  <c r="BK146" i="12"/>
  <c r="BL146" i="12"/>
  <c r="BJ32" i="29" s="1"/>
  <c r="BM146" i="12"/>
  <c r="BN146" i="12"/>
  <c r="BO146" i="12"/>
  <c r="BP146" i="12"/>
  <c r="BQ146" i="12"/>
  <c r="BF147" i="12"/>
  <c r="BG147" i="12"/>
  <c r="BH147" i="12"/>
  <c r="BJ73" i="29" s="1"/>
  <c r="BI147" i="12"/>
  <c r="BJ147" i="12"/>
  <c r="BK147" i="12"/>
  <c r="BL147" i="12"/>
  <c r="BJ33" i="29" s="1"/>
  <c r="BM147" i="12"/>
  <c r="BN147" i="12"/>
  <c r="BO147" i="12"/>
  <c r="BP147" i="12"/>
  <c r="BQ147" i="12"/>
  <c r="BF148" i="12"/>
  <c r="BG148" i="12"/>
  <c r="BH148" i="12"/>
  <c r="BJ74" i="29" s="1"/>
  <c r="BI148" i="12"/>
  <c r="BJ148" i="12"/>
  <c r="BK148" i="12"/>
  <c r="BL148" i="12"/>
  <c r="BJ34" i="29" s="1"/>
  <c r="BM148" i="12"/>
  <c r="BN148" i="12"/>
  <c r="BO148" i="12"/>
  <c r="BP148" i="12"/>
  <c r="BQ148" i="12"/>
  <c r="BF149" i="12"/>
  <c r="BG149" i="12"/>
  <c r="BH149" i="12"/>
  <c r="BJ75" i="29" s="1"/>
  <c r="BI149" i="12"/>
  <c r="BJ149" i="12"/>
  <c r="BK149" i="12"/>
  <c r="BL149" i="12"/>
  <c r="BJ35" i="29" s="1"/>
  <c r="BM149" i="12"/>
  <c r="BN149" i="12"/>
  <c r="BO149" i="12"/>
  <c r="BQ149" i="12"/>
  <c r="BF150" i="12"/>
  <c r="BG150" i="12"/>
  <c r="BH150" i="12"/>
  <c r="BJ76" i="29" s="1"/>
  <c r="BI150" i="12"/>
  <c r="BJ150" i="12"/>
  <c r="BK150" i="12"/>
  <c r="BL150" i="12"/>
  <c r="BM150" i="12"/>
  <c r="BN150" i="12"/>
  <c r="BO150" i="12"/>
  <c r="BQ150" i="12"/>
  <c r="BG151" i="12"/>
  <c r="BI151" i="12"/>
  <c r="BJ151" i="12"/>
  <c r="BL151" i="12"/>
  <c r="BN151" i="12"/>
  <c r="BO151" i="12"/>
  <c r="BJ37" i="29" s="1"/>
  <c r="BQ151" i="12"/>
  <c r="BQ121" i="12"/>
  <c r="BP121" i="12"/>
  <c r="BO121" i="12"/>
  <c r="BN121" i="12"/>
  <c r="BM121" i="12"/>
  <c r="BL121" i="12"/>
  <c r="BK121" i="12"/>
  <c r="BJ121" i="12"/>
  <c r="BI121" i="12"/>
  <c r="BH121" i="12"/>
  <c r="BJ47" i="29" s="1"/>
  <c r="BG121" i="12"/>
  <c r="BF121" i="12"/>
  <c r="BF85" i="12"/>
  <c r="BG85" i="12"/>
  <c r="BH85" i="12"/>
  <c r="BN48" i="29" s="1"/>
  <c r="BI85" i="12"/>
  <c r="BJ85" i="12"/>
  <c r="BK85" i="12"/>
  <c r="BL85" i="12"/>
  <c r="BM85" i="12"/>
  <c r="BN85" i="12"/>
  <c r="BO85" i="12"/>
  <c r="BP85" i="12"/>
  <c r="BQ85" i="12"/>
  <c r="BF86" i="12"/>
  <c r="BG86" i="12"/>
  <c r="BH86" i="12"/>
  <c r="BN49" i="29" s="1"/>
  <c r="BI86" i="12"/>
  <c r="BJ86" i="12"/>
  <c r="BK86" i="12"/>
  <c r="BL86" i="12"/>
  <c r="BM86" i="12"/>
  <c r="BN86" i="12"/>
  <c r="BO86" i="12"/>
  <c r="BP86" i="12"/>
  <c r="BQ86" i="12"/>
  <c r="BF87" i="12"/>
  <c r="BG87" i="12"/>
  <c r="BH87" i="12"/>
  <c r="BN50" i="29" s="1"/>
  <c r="BI87" i="12"/>
  <c r="BJ87" i="12"/>
  <c r="BK87" i="12"/>
  <c r="BL87" i="12"/>
  <c r="BM87" i="12"/>
  <c r="BN87" i="12"/>
  <c r="BO87" i="12"/>
  <c r="BP87" i="12"/>
  <c r="BQ87" i="12"/>
  <c r="BF88" i="12"/>
  <c r="BG88" i="12"/>
  <c r="BH88" i="12"/>
  <c r="BN51" i="29" s="1"/>
  <c r="BI88" i="12"/>
  <c r="BJ88" i="12"/>
  <c r="BK88" i="12"/>
  <c r="BL88" i="12"/>
  <c r="BM88" i="12"/>
  <c r="BN88" i="12"/>
  <c r="BO88" i="12"/>
  <c r="BP88" i="12"/>
  <c r="BQ88" i="12"/>
  <c r="BF89" i="12"/>
  <c r="BG89" i="12"/>
  <c r="BH89" i="12"/>
  <c r="BN52" i="29" s="1"/>
  <c r="BI89" i="12"/>
  <c r="BJ89" i="12"/>
  <c r="BK89" i="12"/>
  <c r="BL89" i="12"/>
  <c r="BM89" i="12"/>
  <c r="BN89" i="12"/>
  <c r="BO89" i="12"/>
  <c r="BP89" i="12"/>
  <c r="BQ89" i="12"/>
  <c r="BF90" i="12"/>
  <c r="BG90" i="12"/>
  <c r="BH90" i="12"/>
  <c r="BN53" i="29" s="1"/>
  <c r="BI90" i="12"/>
  <c r="BJ90" i="12"/>
  <c r="BK90" i="12"/>
  <c r="BL90" i="12"/>
  <c r="BM90" i="12"/>
  <c r="BN90" i="12"/>
  <c r="BO90" i="12"/>
  <c r="BP90" i="12"/>
  <c r="BQ90" i="12"/>
  <c r="BF91" i="12"/>
  <c r="BG91" i="12"/>
  <c r="BH91" i="12"/>
  <c r="BN54" i="29" s="1"/>
  <c r="BI91" i="12"/>
  <c r="BJ91" i="12"/>
  <c r="BK91" i="12"/>
  <c r="BL91" i="12"/>
  <c r="BM91" i="12"/>
  <c r="BN91" i="12"/>
  <c r="BO91" i="12"/>
  <c r="BP91" i="12"/>
  <c r="BQ91" i="12"/>
  <c r="BF92" i="12"/>
  <c r="BG92" i="12"/>
  <c r="BH92" i="12"/>
  <c r="BN55" i="29" s="1"/>
  <c r="BI92" i="12"/>
  <c r="BJ92" i="12"/>
  <c r="BK92" i="12"/>
  <c r="BL92" i="12"/>
  <c r="BM92" i="12"/>
  <c r="BN92" i="12"/>
  <c r="BO92" i="12"/>
  <c r="BP92" i="12"/>
  <c r="BQ92" i="12"/>
  <c r="BF93" i="12"/>
  <c r="BG93" i="12"/>
  <c r="BH93" i="12"/>
  <c r="BN56" i="29" s="1"/>
  <c r="BI93" i="12"/>
  <c r="BJ93" i="12"/>
  <c r="BK93" i="12"/>
  <c r="BL93" i="12"/>
  <c r="BM93" i="12"/>
  <c r="BN93" i="12"/>
  <c r="BO93" i="12"/>
  <c r="BP93" i="12"/>
  <c r="BQ93" i="12"/>
  <c r="BF94" i="12"/>
  <c r="BG94" i="12"/>
  <c r="BH94" i="12"/>
  <c r="BN57" i="29" s="1"/>
  <c r="BI94" i="12"/>
  <c r="BJ94" i="12"/>
  <c r="BK94" i="12"/>
  <c r="BL94" i="12"/>
  <c r="BM94" i="12"/>
  <c r="BN94" i="12"/>
  <c r="BO94" i="12"/>
  <c r="BP94" i="12"/>
  <c r="BQ94" i="12"/>
  <c r="BF95" i="12"/>
  <c r="BG95" i="12"/>
  <c r="BH95" i="12"/>
  <c r="BN58" i="29" s="1"/>
  <c r="BI95" i="12"/>
  <c r="BJ95" i="12"/>
  <c r="BK95" i="12"/>
  <c r="BL95" i="12"/>
  <c r="BM95" i="12"/>
  <c r="BN95" i="12"/>
  <c r="BO95" i="12"/>
  <c r="BP95" i="12"/>
  <c r="BQ95" i="12"/>
  <c r="BF96" i="12"/>
  <c r="BG96" i="12"/>
  <c r="BH96" i="12"/>
  <c r="BN59" i="29" s="1"/>
  <c r="BI96" i="12"/>
  <c r="BJ96" i="12"/>
  <c r="BK96" i="12"/>
  <c r="BL96" i="12"/>
  <c r="BM96" i="12"/>
  <c r="BN96" i="12"/>
  <c r="BO96" i="12"/>
  <c r="BP96" i="12"/>
  <c r="BQ96" i="12"/>
  <c r="BF97" i="12"/>
  <c r="BG97" i="12"/>
  <c r="BH97" i="12"/>
  <c r="BN60" i="29" s="1"/>
  <c r="BI97" i="12"/>
  <c r="BJ97" i="12"/>
  <c r="BK97" i="12"/>
  <c r="BL97" i="12"/>
  <c r="BM97" i="12"/>
  <c r="BN97" i="12"/>
  <c r="BO97" i="12"/>
  <c r="BP97" i="12"/>
  <c r="BQ97" i="12"/>
  <c r="BF98" i="12"/>
  <c r="BG98" i="12"/>
  <c r="BH98" i="12"/>
  <c r="BN61" i="29" s="1"/>
  <c r="BI98" i="12"/>
  <c r="BJ98" i="12"/>
  <c r="BK98" i="12"/>
  <c r="BL98" i="12"/>
  <c r="BM98" i="12"/>
  <c r="BN98" i="12"/>
  <c r="BO98" i="12"/>
  <c r="BP98" i="12"/>
  <c r="BQ98" i="12"/>
  <c r="BF99" i="12"/>
  <c r="BG99" i="12"/>
  <c r="BH99" i="12"/>
  <c r="BN62" i="29" s="1"/>
  <c r="BI99" i="12"/>
  <c r="BJ99" i="12"/>
  <c r="BK99" i="12"/>
  <c r="BL99" i="12"/>
  <c r="BM99" i="12"/>
  <c r="BN99" i="12"/>
  <c r="BO99" i="12"/>
  <c r="BP99" i="12"/>
  <c r="BQ99" i="12"/>
  <c r="BF100" i="12"/>
  <c r="BG100" i="12"/>
  <c r="BH100" i="12"/>
  <c r="BN63" i="29" s="1"/>
  <c r="BI100" i="12"/>
  <c r="BJ100" i="12"/>
  <c r="BK100" i="12"/>
  <c r="BL100" i="12"/>
  <c r="BM100" i="12"/>
  <c r="BN100" i="12"/>
  <c r="BO100" i="12"/>
  <c r="BP100" i="12"/>
  <c r="BQ100" i="12"/>
  <c r="BF101" i="12"/>
  <c r="BG101" i="12"/>
  <c r="BH101" i="12"/>
  <c r="BN64" i="29" s="1"/>
  <c r="BI101" i="12"/>
  <c r="BJ101" i="12"/>
  <c r="BK101" i="12"/>
  <c r="BL101" i="12"/>
  <c r="BM101" i="12"/>
  <c r="BN101" i="12"/>
  <c r="BO101" i="12"/>
  <c r="BP101" i="12"/>
  <c r="BQ101" i="12"/>
  <c r="BF102" i="12"/>
  <c r="BG102" i="12"/>
  <c r="BH102" i="12"/>
  <c r="BN65" i="29" s="1"/>
  <c r="BI102" i="12"/>
  <c r="BJ102" i="12"/>
  <c r="BK102" i="12"/>
  <c r="BL102" i="12"/>
  <c r="BM102" i="12"/>
  <c r="BN102" i="12"/>
  <c r="BO102" i="12"/>
  <c r="BP102" i="12"/>
  <c r="BQ102" i="12"/>
  <c r="BF103" i="12"/>
  <c r="BG103" i="12"/>
  <c r="BH103" i="12"/>
  <c r="BN66" i="29" s="1"/>
  <c r="BI103" i="12"/>
  <c r="BJ103" i="12"/>
  <c r="BK103" i="12"/>
  <c r="BL103" i="12"/>
  <c r="BM103" i="12"/>
  <c r="BN103" i="12"/>
  <c r="BO103" i="12"/>
  <c r="BP103" i="12"/>
  <c r="BQ103" i="12"/>
  <c r="BF104" i="12"/>
  <c r="BG104" i="12"/>
  <c r="BH104" i="12"/>
  <c r="BN67" i="29" s="1"/>
  <c r="BI104" i="12"/>
  <c r="BJ104" i="12"/>
  <c r="BK104" i="12"/>
  <c r="BL104" i="12"/>
  <c r="BM104" i="12"/>
  <c r="BN104" i="12"/>
  <c r="BO104" i="12"/>
  <c r="BP104" i="12"/>
  <c r="BQ104" i="12"/>
  <c r="BF105" i="12"/>
  <c r="BG105" i="12"/>
  <c r="BH105" i="12"/>
  <c r="BN68" i="29" s="1"/>
  <c r="BI105" i="12"/>
  <c r="BJ105" i="12"/>
  <c r="BK105" i="12"/>
  <c r="BL105" i="12"/>
  <c r="BM105" i="12"/>
  <c r="BN105" i="12"/>
  <c r="BO105" i="12"/>
  <c r="BP105" i="12"/>
  <c r="BQ105" i="12"/>
  <c r="BF106" i="12"/>
  <c r="BG106" i="12"/>
  <c r="BH106" i="12"/>
  <c r="BN69" i="29" s="1"/>
  <c r="BI106" i="12"/>
  <c r="BJ106" i="12"/>
  <c r="BK106" i="12"/>
  <c r="BL106" i="12"/>
  <c r="BM106" i="12"/>
  <c r="BN106" i="12"/>
  <c r="BO106" i="12"/>
  <c r="BP106" i="12"/>
  <c r="BQ106" i="12"/>
  <c r="BF107" i="12"/>
  <c r="BG107" i="12"/>
  <c r="BH107" i="12"/>
  <c r="BN70" i="29" s="1"/>
  <c r="BI107" i="12"/>
  <c r="BJ107" i="12"/>
  <c r="BK107" i="12"/>
  <c r="BL107" i="12"/>
  <c r="BM107" i="12"/>
  <c r="BN107" i="12"/>
  <c r="BO107" i="12"/>
  <c r="BP107" i="12"/>
  <c r="BQ107" i="12"/>
  <c r="BF108" i="12"/>
  <c r="BG108" i="12"/>
  <c r="BH108" i="12"/>
  <c r="BN71" i="29" s="1"/>
  <c r="BI108" i="12"/>
  <c r="BJ108" i="12"/>
  <c r="BK108" i="12"/>
  <c r="BL108" i="12"/>
  <c r="BM108" i="12"/>
  <c r="BN108" i="12"/>
  <c r="BO108" i="12"/>
  <c r="BP108" i="12"/>
  <c r="BQ108" i="12"/>
  <c r="BF109" i="12"/>
  <c r="BG109" i="12"/>
  <c r="BH109" i="12"/>
  <c r="BN72" i="29" s="1"/>
  <c r="BI109" i="12"/>
  <c r="BJ109" i="12"/>
  <c r="BK109" i="12"/>
  <c r="BL109" i="12"/>
  <c r="BM109" i="12"/>
  <c r="BN109" i="12"/>
  <c r="BO109" i="12"/>
  <c r="BP109" i="12"/>
  <c r="BQ109" i="12"/>
  <c r="BF110" i="12"/>
  <c r="BG110" i="12"/>
  <c r="BH110" i="12"/>
  <c r="BN73" i="29" s="1"/>
  <c r="BI110" i="12"/>
  <c r="BJ110" i="12"/>
  <c r="BK110" i="12"/>
  <c r="BL110" i="12"/>
  <c r="BM110" i="12"/>
  <c r="BN110" i="12"/>
  <c r="BO110" i="12"/>
  <c r="BP110" i="12"/>
  <c r="BQ110" i="12"/>
  <c r="BF111" i="12"/>
  <c r="BG111" i="12"/>
  <c r="BH111" i="12"/>
  <c r="BN74" i="29" s="1"/>
  <c r="BI111" i="12"/>
  <c r="BJ111" i="12"/>
  <c r="BK111" i="12"/>
  <c r="BL111" i="12"/>
  <c r="BM111" i="12"/>
  <c r="BN111" i="12"/>
  <c r="BO111" i="12"/>
  <c r="BP111" i="12"/>
  <c r="BQ111" i="12"/>
  <c r="BF112" i="12"/>
  <c r="BG112" i="12"/>
  <c r="BH112" i="12"/>
  <c r="BN75" i="29" s="1"/>
  <c r="BI112" i="12"/>
  <c r="BJ112" i="12"/>
  <c r="BK112" i="12"/>
  <c r="BL112" i="12"/>
  <c r="BM112" i="12"/>
  <c r="BN112" i="12"/>
  <c r="BO112" i="12"/>
  <c r="BQ112" i="12"/>
  <c r="BF113" i="12"/>
  <c r="BG113" i="12"/>
  <c r="BH113" i="12"/>
  <c r="BI113" i="12"/>
  <c r="BJ113" i="12"/>
  <c r="BK113" i="12"/>
  <c r="BL113" i="12"/>
  <c r="BM113" i="12"/>
  <c r="BN113" i="12"/>
  <c r="BO113" i="12"/>
  <c r="BQ113" i="12"/>
  <c r="BG114" i="12"/>
  <c r="BI114" i="12"/>
  <c r="BJ114" i="12"/>
  <c r="BL114" i="12"/>
  <c r="BN114" i="12"/>
  <c r="BO114" i="12"/>
  <c r="BQ114" i="12"/>
  <c r="BQ84" i="12"/>
  <c r="BP84" i="12"/>
  <c r="BO84" i="12"/>
  <c r="BN84" i="12"/>
  <c r="BM84" i="12"/>
  <c r="BL84" i="12"/>
  <c r="BK84" i="12"/>
  <c r="BJ84" i="12"/>
  <c r="BI84" i="12"/>
  <c r="BH84" i="12"/>
  <c r="BN47" i="29" s="1"/>
  <c r="BG84" i="12"/>
  <c r="BF84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F65" i="12"/>
  <c r="BG65" i="12"/>
  <c r="BH65" i="12"/>
  <c r="BI65" i="12"/>
  <c r="BJ65" i="12"/>
  <c r="BK65" i="12"/>
  <c r="BL65" i="12"/>
  <c r="BM65" i="12"/>
  <c r="BN65" i="12"/>
  <c r="BO65" i="12"/>
  <c r="BP65" i="12"/>
  <c r="BQ65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F69" i="12"/>
  <c r="BG69" i="12"/>
  <c r="BH69" i="12"/>
  <c r="BI69" i="12"/>
  <c r="BJ69" i="12"/>
  <c r="BK69" i="12"/>
  <c r="BL69" i="12"/>
  <c r="BM69" i="12"/>
  <c r="BN69" i="12"/>
  <c r="BO69" i="12"/>
  <c r="BP69" i="12"/>
  <c r="BQ69" i="12"/>
  <c r="BF70" i="12"/>
  <c r="BG70" i="12"/>
  <c r="BH70" i="12"/>
  <c r="BI70" i="12"/>
  <c r="BJ70" i="12"/>
  <c r="BK70" i="12"/>
  <c r="BL70" i="12"/>
  <c r="BM70" i="12"/>
  <c r="BN70" i="12"/>
  <c r="BO70" i="12"/>
  <c r="BP70" i="12"/>
  <c r="BQ70" i="12"/>
  <c r="BF71" i="12"/>
  <c r="BG71" i="12"/>
  <c r="BH71" i="12"/>
  <c r="BI71" i="12"/>
  <c r="BJ71" i="12"/>
  <c r="BK71" i="12"/>
  <c r="BL71" i="12"/>
  <c r="BM71" i="12"/>
  <c r="BN71" i="12"/>
  <c r="BO71" i="12"/>
  <c r="BP71" i="12"/>
  <c r="BQ71" i="12"/>
  <c r="BF72" i="12"/>
  <c r="BG72" i="12"/>
  <c r="BH72" i="12"/>
  <c r="BI72" i="12"/>
  <c r="BJ72" i="12"/>
  <c r="BK72" i="12"/>
  <c r="BL72" i="12"/>
  <c r="BM72" i="12"/>
  <c r="BN72" i="12"/>
  <c r="BO72" i="12"/>
  <c r="BP72" i="12"/>
  <c r="BQ72" i="12"/>
  <c r="BF73" i="12"/>
  <c r="BG73" i="12"/>
  <c r="BH73" i="12"/>
  <c r="BI73" i="12"/>
  <c r="BJ73" i="12"/>
  <c r="BK73" i="12"/>
  <c r="BL73" i="12"/>
  <c r="BM73" i="12"/>
  <c r="BN73" i="12"/>
  <c r="BO73" i="12"/>
  <c r="BP73" i="12"/>
  <c r="BQ73" i="12"/>
  <c r="BF74" i="12"/>
  <c r="BG74" i="12"/>
  <c r="BH74" i="12"/>
  <c r="BI74" i="12"/>
  <c r="BJ74" i="12"/>
  <c r="BK74" i="12"/>
  <c r="BL74" i="12"/>
  <c r="BM74" i="12"/>
  <c r="BN74" i="12"/>
  <c r="BO74" i="12"/>
  <c r="BP74" i="12"/>
  <c r="BQ74" i="12"/>
  <c r="BF75" i="12"/>
  <c r="BG75" i="12"/>
  <c r="BH75" i="12"/>
  <c r="BI75" i="12"/>
  <c r="BJ75" i="12"/>
  <c r="BK75" i="12"/>
  <c r="BL75" i="12"/>
  <c r="BM75" i="12"/>
  <c r="BN75" i="12"/>
  <c r="BO75" i="12"/>
  <c r="BQ75" i="12"/>
  <c r="BF76" i="12"/>
  <c r="BG76" i="12"/>
  <c r="BH76" i="12"/>
  <c r="BI76" i="12"/>
  <c r="BJ76" i="12"/>
  <c r="BK76" i="12"/>
  <c r="BL76" i="12"/>
  <c r="BM76" i="12"/>
  <c r="BN76" i="12"/>
  <c r="BO76" i="12"/>
  <c r="BQ76" i="12"/>
  <c r="BG77" i="12"/>
  <c r="BI77" i="12"/>
  <c r="H37" i="29" s="1"/>
  <c r="BJ77" i="12"/>
  <c r="BL77" i="12"/>
  <c r="BN77" i="12"/>
  <c r="BO77" i="12"/>
  <c r="BQ7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G10" i="12"/>
  <c r="BH10" i="12"/>
  <c r="BJ10" i="12"/>
  <c r="BK10" i="12"/>
  <c r="BL10" i="12"/>
  <c r="BM10" i="12"/>
  <c r="BN10" i="12"/>
  <c r="BO10" i="12"/>
  <c r="BP10" i="12"/>
  <c r="BQ10" i="12"/>
  <c r="BG11" i="12"/>
  <c r="BH11" i="12"/>
  <c r="BJ11" i="12"/>
  <c r="BK11" i="12"/>
  <c r="BL11" i="12"/>
  <c r="BM11" i="12"/>
  <c r="BN11" i="12"/>
  <c r="BO11" i="12"/>
  <c r="BP11" i="12"/>
  <c r="BQ11" i="12"/>
  <c r="BG12" i="12"/>
  <c r="BH12" i="12"/>
  <c r="BJ12" i="12"/>
  <c r="BK12" i="12"/>
  <c r="BL12" i="12"/>
  <c r="BM12" i="12"/>
  <c r="BN12" i="12"/>
  <c r="BO12" i="12"/>
  <c r="BP12" i="12"/>
  <c r="BQ12" i="12"/>
  <c r="BG13" i="12"/>
  <c r="BH13" i="12"/>
  <c r="BJ13" i="12"/>
  <c r="BK13" i="12"/>
  <c r="BL13" i="12"/>
  <c r="BM13" i="12"/>
  <c r="BN13" i="12"/>
  <c r="BO13" i="12"/>
  <c r="BP13" i="12"/>
  <c r="BQ13" i="12"/>
  <c r="BG14" i="12"/>
  <c r="BH14" i="12"/>
  <c r="BJ14" i="12"/>
  <c r="BK14" i="12"/>
  <c r="BL14" i="12"/>
  <c r="BM14" i="12"/>
  <c r="BN14" i="12"/>
  <c r="BO14" i="12"/>
  <c r="BP14" i="12"/>
  <c r="BQ14" i="12"/>
  <c r="BG15" i="12"/>
  <c r="BH15" i="12"/>
  <c r="BJ15" i="12"/>
  <c r="BK15" i="12"/>
  <c r="BL15" i="12"/>
  <c r="BM15" i="12"/>
  <c r="BN15" i="12"/>
  <c r="BO15" i="12"/>
  <c r="BP15" i="12"/>
  <c r="BQ15" i="12"/>
  <c r="BG16" i="12"/>
  <c r="BH16" i="12"/>
  <c r="BJ16" i="12"/>
  <c r="BK16" i="12"/>
  <c r="BL16" i="12"/>
  <c r="BM16" i="12"/>
  <c r="BN16" i="12"/>
  <c r="BO16" i="12"/>
  <c r="BP16" i="12"/>
  <c r="BQ16" i="12"/>
  <c r="BG17" i="12"/>
  <c r="BH17" i="12"/>
  <c r="BJ17" i="12"/>
  <c r="BK17" i="12"/>
  <c r="BL17" i="12"/>
  <c r="BM17" i="12"/>
  <c r="BN17" i="12"/>
  <c r="BO17" i="12"/>
  <c r="BP17" i="12"/>
  <c r="BQ17" i="12"/>
  <c r="BG18" i="12"/>
  <c r="BH18" i="12"/>
  <c r="BJ18" i="12"/>
  <c r="BK18" i="12"/>
  <c r="BL18" i="12"/>
  <c r="BM18" i="12"/>
  <c r="BN18" i="12"/>
  <c r="BO18" i="12"/>
  <c r="BP18" i="12"/>
  <c r="BQ18" i="12"/>
  <c r="BG19" i="12"/>
  <c r="BH19" i="12"/>
  <c r="BJ19" i="12"/>
  <c r="BK19" i="12"/>
  <c r="BL19" i="12"/>
  <c r="BM19" i="12"/>
  <c r="BN19" i="12"/>
  <c r="BO19" i="12"/>
  <c r="BP19" i="12"/>
  <c r="BQ19" i="12"/>
  <c r="BG20" i="12"/>
  <c r="BH20" i="12"/>
  <c r="BJ20" i="12"/>
  <c r="BK20" i="12"/>
  <c r="BL20" i="12"/>
  <c r="BM20" i="12"/>
  <c r="BN20" i="12"/>
  <c r="BO20" i="12"/>
  <c r="BP20" i="12"/>
  <c r="BQ20" i="12"/>
  <c r="BG21" i="12"/>
  <c r="BH21" i="12"/>
  <c r="BJ21" i="12"/>
  <c r="BK21" i="12"/>
  <c r="BL21" i="12"/>
  <c r="BM21" i="12"/>
  <c r="BN21" i="12"/>
  <c r="BO21" i="12"/>
  <c r="BP21" i="12"/>
  <c r="BQ21" i="12"/>
  <c r="BG22" i="12"/>
  <c r="BH22" i="12"/>
  <c r="BJ22" i="12"/>
  <c r="BK22" i="12"/>
  <c r="BL22" i="12"/>
  <c r="BM22" i="12"/>
  <c r="BN22" i="12"/>
  <c r="BO22" i="12"/>
  <c r="BP22" i="12"/>
  <c r="BQ22" i="12"/>
  <c r="BG23" i="12"/>
  <c r="BH23" i="12"/>
  <c r="BJ23" i="12"/>
  <c r="BK23" i="12"/>
  <c r="BL23" i="12"/>
  <c r="BM23" i="12"/>
  <c r="BN23" i="12"/>
  <c r="BO23" i="12"/>
  <c r="BP23" i="12"/>
  <c r="BQ23" i="12"/>
  <c r="BG24" i="12"/>
  <c r="BH24" i="12"/>
  <c r="BJ24" i="12"/>
  <c r="BK24" i="12"/>
  <c r="BL24" i="12"/>
  <c r="BM24" i="12"/>
  <c r="BN24" i="12"/>
  <c r="BO24" i="12"/>
  <c r="BP24" i="12"/>
  <c r="BQ24" i="12"/>
  <c r="BG25" i="12"/>
  <c r="BH25" i="12"/>
  <c r="BJ25" i="12"/>
  <c r="BK25" i="12"/>
  <c r="BL25" i="12"/>
  <c r="BM25" i="12"/>
  <c r="BN25" i="12"/>
  <c r="BO25" i="12"/>
  <c r="BP25" i="12"/>
  <c r="BQ25" i="12"/>
  <c r="BG26" i="12"/>
  <c r="BH26" i="12"/>
  <c r="BJ26" i="12"/>
  <c r="BK26" i="12"/>
  <c r="BL26" i="12"/>
  <c r="BM26" i="12"/>
  <c r="BN26" i="12"/>
  <c r="BO26" i="12"/>
  <c r="BP26" i="12"/>
  <c r="BQ26" i="12"/>
  <c r="BG27" i="12"/>
  <c r="BH27" i="12"/>
  <c r="BJ27" i="12"/>
  <c r="BK27" i="12"/>
  <c r="BL27" i="12"/>
  <c r="BM27" i="12"/>
  <c r="BN27" i="12"/>
  <c r="BO27" i="12"/>
  <c r="BP27" i="12"/>
  <c r="BQ27" i="12"/>
  <c r="BG28" i="12"/>
  <c r="BH28" i="12"/>
  <c r="BJ28" i="12"/>
  <c r="BK28" i="12"/>
  <c r="BL28" i="12"/>
  <c r="BM28" i="12"/>
  <c r="BN28" i="12"/>
  <c r="BO28" i="12"/>
  <c r="BP28" i="12"/>
  <c r="BQ28" i="12"/>
  <c r="BG29" i="12"/>
  <c r="BH29" i="12"/>
  <c r="BJ29" i="12"/>
  <c r="BK29" i="12"/>
  <c r="BL29" i="12"/>
  <c r="BM29" i="12"/>
  <c r="BN29" i="12"/>
  <c r="BO29" i="12"/>
  <c r="BP29" i="12"/>
  <c r="BQ29" i="12"/>
  <c r="BG30" i="12"/>
  <c r="BH30" i="12"/>
  <c r="BJ30" i="12"/>
  <c r="BK30" i="12"/>
  <c r="BL30" i="12"/>
  <c r="BM30" i="12"/>
  <c r="BN30" i="12"/>
  <c r="BO30" i="12"/>
  <c r="BP30" i="12"/>
  <c r="BQ30" i="12"/>
  <c r="BG31" i="12"/>
  <c r="BH31" i="12"/>
  <c r="BJ31" i="12"/>
  <c r="BK31" i="12"/>
  <c r="BL31" i="12"/>
  <c r="BM31" i="12"/>
  <c r="BN31" i="12"/>
  <c r="BO31" i="12"/>
  <c r="BP31" i="12"/>
  <c r="BQ31" i="12"/>
  <c r="BG32" i="12"/>
  <c r="BH32" i="12"/>
  <c r="BJ32" i="12"/>
  <c r="BK32" i="12"/>
  <c r="BL32" i="12"/>
  <c r="BM32" i="12"/>
  <c r="BN32" i="12"/>
  <c r="BO32" i="12"/>
  <c r="BP32" i="12"/>
  <c r="BQ32" i="12"/>
  <c r="BG33" i="12"/>
  <c r="BH33" i="12"/>
  <c r="BJ33" i="12"/>
  <c r="BK33" i="12"/>
  <c r="BL33" i="12"/>
  <c r="BM33" i="12"/>
  <c r="BN33" i="12"/>
  <c r="BO33" i="12"/>
  <c r="BP33" i="12"/>
  <c r="BQ33" i="12"/>
  <c r="BG34" i="12"/>
  <c r="BH34" i="12"/>
  <c r="BJ34" i="12"/>
  <c r="BK34" i="12"/>
  <c r="BL34" i="12"/>
  <c r="BM34" i="12"/>
  <c r="BN34" i="12"/>
  <c r="BO34" i="12"/>
  <c r="BP34" i="12"/>
  <c r="BQ34" i="12"/>
  <c r="BG35" i="12"/>
  <c r="BH35" i="12"/>
  <c r="BJ35" i="12"/>
  <c r="BK35" i="12"/>
  <c r="BL35" i="12"/>
  <c r="BM35" i="12"/>
  <c r="BN35" i="12"/>
  <c r="BO35" i="12"/>
  <c r="BP35" i="12"/>
  <c r="BQ35" i="12"/>
  <c r="BG36" i="12"/>
  <c r="BH36" i="12"/>
  <c r="BJ36" i="12"/>
  <c r="BK36" i="12"/>
  <c r="BL36" i="12"/>
  <c r="BM36" i="12"/>
  <c r="BN36" i="12"/>
  <c r="BO36" i="12"/>
  <c r="BP36" i="12"/>
  <c r="BQ36" i="12"/>
  <c r="BG37" i="12"/>
  <c r="BH37" i="12"/>
  <c r="BJ37" i="12"/>
  <c r="BK37" i="12"/>
  <c r="BL37" i="12"/>
  <c r="BM37" i="12"/>
  <c r="BN37" i="12"/>
  <c r="BO37" i="12"/>
  <c r="BQ37" i="12"/>
  <c r="BG38" i="12"/>
  <c r="BH38" i="12"/>
  <c r="BJ38" i="12"/>
  <c r="BK38" i="12"/>
  <c r="BL38" i="12"/>
  <c r="BM38" i="12"/>
  <c r="BN38" i="12"/>
  <c r="BO38" i="12"/>
  <c r="BQ38" i="12"/>
  <c r="BG39" i="12"/>
  <c r="BJ39" i="12"/>
  <c r="BL39" i="12"/>
  <c r="BN39" i="12"/>
  <c r="BO39" i="12"/>
  <c r="BQ39" i="12"/>
  <c r="BQ9" i="12"/>
  <c r="BP9" i="12"/>
  <c r="BN9" i="12"/>
  <c r="BM9" i="12"/>
  <c r="BL9" i="12"/>
  <c r="BK9" i="12"/>
  <c r="BJ9" i="12"/>
  <c r="BI9" i="12"/>
  <c r="BH9" i="12"/>
  <c r="BG9" i="12"/>
  <c r="BF10" i="12"/>
  <c r="BF11" i="12"/>
  <c r="E10" i="6" s="1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9" i="12"/>
  <c r="BN76" i="29" l="1"/>
  <c r="F36" i="18"/>
  <c r="BT47" i="29"/>
  <c r="BS47" i="29"/>
  <c r="BU47" i="29"/>
  <c r="BW47" i="29"/>
  <c r="BR47" i="29"/>
  <c r="BV47" i="29"/>
  <c r="CE47" i="29"/>
  <c r="BL47" i="29"/>
  <c r="CD47" i="29"/>
  <c r="BV75" i="29"/>
  <c r="BR75" i="29"/>
  <c r="BT75" i="29"/>
  <c r="BS75" i="29"/>
  <c r="BU75" i="29"/>
  <c r="BW75" i="29"/>
  <c r="CE75" i="29"/>
  <c r="BL75" i="29"/>
  <c r="CB75" i="29" s="1"/>
  <c r="CC75" i="29" s="1"/>
  <c r="CD75" i="29"/>
  <c r="BW74" i="29"/>
  <c r="BR74" i="29"/>
  <c r="BT74" i="29"/>
  <c r="BV74" i="29"/>
  <c r="BS74" i="29"/>
  <c r="BU74" i="29"/>
  <c r="CE74" i="29"/>
  <c r="BL74" i="29"/>
  <c r="CD74" i="29"/>
  <c r="BR73" i="29"/>
  <c r="BT73" i="29"/>
  <c r="BV73" i="29"/>
  <c r="BS73" i="29"/>
  <c r="BU73" i="29"/>
  <c r="BW73" i="29"/>
  <c r="CE73" i="29"/>
  <c r="BL73" i="29"/>
  <c r="CD73" i="29"/>
  <c r="BR72" i="29"/>
  <c r="BU72" i="29"/>
  <c r="BT72" i="29"/>
  <c r="BV72" i="29"/>
  <c r="BS72" i="29"/>
  <c r="BW72" i="29"/>
  <c r="CE72" i="29"/>
  <c r="BL72" i="29"/>
  <c r="CD72" i="29"/>
  <c r="BR71" i="29"/>
  <c r="BT71" i="29"/>
  <c r="BS71" i="29"/>
  <c r="BU71" i="29"/>
  <c r="BW71" i="29"/>
  <c r="BV71" i="29"/>
  <c r="CE71" i="29"/>
  <c r="BL71" i="29"/>
  <c r="CD71" i="29"/>
  <c r="BR70" i="29"/>
  <c r="BT70" i="29"/>
  <c r="BV70" i="29"/>
  <c r="BS70" i="29"/>
  <c r="BU70" i="29"/>
  <c r="BW70" i="29"/>
  <c r="CE70" i="29"/>
  <c r="BL70" i="29"/>
  <c r="CD70" i="29"/>
  <c r="BR69" i="29"/>
  <c r="BV69" i="29"/>
  <c r="BU69" i="29"/>
  <c r="BW69" i="29"/>
  <c r="BT69" i="29"/>
  <c r="BS69" i="29"/>
  <c r="CE69" i="29"/>
  <c r="BL69" i="29"/>
  <c r="CD69" i="29"/>
  <c r="BT68" i="29"/>
  <c r="BS68" i="29"/>
  <c r="BR68" i="29"/>
  <c r="BV68" i="29"/>
  <c r="BU68" i="29"/>
  <c r="BW68" i="29"/>
  <c r="CE68" i="29"/>
  <c r="BL68" i="29"/>
  <c r="CA68" i="29" s="1"/>
  <c r="CC68" i="29" s="1"/>
  <c r="CD68" i="29"/>
  <c r="BR67" i="29"/>
  <c r="BV67" i="29"/>
  <c r="BU67" i="29"/>
  <c r="BW67" i="29"/>
  <c r="BT67" i="29"/>
  <c r="BS67" i="29"/>
  <c r="CE67" i="29"/>
  <c r="BL67" i="29"/>
  <c r="CA67" i="29" s="1"/>
  <c r="CC67" i="29" s="1"/>
  <c r="CD67" i="29"/>
  <c r="BT66" i="29"/>
  <c r="BS66" i="29"/>
  <c r="BR66" i="29"/>
  <c r="BV66" i="29"/>
  <c r="BU66" i="29"/>
  <c r="BW66" i="29"/>
  <c r="CE66" i="29"/>
  <c r="BL66" i="29"/>
  <c r="CD66" i="29"/>
  <c r="BR64" i="29"/>
  <c r="BV64" i="29"/>
  <c r="BU64" i="29"/>
  <c r="BW64" i="29"/>
  <c r="BT64" i="29"/>
  <c r="BS64" i="29"/>
  <c r="CE64" i="29"/>
  <c r="BL64" i="29"/>
  <c r="CD64" i="29"/>
  <c r="BT63" i="29"/>
  <c r="BS63" i="29"/>
  <c r="BR63" i="29"/>
  <c r="BV63" i="29"/>
  <c r="BU63" i="29"/>
  <c r="BW63" i="29"/>
  <c r="CE63" i="29"/>
  <c r="BL63" i="29"/>
  <c r="CA63" i="29" s="1"/>
  <c r="CC63" i="29" s="1"/>
  <c r="CD63" i="29"/>
  <c r="BR62" i="29"/>
  <c r="BV62" i="29"/>
  <c r="BU62" i="29"/>
  <c r="BW62" i="29"/>
  <c r="BT62" i="29"/>
  <c r="BS62" i="29"/>
  <c r="CE62" i="29"/>
  <c r="BL62" i="29"/>
  <c r="CD62" i="29"/>
  <c r="BT61" i="29"/>
  <c r="BS61" i="29"/>
  <c r="BR61" i="29"/>
  <c r="BV61" i="29"/>
  <c r="BU61" i="29"/>
  <c r="BW61" i="29"/>
  <c r="CE61" i="29"/>
  <c r="BL61" i="29"/>
  <c r="CD61" i="29"/>
  <c r="BR60" i="29"/>
  <c r="BV60" i="29"/>
  <c r="BU60" i="29"/>
  <c r="BW60" i="29"/>
  <c r="BT60" i="29"/>
  <c r="BS60" i="29"/>
  <c r="CE60" i="29"/>
  <c r="BL60" i="29"/>
  <c r="BZ60" i="29" s="1"/>
  <c r="CC60" i="29" s="1"/>
  <c r="CD60" i="29"/>
  <c r="BT58" i="29"/>
  <c r="BS58" i="29"/>
  <c r="BR58" i="29"/>
  <c r="BV58" i="29"/>
  <c r="BU58" i="29"/>
  <c r="BW58" i="29"/>
  <c r="CE58" i="29"/>
  <c r="BL58" i="29"/>
  <c r="CD58" i="29"/>
  <c r="BT57" i="29"/>
  <c r="BV57" i="29"/>
  <c r="BS57" i="29"/>
  <c r="BU57" i="29"/>
  <c r="BW57" i="29"/>
  <c r="BR57" i="29"/>
  <c r="CE57" i="29"/>
  <c r="BL57" i="29"/>
  <c r="BZ57" i="29" s="1"/>
  <c r="CC57" i="29" s="1"/>
  <c r="CD57" i="29"/>
  <c r="BR56" i="29"/>
  <c r="BV56" i="29"/>
  <c r="BT56" i="29"/>
  <c r="BS56" i="29"/>
  <c r="BU56" i="29"/>
  <c r="BW56" i="29"/>
  <c r="CE56" i="29"/>
  <c r="BL56" i="29"/>
  <c r="CD56" i="29"/>
  <c r="BT55" i="29"/>
  <c r="BS55" i="29"/>
  <c r="BU55" i="29"/>
  <c r="BW55" i="29"/>
  <c r="BR55" i="29"/>
  <c r="BV55" i="29"/>
  <c r="CE55" i="29"/>
  <c r="BL55" i="29"/>
  <c r="CD55" i="29"/>
  <c r="BR54" i="29"/>
  <c r="BV54" i="29"/>
  <c r="BT54" i="29"/>
  <c r="BS54" i="29"/>
  <c r="BU54" i="29"/>
  <c r="BW54" i="29"/>
  <c r="CE54" i="29"/>
  <c r="BL54" i="29"/>
  <c r="CD54" i="29"/>
  <c r="BT53" i="29"/>
  <c r="BS53" i="29"/>
  <c r="BU53" i="29"/>
  <c r="BW53" i="29"/>
  <c r="BR53" i="29"/>
  <c r="BV53" i="29"/>
  <c r="CE53" i="29"/>
  <c r="BL53" i="29"/>
  <c r="BY53" i="29" s="1"/>
  <c r="CC53" i="29" s="1"/>
  <c r="CD53" i="29"/>
  <c r="BR52" i="29"/>
  <c r="BV52" i="29"/>
  <c r="BT52" i="29"/>
  <c r="BS52" i="29"/>
  <c r="BU52" i="29"/>
  <c r="BW52" i="29"/>
  <c r="CE52" i="29"/>
  <c r="BL52" i="29"/>
  <c r="CD52" i="29"/>
  <c r="BT51" i="29"/>
  <c r="BS51" i="29"/>
  <c r="BU51" i="29"/>
  <c r="BW51" i="29"/>
  <c r="BR51" i="29"/>
  <c r="BV51" i="29"/>
  <c r="CE51" i="29"/>
  <c r="BL51" i="29"/>
  <c r="BY51" i="29" s="1"/>
  <c r="CC51" i="29" s="1"/>
  <c r="CD51" i="29"/>
  <c r="BR50" i="29"/>
  <c r="BV50" i="29"/>
  <c r="BT50" i="29"/>
  <c r="BS50" i="29"/>
  <c r="BU50" i="29"/>
  <c r="BW50" i="29"/>
  <c r="CE50" i="29"/>
  <c r="BL50" i="29"/>
  <c r="BY50" i="29" s="1"/>
  <c r="CC50" i="29" s="1"/>
  <c r="CD50" i="29"/>
  <c r="BT49" i="29"/>
  <c r="BS49" i="29"/>
  <c r="BU49" i="29"/>
  <c r="BW49" i="29"/>
  <c r="BR49" i="29"/>
  <c r="BV49" i="29"/>
  <c r="CE49" i="29"/>
  <c r="BL49" i="29"/>
  <c r="CD49" i="29"/>
  <c r="BR48" i="29"/>
  <c r="BV48" i="29"/>
  <c r="BT48" i="29"/>
  <c r="BS48" i="29"/>
  <c r="BU48" i="29"/>
  <c r="BW48" i="29"/>
  <c r="CE48" i="29"/>
  <c r="BL48" i="29"/>
  <c r="CD48" i="29"/>
  <c r="BQ76" i="29"/>
  <c r="BP76" i="29"/>
  <c r="BO76" i="29"/>
  <c r="BQ47" i="29"/>
  <c r="BP47" i="29"/>
  <c r="BO47" i="29"/>
  <c r="BO74" i="29"/>
  <c r="BQ74" i="29"/>
  <c r="BP74" i="29"/>
  <c r="BQ73" i="29"/>
  <c r="BP73" i="29"/>
  <c r="BO73" i="29"/>
  <c r="BQ72" i="29"/>
  <c r="BP72" i="29"/>
  <c r="BO72" i="29"/>
  <c r="BO71" i="29"/>
  <c r="BQ71" i="29"/>
  <c r="BP71" i="29"/>
  <c r="BP70" i="29"/>
  <c r="BQ70" i="29"/>
  <c r="BO70" i="29"/>
  <c r="BO69" i="29"/>
  <c r="BP69" i="29"/>
  <c r="BQ69" i="29"/>
  <c r="BP68" i="29"/>
  <c r="BQ68" i="29"/>
  <c r="BO68" i="29"/>
  <c r="BO67" i="29"/>
  <c r="BP67" i="29"/>
  <c r="BQ67" i="29"/>
  <c r="BP66" i="29"/>
  <c r="BQ66" i="29"/>
  <c r="BO66" i="29"/>
  <c r="BO64" i="29"/>
  <c r="BP64" i="29"/>
  <c r="BQ64" i="29"/>
  <c r="BP63" i="29"/>
  <c r="BQ63" i="29"/>
  <c r="BO63" i="29"/>
  <c r="BO62" i="29"/>
  <c r="BP62" i="29"/>
  <c r="BQ62" i="29"/>
  <c r="BP61" i="29"/>
  <c r="BQ61" i="29"/>
  <c r="BO61" i="29"/>
  <c r="BO60" i="29"/>
  <c r="BP60" i="29"/>
  <c r="BQ60" i="29"/>
  <c r="BP58" i="29"/>
  <c r="BQ58" i="29"/>
  <c r="BO58" i="29"/>
  <c r="BQ57" i="29"/>
  <c r="BP57" i="29"/>
  <c r="BO57" i="29"/>
  <c r="BP56" i="29"/>
  <c r="BO56" i="29"/>
  <c r="BQ56" i="29"/>
  <c r="BQ55" i="29"/>
  <c r="BP55" i="29"/>
  <c r="BO55" i="29"/>
  <c r="BP54" i="29"/>
  <c r="BO54" i="29"/>
  <c r="BQ54" i="29"/>
  <c r="BQ53" i="29"/>
  <c r="BP53" i="29"/>
  <c r="BO53" i="29"/>
  <c r="BP52" i="29"/>
  <c r="BO52" i="29"/>
  <c r="BQ52" i="29"/>
  <c r="BQ51" i="29"/>
  <c r="BP51" i="29"/>
  <c r="BO51" i="29"/>
  <c r="BP50" i="29"/>
  <c r="BO50" i="29"/>
  <c r="BQ50" i="29"/>
  <c r="BQ49" i="29"/>
  <c r="BP49" i="29"/>
  <c r="BO49" i="29"/>
  <c r="BP48" i="29"/>
  <c r="BO48" i="29"/>
  <c r="BQ48" i="29"/>
  <c r="BO75" i="29"/>
  <c r="BQ75" i="29"/>
  <c r="BP75" i="29"/>
  <c r="BR76" i="29"/>
  <c r="BT76" i="29"/>
  <c r="BS76" i="29"/>
  <c r="BU76" i="29"/>
  <c r="BW76" i="29"/>
  <c r="BV76" i="29"/>
  <c r="CE76" i="29"/>
  <c r="BL76" i="29"/>
  <c r="CD76" i="29"/>
  <c r="BO59" i="29"/>
  <c r="BP59" i="29"/>
  <c r="BQ59" i="29"/>
  <c r="BR59" i="29"/>
  <c r="BS59" i="29"/>
  <c r="BU59" i="29"/>
  <c r="BT59" i="29"/>
  <c r="BV59" i="29"/>
  <c r="BW59" i="29"/>
  <c r="CE59" i="29"/>
  <c r="BL59" i="29"/>
  <c r="CD59" i="29"/>
  <c r="BN78" i="29"/>
  <c r="BV65" i="29"/>
  <c r="BS65" i="29"/>
  <c r="BW65" i="29"/>
  <c r="BR65" i="29"/>
  <c r="BT65" i="29"/>
  <c r="BU65" i="29"/>
  <c r="CE65" i="29"/>
  <c r="BL65" i="29"/>
  <c r="CD65" i="29"/>
  <c r="BO65" i="29"/>
  <c r="BQ65" i="29"/>
  <c r="BP65" i="29"/>
  <c r="G25" i="27"/>
  <c r="K25" i="27"/>
  <c r="T25" i="27" s="1"/>
  <c r="I11" i="6"/>
  <c r="E7" i="29"/>
  <c r="F7" i="18"/>
  <c r="BJ23" i="29"/>
  <c r="BN35" i="29"/>
  <c r="BN34" i="29"/>
  <c r="BN33" i="29"/>
  <c r="BN32" i="29"/>
  <c r="BN31" i="29"/>
  <c r="BN30" i="29"/>
  <c r="BN29" i="29"/>
  <c r="BN28" i="29"/>
  <c r="BN27" i="29"/>
  <c r="BN26" i="29"/>
  <c r="BN25" i="29"/>
  <c r="BN24" i="29"/>
  <c r="BN23" i="29"/>
  <c r="BN22" i="29"/>
  <c r="BN21" i="29"/>
  <c r="BN20" i="29"/>
  <c r="BN19" i="29"/>
  <c r="BN18" i="29"/>
  <c r="BN17" i="29"/>
  <c r="BN16" i="29"/>
  <c r="BN15" i="29"/>
  <c r="BN14" i="29"/>
  <c r="BN13" i="29"/>
  <c r="BN12" i="29"/>
  <c r="BN11" i="29"/>
  <c r="BN10" i="29"/>
  <c r="BN8" i="29"/>
  <c r="F37" i="18"/>
  <c r="BJ36" i="29"/>
  <c r="H34" i="29"/>
  <c r="H33" i="29"/>
  <c r="H32" i="29"/>
  <c r="H31" i="29"/>
  <c r="H30" i="29"/>
  <c r="H29" i="29"/>
  <c r="H28" i="29"/>
  <c r="H27" i="29"/>
  <c r="H26" i="29"/>
  <c r="O116" i="44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E9" i="29"/>
  <c r="F9" i="18"/>
  <c r="F8" i="18"/>
  <c r="H7" i="29"/>
  <c r="E38" i="6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BN9" i="29"/>
  <c r="H36" i="29"/>
  <c r="I37" i="29"/>
  <c r="I35" i="6"/>
  <c r="J35" i="6" s="1"/>
  <c r="I34" i="6"/>
  <c r="J34" i="6" s="1"/>
  <c r="I33" i="6"/>
  <c r="J33" i="6" s="1"/>
  <c r="I32" i="6"/>
  <c r="J32" i="6" s="1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0" i="6"/>
  <c r="I9" i="6"/>
  <c r="BJ11" i="29"/>
  <c r="I38" i="6"/>
  <c r="BN37" i="29"/>
  <c r="CE37" i="29" s="1"/>
  <c r="I37" i="6"/>
  <c r="BN36" i="29"/>
  <c r="CE36" i="29" s="1"/>
  <c r="H35" i="29"/>
  <c r="E10" i="29"/>
  <c r="BJ10" i="29"/>
  <c r="BJ8" i="29"/>
  <c r="BJ7" i="29"/>
  <c r="I7" i="29"/>
  <c r="BN7" i="29"/>
  <c r="CE7" i="29" s="1"/>
  <c r="F13" i="11"/>
  <c r="F41" i="11"/>
  <c r="F33" i="11"/>
  <c r="F31" i="11"/>
  <c r="F29" i="11"/>
  <c r="F27" i="11"/>
  <c r="F25" i="11"/>
  <c r="F23" i="11"/>
  <c r="F21" i="11"/>
  <c r="F15" i="11"/>
  <c r="I19" i="29"/>
  <c r="I18" i="29"/>
  <c r="I17" i="29"/>
  <c r="I16" i="29"/>
  <c r="I15" i="29"/>
  <c r="I14" i="29"/>
  <c r="I12" i="29"/>
  <c r="I12" i="6"/>
  <c r="I11" i="29"/>
  <c r="Z11" i="29" s="1"/>
  <c r="I10" i="29"/>
  <c r="Z10" i="29" s="1"/>
  <c r="I9" i="29"/>
  <c r="I8" i="29"/>
  <c r="E37" i="29"/>
  <c r="E35" i="29"/>
  <c r="E33" i="29"/>
  <c r="E31" i="29"/>
  <c r="E29" i="29"/>
  <c r="E28" i="29"/>
  <c r="E27" i="29"/>
  <c r="E25" i="29"/>
  <c r="E23" i="29"/>
  <c r="E34" i="29"/>
  <c r="E30" i="29"/>
  <c r="E24" i="29"/>
  <c r="E36" i="29"/>
  <c r="E32" i="29"/>
  <c r="E26" i="29"/>
  <c r="E22" i="29"/>
  <c r="E21" i="29"/>
  <c r="E20" i="29"/>
  <c r="E19" i="29"/>
  <c r="E18" i="29"/>
  <c r="E17" i="29"/>
  <c r="E16" i="29"/>
  <c r="E15" i="29"/>
  <c r="E14" i="29"/>
  <c r="E13" i="29"/>
  <c r="I35" i="29"/>
  <c r="I34" i="29"/>
  <c r="I33" i="29"/>
  <c r="I32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36" i="29"/>
  <c r="I13" i="29"/>
  <c r="E12" i="29"/>
  <c r="E11" i="29"/>
  <c r="F39" i="11"/>
  <c r="F37" i="11"/>
  <c r="F35" i="11"/>
  <c r="F43" i="11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9" i="6"/>
  <c r="H43" i="11"/>
  <c r="AD43" i="11" s="1"/>
  <c r="E37" i="6"/>
  <c r="E43" i="11"/>
  <c r="KT88" i="24"/>
  <c r="BV136" i="24"/>
  <c r="BI137" i="24"/>
  <c r="LJ88" i="24"/>
  <c r="KR91" i="24"/>
  <c r="KR124" i="24" s="1"/>
  <c r="KH91" i="24"/>
  <c r="KH124" i="24" s="1"/>
  <c r="KP91" i="24"/>
  <c r="KP124" i="24" s="1"/>
  <c r="KQ91" i="24"/>
  <c r="KQ124" i="24" s="1"/>
  <c r="KW91" i="24"/>
  <c r="KW124" i="24" s="1"/>
  <c r="KU91" i="24"/>
  <c r="KU124" i="24" s="1"/>
  <c r="KI91" i="24"/>
  <c r="KI124" i="24" s="1"/>
  <c r="KK91" i="24"/>
  <c r="KK124" i="24" s="1"/>
  <c r="KV91" i="24"/>
  <c r="KV124" i="24" s="1"/>
  <c r="KL91" i="24"/>
  <c r="KL124" i="24" s="1"/>
  <c r="KJ91" i="24"/>
  <c r="KJ124" i="24" s="1"/>
  <c r="KS91" i="24"/>
  <c r="KS124" i="24" s="1"/>
  <c r="KF91" i="24"/>
  <c r="KF124" i="24" s="1"/>
  <c r="KO91" i="24"/>
  <c r="KO124" i="24" s="1"/>
  <c r="KN91" i="24"/>
  <c r="KN124" i="24" s="1"/>
  <c r="KM91" i="24"/>
  <c r="KM124" i="24" s="1"/>
  <c r="E15" i="11"/>
  <c r="F42" i="11"/>
  <c r="G43" i="11"/>
  <c r="G42" i="11"/>
  <c r="H13" i="11"/>
  <c r="H41" i="11"/>
  <c r="AD41" i="11" s="1"/>
  <c r="H40" i="11"/>
  <c r="AD40" i="11" s="1"/>
  <c r="H39" i="11"/>
  <c r="AD39" i="11" s="1"/>
  <c r="H38" i="11"/>
  <c r="AD38" i="11" s="1"/>
  <c r="H37" i="11"/>
  <c r="AD37" i="11" s="1"/>
  <c r="H36" i="11"/>
  <c r="AD36" i="11" s="1"/>
  <c r="H35" i="11"/>
  <c r="AD35" i="11" s="1"/>
  <c r="H34" i="11"/>
  <c r="AD34" i="11" s="1"/>
  <c r="H33" i="11"/>
  <c r="AD33" i="11" s="1"/>
  <c r="H32" i="11"/>
  <c r="AD32" i="11" s="1"/>
  <c r="H31" i="11"/>
  <c r="AD31" i="11" s="1"/>
  <c r="H30" i="11"/>
  <c r="AD30" i="11" s="1"/>
  <c r="H29" i="11"/>
  <c r="AD29" i="11" s="1"/>
  <c r="H28" i="11"/>
  <c r="AD28" i="11" s="1"/>
  <c r="H27" i="11"/>
  <c r="AD27" i="11" s="1"/>
  <c r="H26" i="11"/>
  <c r="AD26" i="11" s="1"/>
  <c r="H25" i="11"/>
  <c r="AD25" i="11" s="1"/>
  <c r="H24" i="11"/>
  <c r="AD24" i="11" s="1"/>
  <c r="H23" i="11"/>
  <c r="AD23" i="11" s="1"/>
  <c r="H22" i="11"/>
  <c r="AD22" i="11" s="1"/>
  <c r="H21" i="11"/>
  <c r="AD21" i="11" s="1"/>
  <c r="H20" i="11"/>
  <c r="AD20" i="11" s="1"/>
  <c r="H19" i="11"/>
  <c r="AD19" i="11" s="1"/>
  <c r="H18" i="11"/>
  <c r="AD18" i="11" s="1"/>
  <c r="H17" i="11"/>
  <c r="AD17" i="11" s="1"/>
  <c r="H16" i="11"/>
  <c r="AD16" i="11" s="1"/>
  <c r="I8" i="6"/>
  <c r="E41" i="11"/>
  <c r="E40" i="11"/>
  <c r="E39" i="11"/>
  <c r="E36" i="6"/>
  <c r="I36" i="6"/>
  <c r="J36" i="6" s="1"/>
  <c r="E8" i="6"/>
  <c r="G13" i="11"/>
  <c r="E38" i="11"/>
  <c r="E37" i="11"/>
  <c r="E36" i="11"/>
  <c r="H15" i="11"/>
  <c r="AD15" i="11" s="1"/>
  <c r="H14" i="11"/>
  <c r="AD14" i="11" s="1"/>
  <c r="E42" i="11"/>
  <c r="F40" i="11"/>
  <c r="F38" i="11"/>
  <c r="F36" i="11"/>
  <c r="F34" i="11"/>
  <c r="F32" i="11"/>
  <c r="F30" i="11"/>
  <c r="F28" i="11"/>
  <c r="F26" i="11"/>
  <c r="F24" i="11"/>
  <c r="F22" i="11"/>
  <c r="F20" i="11"/>
  <c r="F18" i="11"/>
  <c r="F16" i="11"/>
  <c r="F14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H42" i="11"/>
  <c r="AD42" i="11" s="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0" i="11"/>
  <c r="E19" i="11"/>
  <c r="E18" i="11"/>
  <c r="E17" i="11"/>
  <c r="E16" i="11"/>
  <c r="E14" i="11"/>
  <c r="JZ111" i="24"/>
  <c r="KA110" i="24"/>
  <c r="MF111" i="24"/>
  <c r="MG110" i="24"/>
  <c r="FN111" i="24"/>
  <c r="FO110" i="24"/>
  <c r="CE111" i="24"/>
  <c r="CF110" i="24"/>
  <c r="BB111" i="24"/>
  <c r="BC110" i="24"/>
  <c r="NI111" i="24"/>
  <c r="NJ110" i="24"/>
  <c r="LC111" i="24"/>
  <c r="LD110" i="24"/>
  <c r="IW111" i="24"/>
  <c r="IX110" i="24"/>
  <c r="HT111" i="24"/>
  <c r="HU110" i="24"/>
  <c r="GQ111" i="24"/>
  <c r="GR110" i="24"/>
  <c r="EK111" i="24"/>
  <c r="EL110" i="24"/>
  <c r="DH111" i="24"/>
  <c r="DI110" i="24"/>
  <c r="C39" i="28"/>
  <c r="D38" i="28"/>
  <c r="C26" i="27"/>
  <c r="D25" i="27"/>
  <c r="F19" i="11"/>
  <c r="F17" i="11"/>
  <c r="C21" i="18"/>
  <c r="D20" i="18"/>
  <c r="E21" i="11"/>
  <c r="E13" i="11"/>
  <c r="NK15" i="24"/>
  <c r="NL15" i="24"/>
  <c r="NM15" i="24"/>
  <c r="NN15" i="24"/>
  <c r="NK16" i="24"/>
  <c r="NL16" i="24"/>
  <c r="NM16" i="24"/>
  <c r="NN16" i="24"/>
  <c r="NK17" i="24"/>
  <c r="NL17" i="24"/>
  <c r="NM17" i="24"/>
  <c r="NN17" i="24"/>
  <c r="NK18" i="24"/>
  <c r="NL18" i="24"/>
  <c r="NM18" i="24"/>
  <c r="NN18" i="24"/>
  <c r="NK19" i="24"/>
  <c r="NL19" i="24"/>
  <c r="NM19" i="24"/>
  <c r="NN19" i="24"/>
  <c r="NK20" i="24"/>
  <c r="NL20" i="24"/>
  <c r="NM20" i="24"/>
  <c r="NN20" i="24"/>
  <c r="NK21" i="24"/>
  <c r="NL21" i="24"/>
  <c r="NM21" i="24"/>
  <c r="NN21" i="24"/>
  <c r="NK22" i="24"/>
  <c r="NL22" i="24"/>
  <c r="NM22" i="24"/>
  <c r="NN22" i="24"/>
  <c r="NK23" i="24"/>
  <c r="NL23" i="24"/>
  <c r="NM23" i="24"/>
  <c r="NN23" i="24"/>
  <c r="NK24" i="24"/>
  <c r="NL24" i="24"/>
  <c r="NM24" i="24"/>
  <c r="NN24" i="24"/>
  <c r="NK25" i="24"/>
  <c r="NL25" i="24"/>
  <c r="NM25" i="24"/>
  <c r="NN25" i="24"/>
  <c r="NK26" i="24"/>
  <c r="NL26" i="24"/>
  <c r="NM26" i="24"/>
  <c r="NN26" i="24"/>
  <c r="NK27" i="24"/>
  <c r="NL27" i="24"/>
  <c r="NM27" i="24"/>
  <c r="NN27" i="24"/>
  <c r="NK28" i="24"/>
  <c r="NL28" i="24"/>
  <c r="NM28" i="24"/>
  <c r="NN28" i="24"/>
  <c r="NK29" i="24"/>
  <c r="NL29" i="24"/>
  <c r="NM29" i="24"/>
  <c r="NN29" i="24"/>
  <c r="NK30" i="24"/>
  <c r="NL30" i="24"/>
  <c r="NM30" i="24"/>
  <c r="NN30" i="24"/>
  <c r="NK31" i="24"/>
  <c r="NL31" i="24"/>
  <c r="NM31" i="24"/>
  <c r="NN31" i="24"/>
  <c r="NK32" i="24"/>
  <c r="NL32" i="24"/>
  <c r="NM32" i="24"/>
  <c r="NN32" i="24"/>
  <c r="NK33" i="24"/>
  <c r="NL33" i="24"/>
  <c r="NM33" i="24"/>
  <c r="NN33" i="24"/>
  <c r="NK34" i="24"/>
  <c r="NL34" i="24"/>
  <c r="NM34" i="24"/>
  <c r="NN34" i="24"/>
  <c r="NK35" i="24"/>
  <c r="NL35" i="24"/>
  <c r="NM35" i="24"/>
  <c r="NN35" i="24"/>
  <c r="NK36" i="24"/>
  <c r="NL36" i="24"/>
  <c r="NM36" i="24"/>
  <c r="NN36" i="24"/>
  <c r="NK37" i="24"/>
  <c r="NL37" i="24"/>
  <c r="NM37" i="24"/>
  <c r="NN37" i="24"/>
  <c r="NK38" i="24"/>
  <c r="NL38" i="24"/>
  <c r="NM38" i="24"/>
  <c r="NN38" i="24"/>
  <c r="NK39" i="24"/>
  <c r="NL39" i="24"/>
  <c r="NM39" i="24"/>
  <c r="NN39" i="24"/>
  <c r="NK40" i="24"/>
  <c r="NL40" i="24"/>
  <c r="NM40" i="24"/>
  <c r="NN40" i="24"/>
  <c r="NK41" i="24"/>
  <c r="NL41" i="24"/>
  <c r="NM41" i="24"/>
  <c r="NN41" i="24"/>
  <c r="NK42" i="24"/>
  <c r="NL42" i="24"/>
  <c r="NM42" i="24"/>
  <c r="NN42" i="24"/>
  <c r="NK43" i="24"/>
  <c r="NL43" i="24"/>
  <c r="NM43" i="24"/>
  <c r="NN43" i="24"/>
  <c r="NK44" i="24"/>
  <c r="NL44" i="24"/>
  <c r="NM44" i="24"/>
  <c r="NN44" i="24"/>
  <c r="NK14" i="24"/>
  <c r="NM14" i="24"/>
  <c r="NN14" i="24"/>
  <c r="NL14" i="24"/>
  <c r="NK45" i="24" s="1"/>
  <c r="CT62" i="24" s="1"/>
  <c r="L17" i="31" s="1"/>
  <c r="L51" i="31" s="1"/>
  <c r="MH15" i="24"/>
  <c r="MI15" i="24"/>
  <c r="MJ15" i="24"/>
  <c r="MK15" i="24"/>
  <c r="MH16" i="24"/>
  <c r="MI16" i="24"/>
  <c r="MJ16" i="24"/>
  <c r="MK16" i="24"/>
  <c r="MH17" i="24"/>
  <c r="MI17" i="24"/>
  <c r="MJ17" i="24"/>
  <c r="MK17" i="24"/>
  <c r="MH18" i="24"/>
  <c r="MI18" i="24"/>
  <c r="MJ18" i="24"/>
  <c r="MK18" i="24"/>
  <c r="MH19" i="24"/>
  <c r="MI19" i="24"/>
  <c r="MJ19" i="24"/>
  <c r="MK19" i="24"/>
  <c r="MH20" i="24"/>
  <c r="MI20" i="24"/>
  <c r="MJ20" i="24"/>
  <c r="MK20" i="24"/>
  <c r="MH21" i="24"/>
  <c r="MI21" i="24"/>
  <c r="MJ21" i="24"/>
  <c r="MK21" i="24"/>
  <c r="MH22" i="24"/>
  <c r="MI22" i="24"/>
  <c r="MJ22" i="24"/>
  <c r="MK22" i="24"/>
  <c r="MH23" i="24"/>
  <c r="MI23" i="24"/>
  <c r="MJ23" i="24"/>
  <c r="MK23" i="24"/>
  <c r="MH24" i="24"/>
  <c r="MI24" i="24"/>
  <c r="MJ24" i="24"/>
  <c r="MK24" i="24"/>
  <c r="MH25" i="24"/>
  <c r="MI25" i="24"/>
  <c r="MJ25" i="24"/>
  <c r="MK25" i="24"/>
  <c r="MH26" i="24"/>
  <c r="MI26" i="24"/>
  <c r="MJ26" i="24"/>
  <c r="MK26" i="24"/>
  <c r="MH27" i="24"/>
  <c r="MI27" i="24"/>
  <c r="MJ27" i="24"/>
  <c r="MK27" i="24"/>
  <c r="MH28" i="24"/>
  <c r="MI28" i="24"/>
  <c r="MJ28" i="24"/>
  <c r="MK28" i="24"/>
  <c r="MH29" i="24"/>
  <c r="MI29" i="24"/>
  <c r="MJ29" i="24"/>
  <c r="MK29" i="24"/>
  <c r="MH30" i="24"/>
  <c r="MI30" i="24"/>
  <c r="MJ30" i="24"/>
  <c r="MK30" i="24"/>
  <c r="MH31" i="24"/>
  <c r="MI31" i="24"/>
  <c r="MJ31" i="24"/>
  <c r="MK31" i="24"/>
  <c r="MH32" i="24"/>
  <c r="MI32" i="24"/>
  <c r="MJ32" i="24"/>
  <c r="MK32" i="24"/>
  <c r="MH33" i="24"/>
  <c r="MI33" i="24"/>
  <c r="MJ33" i="24"/>
  <c r="MK33" i="24"/>
  <c r="MH34" i="24"/>
  <c r="MI34" i="24"/>
  <c r="MJ34" i="24"/>
  <c r="MK34" i="24"/>
  <c r="MH35" i="24"/>
  <c r="MI35" i="24"/>
  <c r="MJ35" i="24"/>
  <c r="MK35" i="24"/>
  <c r="MH36" i="24"/>
  <c r="MI36" i="24"/>
  <c r="MJ36" i="24"/>
  <c r="MK36" i="24"/>
  <c r="MH37" i="24"/>
  <c r="MI37" i="24"/>
  <c r="MJ37" i="24"/>
  <c r="MK37" i="24"/>
  <c r="MH38" i="24"/>
  <c r="MI38" i="24"/>
  <c r="MJ38" i="24"/>
  <c r="MK38" i="24"/>
  <c r="MH39" i="24"/>
  <c r="MI39" i="24"/>
  <c r="MJ39" i="24"/>
  <c r="MK39" i="24"/>
  <c r="MH40" i="24"/>
  <c r="MI40" i="24"/>
  <c r="MJ40" i="24"/>
  <c r="MK40" i="24"/>
  <c r="MI41" i="24"/>
  <c r="MJ41" i="24"/>
  <c r="MK41" i="24"/>
  <c r="MH14" i="24"/>
  <c r="MJ14" i="24"/>
  <c r="MK14" i="24"/>
  <c r="MI14" i="24"/>
  <c r="LE15" i="24"/>
  <c r="LF15" i="24"/>
  <c r="LG15" i="24"/>
  <c r="LH15" i="24"/>
  <c r="LE16" i="24"/>
  <c r="LF16" i="24"/>
  <c r="LG16" i="24"/>
  <c r="LH16" i="24"/>
  <c r="LE17" i="24"/>
  <c r="LF17" i="24"/>
  <c r="LG17" i="24"/>
  <c r="LH17" i="24"/>
  <c r="LE18" i="24"/>
  <c r="LF18" i="24"/>
  <c r="LG18" i="24"/>
  <c r="LH18" i="24"/>
  <c r="LE19" i="24"/>
  <c r="LF19" i="24"/>
  <c r="LG19" i="24"/>
  <c r="LH19" i="24"/>
  <c r="LE20" i="24"/>
  <c r="LF20" i="24"/>
  <c r="LG20" i="24"/>
  <c r="LH20" i="24"/>
  <c r="LE21" i="24"/>
  <c r="LF21" i="24"/>
  <c r="LG21" i="24"/>
  <c r="LH21" i="24"/>
  <c r="LE22" i="24"/>
  <c r="LF22" i="24"/>
  <c r="LG22" i="24"/>
  <c r="LH22" i="24"/>
  <c r="LE23" i="24"/>
  <c r="LF23" i="24"/>
  <c r="LG23" i="24"/>
  <c r="LH23" i="24"/>
  <c r="LE24" i="24"/>
  <c r="LF24" i="24"/>
  <c r="LG24" i="24"/>
  <c r="LH24" i="24"/>
  <c r="LE25" i="24"/>
  <c r="LF25" i="24"/>
  <c r="LG25" i="24"/>
  <c r="LH25" i="24"/>
  <c r="LE26" i="24"/>
  <c r="LF26" i="24"/>
  <c r="LG26" i="24"/>
  <c r="LH26" i="24"/>
  <c r="LE27" i="24"/>
  <c r="LF27" i="24"/>
  <c r="LG27" i="24"/>
  <c r="LH27" i="24"/>
  <c r="LE28" i="24"/>
  <c r="LF28" i="24"/>
  <c r="LG28" i="24"/>
  <c r="LH28" i="24"/>
  <c r="LE29" i="24"/>
  <c r="LF29" i="24"/>
  <c r="LG29" i="24"/>
  <c r="LH29" i="24"/>
  <c r="LE30" i="24"/>
  <c r="LF30" i="24"/>
  <c r="LG30" i="24"/>
  <c r="LH30" i="24"/>
  <c r="LE31" i="24"/>
  <c r="LF31" i="24"/>
  <c r="LG31" i="24"/>
  <c r="LH31" i="24"/>
  <c r="LE32" i="24"/>
  <c r="LF32" i="24"/>
  <c r="LG32" i="24"/>
  <c r="LH32" i="24"/>
  <c r="LE33" i="24"/>
  <c r="LF33" i="24"/>
  <c r="LG33" i="24"/>
  <c r="LH33" i="24"/>
  <c r="LE34" i="24"/>
  <c r="LF34" i="24"/>
  <c r="LG34" i="24"/>
  <c r="LH34" i="24"/>
  <c r="LE35" i="24"/>
  <c r="LF35" i="24"/>
  <c r="LG35" i="24"/>
  <c r="LH35" i="24"/>
  <c r="LE36" i="24"/>
  <c r="LF36" i="24"/>
  <c r="LG36" i="24"/>
  <c r="LH36" i="24"/>
  <c r="LE37" i="24"/>
  <c r="LF37" i="24"/>
  <c r="LG37" i="24"/>
  <c r="LH37" i="24"/>
  <c r="LE38" i="24"/>
  <c r="LF38" i="24"/>
  <c r="LG38" i="24"/>
  <c r="LH38" i="24"/>
  <c r="LE39" i="24"/>
  <c r="LF39" i="24"/>
  <c r="LG39" i="24"/>
  <c r="LH39" i="24"/>
  <c r="LE40" i="24"/>
  <c r="LF40" i="24"/>
  <c r="LG40" i="24"/>
  <c r="LH40" i="24"/>
  <c r="LE41" i="24"/>
  <c r="LF41" i="24"/>
  <c r="LG41" i="24"/>
  <c r="LH41" i="24"/>
  <c r="LE42" i="24"/>
  <c r="LF42" i="24"/>
  <c r="LG42" i="24"/>
  <c r="LH42" i="24"/>
  <c r="LE43" i="24"/>
  <c r="LF43" i="24"/>
  <c r="LG43" i="24"/>
  <c r="LH43" i="24"/>
  <c r="LE44" i="24"/>
  <c r="LF44" i="24"/>
  <c r="LG44" i="24"/>
  <c r="LH44" i="24"/>
  <c r="LG14" i="24"/>
  <c r="LH14" i="24"/>
  <c r="LE46" i="24" s="1"/>
  <c r="CX60" i="24" s="1"/>
  <c r="M15" i="31" s="1"/>
  <c r="M49" i="31" s="1"/>
  <c r="LE14" i="24"/>
  <c r="KB15" i="24"/>
  <c r="KC15" i="24"/>
  <c r="KD15" i="24"/>
  <c r="KE15" i="24"/>
  <c r="KB16" i="24"/>
  <c r="KC16" i="24"/>
  <c r="KD16" i="24"/>
  <c r="KE16" i="24"/>
  <c r="KB17" i="24"/>
  <c r="KC17" i="24"/>
  <c r="KD17" i="24"/>
  <c r="KE17" i="24"/>
  <c r="KB18" i="24"/>
  <c r="KC18" i="24"/>
  <c r="KD18" i="24"/>
  <c r="KE18" i="24"/>
  <c r="KB19" i="24"/>
  <c r="KC19" i="24"/>
  <c r="KD19" i="24"/>
  <c r="KE19" i="24"/>
  <c r="KB20" i="24"/>
  <c r="KC20" i="24"/>
  <c r="KD20" i="24"/>
  <c r="KE20" i="24"/>
  <c r="KB21" i="24"/>
  <c r="KC21" i="24"/>
  <c r="KD21" i="24"/>
  <c r="KE21" i="24"/>
  <c r="KB22" i="24"/>
  <c r="KC22" i="24"/>
  <c r="KD22" i="24"/>
  <c r="KE22" i="24"/>
  <c r="KB23" i="24"/>
  <c r="KC23" i="24"/>
  <c r="KD23" i="24"/>
  <c r="KE23" i="24"/>
  <c r="KB24" i="24"/>
  <c r="KC24" i="24"/>
  <c r="KD24" i="24"/>
  <c r="KE24" i="24"/>
  <c r="KB25" i="24"/>
  <c r="KC25" i="24"/>
  <c r="KD25" i="24"/>
  <c r="KE25" i="24"/>
  <c r="KB26" i="24"/>
  <c r="KC26" i="24"/>
  <c r="KD26" i="24"/>
  <c r="KE26" i="24"/>
  <c r="KB27" i="24"/>
  <c r="KC27" i="24"/>
  <c r="KD27" i="24"/>
  <c r="KE27" i="24"/>
  <c r="KB28" i="24"/>
  <c r="KC28" i="24"/>
  <c r="KD28" i="24"/>
  <c r="KE28" i="24"/>
  <c r="KB29" i="24"/>
  <c r="KC29" i="24"/>
  <c r="KD29" i="24"/>
  <c r="KE29" i="24"/>
  <c r="KB30" i="24"/>
  <c r="KC30" i="24"/>
  <c r="KD30" i="24"/>
  <c r="KE30" i="24"/>
  <c r="KB31" i="24"/>
  <c r="KC31" i="24"/>
  <c r="KD31" i="24"/>
  <c r="KE31" i="24"/>
  <c r="KB32" i="24"/>
  <c r="KC32" i="24"/>
  <c r="KD32" i="24"/>
  <c r="KE32" i="24"/>
  <c r="KB33" i="24"/>
  <c r="KC33" i="24"/>
  <c r="KD33" i="24"/>
  <c r="KE33" i="24"/>
  <c r="KB34" i="24"/>
  <c r="KC34" i="24"/>
  <c r="KD34" i="24"/>
  <c r="KE34" i="24"/>
  <c r="KB35" i="24"/>
  <c r="KC35" i="24"/>
  <c r="KD35" i="24"/>
  <c r="KE35" i="24"/>
  <c r="KB36" i="24"/>
  <c r="KC36" i="24"/>
  <c r="KD36" i="24"/>
  <c r="KE36" i="24"/>
  <c r="KB37" i="24"/>
  <c r="KC37" i="24"/>
  <c r="KD37" i="24"/>
  <c r="KE37" i="24"/>
  <c r="KB38" i="24"/>
  <c r="KC38" i="24"/>
  <c r="KD38" i="24"/>
  <c r="KE38" i="24"/>
  <c r="KB39" i="24"/>
  <c r="KC39" i="24"/>
  <c r="KD39" i="24"/>
  <c r="KE39" i="24"/>
  <c r="KB40" i="24"/>
  <c r="KC40" i="24"/>
  <c r="KD40" i="24"/>
  <c r="KE40" i="24"/>
  <c r="KB41" i="24"/>
  <c r="KC41" i="24"/>
  <c r="KD41" i="24"/>
  <c r="KE41" i="24"/>
  <c r="KB42" i="24"/>
  <c r="KC42" i="24"/>
  <c r="KD42" i="24"/>
  <c r="KE42" i="24"/>
  <c r="KB43" i="24"/>
  <c r="KC43" i="24"/>
  <c r="KD43" i="24"/>
  <c r="KE43" i="24"/>
  <c r="KB44" i="24"/>
  <c r="KC44" i="24"/>
  <c r="KD44" i="24"/>
  <c r="KE44" i="24"/>
  <c r="KD14" i="24"/>
  <c r="KE14" i="24"/>
  <c r="KB14" i="24"/>
  <c r="KC14" i="24"/>
  <c r="IY15" i="24"/>
  <c r="IZ15" i="24"/>
  <c r="JA15" i="24"/>
  <c r="JB15" i="24"/>
  <c r="IY16" i="24"/>
  <c r="IZ16" i="24"/>
  <c r="JA16" i="24"/>
  <c r="JB16" i="24"/>
  <c r="IY17" i="24"/>
  <c r="IZ17" i="24"/>
  <c r="JA17" i="24"/>
  <c r="JB17" i="24"/>
  <c r="IY18" i="24"/>
  <c r="IZ18" i="24"/>
  <c r="JA18" i="24"/>
  <c r="JB18" i="24"/>
  <c r="IY19" i="24"/>
  <c r="IZ19" i="24"/>
  <c r="JA19" i="24"/>
  <c r="JB19" i="24"/>
  <c r="IY20" i="24"/>
  <c r="IZ20" i="24"/>
  <c r="JA20" i="24"/>
  <c r="JB20" i="24"/>
  <c r="IY21" i="24"/>
  <c r="IZ21" i="24"/>
  <c r="JA21" i="24"/>
  <c r="JB21" i="24"/>
  <c r="IY22" i="24"/>
  <c r="IZ22" i="24"/>
  <c r="JA22" i="24"/>
  <c r="JB22" i="24"/>
  <c r="IY23" i="24"/>
  <c r="IZ23" i="24"/>
  <c r="JA23" i="24"/>
  <c r="JB23" i="24"/>
  <c r="IY24" i="24"/>
  <c r="IZ24" i="24"/>
  <c r="JA24" i="24"/>
  <c r="JB24" i="24"/>
  <c r="IY25" i="24"/>
  <c r="IZ25" i="24"/>
  <c r="JA25" i="24"/>
  <c r="JB25" i="24"/>
  <c r="IY26" i="24"/>
  <c r="IZ26" i="24"/>
  <c r="JA26" i="24"/>
  <c r="JB26" i="24"/>
  <c r="IY27" i="24"/>
  <c r="IZ27" i="24"/>
  <c r="JA27" i="24"/>
  <c r="JB27" i="24"/>
  <c r="IY28" i="24"/>
  <c r="IZ28" i="24"/>
  <c r="JA28" i="24"/>
  <c r="JB28" i="24"/>
  <c r="IY29" i="24"/>
  <c r="IZ29" i="24"/>
  <c r="JA29" i="24"/>
  <c r="JB29" i="24"/>
  <c r="IY30" i="24"/>
  <c r="IZ30" i="24"/>
  <c r="JA30" i="24"/>
  <c r="JB30" i="24"/>
  <c r="IY31" i="24"/>
  <c r="IZ31" i="24"/>
  <c r="JA31" i="24"/>
  <c r="JB31" i="24"/>
  <c r="IY32" i="24"/>
  <c r="IZ32" i="24"/>
  <c r="JA32" i="24"/>
  <c r="JB32" i="24"/>
  <c r="IY33" i="24"/>
  <c r="IZ33" i="24"/>
  <c r="JA33" i="24"/>
  <c r="JB33" i="24"/>
  <c r="IY34" i="24"/>
  <c r="IZ34" i="24"/>
  <c r="JA34" i="24"/>
  <c r="JB34" i="24"/>
  <c r="IY35" i="24"/>
  <c r="IZ35" i="24"/>
  <c r="JA35" i="24"/>
  <c r="JB35" i="24"/>
  <c r="IY36" i="24"/>
  <c r="IZ36" i="24"/>
  <c r="JA36" i="24"/>
  <c r="JB36" i="24"/>
  <c r="IY37" i="24"/>
  <c r="IZ37" i="24"/>
  <c r="JA37" i="24"/>
  <c r="JB37" i="24"/>
  <c r="IY38" i="24"/>
  <c r="IZ38" i="24"/>
  <c r="JA38" i="24"/>
  <c r="JB38" i="24"/>
  <c r="IY39" i="24"/>
  <c r="IZ39" i="24"/>
  <c r="JA39" i="24"/>
  <c r="JB39" i="24"/>
  <c r="IY40" i="24"/>
  <c r="IZ40" i="24"/>
  <c r="JA40" i="24"/>
  <c r="JB40" i="24"/>
  <c r="IY41" i="24"/>
  <c r="IZ41" i="24"/>
  <c r="JA41" i="24"/>
  <c r="JB41" i="24"/>
  <c r="IY42" i="24"/>
  <c r="IZ42" i="24"/>
  <c r="JA42" i="24"/>
  <c r="JB42" i="24"/>
  <c r="IY43" i="24"/>
  <c r="IZ43" i="24"/>
  <c r="JA43" i="24"/>
  <c r="JB43" i="24"/>
  <c r="JA14" i="24"/>
  <c r="JB14" i="24"/>
  <c r="IY46" i="24" s="1"/>
  <c r="CX58" i="24" s="1"/>
  <c r="M13" i="31" s="1"/>
  <c r="M47" i="31" s="1"/>
  <c r="IY14" i="24"/>
  <c r="IZ14" i="24"/>
  <c r="HV15" i="24"/>
  <c r="HW15" i="24"/>
  <c r="HX15" i="24"/>
  <c r="HY15" i="24"/>
  <c r="HV16" i="24"/>
  <c r="HW16" i="24"/>
  <c r="HX16" i="24"/>
  <c r="HY16" i="24"/>
  <c r="HV17" i="24"/>
  <c r="HW17" i="24"/>
  <c r="HX17" i="24"/>
  <c r="HY17" i="24"/>
  <c r="HV18" i="24"/>
  <c r="HW18" i="24"/>
  <c r="HX18" i="24"/>
  <c r="HY18" i="24"/>
  <c r="HV19" i="24"/>
  <c r="HW19" i="24"/>
  <c r="HX19" i="24"/>
  <c r="HY19" i="24"/>
  <c r="HV20" i="24"/>
  <c r="HW20" i="24"/>
  <c r="HX20" i="24"/>
  <c r="HY20" i="24"/>
  <c r="HV21" i="24"/>
  <c r="HW21" i="24"/>
  <c r="HX21" i="24"/>
  <c r="HY21" i="24"/>
  <c r="HV22" i="24"/>
  <c r="HW22" i="24"/>
  <c r="HX22" i="24"/>
  <c r="HY22" i="24"/>
  <c r="HV23" i="24"/>
  <c r="HW23" i="24"/>
  <c r="HX23" i="24"/>
  <c r="HY23" i="24"/>
  <c r="HV24" i="24"/>
  <c r="HW24" i="24"/>
  <c r="HX24" i="24"/>
  <c r="HY24" i="24"/>
  <c r="HV25" i="24"/>
  <c r="HW25" i="24"/>
  <c r="HX25" i="24"/>
  <c r="HY25" i="24"/>
  <c r="HV26" i="24"/>
  <c r="HW26" i="24"/>
  <c r="HX26" i="24"/>
  <c r="HY26" i="24"/>
  <c r="HV27" i="24"/>
  <c r="HW27" i="24"/>
  <c r="HX27" i="24"/>
  <c r="HY27" i="24"/>
  <c r="HV28" i="24"/>
  <c r="HW28" i="24"/>
  <c r="HX28" i="24"/>
  <c r="HY28" i="24"/>
  <c r="HV29" i="24"/>
  <c r="HW29" i="24"/>
  <c r="HX29" i="24"/>
  <c r="HY29" i="24"/>
  <c r="HV30" i="24"/>
  <c r="HW30" i="24"/>
  <c r="HX30" i="24"/>
  <c r="HY30" i="24"/>
  <c r="HV31" i="24"/>
  <c r="HW31" i="24"/>
  <c r="HX31" i="24"/>
  <c r="HY31" i="24"/>
  <c r="HV32" i="24"/>
  <c r="HW32" i="24"/>
  <c r="HX32" i="24"/>
  <c r="HY32" i="24"/>
  <c r="HV33" i="24"/>
  <c r="HW33" i="24"/>
  <c r="HX33" i="24"/>
  <c r="HY33" i="24"/>
  <c r="HV34" i="24"/>
  <c r="HW34" i="24"/>
  <c r="HX34" i="24"/>
  <c r="HY34" i="24"/>
  <c r="HV35" i="24"/>
  <c r="HW35" i="24"/>
  <c r="HX35" i="24"/>
  <c r="HY35" i="24"/>
  <c r="HV36" i="24"/>
  <c r="HW36" i="24"/>
  <c r="HX36" i="24"/>
  <c r="HY36" i="24"/>
  <c r="HV37" i="24"/>
  <c r="HW37" i="24"/>
  <c r="HX37" i="24"/>
  <c r="HY37" i="24"/>
  <c r="HV38" i="24"/>
  <c r="HW38" i="24"/>
  <c r="HX38" i="24"/>
  <c r="HY38" i="24"/>
  <c r="HV39" i="24"/>
  <c r="HW39" i="24"/>
  <c r="HX39" i="24"/>
  <c r="HY39" i="24"/>
  <c r="HV40" i="24"/>
  <c r="HW40" i="24"/>
  <c r="HX40" i="24"/>
  <c r="HY40" i="24"/>
  <c r="HV41" i="24"/>
  <c r="HW41" i="24"/>
  <c r="HX41" i="24"/>
  <c r="HY41" i="24"/>
  <c r="HV42" i="24"/>
  <c r="HW42" i="24"/>
  <c r="HX42" i="24"/>
  <c r="HY42" i="24"/>
  <c r="HV43" i="24"/>
  <c r="HW43" i="24"/>
  <c r="HX43" i="24"/>
  <c r="HY43" i="24"/>
  <c r="HV44" i="24"/>
  <c r="HW44" i="24"/>
  <c r="HX44" i="24"/>
  <c r="HY44" i="24"/>
  <c r="HV14" i="24"/>
  <c r="HX14" i="24"/>
  <c r="HY14" i="24"/>
  <c r="HW14" i="24"/>
  <c r="GS15" i="24"/>
  <c r="GT15" i="24"/>
  <c r="GU15" i="24"/>
  <c r="GV15" i="24"/>
  <c r="GS16" i="24"/>
  <c r="GT16" i="24"/>
  <c r="GU16" i="24"/>
  <c r="GV16" i="24"/>
  <c r="GS17" i="24"/>
  <c r="GT17" i="24"/>
  <c r="GU17" i="24"/>
  <c r="GV17" i="24"/>
  <c r="GS18" i="24"/>
  <c r="GT18" i="24"/>
  <c r="GU18" i="24"/>
  <c r="GV18" i="24"/>
  <c r="GS19" i="24"/>
  <c r="GT19" i="24"/>
  <c r="GU19" i="24"/>
  <c r="GV19" i="24"/>
  <c r="GS20" i="24"/>
  <c r="GT20" i="24"/>
  <c r="GU20" i="24"/>
  <c r="GV20" i="24"/>
  <c r="GS21" i="24"/>
  <c r="GT21" i="24"/>
  <c r="GU21" i="24"/>
  <c r="GV21" i="24"/>
  <c r="GS22" i="24"/>
  <c r="GT22" i="24"/>
  <c r="GU22" i="24"/>
  <c r="GV22" i="24"/>
  <c r="GS23" i="24"/>
  <c r="GT23" i="24"/>
  <c r="GU23" i="24"/>
  <c r="GV23" i="24"/>
  <c r="GS24" i="24"/>
  <c r="GT24" i="24"/>
  <c r="GU24" i="24"/>
  <c r="GV24" i="24"/>
  <c r="GS25" i="24"/>
  <c r="GT25" i="24"/>
  <c r="GU25" i="24"/>
  <c r="GV25" i="24"/>
  <c r="GS26" i="24"/>
  <c r="GT26" i="24"/>
  <c r="GU26" i="24"/>
  <c r="GV26" i="24"/>
  <c r="GS27" i="24"/>
  <c r="GT27" i="24"/>
  <c r="GU27" i="24"/>
  <c r="GV27" i="24"/>
  <c r="GS28" i="24"/>
  <c r="GT28" i="24"/>
  <c r="GU28" i="24"/>
  <c r="GV28" i="24"/>
  <c r="GS29" i="24"/>
  <c r="GT29" i="24"/>
  <c r="GU29" i="24"/>
  <c r="GV29" i="24"/>
  <c r="GS30" i="24"/>
  <c r="GT30" i="24"/>
  <c r="GU30" i="24"/>
  <c r="GV30" i="24"/>
  <c r="GS31" i="24"/>
  <c r="GT31" i="24"/>
  <c r="GU31" i="24"/>
  <c r="GV31" i="24"/>
  <c r="GS32" i="24"/>
  <c r="GT32" i="24"/>
  <c r="GU32" i="24"/>
  <c r="GV32" i="24"/>
  <c r="GS33" i="24"/>
  <c r="GT33" i="24"/>
  <c r="GU33" i="24"/>
  <c r="GV33" i="24"/>
  <c r="GS34" i="24"/>
  <c r="GT34" i="24"/>
  <c r="GU34" i="24"/>
  <c r="GV34" i="24"/>
  <c r="GS35" i="24"/>
  <c r="GT35" i="24"/>
  <c r="GU35" i="24"/>
  <c r="GV35" i="24"/>
  <c r="GS36" i="24"/>
  <c r="GT36" i="24"/>
  <c r="GU36" i="24"/>
  <c r="GV36" i="24"/>
  <c r="GS37" i="24"/>
  <c r="GT37" i="24"/>
  <c r="GU37" i="24"/>
  <c r="GV37" i="24"/>
  <c r="GS38" i="24"/>
  <c r="GT38" i="24"/>
  <c r="GU38" i="24"/>
  <c r="GV38" i="24"/>
  <c r="GS39" i="24"/>
  <c r="GT39" i="24"/>
  <c r="GU39" i="24"/>
  <c r="GV39" i="24"/>
  <c r="GS40" i="24"/>
  <c r="GT40" i="24"/>
  <c r="GU40" i="24"/>
  <c r="GV40" i="24"/>
  <c r="GS41" i="24"/>
  <c r="GT41" i="24"/>
  <c r="GU41" i="24"/>
  <c r="GV41" i="24"/>
  <c r="GS42" i="24"/>
  <c r="GT42" i="24"/>
  <c r="GU42" i="24"/>
  <c r="GV42" i="24"/>
  <c r="GS43" i="24"/>
  <c r="GT43" i="24"/>
  <c r="GU43" i="24"/>
  <c r="GV43" i="24"/>
  <c r="GS14" i="24"/>
  <c r="GU14" i="24"/>
  <c r="GV14" i="24"/>
  <c r="GT14" i="24"/>
  <c r="FP15" i="24"/>
  <c r="FQ15" i="24"/>
  <c r="FR15" i="24"/>
  <c r="FS15" i="24"/>
  <c r="FP16" i="24"/>
  <c r="FQ16" i="24"/>
  <c r="FR16" i="24"/>
  <c r="FS16" i="24"/>
  <c r="FP17" i="24"/>
  <c r="FQ17" i="24"/>
  <c r="FR17" i="24"/>
  <c r="FS17" i="24"/>
  <c r="FP18" i="24"/>
  <c r="FQ18" i="24"/>
  <c r="FR18" i="24"/>
  <c r="FS18" i="24"/>
  <c r="FP19" i="24"/>
  <c r="FQ19" i="24"/>
  <c r="FR19" i="24"/>
  <c r="FS19" i="24"/>
  <c r="FP20" i="24"/>
  <c r="FQ20" i="24"/>
  <c r="FR20" i="24"/>
  <c r="FS20" i="24"/>
  <c r="FP21" i="24"/>
  <c r="FQ21" i="24"/>
  <c r="FR21" i="24"/>
  <c r="FS21" i="24"/>
  <c r="FP22" i="24"/>
  <c r="FQ22" i="24"/>
  <c r="FR22" i="24"/>
  <c r="FS22" i="24"/>
  <c r="FP23" i="24"/>
  <c r="FQ23" i="24"/>
  <c r="FR23" i="24"/>
  <c r="FS23" i="24"/>
  <c r="FP24" i="24"/>
  <c r="FQ24" i="24"/>
  <c r="FR24" i="24"/>
  <c r="FS24" i="24"/>
  <c r="FP25" i="24"/>
  <c r="FQ25" i="24"/>
  <c r="FR25" i="24"/>
  <c r="FS25" i="24"/>
  <c r="FP26" i="24"/>
  <c r="FQ26" i="24"/>
  <c r="FR26" i="24"/>
  <c r="FS26" i="24"/>
  <c r="FP27" i="24"/>
  <c r="FQ27" i="24"/>
  <c r="FR27" i="24"/>
  <c r="FS27" i="24"/>
  <c r="FP28" i="24"/>
  <c r="FQ28" i="24"/>
  <c r="FR28" i="24"/>
  <c r="FS28" i="24"/>
  <c r="FP29" i="24"/>
  <c r="FQ29" i="24"/>
  <c r="FR29" i="24"/>
  <c r="FS29" i="24"/>
  <c r="FP30" i="24"/>
  <c r="FQ30" i="24"/>
  <c r="FR30" i="24"/>
  <c r="FS30" i="24"/>
  <c r="FP31" i="24"/>
  <c r="FQ31" i="24"/>
  <c r="FR31" i="24"/>
  <c r="FS31" i="24"/>
  <c r="FP32" i="24"/>
  <c r="FQ32" i="24"/>
  <c r="FR32" i="24"/>
  <c r="FS32" i="24"/>
  <c r="FP33" i="24"/>
  <c r="FQ33" i="24"/>
  <c r="FR33" i="24"/>
  <c r="FS33" i="24"/>
  <c r="FP34" i="24"/>
  <c r="FQ34" i="24"/>
  <c r="FR34" i="24"/>
  <c r="FS34" i="24"/>
  <c r="FP35" i="24"/>
  <c r="FQ35" i="24"/>
  <c r="FR35" i="24"/>
  <c r="FS35" i="24"/>
  <c r="FP36" i="24"/>
  <c r="FQ36" i="24"/>
  <c r="FR36" i="24"/>
  <c r="FS36" i="24"/>
  <c r="FP37" i="24"/>
  <c r="FQ37" i="24"/>
  <c r="FR37" i="24"/>
  <c r="FS37" i="24"/>
  <c r="FP38" i="24"/>
  <c r="FQ38" i="24"/>
  <c r="FR38" i="24"/>
  <c r="FS38" i="24"/>
  <c r="FP39" i="24"/>
  <c r="FQ39" i="24"/>
  <c r="FR39" i="24"/>
  <c r="FS39" i="24"/>
  <c r="FP40" i="24"/>
  <c r="FQ40" i="24"/>
  <c r="FR40" i="24"/>
  <c r="FS40" i="24"/>
  <c r="FP41" i="24"/>
  <c r="FQ41" i="24"/>
  <c r="FR41" i="24"/>
  <c r="FS41" i="24"/>
  <c r="FP42" i="24"/>
  <c r="FQ42" i="24"/>
  <c r="FR42" i="24"/>
  <c r="FS42" i="24"/>
  <c r="FP43" i="24"/>
  <c r="FQ43" i="24"/>
  <c r="FR43" i="24"/>
  <c r="FS43" i="24"/>
  <c r="FP44" i="24"/>
  <c r="FQ44" i="24"/>
  <c r="FR44" i="24"/>
  <c r="FS44" i="24"/>
  <c r="FP14" i="24"/>
  <c r="FR14" i="24"/>
  <c r="FS14" i="24"/>
  <c r="FQ14" i="24"/>
  <c r="FP45" i="24" s="1"/>
  <c r="CT55" i="24" s="1"/>
  <c r="L10" i="31" s="1"/>
  <c r="L44" i="31" s="1"/>
  <c r="EM14" i="24"/>
  <c r="EO14" i="24"/>
  <c r="EP14" i="24"/>
  <c r="EM46" i="24" s="1"/>
  <c r="CX54" i="24" s="1"/>
  <c r="M9" i="31" s="1"/>
  <c r="M43" i="31" s="1"/>
  <c r="EN14" i="24"/>
  <c r="EM45" i="24" s="1"/>
  <c r="DJ15" i="24"/>
  <c r="DJ16" i="24"/>
  <c r="DJ17" i="24"/>
  <c r="DJ18" i="24"/>
  <c r="DJ19" i="24"/>
  <c r="DJ20" i="24"/>
  <c r="DJ21" i="24"/>
  <c r="DJ22" i="24"/>
  <c r="DJ23" i="24"/>
  <c r="DJ24" i="24"/>
  <c r="DJ25" i="24"/>
  <c r="DJ26" i="24"/>
  <c r="DJ27" i="24"/>
  <c r="DJ28" i="24"/>
  <c r="DJ29" i="24"/>
  <c r="DJ30" i="24"/>
  <c r="DJ31" i="24"/>
  <c r="DJ32" i="24"/>
  <c r="DJ33" i="24"/>
  <c r="DJ34" i="24"/>
  <c r="DJ35" i="24"/>
  <c r="DJ36" i="24"/>
  <c r="DJ37" i="24"/>
  <c r="DJ38" i="24"/>
  <c r="DJ39" i="24"/>
  <c r="DJ40" i="24"/>
  <c r="DJ41" i="24"/>
  <c r="DJ42" i="24"/>
  <c r="DJ43" i="24"/>
  <c r="DJ14" i="24"/>
  <c r="DK15" i="24"/>
  <c r="DL15" i="24"/>
  <c r="DM15" i="24"/>
  <c r="DK16" i="24"/>
  <c r="DL16" i="24"/>
  <c r="DM16" i="24"/>
  <c r="DK17" i="24"/>
  <c r="DL17" i="24"/>
  <c r="DM17" i="24"/>
  <c r="DK18" i="24"/>
  <c r="DL18" i="24"/>
  <c r="DM18" i="24"/>
  <c r="DK19" i="24"/>
  <c r="DL19" i="24"/>
  <c r="DM19" i="24"/>
  <c r="DK20" i="24"/>
  <c r="DL20" i="24"/>
  <c r="DM20" i="24"/>
  <c r="DK21" i="24"/>
  <c r="DL21" i="24"/>
  <c r="DM21" i="24"/>
  <c r="DK22" i="24"/>
  <c r="DL22" i="24"/>
  <c r="DM22" i="24"/>
  <c r="DK23" i="24"/>
  <c r="DL23" i="24"/>
  <c r="DM23" i="24"/>
  <c r="DK24" i="24"/>
  <c r="DL24" i="24"/>
  <c r="DM24" i="24"/>
  <c r="DK25" i="24"/>
  <c r="DL25" i="24"/>
  <c r="DM25" i="24"/>
  <c r="DK26" i="24"/>
  <c r="DL26" i="24"/>
  <c r="DM26" i="24"/>
  <c r="DK27" i="24"/>
  <c r="DL27" i="24"/>
  <c r="DM27" i="24"/>
  <c r="DK28" i="24"/>
  <c r="DL28" i="24"/>
  <c r="DM28" i="24"/>
  <c r="DK29" i="24"/>
  <c r="DL29" i="24"/>
  <c r="DM29" i="24"/>
  <c r="DK30" i="24"/>
  <c r="DL30" i="24"/>
  <c r="DM30" i="24"/>
  <c r="DK31" i="24"/>
  <c r="DL31" i="24"/>
  <c r="DM31" i="24"/>
  <c r="DK32" i="24"/>
  <c r="DL32" i="24"/>
  <c r="DM32" i="24"/>
  <c r="DK33" i="24"/>
  <c r="DL33" i="24"/>
  <c r="DM33" i="24"/>
  <c r="DK34" i="24"/>
  <c r="DL34" i="24"/>
  <c r="DM34" i="24"/>
  <c r="DK35" i="24"/>
  <c r="DL35" i="24"/>
  <c r="DM35" i="24"/>
  <c r="DK36" i="24"/>
  <c r="DL36" i="24"/>
  <c r="DM36" i="24"/>
  <c r="DK37" i="24"/>
  <c r="DL37" i="24"/>
  <c r="DM37" i="24"/>
  <c r="DK38" i="24"/>
  <c r="DL38" i="24"/>
  <c r="DM38" i="24"/>
  <c r="DK39" i="24"/>
  <c r="DL39" i="24"/>
  <c r="DM39" i="24"/>
  <c r="DK40" i="24"/>
  <c r="DL40" i="24"/>
  <c r="DM40" i="24"/>
  <c r="DK41" i="24"/>
  <c r="DL41" i="24"/>
  <c r="DM41" i="24"/>
  <c r="DK42" i="24"/>
  <c r="DL42" i="24"/>
  <c r="DM42" i="24"/>
  <c r="DK43" i="24"/>
  <c r="DL43" i="24"/>
  <c r="DM43" i="24"/>
  <c r="DL14" i="24"/>
  <c r="DM14" i="24"/>
  <c r="DK14" i="24"/>
  <c r="CG15" i="24"/>
  <c r="CG16" i="24"/>
  <c r="CG17" i="24"/>
  <c r="CG18" i="24"/>
  <c r="CG19" i="24"/>
  <c r="CG20" i="24"/>
  <c r="CG21" i="24"/>
  <c r="CG22" i="24"/>
  <c r="CG23" i="24"/>
  <c r="CG24" i="24"/>
  <c r="CG25" i="24"/>
  <c r="CG26" i="24"/>
  <c r="CG27" i="24"/>
  <c r="CG28" i="24"/>
  <c r="CG29" i="24"/>
  <c r="CG30" i="24"/>
  <c r="CG31" i="24"/>
  <c r="CG32" i="24"/>
  <c r="CG33" i="24"/>
  <c r="CG34" i="24"/>
  <c r="CG35" i="24"/>
  <c r="CG36" i="24"/>
  <c r="CG37" i="24"/>
  <c r="CG38" i="24"/>
  <c r="CG39" i="24"/>
  <c r="CG40" i="24"/>
  <c r="CG41" i="24"/>
  <c r="CG42" i="24"/>
  <c r="CG43" i="24"/>
  <c r="CG44" i="24"/>
  <c r="CG14" i="24"/>
  <c r="CH14" i="24"/>
  <c r="CH15" i="24"/>
  <c r="CI15" i="24"/>
  <c r="CJ15" i="24"/>
  <c r="CH16" i="24"/>
  <c r="CI16" i="24"/>
  <c r="CJ16" i="24"/>
  <c r="CH17" i="24"/>
  <c r="CI17" i="24"/>
  <c r="CJ17" i="24"/>
  <c r="CH18" i="24"/>
  <c r="CI18" i="24"/>
  <c r="CJ18" i="24"/>
  <c r="CH19" i="24"/>
  <c r="CI19" i="24"/>
  <c r="CJ19" i="24"/>
  <c r="CH20" i="24"/>
  <c r="CI20" i="24"/>
  <c r="CJ20" i="24"/>
  <c r="CH21" i="24"/>
  <c r="CI21" i="24"/>
  <c r="CJ21" i="24"/>
  <c r="CH22" i="24"/>
  <c r="CI22" i="24"/>
  <c r="CJ22" i="24"/>
  <c r="CH23" i="24"/>
  <c r="CI23" i="24"/>
  <c r="CJ23" i="24"/>
  <c r="CH24" i="24"/>
  <c r="CI24" i="24"/>
  <c r="CJ24" i="24"/>
  <c r="CH25" i="24"/>
  <c r="CI25" i="24"/>
  <c r="CJ25" i="24"/>
  <c r="CH26" i="24"/>
  <c r="CI26" i="24"/>
  <c r="CJ26" i="24"/>
  <c r="CH27" i="24"/>
  <c r="CI27" i="24"/>
  <c r="CJ27" i="24"/>
  <c r="CH28" i="24"/>
  <c r="CI28" i="24"/>
  <c r="CJ28" i="24"/>
  <c r="CH29" i="24"/>
  <c r="CI29" i="24"/>
  <c r="CJ29" i="24"/>
  <c r="CH30" i="24"/>
  <c r="CI30" i="24"/>
  <c r="CJ30" i="24"/>
  <c r="CH31" i="24"/>
  <c r="CI31" i="24"/>
  <c r="CJ31" i="24"/>
  <c r="CH32" i="24"/>
  <c r="CI32" i="24"/>
  <c r="CJ32" i="24"/>
  <c r="CH33" i="24"/>
  <c r="CI33" i="24"/>
  <c r="CJ33" i="24"/>
  <c r="CH34" i="24"/>
  <c r="CI34" i="24"/>
  <c r="CJ34" i="24"/>
  <c r="CH35" i="24"/>
  <c r="CI35" i="24"/>
  <c r="CJ35" i="24"/>
  <c r="CH36" i="24"/>
  <c r="CI36" i="24"/>
  <c r="CJ36" i="24"/>
  <c r="CH37" i="24"/>
  <c r="CI37" i="24"/>
  <c r="CJ37" i="24"/>
  <c r="CH38" i="24"/>
  <c r="CI38" i="24"/>
  <c r="CJ38" i="24"/>
  <c r="CH39" i="24"/>
  <c r="CI39" i="24"/>
  <c r="CJ39" i="24"/>
  <c r="CH40" i="24"/>
  <c r="CI40" i="24"/>
  <c r="CJ40" i="24"/>
  <c r="CH41" i="24"/>
  <c r="CI41" i="24"/>
  <c r="CJ41" i="24"/>
  <c r="CH42" i="24"/>
  <c r="CI42" i="24"/>
  <c r="CJ42" i="24"/>
  <c r="CH43" i="24"/>
  <c r="CI43" i="24"/>
  <c r="CJ43" i="24"/>
  <c r="CH44" i="24"/>
  <c r="CI44" i="24"/>
  <c r="CJ44" i="24"/>
  <c r="CI14" i="24"/>
  <c r="CJ14" i="24"/>
  <c r="BD15" i="24"/>
  <c r="BD16" i="24"/>
  <c r="BD17" i="24"/>
  <c r="BD18" i="24"/>
  <c r="BD19" i="24"/>
  <c r="BD20" i="24"/>
  <c r="BD21" i="24"/>
  <c r="BD22" i="24"/>
  <c r="BD23" i="24"/>
  <c r="BD24" i="24"/>
  <c r="BD25" i="24"/>
  <c r="BD26" i="24"/>
  <c r="BD27" i="24"/>
  <c r="BD28" i="24"/>
  <c r="BD29" i="24"/>
  <c r="BD30" i="24"/>
  <c r="BD31" i="24"/>
  <c r="BD32" i="24"/>
  <c r="BD33" i="24"/>
  <c r="BD34" i="24"/>
  <c r="BD35" i="24"/>
  <c r="BD36" i="24"/>
  <c r="BD37" i="24"/>
  <c r="BD38" i="24"/>
  <c r="BD39" i="24"/>
  <c r="BD40" i="24"/>
  <c r="BD41" i="24"/>
  <c r="BD42" i="24"/>
  <c r="BD43" i="24"/>
  <c r="BD14" i="24"/>
  <c r="BE15" i="24"/>
  <c r="BF15" i="24"/>
  <c r="BG15" i="24"/>
  <c r="BE16" i="24"/>
  <c r="BF16" i="24"/>
  <c r="BG16" i="24"/>
  <c r="BE17" i="24"/>
  <c r="BF17" i="24"/>
  <c r="BG17" i="24"/>
  <c r="BE18" i="24"/>
  <c r="BF18" i="24"/>
  <c r="BG18" i="24"/>
  <c r="BE19" i="24"/>
  <c r="BF19" i="24"/>
  <c r="BG19" i="24"/>
  <c r="BE20" i="24"/>
  <c r="BF20" i="24"/>
  <c r="BG20" i="24"/>
  <c r="BE21" i="24"/>
  <c r="BF21" i="24"/>
  <c r="BG21" i="24"/>
  <c r="BE22" i="24"/>
  <c r="BF22" i="24"/>
  <c r="BG22" i="24"/>
  <c r="BE23" i="24"/>
  <c r="BF23" i="24"/>
  <c r="BG23" i="24"/>
  <c r="BE24" i="24"/>
  <c r="BF24" i="24"/>
  <c r="BG24" i="24"/>
  <c r="BE25" i="24"/>
  <c r="BF25" i="24"/>
  <c r="BG25" i="24"/>
  <c r="BE26" i="24"/>
  <c r="BF26" i="24"/>
  <c r="BG26" i="24"/>
  <c r="BE27" i="24"/>
  <c r="BF27" i="24"/>
  <c r="BG27" i="24"/>
  <c r="BE28" i="24"/>
  <c r="BF28" i="24"/>
  <c r="BG28" i="24"/>
  <c r="BE29" i="24"/>
  <c r="BF29" i="24"/>
  <c r="BG29" i="24"/>
  <c r="BE30" i="24"/>
  <c r="BF30" i="24"/>
  <c r="BG30" i="24"/>
  <c r="BE31" i="24"/>
  <c r="BF31" i="24"/>
  <c r="BG31" i="24"/>
  <c r="BE32" i="24"/>
  <c r="BF32" i="24"/>
  <c r="BG32" i="24"/>
  <c r="BE33" i="24"/>
  <c r="BF33" i="24"/>
  <c r="BG33" i="24"/>
  <c r="BE34" i="24"/>
  <c r="BF34" i="24"/>
  <c r="BG34" i="24"/>
  <c r="BE35" i="24"/>
  <c r="BF35" i="24"/>
  <c r="BG35" i="24"/>
  <c r="BE36" i="24"/>
  <c r="BF36" i="24"/>
  <c r="BG36" i="24"/>
  <c r="BE37" i="24"/>
  <c r="BF37" i="24"/>
  <c r="BG37" i="24"/>
  <c r="BE38" i="24"/>
  <c r="BF38" i="24"/>
  <c r="BG38" i="24"/>
  <c r="BE39" i="24"/>
  <c r="BF39" i="24"/>
  <c r="BG39" i="24"/>
  <c r="BE40" i="24"/>
  <c r="BF40" i="24"/>
  <c r="BG40" i="24"/>
  <c r="BE41" i="24"/>
  <c r="BF41" i="24"/>
  <c r="BG41" i="24"/>
  <c r="BE42" i="24"/>
  <c r="BF42" i="24"/>
  <c r="BG42" i="24"/>
  <c r="BE43" i="24"/>
  <c r="BF43" i="24"/>
  <c r="BG43" i="24"/>
  <c r="BF14" i="24"/>
  <c r="BG14" i="24"/>
  <c r="BE14" i="24"/>
  <c r="KB45" i="24" l="1"/>
  <c r="CT59" i="24" s="1"/>
  <c r="L14" i="31" s="1"/>
  <c r="L48" i="31" s="1"/>
  <c r="KB46" i="24"/>
  <c r="CX59" i="24" s="1"/>
  <c r="M14" i="31" s="1"/>
  <c r="M48" i="31" s="1"/>
  <c r="IY45" i="24"/>
  <c r="CT58" i="24" s="1"/>
  <c r="L13" i="31" s="1"/>
  <c r="L47" i="31" s="1"/>
  <c r="HV45" i="24"/>
  <c r="CT57" i="24" s="1"/>
  <c r="L12" i="31" s="1"/>
  <c r="L46" i="31" s="1"/>
  <c r="L7" i="29"/>
  <c r="GS45" i="24"/>
  <c r="CT56" i="24" s="1"/>
  <c r="L11" i="31" s="1"/>
  <c r="L45" i="31" s="1"/>
  <c r="MH46" i="24"/>
  <c r="CX61" i="24" s="1"/>
  <c r="M16" i="31" s="1"/>
  <c r="M50" i="31" s="1"/>
  <c r="MH45" i="24"/>
  <c r="CT61" i="24" s="1"/>
  <c r="L16" i="31" s="1"/>
  <c r="L50" i="31" s="1"/>
  <c r="NK46" i="24"/>
  <c r="CX62" i="24" s="1"/>
  <c r="M17" i="31" s="1"/>
  <c r="M51" i="31" s="1"/>
  <c r="BT78" i="29"/>
  <c r="Q17" i="49" s="1"/>
  <c r="BW78" i="29"/>
  <c r="Q20" i="49" s="1"/>
  <c r="BV78" i="29"/>
  <c r="Q19" i="49" s="1"/>
  <c r="BX73" i="29"/>
  <c r="BQ78" i="29"/>
  <c r="Q14" i="49" s="1"/>
  <c r="BX58" i="29"/>
  <c r="BX61" i="29"/>
  <c r="BX63" i="29"/>
  <c r="CF63" i="29" s="1"/>
  <c r="BX66" i="29"/>
  <c r="BX68" i="29"/>
  <c r="CF68" i="29" s="1"/>
  <c r="BX72" i="29"/>
  <c r="BX48" i="29"/>
  <c r="BX49" i="29"/>
  <c r="BX47" i="29"/>
  <c r="BX70" i="29"/>
  <c r="BX74" i="29"/>
  <c r="BX50" i="29"/>
  <c r="CF50" i="29" s="1"/>
  <c r="BX51" i="29"/>
  <c r="CF51" i="29" s="1"/>
  <c r="BX52" i="29"/>
  <c r="BX53" i="29"/>
  <c r="CF53" i="29" s="1"/>
  <c r="BX54" i="29"/>
  <c r="BX55" i="29"/>
  <c r="BX56" i="29"/>
  <c r="BX57" i="29"/>
  <c r="CF57" i="29" s="1"/>
  <c r="BX60" i="29"/>
  <c r="CF60" i="29" s="1"/>
  <c r="BX62" i="29"/>
  <c r="BX64" i="29"/>
  <c r="BX67" i="29"/>
  <c r="CF67" i="29" s="1"/>
  <c r="BX69" i="29"/>
  <c r="BX71" i="29"/>
  <c r="BP78" i="29"/>
  <c r="Q13" i="49" s="1"/>
  <c r="BX75" i="29"/>
  <c r="CF75" i="29" s="1"/>
  <c r="BU78" i="29"/>
  <c r="Q18" i="49" s="1"/>
  <c r="BR78" i="29"/>
  <c r="Q15" i="49" s="1"/>
  <c r="BS78" i="29"/>
  <c r="Q16" i="49" s="1"/>
  <c r="BX76" i="29"/>
  <c r="BX59" i="29"/>
  <c r="BO78" i="29"/>
  <c r="Q12" i="49" s="1"/>
  <c r="BX65" i="29"/>
  <c r="BL78" i="29"/>
  <c r="CB74" i="29" s="1"/>
  <c r="CF78" i="29"/>
  <c r="CE78" i="29"/>
  <c r="CC79" i="29"/>
  <c r="BZ61" i="29" s="1"/>
  <c r="CC61" i="29" s="1"/>
  <c r="CD78" i="29"/>
  <c r="G12" i="49" s="1"/>
  <c r="G21" i="49" s="1"/>
  <c r="I21" i="49" s="1"/>
  <c r="BS10" i="29"/>
  <c r="CE10" i="29"/>
  <c r="BL12" i="29"/>
  <c r="CE12" i="29"/>
  <c r="BL14" i="29"/>
  <c r="CE14" i="29"/>
  <c r="BL16" i="29"/>
  <c r="CE16" i="29"/>
  <c r="BL18" i="29"/>
  <c r="CE18" i="29"/>
  <c r="BS20" i="29"/>
  <c r="CE20" i="29"/>
  <c r="BS22" i="29"/>
  <c r="CE22" i="29"/>
  <c r="BU24" i="29"/>
  <c r="CE24" i="29"/>
  <c r="BU26" i="29"/>
  <c r="CE26" i="29"/>
  <c r="BV28" i="29"/>
  <c r="CE28" i="29"/>
  <c r="BV30" i="29"/>
  <c r="CE30" i="29"/>
  <c r="BU32" i="29"/>
  <c r="CE32" i="29"/>
  <c r="BU34" i="29"/>
  <c r="CE34" i="29"/>
  <c r="BL9" i="29"/>
  <c r="CE9" i="29"/>
  <c r="BV8" i="29"/>
  <c r="CE8" i="29"/>
  <c r="BU11" i="29"/>
  <c r="CE11" i="29"/>
  <c r="BS13" i="29"/>
  <c r="CE13" i="29"/>
  <c r="BV15" i="29"/>
  <c r="CE15" i="29"/>
  <c r="BS17" i="29"/>
  <c r="CE17" i="29"/>
  <c r="BL19" i="29"/>
  <c r="CE19" i="29"/>
  <c r="BV21" i="29"/>
  <c r="CE21" i="29"/>
  <c r="BS23" i="29"/>
  <c r="CE23" i="29"/>
  <c r="BV25" i="29"/>
  <c r="CE25" i="29"/>
  <c r="BV27" i="29"/>
  <c r="CE27" i="29"/>
  <c r="BS29" i="29"/>
  <c r="CE29" i="29"/>
  <c r="BS31" i="29"/>
  <c r="CE31" i="29"/>
  <c r="BV33" i="29"/>
  <c r="CE33" i="29"/>
  <c r="BS35" i="29"/>
  <c r="CE35" i="29"/>
  <c r="AC13" i="11"/>
  <c r="AD13" i="11"/>
  <c r="AD44" i="11" s="1"/>
  <c r="DJ46" i="24"/>
  <c r="CX53" i="24" s="1"/>
  <c r="M8" i="31" s="1"/>
  <c r="M42" i="31" s="1"/>
  <c r="FP46" i="24"/>
  <c r="CX55" i="24" s="1"/>
  <c r="M10" i="31" s="1"/>
  <c r="M44" i="31" s="1"/>
  <c r="GS46" i="24"/>
  <c r="CX56" i="24" s="1"/>
  <c r="M11" i="31" s="1"/>
  <c r="M45" i="31" s="1"/>
  <c r="HV46" i="24"/>
  <c r="CX57" i="24" s="1"/>
  <c r="M12" i="31" s="1"/>
  <c r="M46" i="31" s="1"/>
  <c r="G26" i="27"/>
  <c r="K26" i="27"/>
  <c r="T26" i="27" s="1"/>
  <c r="BV35" i="29"/>
  <c r="J37" i="6"/>
  <c r="J38" i="6"/>
  <c r="J9" i="6"/>
  <c r="J14" i="6"/>
  <c r="J16" i="6"/>
  <c r="J18" i="6"/>
  <c r="J20" i="6"/>
  <c r="J22" i="6"/>
  <c r="J24" i="6"/>
  <c r="J26" i="6"/>
  <c r="J28" i="6"/>
  <c r="J30" i="6"/>
  <c r="J8" i="6"/>
  <c r="T8" i="6" s="1"/>
  <c r="J12" i="6"/>
  <c r="J10" i="6"/>
  <c r="J13" i="6"/>
  <c r="J15" i="6"/>
  <c r="J17" i="6"/>
  <c r="J19" i="6"/>
  <c r="J21" i="6"/>
  <c r="J23" i="6"/>
  <c r="J25" i="6"/>
  <c r="J27" i="6"/>
  <c r="J29" i="6"/>
  <c r="J31" i="6"/>
  <c r="J11" i="6"/>
  <c r="CG46" i="24"/>
  <c r="CX52" i="24" s="1"/>
  <c r="M7" i="31" s="1"/>
  <c r="M41" i="31" s="1"/>
  <c r="Y13" i="29"/>
  <c r="Z13" i="29"/>
  <c r="Y20" i="29"/>
  <c r="Z20" i="29"/>
  <c r="Y22" i="29"/>
  <c r="Z22" i="29"/>
  <c r="Y24" i="29"/>
  <c r="Z24" i="29"/>
  <c r="Y26" i="29"/>
  <c r="Z26" i="29"/>
  <c r="Y28" i="29"/>
  <c r="Z28" i="29"/>
  <c r="Y30" i="29"/>
  <c r="Z30" i="29"/>
  <c r="Y32" i="29"/>
  <c r="Z32" i="29"/>
  <c r="Y34" i="29"/>
  <c r="Z34" i="29"/>
  <c r="O9" i="29"/>
  <c r="Z9" i="29"/>
  <c r="Y12" i="29"/>
  <c r="Z12" i="29"/>
  <c r="Y15" i="29"/>
  <c r="Z15" i="29"/>
  <c r="N17" i="29"/>
  <c r="Z17" i="29"/>
  <c r="M19" i="29"/>
  <c r="Z19" i="29"/>
  <c r="P7" i="29"/>
  <c r="Z7" i="29"/>
  <c r="Y7" i="29"/>
  <c r="Y36" i="29"/>
  <c r="Z36" i="29"/>
  <c r="Y21" i="29"/>
  <c r="Z21" i="29"/>
  <c r="Y23" i="29"/>
  <c r="Z23" i="29"/>
  <c r="Y25" i="29"/>
  <c r="Z25" i="29"/>
  <c r="Y27" i="29"/>
  <c r="Z27" i="29"/>
  <c r="Y29" i="29"/>
  <c r="Z29" i="29"/>
  <c r="Y31" i="29"/>
  <c r="Z31" i="29"/>
  <c r="Y33" i="29"/>
  <c r="Z33" i="29"/>
  <c r="Y35" i="29"/>
  <c r="Z35" i="29"/>
  <c r="P8" i="29"/>
  <c r="Z8" i="29"/>
  <c r="R14" i="29"/>
  <c r="Z14" i="29"/>
  <c r="R16" i="29"/>
  <c r="Z16" i="29"/>
  <c r="R18" i="29"/>
  <c r="Z18" i="29"/>
  <c r="G37" i="29"/>
  <c r="Z37" i="29"/>
  <c r="Y37" i="29"/>
  <c r="G10" i="29"/>
  <c r="O10" i="29"/>
  <c r="BD45" i="24"/>
  <c r="CT51" i="24" s="1"/>
  <c r="L6" i="31" s="1"/>
  <c r="L40" i="31" s="1"/>
  <c r="BD46" i="24"/>
  <c r="CX51" i="24" s="1"/>
  <c r="DJ45" i="24"/>
  <c r="CT53" i="24" s="1"/>
  <c r="L8" i="31" s="1"/>
  <c r="CG45" i="24"/>
  <c r="CT52" i="24" s="1"/>
  <c r="L7" i="31" s="1"/>
  <c r="L41" i="31" s="1"/>
  <c r="CT54" i="24"/>
  <c r="L9" i="31" s="1"/>
  <c r="L43" i="31" s="1"/>
  <c r="BL34" i="29"/>
  <c r="BU23" i="29"/>
  <c r="BR35" i="29"/>
  <c r="BL15" i="29"/>
  <c r="BL29" i="29"/>
  <c r="BT19" i="29"/>
  <c r="BW27" i="29"/>
  <c r="BL31" i="29"/>
  <c r="CD35" i="29"/>
  <c r="BT35" i="29"/>
  <c r="CD8" i="29"/>
  <c r="BS11" i="29"/>
  <c r="CD13" i="29"/>
  <c r="CD17" i="29"/>
  <c r="CD21" i="29"/>
  <c r="BL25" i="29"/>
  <c r="BS27" i="29"/>
  <c r="BU29" i="29"/>
  <c r="BU31" i="29"/>
  <c r="BL35" i="29"/>
  <c r="CB35" i="29" s="1"/>
  <c r="BW35" i="29"/>
  <c r="BU35" i="29"/>
  <c r="BL30" i="29"/>
  <c r="CD12" i="29"/>
  <c r="CD14" i="29"/>
  <c r="CD16" i="29"/>
  <c r="CD18" i="29"/>
  <c r="CD20" i="29"/>
  <c r="CD22" i="29"/>
  <c r="BL24" i="29"/>
  <c r="BL26" i="29"/>
  <c r="BL32" i="29"/>
  <c r="BL10" i="29"/>
  <c r="BY10" i="29" s="1"/>
  <c r="BL28" i="29"/>
  <c r="CA28" i="29" s="1"/>
  <c r="BS30" i="29"/>
  <c r="BS32" i="29"/>
  <c r="BS34" i="29"/>
  <c r="BL8" i="29"/>
  <c r="BV11" i="29"/>
  <c r="BV13" i="29"/>
  <c r="CD15" i="29"/>
  <c r="BV17" i="29"/>
  <c r="CD19" i="29"/>
  <c r="BT21" i="29"/>
  <c r="BL23" i="29"/>
  <c r="CA23" i="29" s="1"/>
  <c r="BU25" i="29"/>
  <c r="BL27" i="29"/>
  <c r="CA27" i="29" s="1"/>
  <c r="BU27" i="29"/>
  <c r="BW29" i="29"/>
  <c r="BT29" i="29"/>
  <c r="BW31" i="29"/>
  <c r="BT31" i="29"/>
  <c r="BU10" i="29"/>
  <c r="BR12" i="29"/>
  <c r="BV14" i="29"/>
  <c r="BR16" i="29"/>
  <c r="BV18" i="29"/>
  <c r="BL20" i="29"/>
  <c r="BZ20" i="29" s="1"/>
  <c r="BU22" i="29"/>
  <c r="BS24" i="29"/>
  <c r="BS26" i="29"/>
  <c r="BS28" i="29"/>
  <c r="BW30" i="29"/>
  <c r="BU30" i="29"/>
  <c r="BW32" i="29"/>
  <c r="BR32" i="29"/>
  <c r="BW34" i="29"/>
  <c r="BR34" i="29"/>
  <c r="BL33" i="29"/>
  <c r="BW33" i="29"/>
  <c r="BU33" i="29"/>
  <c r="BS33" i="29"/>
  <c r="BR8" i="29"/>
  <c r="BU8" i="29"/>
  <c r="BW11" i="29"/>
  <c r="BT11" i="29"/>
  <c r="BR13" i="29"/>
  <c r="BU13" i="29"/>
  <c r="BR15" i="29"/>
  <c r="BU15" i="29"/>
  <c r="BR17" i="29"/>
  <c r="BU17" i="29"/>
  <c r="BR19" i="29"/>
  <c r="BV19" i="29"/>
  <c r="BL21" i="29"/>
  <c r="BU21" i="29"/>
  <c r="BW23" i="29"/>
  <c r="BT23" i="29"/>
  <c r="BW25" i="29"/>
  <c r="BS25" i="29"/>
  <c r="CD27" i="29"/>
  <c r="BR27" i="29"/>
  <c r="BT27" i="29"/>
  <c r="CD29" i="29"/>
  <c r="BR29" i="29"/>
  <c r="BV29" i="29"/>
  <c r="CD31" i="29"/>
  <c r="BR31" i="29"/>
  <c r="BV31" i="29"/>
  <c r="CD33" i="29"/>
  <c r="BR33" i="29"/>
  <c r="BT33" i="29"/>
  <c r="BW10" i="29"/>
  <c r="BR10" i="29"/>
  <c r="BU12" i="29"/>
  <c r="BV12" i="29"/>
  <c r="BT14" i="29"/>
  <c r="BS14" i="29"/>
  <c r="BU16" i="29"/>
  <c r="BV16" i="29"/>
  <c r="BT18" i="29"/>
  <c r="BS18" i="29"/>
  <c r="BU20" i="29"/>
  <c r="BT20" i="29"/>
  <c r="BW22" i="29"/>
  <c r="BR22" i="29"/>
  <c r="BW24" i="29"/>
  <c r="BR24" i="29"/>
  <c r="BW26" i="29"/>
  <c r="BR26" i="29"/>
  <c r="BW28" i="29"/>
  <c r="BU28" i="29"/>
  <c r="CD30" i="29"/>
  <c r="BT30" i="29"/>
  <c r="BR30" i="29"/>
  <c r="CD32" i="29"/>
  <c r="BT32" i="29"/>
  <c r="BV32" i="29"/>
  <c r="CD34" i="29"/>
  <c r="BT34" i="29"/>
  <c r="BV34" i="29"/>
  <c r="BW8" i="29"/>
  <c r="BS8" i="29"/>
  <c r="BT8" i="29"/>
  <c r="CD11" i="29"/>
  <c r="BR11" i="29"/>
  <c r="BL11" i="29"/>
  <c r="BY11" i="29" s="1"/>
  <c r="BW13" i="29"/>
  <c r="BT13" i="29"/>
  <c r="BL13" i="29"/>
  <c r="BY13" i="29" s="1"/>
  <c r="BW15" i="29"/>
  <c r="BS15" i="29"/>
  <c r="BT15" i="29"/>
  <c r="BW17" i="29"/>
  <c r="BT17" i="29"/>
  <c r="BL17" i="29"/>
  <c r="BZ17" i="29" s="1"/>
  <c r="BW19" i="29"/>
  <c r="BS19" i="29"/>
  <c r="BU19" i="29"/>
  <c r="BW21" i="29"/>
  <c r="BR21" i="29"/>
  <c r="BS21" i="29"/>
  <c r="CD23" i="29"/>
  <c r="BR23" i="29"/>
  <c r="BV23" i="29"/>
  <c r="CD25" i="29"/>
  <c r="BR25" i="29"/>
  <c r="BT25" i="29"/>
  <c r="CD10" i="29"/>
  <c r="BT10" i="29"/>
  <c r="BV10" i="29"/>
  <c r="BW12" i="29"/>
  <c r="BS12" i="29"/>
  <c r="BT12" i="29"/>
  <c r="BW14" i="29"/>
  <c r="BU14" i="29"/>
  <c r="BR14" i="29"/>
  <c r="BW16" i="29"/>
  <c r="BS16" i="29"/>
  <c r="BT16" i="29"/>
  <c r="BW18" i="29"/>
  <c r="BU18" i="29"/>
  <c r="BR18" i="29"/>
  <c r="BW20" i="29"/>
  <c r="BV20" i="29"/>
  <c r="BR20" i="29"/>
  <c r="BL22" i="29"/>
  <c r="BT22" i="29"/>
  <c r="BV22" i="29"/>
  <c r="CD24" i="29"/>
  <c r="BT24" i="29"/>
  <c r="BV24" i="29"/>
  <c r="CD26" i="29"/>
  <c r="BT26" i="29"/>
  <c r="BV26" i="29"/>
  <c r="CD28" i="29"/>
  <c r="BT28" i="29"/>
  <c r="BR28" i="29"/>
  <c r="E44" i="11"/>
  <c r="O117" i="44"/>
  <c r="CD9" i="29"/>
  <c r="BR9" i="29"/>
  <c r="BT9" i="29"/>
  <c r="BV9" i="29"/>
  <c r="R37" i="29"/>
  <c r="BW9" i="29"/>
  <c r="BU9" i="29"/>
  <c r="BS9" i="29"/>
  <c r="M37" i="29"/>
  <c r="N37" i="29"/>
  <c r="Q37" i="29"/>
  <c r="O37" i="29"/>
  <c r="P37" i="29"/>
  <c r="H38" i="29"/>
  <c r="BV36" i="29"/>
  <c r="BU36" i="29"/>
  <c r="BR36" i="29"/>
  <c r="BS36" i="29"/>
  <c r="BT36" i="29"/>
  <c r="BW36" i="29"/>
  <c r="CD36" i="29"/>
  <c r="BL36" i="29"/>
  <c r="BS37" i="29"/>
  <c r="BT37" i="29"/>
  <c r="BV37" i="29"/>
  <c r="BU37" i="29"/>
  <c r="BR37" i="29"/>
  <c r="BW37" i="29"/>
  <c r="CD37" i="29"/>
  <c r="BL37" i="29"/>
  <c r="CB37" i="29" s="1"/>
  <c r="BP7" i="29"/>
  <c r="BO7" i="29"/>
  <c r="K7" i="29"/>
  <c r="J7" i="29"/>
  <c r="M9" i="29"/>
  <c r="M7" i="29"/>
  <c r="M17" i="29"/>
  <c r="N7" i="29"/>
  <c r="Q18" i="29"/>
  <c r="R7" i="29"/>
  <c r="G7" i="29"/>
  <c r="BQ7" i="29"/>
  <c r="BL7" i="29"/>
  <c r="Q7" i="29"/>
  <c r="O7" i="29"/>
  <c r="Q14" i="29"/>
  <c r="O8" i="29"/>
  <c r="O16" i="29"/>
  <c r="BN38" i="29"/>
  <c r="CC39" i="29" s="1"/>
  <c r="BS7" i="29"/>
  <c r="BR7" i="29"/>
  <c r="BV7" i="29"/>
  <c r="BU7" i="29"/>
  <c r="BT7" i="29"/>
  <c r="BW7" i="29"/>
  <c r="CD7" i="29"/>
  <c r="G15" i="29"/>
  <c r="P15" i="29"/>
  <c r="O12" i="29"/>
  <c r="Y19" i="29"/>
  <c r="Y8" i="29"/>
  <c r="G14" i="29"/>
  <c r="G16" i="29"/>
  <c r="G18" i="29"/>
  <c r="O15" i="29"/>
  <c r="Q12" i="29"/>
  <c r="Q19" i="29"/>
  <c r="N9" i="29"/>
  <c r="P17" i="29"/>
  <c r="M15" i="29"/>
  <c r="G12" i="29"/>
  <c r="M12" i="29"/>
  <c r="R19" i="29"/>
  <c r="N19" i="29"/>
  <c r="Y9" i="29"/>
  <c r="P9" i="29"/>
  <c r="Y17" i="29"/>
  <c r="O17" i="29"/>
  <c r="N15" i="29"/>
  <c r="R15" i="29"/>
  <c r="Q15" i="29"/>
  <c r="P12" i="29"/>
  <c r="R12" i="29"/>
  <c r="N12" i="29"/>
  <c r="G19" i="29"/>
  <c r="P19" i="29"/>
  <c r="O19" i="29"/>
  <c r="G9" i="29"/>
  <c r="R9" i="29"/>
  <c r="Q9" i="29"/>
  <c r="G17" i="29"/>
  <c r="R17" i="29"/>
  <c r="Q17" i="29"/>
  <c r="J10" i="29"/>
  <c r="L14" i="29"/>
  <c r="BQ20" i="29"/>
  <c r="BP20" i="29"/>
  <c r="BO20" i="29"/>
  <c r="BP34" i="29"/>
  <c r="BQ34" i="29"/>
  <c r="BO34" i="29"/>
  <c r="J9" i="29"/>
  <c r="L11" i="29"/>
  <c r="BP13" i="29"/>
  <c r="BQ13" i="29"/>
  <c r="BO13" i="29"/>
  <c r="J15" i="29"/>
  <c r="K17" i="29"/>
  <c r="J19" i="29"/>
  <c r="BP21" i="29"/>
  <c r="BQ21" i="29"/>
  <c r="BO21" i="29"/>
  <c r="BP26" i="29"/>
  <c r="BQ26" i="29"/>
  <c r="BO26" i="29"/>
  <c r="BP36" i="29"/>
  <c r="BO36" i="29"/>
  <c r="BQ36" i="29"/>
  <c r="BP30" i="29"/>
  <c r="BQ30" i="29"/>
  <c r="BO30" i="29"/>
  <c r="BP25" i="29"/>
  <c r="BO25" i="29"/>
  <c r="BQ25" i="29"/>
  <c r="BP28" i="29"/>
  <c r="BO28" i="29"/>
  <c r="BQ28" i="29"/>
  <c r="BP31" i="29"/>
  <c r="BO31" i="29"/>
  <c r="BQ31" i="29"/>
  <c r="K37" i="29"/>
  <c r="J8" i="29"/>
  <c r="J12" i="29"/>
  <c r="K16" i="29"/>
  <c r="L18" i="29"/>
  <c r="BP22" i="29"/>
  <c r="BQ22" i="29"/>
  <c r="BO22" i="29"/>
  <c r="K32" i="29"/>
  <c r="BQ24" i="29"/>
  <c r="BP24" i="29"/>
  <c r="BO24" i="29"/>
  <c r="BO23" i="29"/>
  <c r="BP23" i="29"/>
  <c r="BQ23" i="29"/>
  <c r="BO27" i="29"/>
  <c r="BP27" i="29"/>
  <c r="BQ27" i="29"/>
  <c r="J29" i="29"/>
  <c r="BP33" i="29"/>
  <c r="BO33" i="29"/>
  <c r="BQ33" i="29"/>
  <c r="L35" i="29"/>
  <c r="M8" i="29"/>
  <c r="R8" i="29"/>
  <c r="Q10" i="29"/>
  <c r="N10" i="29"/>
  <c r="Y10" i="29"/>
  <c r="M14" i="29"/>
  <c r="O14" i="29"/>
  <c r="M16" i="29"/>
  <c r="Q16" i="29"/>
  <c r="M18" i="29"/>
  <c r="O18" i="29"/>
  <c r="N8" i="29"/>
  <c r="Q8" i="29"/>
  <c r="P10" i="29"/>
  <c r="M10" i="29"/>
  <c r="R10" i="29"/>
  <c r="G8" i="29"/>
  <c r="Y14" i="29"/>
  <c r="N14" i="29"/>
  <c r="P14" i="29"/>
  <c r="Y16" i="29"/>
  <c r="N16" i="29"/>
  <c r="P16" i="29"/>
  <c r="Y18" i="29"/>
  <c r="N18" i="29"/>
  <c r="P18" i="29"/>
  <c r="M11" i="29"/>
  <c r="N11" i="29"/>
  <c r="O11" i="29"/>
  <c r="Q11" i="29"/>
  <c r="P11" i="29"/>
  <c r="R11" i="29"/>
  <c r="Y11" i="29"/>
  <c r="G11" i="29"/>
  <c r="L22" i="29"/>
  <c r="J34" i="29"/>
  <c r="K28" i="29"/>
  <c r="K27" i="29"/>
  <c r="L33" i="29"/>
  <c r="L36" i="29"/>
  <c r="K31" i="29"/>
  <c r="K24" i="29"/>
  <c r="K21" i="29"/>
  <c r="J23" i="29"/>
  <c r="J37" i="29"/>
  <c r="L37" i="29"/>
  <c r="K35" i="29"/>
  <c r="J35" i="29"/>
  <c r="J30" i="29"/>
  <c r="G13" i="29"/>
  <c r="G36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K33" i="29"/>
  <c r="K13" i="29"/>
  <c r="L25" i="29"/>
  <c r="J31" i="29"/>
  <c r="K36" i="29"/>
  <c r="J33" i="29"/>
  <c r="J11" i="29"/>
  <c r="L31" i="29"/>
  <c r="L29" i="29"/>
  <c r="L27" i="29"/>
  <c r="K29" i="29"/>
  <c r="J25" i="29"/>
  <c r="L28" i="29"/>
  <c r="J28" i="29"/>
  <c r="L23" i="29"/>
  <c r="J27" i="29"/>
  <c r="K25" i="29"/>
  <c r="J26" i="29"/>
  <c r="K23" i="29"/>
  <c r="K20" i="29"/>
  <c r="L16" i="29"/>
  <c r="J14" i="29"/>
  <c r="J20" i="29"/>
  <c r="J13" i="29"/>
  <c r="K15" i="29"/>
  <c r="L17" i="29"/>
  <c r="J22" i="29"/>
  <c r="K30" i="29"/>
  <c r="L32" i="29"/>
  <c r="L19" i="29"/>
  <c r="J21" i="29"/>
  <c r="J16" i="29"/>
  <c r="J18" i="29"/>
  <c r="L20" i="29"/>
  <c r="J36" i="29"/>
  <c r="L13" i="29"/>
  <c r="L15" i="29"/>
  <c r="J17" i="29"/>
  <c r="K19" i="29"/>
  <c r="L21" i="29"/>
  <c r="L24" i="29"/>
  <c r="K26" i="29"/>
  <c r="K14" i="29"/>
  <c r="K18" i="29"/>
  <c r="K22" i="29"/>
  <c r="L30" i="29"/>
  <c r="J32" i="29"/>
  <c r="K34" i="29"/>
  <c r="J24" i="29"/>
  <c r="L26" i="29"/>
  <c r="L34" i="29"/>
  <c r="R36" i="29"/>
  <c r="Q36" i="29"/>
  <c r="M36" i="29"/>
  <c r="P36" i="29"/>
  <c r="N36" i="29"/>
  <c r="O36" i="29"/>
  <c r="R20" i="29"/>
  <c r="Q20" i="29"/>
  <c r="P20" i="29"/>
  <c r="O20" i="29"/>
  <c r="N20" i="29"/>
  <c r="M20" i="29"/>
  <c r="M21" i="29"/>
  <c r="N21" i="29"/>
  <c r="O21" i="29"/>
  <c r="Q21" i="29"/>
  <c r="P21" i="29"/>
  <c r="R21" i="29"/>
  <c r="R22" i="29"/>
  <c r="O22" i="29"/>
  <c r="P22" i="29"/>
  <c r="Q22" i="29"/>
  <c r="N22" i="29"/>
  <c r="M22" i="29"/>
  <c r="Q23" i="29"/>
  <c r="P23" i="29"/>
  <c r="M23" i="29"/>
  <c r="N23" i="29"/>
  <c r="O23" i="29"/>
  <c r="R23" i="29"/>
  <c r="Q24" i="29"/>
  <c r="N24" i="29"/>
  <c r="R24" i="29"/>
  <c r="P24" i="29"/>
  <c r="M24" i="29"/>
  <c r="O24" i="29"/>
  <c r="P25" i="29"/>
  <c r="M25" i="29"/>
  <c r="O25" i="29"/>
  <c r="R25" i="29"/>
  <c r="N25" i="29"/>
  <c r="Q25" i="29"/>
  <c r="P26" i="29"/>
  <c r="M26" i="29"/>
  <c r="O26" i="29"/>
  <c r="R26" i="29"/>
  <c r="Q26" i="29"/>
  <c r="N26" i="29"/>
  <c r="M27" i="29"/>
  <c r="N27" i="29"/>
  <c r="P27" i="29"/>
  <c r="Q27" i="29"/>
  <c r="O27" i="29"/>
  <c r="R27" i="29"/>
  <c r="R28" i="29"/>
  <c r="Q28" i="29"/>
  <c r="M28" i="29"/>
  <c r="P28" i="29"/>
  <c r="N28" i="29"/>
  <c r="O28" i="29"/>
  <c r="P29" i="29"/>
  <c r="M29" i="29"/>
  <c r="O29" i="29"/>
  <c r="R29" i="29"/>
  <c r="N29" i="29"/>
  <c r="Q29" i="29"/>
  <c r="P30" i="29"/>
  <c r="M30" i="29"/>
  <c r="O30" i="29"/>
  <c r="R30" i="29"/>
  <c r="Q30" i="29"/>
  <c r="N30" i="29"/>
  <c r="M31" i="29"/>
  <c r="N31" i="29"/>
  <c r="P31" i="29"/>
  <c r="Q31" i="29"/>
  <c r="O31" i="29"/>
  <c r="R31" i="29"/>
  <c r="R32" i="29"/>
  <c r="Q32" i="29"/>
  <c r="M32" i="29"/>
  <c r="P32" i="29"/>
  <c r="N32" i="29"/>
  <c r="O32" i="29"/>
  <c r="P33" i="29"/>
  <c r="M33" i="29"/>
  <c r="O33" i="29"/>
  <c r="R33" i="29"/>
  <c r="N33" i="29"/>
  <c r="Q33" i="29"/>
  <c r="P34" i="29"/>
  <c r="M34" i="29"/>
  <c r="O34" i="29"/>
  <c r="R34" i="29"/>
  <c r="Q34" i="29"/>
  <c r="N34" i="29"/>
  <c r="M35" i="29"/>
  <c r="N35" i="29"/>
  <c r="P35" i="29"/>
  <c r="Q35" i="29"/>
  <c r="O35" i="29"/>
  <c r="R35" i="29"/>
  <c r="E39" i="6"/>
  <c r="Q13" i="29"/>
  <c r="P13" i="29"/>
  <c r="I38" i="29"/>
  <c r="M13" i="29"/>
  <c r="N13" i="29"/>
  <c r="O13" i="29"/>
  <c r="R13" i="29"/>
  <c r="L9" i="29"/>
  <c r="K11" i="29"/>
  <c r="K9" i="29"/>
  <c r="L10" i="29"/>
  <c r="L12" i="29"/>
  <c r="L8" i="29"/>
  <c r="K10" i="29"/>
  <c r="K12" i="29"/>
  <c r="K8" i="29"/>
  <c r="BO137" i="24"/>
  <c r="LP88" i="24"/>
  <c r="BQ137" i="24"/>
  <c r="LR88" i="24"/>
  <c r="BU137" i="24"/>
  <c r="LV88" i="24"/>
  <c r="BN137" i="24"/>
  <c r="LO88" i="24"/>
  <c r="BM137" i="24"/>
  <c r="LN88" i="24"/>
  <c r="BW137" i="24"/>
  <c r="LX88" i="24"/>
  <c r="BS137" i="24"/>
  <c r="LT88" i="24"/>
  <c r="BJ137" i="24"/>
  <c r="LK88" i="24"/>
  <c r="BP137" i="24"/>
  <c r="LQ88" i="24"/>
  <c r="BH137" i="24"/>
  <c r="E32" i="31" s="1"/>
  <c r="H32" i="31" s="1"/>
  <c r="K32" i="31" s="1"/>
  <c r="LI88" i="24"/>
  <c r="BL137" i="24"/>
  <c r="LM88" i="24"/>
  <c r="LY88" i="24"/>
  <c r="BX137" i="24"/>
  <c r="BK137" i="24"/>
  <c r="LL88" i="24"/>
  <c r="BY137" i="24"/>
  <c r="LZ88" i="24"/>
  <c r="BR137" i="24"/>
  <c r="LS88" i="24"/>
  <c r="LU88" i="24"/>
  <c r="BT137" i="24"/>
  <c r="LJ91" i="24"/>
  <c r="LJ124" i="24" s="1"/>
  <c r="KT91" i="24"/>
  <c r="KT124" i="24" s="1"/>
  <c r="I39" i="6"/>
  <c r="G44" i="11"/>
  <c r="H44" i="11"/>
  <c r="F44" i="11"/>
  <c r="DH112" i="24"/>
  <c r="DI111" i="24"/>
  <c r="EK112" i="24"/>
  <c r="EL111" i="24"/>
  <c r="GQ112" i="24"/>
  <c r="GR111" i="24"/>
  <c r="HT112" i="24"/>
  <c r="HU111" i="24"/>
  <c r="IW112" i="24"/>
  <c r="IX111" i="24"/>
  <c r="LC112" i="24"/>
  <c r="LD111" i="24"/>
  <c r="NI112" i="24"/>
  <c r="NJ111" i="24"/>
  <c r="BB112" i="24"/>
  <c r="BC111" i="24"/>
  <c r="CE112" i="24"/>
  <c r="CF111" i="24"/>
  <c r="FN112" i="24"/>
  <c r="FO111" i="24"/>
  <c r="MF112" i="24"/>
  <c r="MG111" i="24"/>
  <c r="JZ112" i="24"/>
  <c r="KA111" i="24"/>
  <c r="C40" i="28"/>
  <c r="D39" i="28"/>
  <c r="C27" i="27"/>
  <c r="D26" i="27"/>
  <c r="C22" i="18"/>
  <c r="D21" i="18"/>
  <c r="BQ40" i="12"/>
  <c r="BQ78" i="12"/>
  <c r="BQ115" i="12"/>
  <c r="BQ188" i="12"/>
  <c r="BQ226" i="12"/>
  <c r="BQ263" i="12"/>
  <c r="BP40" i="12"/>
  <c r="BP78" i="12"/>
  <c r="BP115" i="12"/>
  <c r="BO78" i="12"/>
  <c r="BO115" i="12"/>
  <c r="BO188" i="12"/>
  <c r="BO226" i="12"/>
  <c r="BO263" i="12"/>
  <c r="BN40" i="12"/>
  <c r="BN78" i="12"/>
  <c r="BN115" i="12"/>
  <c r="BN188" i="12"/>
  <c r="BN226" i="12"/>
  <c r="BN263" i="12"/>
  <c r="BM40" i="12"/>
  <c r="BM78" i="12"/>
  <c r="BM115" i="12"/>
  <c r="BM188" i="12"/>
  <c r="BM226" i="12"/>
  <c r="BM263" i="12"/>
  <c r="BL40" i="12"/>
  <c r="BL78" i="12"/>
  <c r="BL115" i="12"/>
  <c r="BL188" i="12"/>
  <c r="BL226" i="12"/>
  <c r="BL263" i="12"/>
  <c r="BK40" i="12"/>
  <c r="BK78" i="12"/>
  <c r="BK115" i="12"/>
  <c r="BK188" i="12"/>
  <c r="BK226" i="12"/>
  <c r="BK263" i="12"/>
  <c r="BJ40" i="12"/>
  <c r="BJ78" i="12"/>
  <c r="BJ115" i="12"/>
  <c r="BJ188" i="12"/>
  <c r="BJ226" i="12"/>
  <c r="BJ263" i="12"/>
  <c r="BI40" i="12"/>
  <c r="BI78" i="12"/>
  <c r="BI115" i="12"/>
  <c r="BI188" i="12"/>
  <c r="BI226" i="12"/>
  <c r="BI263" i="12"/>
  <c r="BH40" i="12"/>
  <c r="BH78" i="12"/>
  <c r="BH115" i="12"/>
  <c r="BH188" i="12"/>
  <c r="BH226" i="12"/>
  <c r="BH263" i="12"/>
  <c r="BG40" i="12"/>
  <c r="BG78" i="12"/>
  <c r="BG115" i="12"/>
  <c r="BG188" i="12"/>
  <c r="BG226" i="12"/>
  <c r="BG263" i="12"/>
  <c r="CB72" i="29" l="1"/>
  <c r="CC72" i="29" s="1"/>
  <c r="CF72" i="29" s="1"/>
  <c r="CA65" i="29"/>
  <c r="CC65" i="29" s="1"/>
  <c r="CF65" i="29" s="1"/>
  <c r="BZ58" i="29"/>
  <c r="CC58" i="29" s="1"/>
  <c r="CF58" i="29" s="1"/>
  <c r="CF61" i="29"/>
  <c r="BY47" i="29"/>
  <c r="CC47" i="29" s="1"/>
  <c r="CF47" i="29" s="1"/>
  <c r="BY54" i="29"/>
  <c r="CC54" i="29" s="1"/>
  <c r="CF54" i="29" s="1"/>
  <c r="BZ56" i="29"/>
  <c r="CC56" i="29" s="1"/>
  <c r="CF56" i="29" s="1"/>
  <c r="BY49" i="29"/>
  <c r="CC49" i="29" s="1"/>
  <c r="CF49" i="29" s="1"/>
  <c r="CA70" i="29"/>
  <c r="CC70" i="29" s="1"/>
  <c r="CF70" i="29" s="1"/>
  <c r="BZ59" i="29"/>
  <c r="CC59" i="29" s="1"/>
  <c r="CF59" i="29" s="1"/>
  <c r="CA66" i="29"/>
  <c r="CC66" i="29" s="1"/>
  <c r="CF66" i="29" s="1"/>
  <c r="BY52" i="29"/>
  <c r="CC52" i="29" s="1"/>
  <c r="CF52" i="29" s="1"/>
  <c r="CB73" i="29"/>
  <c r="CC73" i="29" s="1"/>
  <c r="CF73" i="29" s="1"/>
  <c r="CB76" i="29"/>
  <c r="CC76" i="29" s="1"/>
  <c r="CF76" i="29" s="1"/>
  <c r="BY48" i="29"/>
  <c r="CA69" i="29"/>
  <c r="CC69" i="29" s="1"/>
  <c r="CF69" i="29" s="1"/>
  <c r="BZ55" i="29"/>
  <c r="BZ62" i="29"/>
  <c r="CC62" i="29" s="1"/>
  <c r="CF62" i="29" s="1"/>
  <c r="CA64" i="29"/>
  <c r="CC64" i="29" s="1"/>
  <c r="CF64" i="29" s="1"/>
  <c r="CB71" i="29"/>
  <c r="CC71" i="29" s="1"/>
  <c r="CF71" i="29" s="1"/>
  <c r="BX78" i="29"/>
  <c r="CX63" i="24"/>
  <c r="M18" i="31" s="1"/>
  <c r="CE38" i="29"/>
  <c r="G12" i="19" s="1"/>
  <c r="G21" i="19" s="1"/>
  <c r="I21" i="19" s="1"/>
  <c r="G27" i="27"/>
  <c r="K27" i="27"/>
  <c r="T27" i="27" s="1"/>
  <c r="Z38" i="29"/>
  <c r="Y38" i="29"/>
  <c r="K7" i="5"/>
  <c r="M6" i="31"/>
  <c r="K9" i="5"/>
  <c r="L42" i="31"/>
  <c r="E9" i="34"/>
  <c r="E11" i="34" s="1"/>
  <c r="J39" i="6"/>
  <c r="O118" i="44"/>
  <c r="BR38" i="29"/>
  <c r="BW38" i="29"/>
  <c r="BU38" i="29"/>
  <c r="BT38" i="29"/>
  <c r="BV38" i="29"/>
  <c r="BS38" i="29"/>
  <c r="BL38" i="29"/>
  <c r="CB34" i="29" s="1"/>
  <c r="S7" i="29"/>
  <c r="G38" i="29"/>
  <c r="BX7" i="29"/>
  <c r="S17" i="29"/>
  <c r="S9" i="29"/>
  <c r="BX34" i="29"/>
  <c r="BX22" i="29"/>
  <c r="BX30" i="29"/>
  <c r="BX36" i="29"/>
  <c r="BX26" i="29"/>
  <c r="BP35" i="29"/>
  <c r="BO35" i="29"/>
  <c r="BQ35" i="29"/>
  <c r="BX23" i="29"/>
  <c r="BP32" i="29"/>
  <c r="BO32" i="29"/>
  <c r="BQ32" i="29"/>
  <c r="BX33" i="29"/>
  <c r="BP29" i="29"/>
  <c r="BO29" i="29"/>
  <c r="BQ29" i="29"/>
  <c r="BX27" i="29"/>
  <c r="BX24" i="29"/>
  <c r="BP18" i="29"/>
  <c r="BQ18" i="29"/>
  <c r="BO18" i="29"/>
  <c r="BQ16" i="29"/>
  <c r="BP16" i="29"/>
  <c r="BO16" i="29"/>
  <c r="BQ12" i="29"/>
  <c r="BP12" i="29"/>
  <c r="BO12" i="29"/>
  <c r="BQ8" i="29"/>
  <c r="BP8" i="29"/>
  <c r="BO8" i="29"/>
  <c r="BP37" i="29"/>
  <c r="BO37" i="29"/>
  <c r="BQ37" i="29"/>
  <c r="BX31" i="29"/>
  <c r="BX28" i="29"/>
  <c r="BX25" i="29"/>
  <c r="BX21" i="29"/>
  <c r="BP11" i="29"/>
  <c r="BQ11" i="29"/>
  <c r="BO11" i="29"/>
  <c r="BP9" i="29"/>
  <c r="BQ9" i="29"/>
  <c r="BO9" i="29"/>
  <c r="BP14" i="29"/>
  <c r="BQ14" i="29"/>
  <c r="BO14" i="29"/>
  <c r="BP10" i="29"/>
  <c r="BQ10" i="29"/>
  <c r="BO10" i="29"/>
  <c r="BP19" i="29"/>
  <c r="BQ19" i="29"/>
  <c r="BO19" i="29"/>
  <c r="BP17" i="29"/>
  <c r="BQ17" i="29"/>
  <c r="BO17" i="29"/>
  <c r="BP15" i="29"/>
  <c r="BQ15" i="29"/>
  <c r="BO15" i="29"/>
  <c r="BX13" i="29"/>
  <c r="BX20" i="29"/>
  <c r="BF226" i="12"/>
  <c r="BF115" i="12"/>
  <c r="BF40" i="12"/>
  <c r="BF263" i="12"/>
  <c r="BF188" i="12"/>
  <c r="BF78" i="12"/>
  <c r="AA38" i="29"/>
  <c r="S37" i="29"/>
  <c r="X43" i="29"/>
  <c r="S15" i="29"/>
  <c r="S11" i="29"/>
  <c r="S35" i="29"/>
  <c r="S23" i="29"/>
  <c r="S16" i="29"/>
  <c r="S14" i="29"/>
  <c r="S20" i="29"/>
  <c r="R38" i="29"/>
  <c r="N38" i="29"/>
  <c r="Q38" i="29"/>
  <c r="S28" i="29"/>
  <c r="S27" i="29"/>
  <c r="S36" i="29"/>
  <c r="S32" i="29"/>
  <c r="S22" i="29"/>
  <c r="S19" i="29"/>
  <c r="S18" i="29"/>
  <c r="J38" i="29"/>
  <c r="S30" i="29"/>
  <c r="S34" i="29"/>
  <c r="S33" i="29"/>
  <c r="S31" i="29"/>
  <c r="S29" i="29"/>
  <c r="S26" i="29"/>
  <c r="S25" i="29"/>
  <c r="S24" i="29"/>
  <c r="S21" i="29"/>
  <c r="O38" i="29"/>
  <c r="M38" i="29"/>
  <c r="P38" i="29"/>
  <c r="S12" i="29"/>
  <c r="S13" i="29"/>
  <c r="L38" i="29"/>
  <c r="S10" i="29"/>
  <c r="K38" i="29"/>
  <c r="S8" i="29"/>
  <c r="LS91" i="24"/>
  <c r="LS124" i="24" s="1"/>
  <c r="LZ91" i="24"/>
  <c r="LZ124" i="24" s="1"/>
  <c r="LL91" i="24"/>
  <c r="LL124" i="24" s="1"/>
  <c r="LM91" i="24"/>
  <c r="LM124" i="24" s="1"/>
  <c r="LI91" i="24"/>
  <c r="LI124" i="24" s="1"/>
  <c r="LQ91" i="24"/>
  <c r="LQ124" i="24" s="1"/>
  <c r="LK91" i="24"/>
  <c r="LK124" i="24" s="1"/>
  <c r="LT91" i="24"/>
  <c r="LT124" i="24" s="1"/>
  <c r="LX91" i="24"/>
  <c r="LX124" i="24" s="1"/>
  <c r="LN91" i="24"/>
  <c r="LN124" i="24" s="1"/>
  <c r="LO91" i="24"/>
  <c r="LO124" i="24" s="1"/>
  <c r="LV91" i="24"/>
  <c r="LV124" i="24" s="1"/>
  <c r="LR91" i="24"/>
  <c r="LR124" i="24" s="1"/>
  <c r="LP91" i="24"/>
  <c r="LP124" i="24" s="1"/>
  <c r="BV137" i="24"/>
  <c r="LW88" i="24"/>
  <c r="BI138" i="24"/>
  <c r="D17" i="25" s="1"/>
  <c r="MM88" i="24"/>
  <c r="LU91" i="24"/>
  <c r="LU124" i="24" s="1"/>
  <c r="LY91" i="24"/>
  <c r="LY124" i="24" s="1"/>
  <c r="JZ113" i="24"/>
  <c r="KA112" i="24"/>
  <c r="MF113" i="24"/>
  <c r="MG112" i="24"/>
  <c r="FN113" i="24"/>
  <c r="FO112" i="24"/>
  <c r="CE113" i="24"/>
  <c r="CF112" i="24"/>
  <c r="BB113" i="24"/>
  <c r="BC112" i="24"/>
  <c r="NI113" i="24"/>
  <c r="NJ112" i="24"/>
  <c r="LC113" i="24"/>
  <c r="LD112" i="24"/>
  <c r="IW113" i="24"/>
  <c r="IX112" i="24"/>
  <c r="HT113" i="24"/>
  <c r="HU112" i="24"/>
  <c r="GQ113" i="24"/>
  <c r="GR112" i="24"/>
  <c r="EK113" i="24"/>
  <c r="EL112" i="24"/>
  <c r="DH113" i="24"/>
  <c r="DI112" i="24"/>
  <c r="C41" i="28"/>
  <c r="D40" i="28"/>
  <c r="C28" i="27"/>
  <c r="D27" i="27"/>
  <c r="C23" i="18"/>
  <c r="D22" i="18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CA25" i="29" l="1"/>
  <c r="CB32" i="29"/>
  <c r="BZ18" i="29"/>
  <c r="BY14" i="29"/>
  <c r="BZ21" i="29"/>
  <c r="BY7" i="29"/>
  <c r="BZ16" i="29"/>
  <c r="BY9" i="29"/>
  <c r="CA30" i="29"/>
  <c r="CB33" i="29"/>
  <c r="BY12" i="29"/>
  <c r="BZ19" i="29"/>
  <c r="CA26" i="29"/>
  <c r="BY8" i="29"/>
  <c r="CC55" i="29"/>
  <c r="CF55" i="29" s="1"/>
  <c r="BZ78" i="29"/>
  <c r="CC48" i="29"/>
  <c r="CF48" i="29" s="1"/>
  <c r="BY78" i="29"/>
  <c r="CB31" i="29"/>
  <c r="CA24" i="29"/>
  <c r="CA78" i="29"/>
  <c r="CA29" i="29"/>
  <c r="BZ22" i="29"/>
  <c r="CB36" i="29"/>
  <c r="BZ15" i="29"/>
  <c r="CC27" i="29"/>
  <c r="CF27" i="29" s="1"/>
  <c r="Q20" i="19"/>
  <c r="G28" i="27"/>
  <c r="K28" i="27"/>
  <c r="T28" i="27" s="1"/>
  <c r="CC35" i="29"/>
  <c r="G17" i="25"/>
  <c r="I17" i="25" s="1"/>
  <c r="M40" i="31"/>
  <c r="F9" i="34"/>
  <c r="F11" i="34" s="1"/>
  <c r="M52" i="31"/>
  <c r="S38" i="29"/>
  <c r="O119" i="44"/>
  <c r="CD38" i="29"/>
  <c r="CF38" i="29"/>
  <c r="BP38" i="29"/>
  <c r="BX17" i="29"/>
  <c r="BX10" i="29"/>
  <c r="BX9" i="29"/>
  <c r="BQ38" i="29"/>
  <c r="BX12" i="29"/>
  <c r="BX18" i="29"/>
  <c r="BX29" i="29"/>
  <c r="BX32" i="29"/>
  <c r="BX15" i="29"/>
  <c r="BX19" i="29"/>
  <c r="BX14" i="29"/>
  <c r="BX11" i="29"/>
  <c r="BX37" i="29"/>
  <c r="BX8" i="29"/>
  <c r="BO38" i="29"/>
  <c r="BX16" i="29"/>
  <c r="BX35" i="29"/>
  <c r="T7" i="29"/>
  <c r="X7" i="29" s="1"/>
  <c r="AA7" i="29" s="1"/>
  <c r="MU88" i="24"/>
  <c r="BQ138" i="24"/>
  <c r="D25" i="25" s="1"/>
  <c r="BO138" i="24"/>
  <c r="D23" i="25" s="1"/>
  <c r="MS88" i="24"/>
  <c r="MY88" i="24"/>
  <c r="BU138" i="24"/>
  <c r="D29" i="25" s="1"/>
  <c r="BM138" i="24"/>
  <c r="D21" i="25" s="1"/>
  <c r="MQ88" i="24"/>
  <c r="MW88" i="24"/>
  <c r="BS138" i="24"/>
  <c r="D27" i="25" s="1"/>
  <c r="BP138" i="24"/>
  <c r="D24" i="25" s="1"/>
  <c r="MT88" i="24"/>
  <c r="MP88" i="24"/>
  <c r="BL138" i="24"/>
  <c r="D20" i="25" s="1"/>
  <c r="NC88" i="24"/>
  <c r="BY138" i="24"/>
  <c r="D33" i="25" s="1"/>
  <c r="MR88" i="24"/>
  <c r="BN138" i="24"/>
  <c r="D22" i="25" s="1"/>
  <c r="NA88" i="24"/>
  <c r="BW138" i="24"/>
  <c r="D31" i="25" s="1"/>
  <c r="MN88" i="24"/>
  <c r="BJ138" i="24"/>
  <c r="D18" i="25" s="1"/>
  <c r="ML88" i="24"/>
  <c r="BH138" i="24"/>
  <c r="F8" i="27" s="1"/>
  <c r="MO88" i="24"/>
  <c r="BK138" i="24"/>
  <c r="D19" i="25" s="1"/>
  <c r="MV88" i="24"/>
  <c r="BR138" i="24"/>
  <c r="D26" i="25" s="1"/>
  <c r="NB88" i="24"/>
  <c r="BX138" i="24"/>
  <c r="D32" i="25" s="1"/>
  <c r="MX88" i="24"/>
  <c r="BT138" i="24"/>
  <c r="D28" i="25" s="1"/>
  <c r="MM91" i="24"/>
  <c r="MM124" i="24" s="1"/>
  <c r="LW91" i="24"/>
  <c r="LW124" i="24" s="1"/>
  <c r="DH114" i="24"/>
  <c r="DI113" i="24"/>
  <c r="EK114" i="24"/>
  <c r="EL113" i="24"/>
  <c r="GQ114" i="24"/>
  <c r="GR113" i="24"/>
  <c r="HT114" i="24"/>
  <c r="HU113" i="24"/>
  <c r="IW114" i="24"/>
  <c r="IX113" i="24"/>
  <c r="LC114" i="24"/>
  <c r="LD113" i="24"/>
  <c r="NI114" i="24"/>
  <c r="NJ113" i="24"/>
  <c r="BB114" i="24"/>
  <c r="BC113" i="24"/>
  <c r="CE114" i="24"/>
  <c r="CF113" i="24"/>
  <c r="FN114" i="24"/>
  <c r="FO113" i="24"/>
  <c r="MF114" i="24"/>
  <c r="MG113" i="24"/>
  <c r="JZ114" i="24"/>
  <c r="KA113" i="24"/>
  <c r="C42" i="28"/>
  <c r="D41" i="28"/>
  <c r="C29" i="27"/>
  <c r="D28" i="27"/>
  <c r="C24" i="18"/>
  <c r="D23" i="18"/>
  <c r="E64" i="17"/>
  <c r="E63" i="17"/>
  <c r="E59" i="17"/>
  <c r="E58" i="17"/>
  <c r="E54" i="17"/>
  <c r="E53" i="17"/>
  <c r="E49" i="17"/>
  <c r="E48" i="17"/>
  <c r="E44" i="17"/>
  <c r="E43" i="17"/>
  <c r="E39" i="17"/>
  <c r="E38" i="17"/>
  <c r="E34" i="17"/>
  <c r="E33" i="17"/>
  <c r="E29" i="17"/>
  <c r="E28" i="17"/>
  <c r="E24" i="17"/>
  <c r="E23" i="17"/>
  <c r="E19" i="17"/>
  <c r="E18" i="17"/>
  <c r="E14" i="17"/>
  <c r="E13" i="17"/>
  <c r="E9" i="17"/>
  <c r="E8" i="17"/>
  <c r="E7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E5" i="17"/>
  <c r="CC74" i="29" l="1"/>
  <c r="CB78" i="29"/>
  <c r="CF35" i="29"/>
  <c r="G29" i="27"/>
  <c r="K29" i="27"/>
  <c r="T29" i="27" s="1"/>
  <c r="G28" i="25"/>
  <c r="I28" i="25" s="1"/>
  <c r="G32" i="25"/>
  <c r="I32" i="25" s="1"/>
  <c r="G26" i="25"/>
  <c r="I26" i="25" s="1"/>
  <c r="G19" i="25"/>
  <c r="I19" i="25" s="1"/>
  <c r="G18" i="25"/>
  <c r="I18" i="25" s="1"/>
  <c r="G31" i="25"/>
  <c r="I31" i="25" s="1"/>
  <c r="G22" i="25"/>
  <c r="I22" i="25" s="1"/>
  <c r="G33" i="25"/>
  <c r="I33" i="25" s="1"/>
  <c r="G20" i="25"/>
  <c r="I20" i="25" s="1"/>
  <c r="G27" i="25"/>
  <c r="I27" i="25" s="1"/>
  <c r="G29" i="25"/>
  <c r="I29" i="25" s="1"/>
  <c r="G25" i="25"/>
  <c r="I25" i="25" s="1"/>
  <c r="G24" i="25"/>
  <c r="I24" i="25" s="1"/>
  <c r="G21" i="25"/>
  <c r="I21" i="25" s="1"/>
  <c r="G23" i="25"/>
  <c r="I23" i="25" s="1"/>
  <c r="H8" i="27"/>
  <c r="F9" i="27" s="1"/>
  <c r="F39" i="27"/>
  <c r="E33" i="31"/>
  <c r="D16" i="25"/>
  <c r="O120" i="44"/>
  <c r="E16" i="17"/>
  <c r="E11" i="17"/>
  <c r="D22" i="33"/>
  <c r="N22" i="33"/>
  <c r="CC17" i="29"/>
  <c r="CF17" i="29" s="1"/>
  <c r="CC33" i="29"/>
  <c r="CF33" i="29" s="1"/>
  <c r="CC19" i="29"/>
  <c r="CF19" i="29" s="1"/>
  <c r="T11" i="29"/>
  <c r="X11" i="29" s="1"/>
  <c r="AA11" i="29" s="1"/>
  <c r="CC11" i="29"/>
  <c r="CF11" i="29" s="1"/>
  <c r="CC25" i="29"/>
  <c r="CF25" i="29" s="1"/>
  <c r="V23" i="29"/>
  <c r="X23" i="29" s="1"/>
  <c r="AA23" i="29" s="1"/>
  <c r="T10" i="29"/>
  <c r="X10" i="29" s="1"/>
  <c r="AA10" i="29" s="1"/>
  <c r="BX38" i="29"/>
  <c r="V29" i="29"/>
  <c r="X29" i="29" s="1"/>
  <c r="AA29" i="29" s="1"/>
  <c r="W36" i="29"/>
  <c r="X36" i="29" s="1"/>
  <c r="AA36" i="29" s="1"/>
  <c r="U15" i="29"/>
  <c r="X15" i="29" s="1"/>
  <c r="AA15" i="29" s="1"/>
  <c r="T8" i="29"/>
  <c r="X8" i="29" s="1"/>
  <c r="AA8" i="29" s="1"/>
  <c r="U22" i="29"/>
  <c r="X22" i="29" s="1"/>
  <c r="AA22" i="29" s="1"/>
  <c r="W31" i="29"/>
  <c r="X31" i="29" s="1"/>
  <c r="AA31" i="29" s="1"/>
  <c r="U18" i="29"/>
  <c r="X18" i="29" s="1"/>
  <c r="AA18" i="29" s="1"/>
  <c r="W32" i="29"/>
  <c r="X32" i="29" s="1"/>
  <c r="AA32" i="29" s="1"/>
  <c r="V25" i="29"/>
  <c r="X25" i="29" s="1"/>
  <c r="AA25" i="29" s="1"/>
  <c r="W34" i="29"/>
  <c r="X34" i="29" s="1"/>
  <c r="AA34" i="29" s="1"/>
  <c r="U20" i="29"/>
  <c r="X20" i="29" s="1"/>
  <c r="AA20" i="29" s="1"/>
  <c r="V27" i="29"/>
  <c r="X27" i="29" s="1"/>
  <c r="AA27" i="29" s="1"/>
  <c r="T13" i="29"/>
  <c r="X13" i="29" s="1"/>
  <c r="AA13" i="29" s="1"/>
  <c r="T9" i="29"/>
  <c r="X9" i="29" s="1"/>
  <c r="AA9" i="29" s="1"/>
  <c r="W37" i="29"/>
  <c r="X37" i="29" s="1"/>
  <c r="AA37" i="29" s="1"/>
  <c r="V30" i="29"/>
  <c r="X30" i="29" s="1"/>
  <c r="AA30" i="29" s="1"/>
  <c r="U16" i="29"/>
  <c r="X16" i="29" s="1"/>
  <c r="AA16" i="29" s="1"/>
  <c r="W35" i="29"/>
  <c r="X35" i="29" s="1"/>
  <c r="AA35" i="29" s="1"/>
  <c r="U21" i="29"/>
  <c r="X21" i="29" s="1"/>
  <c r="AA21" i="29" s="1"/>
  <c r="T14" i="29"/>
  <c r="X14" i="29" s="1"/>
  <c r="AA14" i="29" s="1"/>
  <c r="V28" i="29"/>
  <c r="X28" i="29" s="1"/>
  <c r="AA28" i="29" s="1"/>
  <c r="U17" i="29"/>
  <c r="X17" i="29" s="1"/>
  <c r="AA17" i="29" s="1"/>
  <c r="U19" i="29"/>
  <c r="X19" i="29" s="1"/>
  <c r="AA19" i="29" s="1"/>
  <c r="V26" i="29"/>
  <c r="X26" i="29" s="1"/>
  <c r="AA26" i="29" s="1"/>
  <c r="T12" i="29"/>
  <c r="X12" i="29" s="1"/>
  <c r="AA12" i="29" s="1"/>
  <c r="W33" i="29"/>
  <c r="X33" i="29" s="1"/>
  <c r="AA33" i="29" s="1"/>
  <c r="V24" i="29"/>
  <c r="X24" i="29" s="1"/>
  <c r="AA24" i="29" s="1"/>
  <c r="MZ88" i="24"/>
  <c r="BV138" i="24"/>
  <c r="D30" i="25" s="1"/>
  <c r="NP88" i="24"/>
  <c r="BI139" i="24"/>
  <c r="J9" i="28" s="1"/>
  <c r="J12" i="28" s="1"/>
  <c r="J45" i="28" s="1"/>
  <c r="MT91" i="24"/>
  <c r="MT124" i="24" s="1"/>
  <c r="MQ91" i="24"/>
  <c r="MQ124" i="24" s="1"/>
  <c r="MS91" i="24"/>
  <c r="MS124" i="24" s="1"/>
  <c r="MX91" i="24"/>
  <c r="MX124" i="24" s="1"/>
  <c r="NB91" i="24"/>
  <c r="NB124" i="24" s="1"/>
  <c r="MV91" i="24"/>
  <c r="MV124" i="24" s="1"/>
  <c r="MO91" i="24"/>
  <c r="MO124" i="24" s="1"/>
  <c r="ML91" i="24"/>
  <c r="ML124" i="24" s="1"/>
  <c r="MN91" i="24"/>
  <c r="MN124" i="24" s="1"/>
  <c r="NA91" i="24"/>
  <c r="NA124" i="24" s="1"/>
  <c r="MR91" i="24"/>
  <c r="MR124" i="24" s="1"/>
  <c r="NC91" i="24"/>
  <c r="NC124" i="24" s="1"/>
  <c r="MP91" i="24"/>
  <c r="MP124" i="24" s="1"/>
  <c r="MW91" i="24"/>
  <c r="MW124" i="24" s="1"/>
  <c r="MY91" i="24"/>
  <c r="MY124" i="24" s="1"/>
  <c r="MU91" i="24"/>
  <c r="MU124" i="24" s="1"/>
  <c r="E21" i="17"/>
  <c r="E26" i="17"/>
  <c r="E31" i="17"/>
  <c r="E36" i="17"/>
  <c r="E41" i="17"/>
  <c r="E46" i="17"/>
  <c r="E51" i="17"/>
  <c r="E56" i="17"/>
  <c r="E61" i="17"/>
  <c r="E66" i="17"/>
  <c r="JZ115" i="24"/>
  <c r="KA114" i="24"/>
  <c r="MF115" i="24"/>
  <c r="MG114" i="24"/>
  <c r="FN115" i="24"/>
  <c r="FO114" i="24"/>
  <c r="CE115" i="24"/>
  <c r="CF114" i="24"/>
  <c r="BB115" i="24"/>
  <c r="BC114" i="24"/>
  <c r="NI115" i="24"/>
  <c r="NJ114" i="24"/>
  <c r="LC115" i="24"/>
  <c r="LD114" i="24"/>
  <c r="IW115" i="24"/>
  <c r="IX114" i="24"/>
  <c r="HT115" i="24"/>
  <c r="HU114" i="24"/>
  <c r="GQ115" i="24"/>
  <c r="GR114" i="24"/>
  <c r="EK115" i="24"/>
  <c r="EL114" i="24"/>
  <c r="DH115" i="24"/>
  <c r="DI114" i="24"/>
  <c r="C43" i="28"/>
  <c r="D43" i="28" s="1"/>
  <c r="D42" i="28"/>
  <c r="C30" i="27"/>
  <c r="D29" i="27"/>
  <c r="C25" i="18"/>
  <c r="D24" i="18"/>
  <c r="BE45" i="24"/>
  <c r="CU51" i="24" s="1"/>
  <c r="CS51" i="24" s="1"/>
  <c r="BF45" i="24"/>
  <c r="CV51" i="24" s="1"/>
  <c r="BG45" i="24"/>
  <c r="CW51" i="24" s="1"/>
  <c r="I6" i="31" s="1"/>
  <c r="CH45" i="24"/>
  <c r="CU52" i="24" s="1"/>
  <c r="CS52" i="24" s="1"/>
  <c r="CI45" i="24"/>
  <c r="CV52" i="24" s="1"/>
  <c r="CJ45" i="24"/>
  <c r="CW52" i="24" s="1"/>
  <c r="I7" i="31" s="1"/>
  <c r="DK45" i="24"/>
  <c r="CU53" i="24" s="1"/>
  <c r="CS53" i="24" s="1"/>
  <c r="DL45" i="24"/>
  <c r="CV53" i="24" s="1"/>
  <c r="DM45" i="24"/>
  <c r="CW53" i="24" s="1"/>
  <c r="I8" i="31" s="1"/>
  <c r="EN45" i="24"/>
  <c r="CU54" i="24" s="1"/>
  <c r="CS54" i="24" s="1"/>
  <c r="EO45" i="24"/>
  <c r="CV54" i="24" s="1"/>
  <c r="EP45" i="24"/>
  <c r="CW54" i="24" s="1"/>
  <c r="I9" i="31" s="1"/>
  <c r="FQ45" i="24"/>
  <c r="CU55" i="24" s="1"/>
  <c r="CS55" i="24" s="1"/>
  <c r="FR45" i="24"/>
  <c r="CV55" i="24" s="1"/>
  <c r="FS45" i="24"/>
  <c r="CW55" i="24" s="1"/>
  <c r="I10" i="31" s="1"/>
  <c r="GT45" i="24"/>
  <c r="CU56" i="24" s="1"/>
  <c r="CS56" i="24" s="1"/>
  <c r="GU45" i="24"/>
  <c r="CV56" i="24" s="1"/>
  <c r="GV45" i="24"/>
  <c r="CW56" i="24" s="1"/>
  <c r="I11" i="31" s="1"/>
  <c r="HW45" i="24"/>
  <c r="CU57" i="24" s="1"/>
  <c r="CS57" i="24" s="1"/>
  <c r="HX45" i="24"/>
  <c r="CV57" i="24" s="1"/>
  <c r="HY45" i="24"/>
  <c r="CW57" i="24" s="1"/>
  <c r="I12" i="31" s="1"/>
  <c r="IZ45" i="24"/>
  <c r="CU58" i="24" s="1"/>
  <c r="CS58" i="24" s="1"/>
  <c r="JA45" i="24"/>
  <c r="CV58" i="24" s="1"/>
  <c r="JB45" i="24"/>
  <c r="CW58" i="24" s="1"/>
  <c r="I13" i="31" s="1"/>
  <c r="KC45" i="24"/>
  <c r="CU59" i="24" s="1"/>
  <c r="CS59" i="24" s="1"/>
  <c r="KD45" i="24"/>
  <c r="CV59" i="24" s="1"/>
  <c r="KE45" i="24"/>
  <c r="CW59" i="24" s="1"/>
  <c r="I14" i="31" s="1"/>
  <c r="LG45" i="24"/>
  <c r="CV60" i="24" s="1"/>
  <c r="LH45" i="24"/>
  <c r="CW60" i="24" s="1"/>
  <c r="I15" i="31" s="1"/>
  <c r="MI45" i="24"/>
  <c r="CU61" i="24" s="1"/>
  <c r="CS61" i="24" s="1"/>
  <c r="K16" i="31" s="1"/>
  <c r="MJ45" i="24"/>
  <c r="CV61" i="24" s="1"/>
  <c r="MK45" i="24"/>
  <c r="CW61" i="24" s="1"/>
  <c r="I16" i="31" s="1"/>
  <c r="NL45" i="24"/>
  <c r="CU62" i="24" s="1"/>
  <c r="CS62" i="24" s="1"/>
  <c r="K17" i="31" s="1"/>
  <c r="NM45" i="24"/>
  <c r="CV62" i="24" s="1"/>
  <c r="NN45" i="24"/>
  <c r="CW62" i="24" s="1"/>
  <c r="I17" i="31" s="1"/>
  <c r="OJ9" i="24"/>
  <c r="NG9" i="24"/>
  <c r="NG22" i="24" s="1"/>
  <c r="CC9" i="24"/>
  <c r="CC16" i="24" s="1"/>
  <c r="DF9" i="24"/>
  <c r="DF16" i="24" s="1"/>
  <c r="EI9" i="24"/>
  <c r="EI15" i="24" s="1"/>
  <c r="FL9" i="24"/>
  <c r="FL16" i="24" s="1"/>
  <c r="JX9" i="24"/>
  <c r="JX16" i="24" s="1"/>
  <c r="LA9" i="24"/>
  <c r="LA14" i="24" s="1"/>
  <c r="MD9" i="24"/>
  <c r="MD15" i="24" s="1"/>
  <c r="IU9" i="24"/>
  <c r="IU44" i="24" s="1"/>
  <c r="GO9" i="24"/>
  <c r="GO14" i="24" s="1"/>
  <c r="HR9" i="24"/>
  <c r="HR15" i="24" s="1"/>
  <c r="CF74" i="29" l="1"/>
  <c r="CC78" i="29"/>
  <c r="I50" i="31"/>
  <c r="Q16" i="31"/>
  <c r="Q50" i="31" s="1"/>
  <c r="R16" i="31"/>
  <c r="I45" i="31"/>
  <c r="R11" i="31"/>
  <c r="Q11" i="31"/>
  <c r="Q45" i="31" s="1"/>
  <c r="I43" i="31"/>
  <c r="R9" i="31"/>
  <c r="Q9" i="31"/>
  <c r="Q43" i="31" s="1"/>
  <c r="I47" i="31"/>
  <c r="R13" i="31"/>
  <c r="Q13" i="31"/>
  <c r="Q47" i="31" s="1"/>
  <c r="I51" i="31"/>
  <c r="R17" i="31"/>
  <c r="Q17" i="31"/>
  <c r="Q51" i="31" s="1"/>
  <c r="I49" i="31"/>
  <c r="R15" i="31"/>
  <c r="Q15" i="31"/>
  <c r="Q49" i="31" s="1"/>
  <c r="I48" i="31"/>
  <c r="Q14" i="31"/>
  <c r="Q48" i="31" s="1"/>
  <c r="R14" i="31"/>
  <c r="I46" i="31"/>
  <c r="Q12" i="31"/>
  <c r="Q46" i="31" s="1"/>
  <c r="R12" i="31"/>
  <c r="I44" i="31"/>
  <c r="Q10" i="31"/>
  <c r="Q44" i="31" s="1"/>
  <c r="R10" i="31"/>
  <c r="G30" i="27"/>
  <c r="K30" i="27"/>
  <c r="T30" i="27" s="1"/>
  <c r="G16" i="25"/>
  <c r="I16" i="25" s="1"/>
  <c r="G30" i="25"/>
  <c r="I30" i="25" s="1"/>
  <c r="H9" i="27"/>
  <c r="F10" i="27" s="1"/>
  <c r="H10" i="27" s="1"/>
  <c r="F11" i="27" s="1"/>
  <c r="H11" i="27" s="1"/>
  <c r="F12" i="27" s="1"/>
  <c r="H12" i="27" s="1"/>
  <c r="Q6" i="31"/>
  <c r="Q40" i="31" s="1"/>
  <c r="R6" i="31"/>
  <c r="I42" i="31"/>
  <c r="Q8" i="31"/>
  <c r="R8" i="31"/>
  <c r="N9" i="34" s="1"/>
  <c r="Q7" i="31"/>
  <c r="R7" i="31"/>
  <c r="D7" i="31"/>
  <c r="D41" i="31" s="1"/>
  <c r="D8" i="31"/>
  <c r="D42" i="31" s="1"/>
  <c r="D6" i="31"/>
  <c r="H33" i="31"/>
  <c r="D11" i="31"/>
  <c r="D45" i="31" s="1"/>
  <c r="D12" i="31"/>
  <c r="D46" i="31" s="1"/>
  <c r="D16" i="31"/>
  <c r="D50" i="31" s="1"/>
  <c r="D13" i="31"/>
  <c r="D47" i="31" s="1"/>
  <c r="D17" i="31"/>
  <c r="D51" i="31" s="1"/>
  <c r="D14" i="31"/>
  <c r="D48" i="31" s="1"/>
  <c r="D10" i="31"/>
  <c r="D44" i="31" s="1"/>
  <c r="D9" i="31"/>
  <c r="D43" i="31" s="1"/>
  <c r="I40" i="31"/>
  <c r="T6" i="31"/>
  <c r="T40" i="31" s="1"/>
  <c r="O121" i="44"/>
  <c r="I41" i="31"/>
  <c r="K9" i="34"/>
  <c r="K11" i="34" s="1"/>
  <c r="CC31" i="29"/>
  <c r="CF31" i="29" s="1"/>
  <c r="CC15" i="29"/>
  <c r="CF15" i="29" s="1"/>
  <c r="CC30" i="29"/>
  <c r="CF30" i="29" s="1"/>
  <c r="CC14" i="29"/>
  <c r="CF14" i="29" s="1"/>
  <c r="CC23" i="29"/>
  <c r="CF23" i="29" s="1"/>
  <c r="CC7" i="29"/>
  <c r="CF7" i="29" s="1"/>
  <c r="CC22" i="29"/>
  <c r="CF22" i="29" s="1"/>
  <c r="CC24" i="29"/>
  <c r="CF24" i="29" s="1"/>
  <c r="CC8" i="29"/>
  <c r="CF8" i="29" s="1"/>
  <c r="CC32" i="29"/>
  <c r="CF32" i="29" s="1"/>
  <c r="CC16" i="29"/>
  <c r="CF16" i="29" s="1"/>
  <c r="CC28" i="29"/>
  <c r="CF28" i="29" s="1"/>
  <c r="CC12" i="29"/>
  <c r="CF12" i="29" s="1"/>
  <c r="CC36" i="29"/>
  <c r="CF36" i="29" s="1"/>
  <c r="CC20" i="29"/>
  <c r="CF20" i="29" s="1"/>
  <c r="CC21" i="29"/>
  <c r="CF21" i="29" s="1"/>
  <c r="CC37" i="29"/>
  <c r="CF37" i="29" s="1"/>
  <c r="CC29" i="29"/>
  <c r="CF29" i="29" s="1"/>
  <c r="CC13" i="29"/>
  <c r="CF13" i="29" s="1"/>
  <c r="CC18" i="29"/>
  <c r="CF18" i="29" s="1"/>
  <c r="CC26" i="29"/>
  <c r="CF26" i="29" s="1"/>
  <c r="CC10" i="29"/>
  <c r="CF10" i="29" s="1"/>
  <c r="CC9" i="29"/>
  <c r="S16" i="31"/>
  <c r="S50" i="31" s="1"/>
  <c r="T16" i="31"/>
  <c r="T50" i="31" s="1"/>
  <c r="S14" i="31"/>
  <c r="S48" i="31" s="1"/>
  <c r="T14" i="31"/>
  <c r="T48" i="31" s="1"/>
  <c r="S12" i="31"/>
  <c r="S46" i="31" s="1"/>
  <c r="T12" i="31"/>
  <c r="T46" i="31" s="1"/>
  <c r="S10" i="31"/>
  <c r="S44" i="31" s="1"/>
  <c r="T10" i="31"/>
  <c r="T44" i="31" s="1"/>
  <c r="S8" i="31"/>
  <c r="S42" i="31" s="1"/>
  <c r="T8" i="31"/>
  <c r="T42" i="31" s="1"/>
  <c r="S6" i="31"/>
  <c r="S40" i="31" s="1"/>
  <c r="S17" i="31"/>
  <c r="S51" i="31" s="1"/>
  <c r="T17" i="31"/>
  <c r="T51" i="31" s="1"/>
  <c r="S15" i="31"/>
  <c r="S49" i="31" s="1"/>
  <c r="T15" i="31"/>
  <c r="T49" i="31" s="1"/>
  <c r="S13" i="31"/>
  <c r="S47" i="31" s="1"/>
  <c r="T13" i="31"/>
  <c r="T47" i="31" s="1"/>
  <c r="S11" i="31"/>
  <c r="S45" i="31" s="1"/>
  <c r="T11" i="31"/>
  <c r="T45" i="31" s="1"/>
  <c r="S9" i="31"/>
  <c r="S43" i="31" s="1"/>
  <c r="T9" i="31"/>
  <c r="T43" i="31" s="1"/>
  <c r="S7" i="31"/>
  <c r="S41" i="31" s="1"/>
  <c r="T7" i="31"/>
  <c r="T41" i="31" s="1"/>
  <c r="X38" i="29"/>
  <c r="W38" i="29"/>
  <c r="T38" i="29"/>
  <c r="U38" i="29"/>
  <c r="V38" i="29"/>
  <c r="DF14" i="24"/>
  <c r="FL39" i="24"/>
  <c r="DF29" i="24"/>
  <c r="FL23" i="24"/>
  <c r="HR34" i="24"/>
  <c r="CC43" i="24"/>
  <c r="EI42" i="24"/>
  <c r="CC27" i="24"/>
  <c r="HR42" i="24"/>
  <c r="HR26" i="24"/>
  <c r="JX14" i="24"/>
  <c r="NX88" i="24"/>
  <c r="BQ139" i="24"/>
  <c r="R9" i="28" s="1"/>
  <c r="R12" i="28" s="1"/>
  <c r="R45" i="28" s="1"/>
  <c r="NV88" i="24"/>
  <c r="BO139" i="24"/>
  <c r="P9" i="28" s="1"/>
  <c r="P12" i="28" s="1"/>
  <c r="P45" i="28" s="1"/>
  <c r="NZ88" i="24"/>
  <c r="BS139" i="24"/>
  <c r="T9" i="28" s="1"/>
  <c r="T12" i="28" s="1"/>
  <c r="T45" i="28" s="1"/>
  <c r="NW88" i="24"/>
  <c r="BP139" i="24"/>
  <c r="Q9" i="28" s="1"/>
  <c r="Q12" i="28" s="1"/>
  <c r="Q45" i="28" s="1"/>
  <c r="OB88" i="24"/>
  <c r="BU139" i="24"/>
  <c r="V9" i="28" s="1"/>
  <c r="V12" i="28" s="1"/>
  <c r="V45" i="28" s="1"/>
  <c r="NS88" i="24"/>
  <c r="BL139" i="24"/>
  <c r="M9" i="28" s="1"/>
  <c r="M12" i="28" s="1"/>
  <c r="M45" i="28" s="1"/>
  <c r="OF88" i="24"/>
  <c r="BY139" i="24"/>
  <c r="Z9" i="28" s="1"/>
  <c r="Z12" i="28" s="1"/>
  <c r="Z45" i="28" s="1"/>
  <c r="NU88" i="24"/>
  <c r="BN139" i="24"/>
  <c r="O9" i="28" s="1"/>
  <c r="O12" i="28" s="1"/>
  <c r="O45" i="28" s="1"/>
  <c r="BW139" i="24"/>
  <c r="X9" i="28" s="1"/>
  <c r="X12" i="28" s="1"/>
  <c r="X45" i="28" s="1"/>
  <c r="OD88" i="24"/>
  <c r="NQ88" i="24"/>
  <c r="BJ139" i="24"/>
  <c r="K9" i="28" s="1"/>
  <c r="K12" i="28" s="1"/>
  <c r="K45" i="28" s="1"/>
  <c r="BH139" i="24"/>
  <c r="E34" i="31" s="1"/>
  <c r="H34" i="31" s="1"/>
  <c r="K34" i="31" s="1"/>
  <c r="NO88" i="24"/>
  <c r="NR88" i="24"/>
  <c r="BK139" i="24"/>
  <c r="L9" i="28" s="1"/>
  <c r="L12" i="28" s="1"/>
  <c r="L45" i="28" s="1"/>
  <c r="NY88" i="24"/>
  <c r="BR139" i="24"/>
  <c r="S9" i="28" s="1"/>
  <c r="S12" i="28" s="1"/>
  <c r="S45" i="28" s="1"/>
  <c r="BX139" i="24"/>
  <c r="Y9" i="28" s="1"/>
  <c r="Y12" i="28" s="1"/>
  <c r="Y45" i="28" s="1"/>
  <c r="OE88" i="24"/>
  <c r="BT139" i="24"/>
  <c r="U9" i="28" s="1"/>
  <c r="U12" i="28" s="1"/>
  <c r="U45" i="28" s="1"/>
  <c r="OA88" i="24"/>
  <c r="NT88" i="24"/>
  <c r="BM139" i="24"/>
  <c r="N9" i="28" s="1"/>
  <c r="N12" i="28" s="1"/>
  <c r="N45" i="28" s="1"/>
  <c r="CC35" i="24"/>
  <c r="CC19" i="24"/>
  <c r="EI26" i="24"/>
  <c r="JX29" i="24"/>
  <c r="NP91" i="24"/>
  <c r="NP124" i="24" s="1"/>
  <c r="BI140" i="24" s="1"/>
  <c r="MZ91" i="24"/>
  <c r="MZ124" i="24" s="1"/>
  <c r="EI34" i="24"/>
  <c r="EI18" i="24"/>
  <c r="JX37" i="24"/>
  <c r="JX21" i="24"/>
  <c r="G38" i="5"/>
  <c r="K39" i="5" s="1"/>
  <c r="K41" i="5" s="1"/>
  <c r="F7" i="5"/>
  <c r="DH116" i="24"/>
  <c r="DI115" i="24"/>
  <c r="EK116" i="24"/>
  <c r="EL115" i="24"/>
  <c r="GQ116" i="24"/>
  <c r="GR115" i="24"/>
  <c r="HT116" i="24"/>
  <c r="HU115" i="24"/>
  <c r="IW116" i="24"/>
  <c r="IX115" i="24"/>
  <c r="LC116" i="24"/>
  <c r="LD115" i="24"/>
  <c r="NI116" i="24"/>
  <c r="NJ115" i="24"/>
  <c r="BB116" i="24"/>
  <c r="BC115" i="24"/>
  <c r="CE116" i="24"/>
  <c r="CF115" i="24"/>
  <c r="FN116" i="24"/>
  <c r="FO115" i="24"/>
  <c r="MF116" i="24"/>
  <c r="MG115" i="24"/>
  <c r="JZ116" i="24"/>
  <c r="KA115" i="24"/>
  <c r="C31" i="27"/>
  <c r="D30" i="27"/>
  <c r="DF37" i="24"/>
  <c r="DF21" i="24"/>
  <c r="FL31" i="24"/>
  <c r="FL15" i="24"/>
  <c r="HR38" i="24"/>
  <c r="HR30" i="24"/>
  <c r="HR22" i="24"/>
  <c r="CW63" i="24"/>
  <c r="I18" i="31" s="1"/>
  <c r="I52" i="31" s="1"/>
  <c r="CC39" i="24"/>
  <c r="CC31" i="24"/>
  <c r="CC23" i="24"/>
  <c r="CC15" i="24"/>
  <c r="EI38" i="24"/>
  <c r="EI30" i="24"/>
  <c r="EI22" i="24"/>
  <c r="JX41" i="24"/>
  <c r="JX33" i="24"/>
  <c r="JX25" i="24"/>
  <c r="JX17" i="24"/>
  <c r="CV63" i="24"/>
  <c r="C26" i="18"/>
  <c r="D25" i="18"/>
  <c r="HR18" i="24"/>
  <c r="CC14" i="24"/>
  <c r="CC41" i="24"/>
  <c r="CC37" i="24"/>
  <c r="CC33" i="24"/>
  <c r="CC29" i="24"/>
  <c r="CC25" i="24"/>
  <c r="CC21" i="24"/>
  <c r="CC17" i="24"/>
  <c r="EI44" i="24"/>
  <c r="EI40" i="24"/>
  <c r="EI36" i="24"/>
  <c r="EI32" i="24"/>
  <c r="EI28" i="24"/>
  <c r="EI24" i="24"/>
  <c r="EI20" i="24"/>
  <c r="EI16" i="24"/>
  <c r="JX43" i="24"/>
  <c r="JX39" i="24"/>
  <c r="JX35" i="24"/>
  <c r="JX31" i="24"/>
  <c r="JX27" i="24"/>
  <c r="JX23" i="24"/>
  <c r="JX19" i="24"/>
  <c r="JX15" i="24"/>
  <c r="DF41" i="24"/>
  <c r="DF33" i="24"/>
  <c r="DF25" i="24"/>
  <c r="DF17" i="24"/>
  <c r="FL43" i="24"/>
  <c r="FL35" i="24"/>
  <c r="FL27" i="24"/>
  <c r="FL19" i="24"/>
  <c r="HR44" i="24"/>
  <c r="HR40" i="24"/>
  <c r="HR36" i="24"/>
  <c r="HR32" i="24"/>
  <c r="HR28" i="24"/>
  <c r="HR24" i="24"/>
  <c r="HR20" i="24"/>
  <c r="HR16" i="24"/>
  <c r="DF43" i="24"/>
  <c r="DF39" i="24"/>
  <c r="DF35" i="24"/>
  <c r="DF31" i="24"/>
  <c r="DF27" i="24"/>
  <c r="DF23" i="24"/>
  <c r="DF19" i="24"/>
  <c r="DF15" i="24"/>
  <c r="FL14" i="24"/>
  <c r="FL41" i="24"/>
  <c r="FL37" i="24"/>
  <c r="FL33" i="24"/>
  <c r="FL29" i="24"/>
  <c r="FL25" i="24"/>
  <c r="FL21" i="24"/>
  <c r="FL17" i="24"/>
  <c r="HR14" i="24"/>
  <c r="HR43" i="24"/>
  <c r="HR41" i="24"/>
  <c r="HR39" i="24"/>
  <c r="HR37" i="24"/>
  <c r="HR35" i="24"/>
  <c r="HR33" i="24"/>
  <c r="HR31" i="24"/>
  <c r="HR29" i="24"/>
  <c r="HR27" i="24"/>
  <c r="HR25" i="24"/>
  <c r="HR23" i="24"/>
  <c r="HR21" i="24"/>
  <c r="HR19" i="24"/>
  <c r="HR17" i="24"/>
  <c r="MD42" i="24"/>
  <c r="MD34" i="24"/>
  <c r="MD26" i="24"/>
  <c r="MD18" i="24"/>
  <c r="CC44" i="24"/>
  <c r="CC42" i="24"/>
  <c r="CC40" i="24"/>
  <c r="CC38" i="24"/>
  <c r="CC36" i="24"/>
  <c r="CC34" i="24"/>
  <c r="CC32" i="24"/>
  <c r="CC30" i="24"/>
  <c r="CC28" i="24"/>
  <c r="CC26" i="24"/>
  <c r="CC24" i="24"/>
  <c r="CC22" i="24"/>
  <c r="CC20" i="24"/>
  <c r="CC18" i="24"/>
  <c r="EI14" i="24"/>
  <c r="EI43" i="24"/>
  <c r="EI41" i="24"/>
  <c r="EI39" i="24"/>
  <c r="EI37" i="24"/>
  <c r="EI35" i="24"/>
  <c r="EI33" i="24"/>
  <c r="EI31" i="24"/>
  <c r="EI29" i="24"/>
  <c r="EI27" i="24"/>
  <c r="EI25" i="24"/>
  <c r="EI23" i="24"/>
  <c r="EI21" i="24"/>
  <c r="EI19" i="24"/>
  <c r="EI17" i="24"/>
  <c r="JX44" i="24"/>
  <c r="JX42" i="24"/>
  <c r="JX40" i="24"/>
  <c r="JX38" i="24"/>
  <c r="JX36" i="24"/>
  <c r="JX34" i="24"/>
  <c r="JX32" i="24"/>
  <c r="JX30" i="24"/>
  <c r="JX28" i="24"/>
  <c r="JX26" i="24"/>
  <c r="JX24" i="24"/>
  <c r="JX22" i="24"/>
  <c r="JX20" i="24"/>
  <c r="JX18" i="24"/>
  <c r="MD14" i="24"/>
  <c r="MD44" i="24"/>
  <c r="MD38" i="24"/>
  <c r="MD30" i="24"/>
  <c r="MD22" i="24"/>
  <c r="NG18" i="24"/>
  <c r="DF44" i="24"/>
  <c r="DF42" i="24"/>
  <c r="DF40" i="24"/>
  <c r="DF38" i="24"/>
  <c r="DF36" i="24"/>
  <c r="DF34" i="24"/>
  <c r="DF32" i="24"/>
  <c r="DF30" i="24"/>
  <c r="DF28" i="24"/>
  <c r="DF26" i="24"/>
  <c r="DF24" i="24"/>
  <c r="DF22" i="24"/>
  <c r="DF20" i="24"/>
  <c r="DF18" i="24"/>
  <c r="FL44" i="24"/>
  <c r="FL42" i="24"/>
  <c r="FL40" i="24"/>
  <c r="FL38" i="24"/>
  <c r="FL36" i="24"/>
  <c r="FL34" i="24"/>
  <c r="FL32" i="24"/>
  <c r="FL30" i="24"/>
  <c r="FL28" i="24"/>
  <c r="FL26" i="24"/>
  <c r="FL24" i="24"/>
  <c r="FL22" i="24"/>
  <c r="FL20" i="24"/>
  <c r="FL18" i="24"/>
  <c r="IU14" i="24"/>
  <c r="MD43" i="24"/>
  <c r="MD40" i="24"/>
  <c r="MD36" i="24"/>
  <c r="MD32" i="24"/>
  <c r="MD28" i="24"/>
  <c r="MD24" i="24"/>
  <c r="MD20" i="24"/>
  <c r="MD16" i="24"/>
  <c r="GO15" i="24"/>
  <c r="GO16" i="24"/>
  <c r="GO17" i="24"/>
  <c r="GO18" i="24"/>
  <c r="GO19" i="24"/>
  <c r="GO20" i="24"/>
  <c r="GO21" i="24"/>
  <c r="GO22" i="24"/>
  <c r="GO23" i="24"/>
  <c r="GO24" i="24"/>
  <c r="GO25" i="24"/>
  <c r="GO26" i="24"/>
  <c r="GO27" i="24"/>
  <c r="GO28" i="24"/>
  <c r="GO29" i="24"/>
  <c r="GO30" i="24"/>
  <c r="GO31" i="24"/>
  <c r="GO32" i="24"/>
  <c r="GO33" i="24"/>
  <c r="GO34" i="24"/>
  <c r="GO35" i="24"/>
  <c r="GO36" i="24"/>
  <c r="GO37" i="24"/>
  <c r="GO38" i="24"/>
  <c r="GO39" i="24"/>
  <c r="GO40" i="24"/>
  <c r="GO41" i="24"/>
  <c r="GO42" i="24"/>
  <c r="GO43" i="24"/>
  <c r="GO44" i="24"/>
  <c r="IU15" i="24"/>
  <c r="IU16" i="24"/>
  <c r="IU17" i="24"/>
  <c r="IU18" i="24"/>
  <c r="IU19" i="24"/>
  <c r="IU20" i="24"/>
  <c r="IU21" i="24"/>
  <c r="IU22" i="24"/>
  <c r="IU23" i="24"/>
  <c r="IU24" i="24"/>
  <c r="IU25" i="24"/>
  <c r="IU26" i="24"/>
  <c r="IU27" i="24"/>
  <c r="IU28" i="24"/>
  <c r="IU29" i="24"/>
  <c r="IU30" i="24"/>
  <c r="IU31" i="24"/>
  <c r="IU32" i="24"/>
  <c r="IU33" i="24"/>
  <c r="IU34" i="24"/>
  <c r="IU35" i="24"/>
  <c r="IU36" i="24"/>
  <c r="IU37" i="24"/>
  <c r="IU38" i="24"/>
  <c r="IU39" i="24"/>
  <c r="IU40" i="24"/>
  <c r="IU41" i="24"/>
  <c r="IU42" i="24"/>
  <c r="IU43" i="24"/>
  <c r="LA15" i="24"/>
  <c r="LA16" i="24"/>
  <c r="LA17" i="24"/>
  <c r="LA18" i="24"/>
  <c r="LA19" i="24"/>
  <c r="LA20" i="24"/>
  <c r="LA21" i="24"/>
  <c r="LA22" i="24"/>
  <c r="LA23" i="24"/>
  <c r="LA24" i="24"/>
  <c r="LA25" i="24"/>
  <c r="LA26" i="24"/>
  <c r="LA27" i="24"/>
  <c r="LA28" i="24"/>
  <c r="LA29" i="24"/>
  <c r="LA30" i="24"/>
  <c r="LA31" i="24"/>
  <c r="LA32" i="24"/>
  <c r="LA33" i="24"/>
  <c r="LA34" i="24"/>
  <c r="LA35" i="24"/>
  <c r="LA36" i="24"/>
  <c r="LA37" i="24"/>
  <c r="LA38" i="24"/>
  <c r="LA39" i="24"/>
  <c r="LA40" i="24"/>
  <c r="LA41" i="24"/>
  <c r="LA42" i="24"/>
  <c r="LA43" i="24"/>
  <c r="LA44" i="24"/>
  <c r="MD41" i="24"/>
  <c r="MD39" i="24"/>
  <c r="MD37" i="24"/>
  <c r="MD35" i="24"/>
  <c r="MD33" i="24"/>
  <c r="MD31" i="24"/>
  <c r="MD29" i="24"/>
  <c r="MD27" i="24"/>
  <c r="MD25" i="24"/>
  <c r="MD23" i="24"/>
  <c r="MD21" i="24"/>
  <c r="MD19" i="24"/>
  <c r="MD17" i="24"/>
  <c r="NG15" i="24"/>
  <c r="NG17" i="24"/>
  <c r="NG19" i="24"/>
  <c r="NG21" i="24"/>
  <c r="NG23" i="24"/>
  <c r="NG25" i="24"/>
  <c r="NG26" i="24"/>
  <c r="NG27" i="24"/>
  <c r="NG28" i="24"/>
  <c r="NG29" i="24"/>
  <c r="NG30" i="24"/>
  <c r="NG31" i="24"/>
  <c r="NG32" i="24"/>
  <c r="NG33" i="24"/>
  <c r="NG34" i="24"/>
  <c r="NG35" i="24"/>
  <c r="NG36" i="24"/>
  <c r="NG37" i="24"/>
  <c r="NG38" i="24"/>
  <c r="NG39" i="24"/>
  <c r="NG40" i="24"/>
  <c r="NG41" i="24"/>
  <c r="NG42" i="24"/>
  <c r="NG43" i="24"/>
  <c r="NG44" i="24"/>
  <c r="NG14" i="24"/>
  <c r="NG24" i="24"/>
  <c r="NG20" i="24"/>
  <c r="NG16" i="24"/>
  <c r="OJ15" i="24"/>
  <c r="OJ17" i="24"/>
  <c r="OJ19" i="24"/>
  <c r="OJ21" i="24"/>
  <c r="OJ22" i="24"/>
  <c r="OJ23" i="24"/>
  <c r="OJ24" i="24"/>
  <c r="OJ25" i="24"/>
  <c r="OJ26" i="24"/>
  <c r="OJ27" i="24"/>
  <c r="OJ28" i="24"/>
  <c r="OJ29" i="24"/>
  <c r="OJ30" i="24"/>
  <c r="OJ31" i="24"/>
  <c r="OJ32" i="24"/>
  <c r="OJ33" i="24"/>
  <c r="OJ16" i="24"/>
  <c r="OJ20" i="24"/>
  <c r="OJ34" i="24"/>
  <c r="OJ35" i="24"/>
  <c r="OJ36" i="24"/>
  <c r="OJ37" i="24"/>
  <c r="OJ38" i="24"/>
  <c r="OJ39" i="24"/>
  <c r="OJ40" i="24"/>
  <c r="OJ41" i="24"/>
  <c r="OJ42" i="24"/>
  <c r="OJ43" i="24"/>
  <c r="OJ44" i="24"/>
  <c r="OJ14" i="24"/>
  <c r="OJ18" i="24"/>
  <c r="NP7" i="24"/>
  <c r="NQ7" i="24"/>
  <c r="NR7" i="24"/>
  <c r="NS7" i="24"/>
  <c r="NT7" i="24"/>
  <c r="NU7" i="24"/>
  <c r="NV7" i="24"/>
  <c r="NW7" i="24"/>
  <c r="NX7" i="24"/>
  <c r="NY7" i="24"/>
  <c r="NZ7" i="24"/>
  <c r="OA7" i="24"/>
  <c r="OB7" i="24"/>
  <c r="OC7" i="24"/>
  <c r="OD7" i="24"/>
  <c r="OE7" i="24"/>
  <c r="OF7" i="24"/>
  <c r="NO7" i="24"/>
  <c r="MM7" i="24"/>
  <c r="MN7" i="24"/>
  <c r="MO7" i="24"/>
  <c r="MP7" i="24"/>
  <c r="MQ7" i="24"/>
  <c r="MR7" i="24"/>
  <c r="MS7" i="24"/>
  <c r="MT7" i="24"/>
  <c r="MU7" i="24"/>
  <c r="MV7" i="24"/>
  <c r="MW7" i="24"/>
  <c r="MX7" i="24"/>
  <c r="MY7" i="24"/>
  <c r="MZ7" i="24"/>
  <c r="NA7" i="24"/>
  <c r="NB7" i="24"/>
  <c r="NC7" i="24"/>
  <c r="ML7" i="24"/>
  <c r="LJ7" i="24"/>
  <c r="LK7" i="24"/>
  <c r="LL7" i="24"/>
  <c r="LM7" i="24"/>
  <c r="LN7" i="24"/>
  <c r="LO7" i="24"/>
  <c r="LP7" i="24"/>
  <c r="LQ7" i="24"/>
  <c r="LR7" i="24"/>
  <c r="LS7" i="24"/>
  <c r="LT7" i="24"/>
  <c r="LU7" i="24"/>
  <c r="LV7" i="24"/>
  <c r="LW7" i="24"/>
  <c r="LX7" i="24"/>
  <c r="LY7" i="24"/>
  <c r="LZ7" i="24"/>
  <c r="LI7" i="24"/>
  <c r="KG7" i="24"/>
  <c r="KH7" i="24"/>
  <c r="KI7" i="24"/>
  <c r="KJ7" i="24"/>
  <c r="KK7" i="24"/>
  <c r="KL7" i="24"/>
  <c r="KM7" i="24"/>
  <c r="KN7" i="24"/>
  <c r="KO7" i="24"/>
  <c r="KP7" i="24"/>
  <c r="KQ7" i="24"/>
  <c r="KR7" i="24"/>
  <c r="KS7" i="24"/>
  <c r="KT7" i="24"/>
  <c r="KU7" i="24"/>
  <c r="KV7" i="24"/>
  <c r="KW7" i="24"/>
  <c r="KF7" i="24"/>
  <c r="JD7" i="24"/>
  <c r="JE7" i="24"/>
  <c r="JF7" i="24"/>
  <c r="JG7" i="24"/>
  <c r="JH7" i="24"/>
  <c r="JI7" i="24"/>
  <c r="JJ7" i="24"/>
  <c r="JK7" i="24"/>
  <c r="JL7" i="24"/>
  <c r="JM7" i="24"/>
  <c r="JN7" i="24"/>
  <c r="JO7" i="24"/>
  <c r="JP7" i="24"/>
  <c r="JQ7" i="24"/>
  <c r="JR7" i="24"/>
  <c r="JS7" i="24"/>
  <c r="JT7" i="24"/>
  <c r="JC7" i="24"/>
  <c r="IA7" i="24"/>
  <c r="IB7" i="24"/>
  <c r="IC7" i="24"/>
  <c r="ID7" i="24"/>
  <c r="IE7" i="24"/>
  <c r="IF7" i="24"/>
  <c r="IG7" i="24"/>
  <c r="IH7" i="24"/>
  <c r="II7" i="24"/>
  <c r="IJ7" i="24"/>
  <c r="IK7" i="24"/>
  <c r="IL7" i="24"/>
  <c r="IM7" i="24"/>
  <c r="IN7" i="24"/>
  <c r="IO7" i="24"/>
  <c r="IP7" i="24"/>
  <c r="IQ7" i="24"/>
  <c r="HZ7" i="24"/>
  <c r="GX7" i="24"/>
  <c r="GY7" i="24"/>
  <c r="GZ7" i="24"/>
  <c r="HA7" i="24"/>
  <c r="HB7" i="24"/>
  <c r="HC7" i="24"/>
  <c r="HD7" i="24"/>
  <c r="HE7" i="24"/>
  <c r="HF7" i="24"/>
  <c r="HG7" i="24"/>
  <c r="HH7" i="24"/>
  <c r="HI7" i="24"/>
  <c r="HJ7" i="24"/>
  <c r="HK7" i="24"/>
  <c r="HL7" i="24"/>
  <c r="HM7" i="24"/>
  <c r="HN7" i="24"/>
  <c r="GW7" i="24"/>
  <c r="FU7" i="24"/>
  <c r="FV7" i="24"/>
  <c r="FW7" i="24"/>
  <c r="FX7" i="24"/>
  <c r="FY7" i="24"/>
  <c r="FZ7" i="24"/>
  <c r="GA7" i="24"/>
  <c r="GB7" i="24"/>
  <c r="GC7" i="24"/>
  <c r="GD7" i="24"/>
  <c r="GE7" i="24"/>
  <c r="GF7" i="24"/>
  <c r="GG7" i="24"/>
  <c r="GH7" i="24"/>
  <c r="GI7" i="24"/>
  <c r="GJ7" i="24"/>
  <c r="GK7" i="24"/>
  <c r="FT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EQ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DN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B7" i="24"/>
  <c r="CK7" i="24"/>
  <c r="BI7" i="24"/>
  <c r="BJ7" i="24"/>
  <c r="BK7" i="24"/>
  <c r="BL7" i="24"/>
  <c r="BM7" i="24"/>
  <c r="BN7" i="24"/>
  <c r="BO7" i="24"/>
  <c r="BP7" i="24"/>
  <c r="BQ7" i="24"/>
  <c r="BR7" i="24"/>
  <c r="BS7" i="24"/>
  <c r="BT7" i="24"/>
  <c r="BU7" i="24"/>
  <c r="BV7" i="24"/>
  <c r="BW7" i="24"/>
  <c r="BX7" i="24"/>
  <c r="BY7" i="24"/>
  <c r="I6" i="11"/>
  <c r="BH10" i="24"/>
  <c r="BH50" i="24" s="1"/>
  <c r="E6" i="31" s="1"/>
  <c r="BI10" i="24"/>
  <c r="BJ10" i="24"/>
  <c r="BK10" i="24"/>
  <c r="BL10" i="24"/>
  <c r="BM10" i="24"/>
  <c r="BN10" i="24"/>
  <c r="BO10" i="24"/>
  <c r="BP10" i="24"/>
  <c r="BQ10" i="24"/>
  <c r="BR10" i="24"/>
  <c r="BS10" i="24"/>
  <c r="BT10" i="24"/>
  <c r="BU10" i="24"/>
  <c r="BV10" i="24"/>
  <c r="BW10" i="24"/>
  <c r="BX10" i="24"/>
  <c r="BY10" i="24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I8" i="11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C6" i="13"/>
  <c r="H6" i="31" l="1"/>
  <c r="Q21" i="49"/>
  <c r="Q42" i="31"/>
  <c r="C22" i="19"/>
  <c r="G31" i="27"/>
  <c r="K31" i="27"/>
  <c r="T31" i="27" s="1"/>
  <c r="F13" i="27"/>
  <c r="H13" i="27" s="1"/>
  <c r="R40" i="31"/>
  <c r="Q18" i="31"/>
  <c r="Q52" i="31" s="1"/>
  <c r="Q41" i="31"/>
  <c r="D40" i="31"/>
  <c r="D9" i="34"/>
  <c r="D11" i="34" s="1"/>
  <c r="F6" i="5"/>
  <c r="K33" i="31"/>
  <c r="O122" i="44"/>
  <c r="BY38" i="29"/>
  <c r="Q12" i="19" s="1"/>
  <c r="CA38" i="29"/>
  <c r="Q14" i="19" s="1"/>
  <c r="BZ38" i="29"/>
  <c r="Q13" i="19" s="1"/>
  <c r="CF9" i="29"/>
  <c r="I9" i="28"/>
  <c r="I12" i="28" s="1"/>
  <c r="I45" i="28" s="1"/>
  <c r="S18" i="31"/>
  <c r="S52" i="31" s="1"/>
  <c r="T18" i="31"/>
  <c r="T52" i="31" s="1"/>
  <c r="BV139" i="24"/>
  <c r="W9" i="28" s="1"/>
  <c r="W12" i="28" s="1"/>
  <c r="W45" i="28" s="1"/>
  <c r="OC88" i="24"/>
  <c r="OA91" i="24"/>
  <c r="OA124" i="24" s="1"/>
  <c r="BT140" i="24" s="1"/>
  <c r="OE91" i="24"/>
  <c r="OE124" i="24" s="1"/>
  <c r="BX140" i="24" s="1"/>
  <c r="NO91" i="24"/>
  <c r="NO124" i="24" s="1"/>
  <c r="BH140" i="24" s="1"/>
  <c r="OD91" i="24"/>
  <c r="OD124" i="24" s="1"/>
  <c r="BW140" i="24" s="1"/>
  <c r="NT91" i="24"/>
  <c r="NT124" i="24" s="1"/>
  <c r="BM140" i="24" s="1"/>
  <c r="NY91" i="24"/>
  <c r="NY124" i="24" s="1"/>
  <c r="BR140" i="24" s="1"/>
  <c r="NR91" i="24"/>
  <c r="NR124" i="24" s="1"/>
  <c r="BK140" i="24" s="1"/>
  <c r="NQ91" i="24"/>
  <c r="NQ124" i="24" s="1"/>
  <c r="BJ140" i="24" s="1"/>
  <c r="NU91" i="24"/>
  <c r="NU124" i="24" s="1"/>
  <c r="BN140" i="24" s="1"/>
  <c r="OF91" i="24"/>
  <c r="OF124" i="24" s="1"/>
  <c r="BY140" i="24" s="1"/>
  <c r="NS91" i="24"/>
  <c r="NS124" i="24" s="1"/>
  <c r="BL140" i="24" s="1"/>
  <c r="OB91" i="24"/>
  <c r="OB124" i="24" s="1"/>
  <c r="BU140" i="24" s="1"/>
  <c r="NW91" i="24"/>
  <c r="NW124" i="24" s="1"/>
  <c r="BP140" i="24" s="1"/>
  <c r="NZ91" i="24"/>
  <c r="NZ124" i="24" s="1"/>
  <c r="BS140" i="24" s="1"/>
  <c r="NV91" i="24"/>
  <c r="NV124" i="24" s="1"/>
  <c r="BO140" i="24" s="1"/>
  <c r="NX91" i="24"/>
  <c r="NX124" i="24" s="1"/>
  <c r="BQ140" i="24" s="1"/>
  <c r="BY50" i="24"/>
  <c r="BY13" i="24"/>
  <c r="BW50" i="24"/>
  <c r="BW13" i="24"/>
  <c r="BU50" i="24"/>
  <c r="BU13" i="24"/>
  <c r="BS50" i="24"/>
  <c r="BS13" i="24"/>
  <c r="BQ50" i="24"/>
  <c r="BQ13" i="24"/>
  <c r="BO50" i="24"/>
  <c r="BO13" i="24"/>
  <c r="BM50" i="24"/>
  <c r="BM13" i="24"/>
  <c r="BK50" i="24"/>
  <c r="BK13" i="24"/>
  <c r="BI50" i="24"/>
  <c r="BI13" i="24"/>
  <c r="BX50" i="24"/>
  <c r="BX13" i="24"/>
  <c r="BV50" i="24"/>
  <c r="BV13" i="24"/>
  <c r="BT50" i="24"/>
  <c r="BT13" i="24"/>
  <c r="BR50" i="24"/>
  <c r="BR13" i="24"/>
  <c r="BP50" i="24"/>
  <c r="BP13" i="24"/>
  <c r="BN50" i="24"/>
  <c r="BN13" i="24"/>
  <c r="BL50" i="24"/>
  <c r="BL13" i="24"/>
  <c r="BJ50" i="24"/>
  <c r="BJ13" i="24"/>
  <c r="BH13" i="24"/>
  <c r="JZ117" i="24"/>
  <c r="KA116" i="24"/>
  <c r="MF117" i="24"/>
  <c r="MG116" i="24"/>
  <c r="FN117" i="24"/>
  <c r="FO116" i="24"/>
  <c r="CE117" i="24"/>
  <c r="CF116" i="24"/>
  <c r="BB117" i="24"/>
  <c r="BC116" i="24"/>
  <c r="NI117" i="24"/>
  <c r="NJ116" i="24"/>
  <c r="LC117" i="24"/>
  <c r="LD116" i="24"/>
  <c r="IW117" i="24"/>
  <c r="IX116" i="24"/>
  <c r="HT117" i="24"/>
  <c r="HU116" i="24"/>
  <c r="GQ117" i="24"/>
  <c r="GR116" i="24"/>
  <c r="EK117" i="24"/>
  <c r="EL116" i="24"/>
  <c r="DH117" i="24"/>
  <c r="DI116" i="24"/>
  <c r="C32" i="27"/>
  <c r="D31" i="27"/>
  <c r="I13" i="11"/>
  <c r="I40" i="11"/>
  <c r="I38" i="11"/>
  <c r="I36" i="11"/>
  <c r="I34" i="11"/>
  <c r="I32" i="11"/>
  <c r="I30" i="11"/>
  <c r="I28" i="11"/>
  <c r="I26" i="11"/>
  <c r="I24" i="11"/>
  <c r="I22" i="11"/>
  <c r="I20" i="11"/>
  <c r="I18" i="11"/>
  <c r="I16" i="11"/>
  <c r="I14" i="11"/>
  <c r="I43" i="11"/>
  <c r="I41" i="11"/>
  <c r="I39" i="11"/>
  <c r="I37" i="11"/>
  <c r="I35" i="11"/>
  <c r="I33" i="11"/>
  <c r="I31" i="11"/>
  <c r="I29" i="11"/>
  <c r="I27" i="11"/>
  <c r="I25" i="11"/>
  <c r="I23" i="11"/>
  <c r="I21" i="11"/>
  <c r="I19" i="11"/>
  <c r="I17" i="11"/>
  <c r="I15" i="11"/>
  <c r="I42" i="11"/>
  <c r="C27" i="18"/>
  <c r="D26" i="18"/>
  <c r="BO15" i="24"/>
  <c r="BO19" i="24"/>
  <c r="BO21" i="24"/>
  <c r="BO23" i="24"/>
  <c r="BO27" i="24"/>
  <c r="BO29" i="24"/>
  <c r="BO33" i="24"/>
  <c r="BO35" i="24"/>
  <c r="BO37" i="24"/>
  <c r="BO16" i="24"/>
  <c r="BO24" i="24"/>
  <c r="BO28" i="24"/>
  <c r="BO36" i="24"/>
  <c r="BO40" i="24"/>
  <c r="BO44" i="24"/>
  <c r="BO22" i="24"/>
  <c r="BO26" i="24"/>
  <c r="BO30" i="24"/>
  <c r="BM17" i="24"/>
  <c r="BM19" i="24"/>
  <c r="BM21" i="24"/>
  <c r="BM23" i="24"/>
  <c r="BM25" i="24"/>
  <c r="BM27" i="24"/>
  <c r="BM31" i="24"/>
  <c r="BM33" i="24"/>
  <c r="BM35" i="24"/>
  <c r="BM39" i="24"/>
  <c r="BM41" i="24"/>
  <c r="BM43" i="24"/>
  <c r="BM14" i="24"/>
  <c r="BM22" i="24"/>
  <c r="BM26" i="24"/>
  <c r="BM30" i="24"/>
  <c r="BM34" i="24"/>
  <c r="BM38" i="24"/>
  <c r="BM42" i="24"/>
  <c r="BM16" i="24"/>
  <c r="BM20" i="24"/>
  <c r="BM24" i="24"/>
  <c r="BM28" i="24"/>
  <c r="BM32" i="24"/>
  <c r="BM36" i="24"/>
  <c r="BM40" i="24"/>
  <c r="BM44" i="24"/>
  <c r="BK17" i="24"/>
  <c r="BK19" i="24"/>
  <c r="BK23" i="24"/>
  <c r="BK25" i="24"/>
  <c r="BK29" i="24"/>
  <c r="BK31" i="24"/>
  <c r="BK33" i="24"/>
  <c r="BK37" i="24"/>
  <c r="BK39" i="24"/>
  <c r="BK41" i="24"/>
  <c r="BK14" i="24"/>
  <c r="BK16" i="24"/>
  <c r="BK20" i="24"/>
  <c r="BK24" i="24"/>
  <c r="BK28" i="24"/>
  <c r="BK32" i="24"/>
  <c r="BK40" i="24"/>
  <c r="BK44" i="24"/>
  <c r="BK18" i="24"/>
  <c r="BK22" i="24"/>
  <c r="BK26" i="24"/>
  <c r="BK30" i="24"/>
  <c r="BK38" i="24"/>
  <c r="BI15" i="24"/>
  <c r="BI19" i="24"/>
  <c r="BI21" i="24"/>
  <c r="BI23" i="24"/>
  <c r="BI25" i="24"/>
  <c r="BI27" i="24"/>
  <c r="BI35" i="24"/>
  <c r="BI37" i="24"/>
  <c r="BI18" i="24"/>
  <c r="BI26" i="24"/>
  <c r="BI30" i="24"/>
  <c r="BI34" i="24"/>
  <c r="BI42" i="24"/>
  <c r="BI16" i="24"/>
  <c r="BI20" i="24"/>
  <c r="BI28" i="24"/>
  <c r="BI32" i="24"/>
  <c r="BI44" i="24"/>
  <c r="BI14" i="24"/>
  <c r="CR16" i="24"/>
  <c r="CR20" i="24"/>
  <c r="CR15" i="24"/>
  <c r="CR17" i="24"/>
  <c r="CR19" i="24"/>
  <c r="CR21" i="24"/>
  <c r="CR23" i="24"/>
  <c r="CR25" i="24"/>
  <c r="CR27" i="24"/>
  <c r="CR31" i="24"/>
  <c r="CR33" i="24"/>
  <c r="CR35" i="24"/>
  <c r="CR37" i="24"/>
  <c r="CR39" i="24"/>
  <c r="CR43" i="24"/>
  <c r="CR14" i="24"/>
  <c r="CR24" i="24"/>
  <c r="CR28" i="24"/>
  <c r="CR30" i="24"/>
  <c r="CR32" i="24"/>
  <c r="CR34" i="24"/>
  <c r="CR36" i="24"/>
  <c r="CR38" i="24"/>
  <c r="CR40" i="24"/>
  <c r="CR42" i="24"/>
  <c r="CR44" i="24"/>
  <c r="CR41" i="24"/>
  <c r="CR29" i="24"/>
  <c r="CR26" i="24"/>
  <c r="CR22" i="24"/>
  <c r="CR18" i="24"/>
  <c r="CP16" i="24"/>
  <c r="CP20" i="24"/>
  <c r="CP15" i="24"/>
  <c r="CP17" i="24"/>
  <c r="CP19" i="24"/>
  <c r="CP21" i="24"/>
  <c r="CP23" i="24"/>
  <c r="CP25" i="24"/>
  <c r="CP27" i="24"/>
  <c r="CP31" i="24"/>
  <c r="CP33" i="24"/>
  <c r="CP35" i="24"/>
  <c r="CP37" i="24"/>
  <c r="CP39" i="24"/>
  <c r="CP43" i="24"/>
  <c r="CP24" i="24"/>
  <c r="CP28" i="24"/>
  <c r="CP30" i="24"/>
  <c r="CP32" i="24"/>
  <c r="CP34" i="24"/>
  <c r="CP36" i="24"/>
  <c r="CP38" i="24"/>
  <c r="CP40" i="24"/>
  <c r="CP42" i="24"/>
  <c r="CP44" i="24"/>
  <c r="CP41" i="24"/>
  <c r="CP29" i="24"/>
  <c r="CP26" i="24"/>
  <c r="CP22" i="24"/>
  <c r="CP18" i="24"/>
  <c r="CN16" i="24"/>
  <c r="CN20" i="24"/>
  <c r="CN15" i="24"/>
  <c r="CN17" i="24"/>
  <c r="CN19" i="24"/>
  <c r="CN21" i="24"/>
  <c r="CN23" i="24"/>
  <c r="CN25" i="24"/>
  <c r="CN27" i="24"/>
  <c r="CN31" i="24"/>
  <c r="CN33" i="24"/>
  <c r="CN35" i="24"/>
  <c r="CN37" i="24"/>
  <c r="CN39" i="24"/>
  <c r="CN43" i="24"/>
  <c r="CN24" i="24"/>
  <c r="CN28" i="24"/>
  <c r="CN30" i="24"/>
  <c r="CN32" i="24"/>
  <c r="CN34" i="24"/>
  <c r="CN36" i="24"/>
  <c r="CN38" i="24"/>
  <c r="CN40" i="24"/>
  <c r="CN42" i="24"/>
  <c r="CN41" i="24"/>
  <c r="CN29" i="24"/>
  <c r="CN26" i="24"/>
  <c r="CN22" i="24"/>
  <c r="CL16" i="24"/>
  <c r="CL20" i="24"/>
  <c r="CL15" i="24"/>
  <c r="CL17" i="24"/>
  <c r="CL19" i="24"/>
  <c r="CL21" i="24"/>
  <c r="CL23" i="24"/>
  <c r="CL25" i="24"/>
  <c r="CL27" i="24"/>
  <c r="CL31" i="24"/>
  <c r="CL33" i="24"/>
  <c r="CL35" i="24"/>
  <c r="CL37" i="24"/>
  <c r="CL39" i="24"/>
  <c r="CL43" i="24"/>
  <c r="CL14" i="24"/>
  <c r="CL24" i="24"/>
  <c r="CL28" i="24"/>
  <c r="CL30" i="24"/>
  <c r="CL32" i="24"/>
  <c r="CL34" i="24"/>
  <c r="CL36" i="24"/>
  <c r="CL38" i="24"/>
  <c r="CL40" i="24"/>
  <c r="CL42" i="24"/>
  <c r="CL44" i="24"/>
  <c r="CL29" i="24"/>
  <c r="CL26" i="24"/>
  <c r="CL22" i="24"/>
  <c r="CL18" i="24"/>
  <c r="DU15" i="24"/>
  <c r="DU17" i="24"/>
  <c r="DU20" i="24"/>
  <c r="DU22" i="24"/>
  <c r="DU24" i="24"/>
  <c r="DU26" i="24"/>
  <c r="DU30" i="24"/>
  <c r="DU32" i="24"/>
  <c r="DU34" i="24"/>
  <c r="DU36" i="24"/>
  <c r="DU40" i="24"/>
  <c r="DU42" i="24"/>
  <c r="DU44" i="24"/>
  <c r="DU16" i="24"/>
  <c r="DU19" i="24"/>
  <c r="DU21" i="24"/>
  <c r="DU25" i="24"/>
  <c r="DU27" i="24"/>
  <c r="DU29" i="24"/>
  <c r="DU31" i="24"/>
  <c r="DU35" i="24"/>
  <c r="DU37" i="24"/>
  <c r="DU39" i="24"/>
  <c r="DU41" i="24"/>
  <c r="DU43" i="24"/>
  <c r="DU38" i="24"/>
  <c r="DU33" i="24"/>
  <c r="DU28" i="24"/>
  <c r="DU14" i="24"/>
  <c r="DS17" i="24"/>
  <c r="DS16" i="24"/>
  <c r="DS20" i="24"/>
  <c r="DS22" i="24"/>
  <c r="DS24" i="24"/>
  <c r="DS26" i="24"/>
  <c r="DS30" i="24"/>
  <c r="DS32" i="24"/>
  <c r="DS34" i="24"/>
  <c r="DS36" i="24"/>
  <c r="DS40" i="24"/>
  <c r="DS42" i="24"/>
  <c r="DS44" i="24"/>
  <c r="DS15" i="24"/>
  <c r="DS19" i="24"/>
  <c r="DS21" i="24"/>
  <c r="DS25" i="24"/>
  <c r="DS27" i="24"/>
  <c r="DS29" i="24"/>
  <c r="DS31" i="24"/>
  <c r="DS35" i="24"/>
  <c r="DS37" i="24"/>
  <c r="DS39" i="24"/>
  <c r="DS41" i="24"/>
  <c r="DS43" i="24"/>
  <c r="DS38" i="24"/>
  <c r="DS33" i="24"/>
  <c r="DS28" i="24"/>
  <c r="DS23" i="24"/>
  <c r="DS18" i="24"/>
  <c r="DS14" i="24"/>
  <c r="DQ15" i="24"/>
  <c r="DQ17" i="24"/>
  <c r="DQ19" i="24"/>
  <c r="DQ20" i="24"/>
  <c r="DQ22" i="24"/>
  <c r="DQ24" i="24"/>
  <c r="DQ26" i="24"/>
  <c r="DQ30" i="24"/>
  <c r="DQ32" i="24"/>
  <c r="DQ34" i="24"/>
  <c r="DQ36" i="24"/>
  <c r="DQ40" i="24"/>
  <c r="DQ42" i="24"/>
  <c r="DQ44" i="24"/>
  <c r="DQ16" i="24"/>
  <c r="DQ21" i="24"/>
  <c r="DQ25" i="24"/>
  <c r="DQ27" i="24"/>
  <c r="DQ29" i="24"/>
  <c r="DQ31" i="24"/>
  <c r="DQ35" i="24"/>
  <c r="DQ37" i="24"/>
  <c r="DQ39" i="24"/>
  <c r="DQ41" i="24"/>
  <c r="DQ38" i="24"/>
  <c r="DQ28" i="24"/>
  <c r="DQ23" i="24"/>
  <c r="DQ18" i="24"/>
  <c r="DO17" i="24"/>
  <c r="DO19" i="24"/>
  <c r="DO15" i="24"/>
  <c r="DO16" i="24"/>
  <c r="DO20" i="24"/>
  <c r="DO22" i="24"/>
  <c r="DO24" i="24"/>
  <c r="DO26" i="24"/>
  <c r="DO30" i="24"/>
  <c r="DO32" i="24"/>
  <c r="DO36" i="24"/>
  <c r="DO40" i="24"/>
  <c r="DO42" i="24"/>
  <c r="DO44" i="24"/>
  <c r="DO21" i="24"/>
  <c r="DO25" i="24"/>
  <c r="DO27" i="24"/>
  <c r="DO29" i="24"/>
  <c r="DO35" i="24"/>
  <c r="DO37" i="24"/>
  <c r="DO39" i="24"/>
  <c r="DO43" i="24"/>
  <c r="DO33" i="24"/>
  <c r="DO28" i="24"/>
  <c r="DO23" i="24"/>
  <c r="DO18" i="24"/>
  <c r="DO14" i="24"/>
  <c r="EX16" i="24"/>
  <c r="EX18" i="24"/>
  <c r="EX20" i="24"/>
  <c r="EX24" i="24"/>
  <c r="EX26" i="24"/>
  <c r="EX28" i="24"/>
  <c r="EX30" i="24"/>
  <c r="EX34" i="24"/>
  <c r="EX36" i="24"/>
  <c r="EX40" i="24"/>
  <c r="EX44" i="24"/>
  <c r="EX15" i="24"/>
  <c r="EX19" i="24"/>
  <c r="EX21" i="24"/>
  <c r="EX23" i="24"/>
  <c r="EX25" i="24"/>
  <c r="EX29" i="24"/>
  <c r="EX31" i="24"/>
  <c r="EX33" i="24"/>
  <c r="EX35" i="24"/>
  <c r="EX39" i="24"/>
  <c r="EX41" i="24"/>
  <c r="EX14" i="24"/>
  <c r="EX42" i="24"/>
  <c r="EX37" i="24"/>
  <c r="EX32" i="24"/>
  <c r="EX27" i="24"/>
  <c r="EX22" i="24"/>
  <c r="EX17" i="24"/>
  <c r="EV16" i="24"/>
  <c r="EV18" i="24"/>
  <c r="EV20" i="24"/>
  <c r="EV24" i="24"/>
  <c r="EV26" i="24"/>
  <c r="EV30" i="24"/>
  <c r="EV15" i="24"/>
  <c r="EV19" i="24"/>
  <c r="EV21" i="24"/>
  <c r="EV23" i="24"/>
  <c r="EV25" i="24"/>
  <c r="EV29" i="24"/>
  <c r="EV31" i="24"/>
  <c r="EV33" i="24"/>
  <c r="EV34" i="24"/>
  <c r="EV36" i="24"/>
  <c r="EV38" i="24"/>
  <c r="EV40" i="24"/>
  <c r="EV44" i="24"/>
  <c r="EV35" i="24"/>
  <c r="EV39" i="24"/>
  <c r="EV41" i="24"/>
  <c r="EV14" i="24"/>
  <c r="EV43" i="24"/>
  <c r="EV42" i="24"/>
  <c r="EV37" i="24"/>
  <c r="EV32" i="24"/>
  <c r="EV27" i="24"/>
  <c r="EV22" i="24"/>
  <c r="EV17" i="24"/>
  <c r="ET16" i="24"/>
  <c r="ET18" i="24"/>
  <c r="ET20" i="24"/>
  <c r="ET24" i="24"/>
  <c r="ET26" i="24"/>
  <c r="ET28" i="24"/>
  <c r="ET30" i="24"/>
  <c r="ET34" i="24"/>
  <c r="ET36" i="24"/>
  <c r="ET38" i="24"/>
  <c r="ET40" i="24"/>
  <c r="ET44" i="24"/>
  <c r="ET15" i="24"/>
  <c r="ET19" i="24"/>
  <c r="ET21" i="24"/>
  <c r="ET25" i="24"/>
  <c r="ET35" i="24"/>
  <c r="ET39" i="24"/>
  <c r="ET41" i="24"/>
  <c r="ET29" i="24"/>
  <c r="ET31" i="24"/>
  <c r="ET33" i="24"/>
  <c r="ET43" i="24"/>
  <c r="ET42" i="24"/>
  <c r="ET37" i="24"/>
  <c r="ET32" i="24"/>
  <c r="ET27" i="24"/>
  <c r="ET22" i="24"/>
  <c r="ET17" i="24"/>
  <c r="ER16" i="24"/>
  <c r="ER20" i="24"/>
  <c r="ER26" i="24"/>
  <c r="ER28" i="24"/>
  <c r="ER30" i="24"/>
  <c r="ER19" i="24"/>
  <c r="ER21" i="24"/>
  <c r="ER23" i="24"/>
  <c r="ER25" i="24"/>
  <c r="ER31" i="24"/>
  <c r="ER33" i="24"/>
  <c r="ER34" i="24"/>
  <c r="ER38" i="24"/>
  <c r="ER40" i="24"/>
  <c r="ER44" i="24"/>
  <c r="ER35" i="24"/>
  <c r="ER41" i="24"/>
  <c r="ER14" i="24"/>
  <c r="ER42" i="24"/>
  <c r="ER37" i="24"/>
  <c r="ER27" i="24"/>
  <c r="GA16" i="24"/>
  <c r="GA18" i="24"/>
  <c r="GA20" i="24"/>
  <c r="GA22" i="24"/>
  <c r="GA24" i="24"/>
  <c r="GA26" i="24"/>
  <c r="GA28" i="24"/>
  <c r="GA30" i="24"/>
  <c r="GA32" i="24"/>
  <c r="GA34" i="24"/>
  <c r="GA36" i="24"/>
  <c r="GA38" i="24"/>
  <c r="GA42" i="24"/>
  <c r="GA44" i="24"/>
  <c r="GA15" i="24"/>
  <c r="GA17" i="24"/>
  <c r="GA19" i="24"/>
  <c r="GA21" i="24"/>
  <c r="GA23" i="24"/>
  <c r="GA25" i="24"/>
  <c r="GA27" i="24"/>
  <c r="GA29" i="24"/>
  <c r="GA31" i="24"/>
  <c r="GA33" i="24"/>
  <c r="GA35" i="24"/>
  <c r="GA37" i="24"/>
  <c r="GA39" i="24"/>
  <c r="GA41" i="24"/>
  <c r="GA43" i="24"/>
  <c r="GA14" i="24"/>
  <c r="FY16" i="24"/>
  <c r="FY18" i="24"/>
  <c r="FY20" i="24"/>
  <c r="FY22" i="24"/>
  <c r="FY24" i="24"/>
  <c r="FY26" i="24"/>
  <c r="FY28" i="24"/>
  <c r="FY30" i="24"/>
  <c r="FY32" i="24"/>
  <c r="FY36" i="24"/>
  <c r="FY38" i="24"/>
  <c r="FY40" i="24"/>
  <c r="FY42" i="24"/>
  <c r="FY44" i="24"/>
  <c r="FY15" i="24"/>
  <c r="FY17" i="24"/>
  <c r="FY19" i="24"/>
  <c r="FY21" i="24"/>
  <c r="FY23" i="24"/>
  <c r="FY25" i="24"/>
  <c r="FY27" i="24"/>
  <c r="FY29" i="24"/>
  <c r="FY31" i="24"/>
  <c r="FY33" i="24"/>
  <c r="FY35" i="24"/>
  <c r="FY37" i="24"/>
  <c r="FY39" i="24"/>
  <c r="FY41" i="24"/>
  <c r="FY43" i="24"/>
  <c r="FY14" i="24"/>
  <c r="FW16" i="24"/>
  <c r="FW20" i="24"/>
  <c r="FW22" i="24"/>
  <c r="FW24" i="24"/>
  <c r="FW26" i="24"/>
  <c r="FW28" i="24"/>
  <c r="FW30" i="24"/>
  <c r="FW32" i="24"/>
  <c r="FW34" i="24"/>
  <c r="FW36" i="24"/>
  <c r="FW38" i="24"/>
  <c r="FW40" i="24"/>
  <c r="FW44" i="24"/>
  <c r="FW15" i="24"/>
  <c r="FW17" i="24"/>
  <c r="FW19" i="24"/>
  <c r="FW21" i="24"/>
  <c r="FW23" i="24"/>
  <c r="FW25" i="24"/>
  <c r="FW27" i="24"/>
  <c r="FW29" i="24"/>
  <c r="FW31" i="24"/>
  <c r="FW33" i="24"/>
  <c r="FW37" i="24"/>
  <c r="FW39" i="24"/>
  <c r="FW41" i="24"/>
  <c r="FW43" i="24"/>
  <c r="FW14" i="24"/>
  <c r="FU16" i="24"/>
  <c r="FU18" i="24"/>
  <c r="FU20" i="24"/>
  <c r="FU24" i="24"/>
  <c r="FU28" i="24"/>
  <c r="FU30" i="24"/>
  <c r="FU32" i="24"/>
  <c r="FU34" i="24"/>
  <c r="FU38" i="24"/>
  <c r="FU42" i="24"/>
  <c r="FU17" i="24"/>
  <c r="FU19" i="24"/>
  <c r="FU21" i="24"/>
  <c r="FU23" i="24"/>
  <c r="FU25" i="24"/>
  <c r="FU27" i="24"/>
  <c r="FU31" i="24"/>
  <c r="FU35" i="24"/>
  <c r="FU37" i="24"/>
  <c r="FU39" i="24"/>
  <c r="FU41" i="24"/>
  <c r="HD20" i="24"/>
  <c r="HD24" i="24"/>
  <c r="HD26" i="24"/>
  <c r="HD28" i="24"/>
  <c r="HD30" i="24"/>
  <c r="HD32" i="24"/>
  <c r="HD36" i="24"/>
  <c r="HD38" i="24"/>
  <c r="HD40" i="24"/>
  <c r="HD42" i="24"/>
  <c r="HD44" i="24"/>
  <c r="HD15" i="24"/>
  <c r="HD17" i="24"/>
  <c r="HD19" i="24"/>
  <c r="HD21" i="24"/>
  <c r="HD23" i="24"/>
  <c r="HD27" i="24"/>
  <c r="HD31" i="24"/>
  <c r="HD33" i="24"/>
  <c r="HD35" i="24"/>
  <c r="HD37" i="24"/>
  <c r="HD41" i="24"/>
  <c r="HD43" i="24"/>
  <c r="HD14" i="24"/>
  <c r="HD39" i="24"/>
  <c r="HD29" i="24"/>
  <c r="HD25" i="24"/>
  <c r="HD22" i="24"/>
  <c r="HD18" i="24"/>
  <c r="HD16" i="24"/>
  <c r="HB20" i="24"/>
  <c r="HB24" i="24"/>
  <c r="HB26" i="24"/>
  <c r="HB28" i="24"/>
  <c r="HB30" i="24"/>
  <c r="HB32" i="24"/>
  <c r="HB36" i="24"/>
  <c r="HB38" i="24"/>
  <c r="HB40" i="24"/>
  <c r="HB42" i="24"/>
  <c r="HB44" i="24"/>
  <c r="HB15" i="24"/>
  <c r="HB17" i="24"/>
  <c r="HB19" i="24"/>
  <c r="HB21" i="24"/>
  <c r="HB23" i="24"/>
  <c r="HB27" i="24"/>
  <c r="HB31" i="24"/>
  <c r="HB33" i="24"/>
  <c r="HB35" i="24"/>
  <c r="HB37" i="24"/>
  <c r="HB41" i="24"/>
  <c r="HB43" i="24"/>
  <c r="HB14" i="24"/>
  <c r="HB39" i="24"/>
  <c r="HB34" i="24"/>
  <c r="HB29" i="24"/>
  <c r="HB22" i="24"/>
  <c r="HB18" i="24"/>
  <c r="HB16" i="24"/>
  <c r="GZ20" i="24"/>
  <c r="GZ24" i="24"/>
  <c r="GZ26" i="24"/>
  <c r="GZ28" i="24"/>
  <c r="GZ30" i="24"/>
  <c r="GZ36" i="24"/>
  <c r="GZ38" i="24"/>
  <c r="GZ40" i="24"/>
  <c r="GZ42" i="24"/>
  <c r="GZ44" i="24"/>
  <c r="GZ15" i="24"/>
  <c r="GZ17" i="24"/>
  <c r="GZ19" i="24"/>
  <c r="GZ21" i="24"/>
  <c r="GZ23" i="24"/>
  <c r="GZ27" i="24"/>
  <c r="GZ31" i="24"/>
  <c r="GZ33" i="24"/>
  <c r="GZ35" i="24"/>
  <c r="GZ37" i="24"/>
  <c r="GZ41" i="24"/>
  <c r="GZ43" i="24"/>
  <c r="GZ14" i="24"/>
  <c r="GZ34" i="24"/>
  <c r="GZ29" i="24"/>
  <c r="GZ25" i="24"/>
  <c r="GZ22" i="24"/>
  <c r="GZ16" i="24"/>
  <c r="GX20" i="24"/>
  <c r="GX24" i="24"/>
  <c r="GX28" i="24"/>
  <c r="GX32" i="24"/>
  <c r="GX36" i="24"/>
  <c r="GX38" i="24"/>
  <c r="GX42" i="24"/>
  <c r="GX44" i="24"/>
  <c r="GX15" i="24"/>
  <c r="GX17" i="24"/>
  <c r="GX19" i="24"/>
  <c r="GX21" i="24"/>
  <c r="GX23" i="24"/>
  <c r="GX27" i="24"/>
  <c r="GX31" i="24"/>
  <c r="GX35" i="24"/>
  <c r="GX41" i="24"/>
  <c r="GX14" i="24"/>
  <c r="GX39" i="24"/>
  <c r="GX34" i="24"/>
  <c r="GX29" i="24"/>
  <c r="GX25" i="24"/>
  <c r="GX22" i="24"/>
  <c r="GX18" i="24"/>
  <c r="IG16" i="24"/>
  <c r="IG18" i="24"/>
  <c r="IG20" i="24"/>
  <c r="IG22" i="24"/>
  <c r="IG24" i="24"/>
  <c r="IG26" i="24"/>
  <c r="IG28" i="24"/>
  <c r="IG30" i="24"/>
  <c r="IG32" i="24"/>
  <c r="IG34" i="24"/>
  <c r="IG36" i="24"/>
  <c r="IG38" i="24"/>
  <c r="IG40" i="24"/>
  <c r="IG42" i="24"/>
  <c r="IG44" i="24"/>
  <c r="IG15" i="24"/>
  <c r="IG19" i="24"/>
  <c r="IG21" i="24"/>
  <c r="IG23" i="24"/>
  <c r="IG25" i="24"/>
  <c r="IG27" i="24"/>
  <c r="IG29" i="24"/>
  <c r="IG31" i="24"/>
  <c r="IG33" i="24"/>
  <c r="IG35" i="24"/>
  <c r="IG37" i="24"/>
  <c r="IG39" i="24"/>
  <c r="IG41" i="24"/>
  <c r="IG43" i="24"/>
  <c r="IG14" i="24"/>
  <c r="IE16" i="24"/>
  <c r="IE18" i="24"/>
  <c r="IE20" i="24"/>
  <c r="IE22" i="24"/>
  <c r="IE24" i="24"/>
  <c r="IE26" i="24"/>
  <c r="IE28" i="24"/>
  <c r="IE30" i="24"/>
  <c r="IE32" i="24"/>
  <c r="IE34" i="24"/>
  <c r="IE36" i="24"/>
  <c r="IE38" i="24"/>
  <c r="IE40" i="24"/>
  <c r="IE42" i="24"/>
  <c r="IE44" i="24"/>
  <c r="IE15" i="24"/>
  <c r="IE17" i="24"/>
  <c r="IE19" i="24"/>
  <c r="IE21" i="24"/>
  <c r="IE23" i="24"/>
  <c r="IE25" i="24"/>
  <c r="IE29" i="24"/>
  <c r="IE31" i="24"/>
  <c r="IE33" i="24"/>
  <c r="IE35" i="24"/>
  <c r="IE37" i="24"/>
  <c r="IE39" i="24"/>
  <c r="IE41" i="24"/>
  <c r="IE43" i="24"/>
  <c r="IE14" i="24"/>
  <c r="IC18" i="24"/>
  <c r="IC20" i="24"/>
  <c r="IC22" i="24"/>
  <c r="IC24" i="24"/>
  <c r="IC26" i="24"/>
  <c r="IC28" i="24"/>
  <c r="IC32" i="24"/>
  <c r="IC34" i="24"/>
  <c r="IC36" i="24"/>
  <c r="IC38" i="24"/>
  <c r="IC40" i="24"/>
  <c r="IC42" i="24"/>
  <c r="IC44" i="24"/>
  <c r="IC15" i="24"/>
  <c r="IC17" i="24"/>
  <c r="IC19" i="24"/>
  <c r="IC21" i="24"/>
  <c r="IC25" i="24"/>
  <c r="IC27" i="24"/>
  <c r="IC29" i="24"/>
  <c r="IC31" i="24"/>
  <c r="IC33" i="24"/>
  <c r="IC35" i="24"/>
  <c r="IC39" i="24"/>
  <c r="IC41" i="24"/>
  <c r="IC43" i="24"/>
  <c r="IC14" i="24"/>
  <c r="IA16" i="24"/>
  <c r="IA18" i="24"/>
  <c r="IA20" i="24"/>
  <c r="IA22" i="24"/>
  <c r="IA26" i="24"/>
  <c r="IA30" i="24"/>
  <c r="IA32" i="24"/>
  <c r="IA34" i="24"/>
  <c r="IA36" i="24"/>
  <c r="IA38" i="24"/>
  <c r="IA40" i="24"/>
  <c r="IA42" i="24"/>
  <c r="IA44" i="24"/>
  <c r="IA15" i="24"/>
  <c r="IA19" i="24"/>
  <c r="IA21" i="24"/>
  <c r="IA23" i="24"/>
  <c r="IA25" i="24"/>
  <c r="IA27" i="24"/>
  <c r="IA29" i="24"/>
  <c r="IA33" i="24"/>
  <c r="IA37" i="24"/>
  <c r="IA39" i="24"/>
  <c r="IA41" i="24"/>
  <c r="JJ16" i="24"/>
  <c r="JJ18" i="24"/>
  <c r="JJ20" i="24"/>
  <c r="JJ22" i="24"/>
  <c r="JJ24" i="24"/>
  <c r="JJ26" i="24"/>
  <c r="JJ28" i="24"/>
  <c r="JJ30" i="24"/>
  <c r="JJ32" i="24"/>
  <c r="JJ34" i="24"/>
  <c r="JJ36" i="24"/>
  <c r="JJ38" i="24"/>
  <c r="JJ40" i="24"/>
  <c r="JJ42" i="24"/>
  <c r="JJ44" i="24"/>
  <c r="JJ17" i="24"/>
  <c r="JJ19" i="24"/>
  <c r="JJ21" i="24"/>
  <c r="JJ23" i="24"/>
  <c r="JJ27" i="24"/>
  <c r="JJ29" i="24"/>
  <c r="JJ31" i="24"/>
  <c r="JJ33" i="24"/>
  <c r="JJ37" i="24"/>
  <c r="JJ39" i="24"/>
  <c r="JJ41" i="24"/>
  <c r="JJ43" i="24"/>
  <c r="JJ14" i="24"/>
  <c r="JJ25" i="24"/>
  <c r="JJ15" i="24"/>
  <c r="JH16" i="24"/>
  <c r="JH18" i="24"/>
  <c r="JH20" i="24"/>
  <c r="JH22" i="24"/>
  <c r="JH24" i="24"/>
  <c r="JH26" i="24"/>
  <c r="JH28" i="24"/>
  <c r="JH30" i="24"/>
  <c r="JH32" i="24"/>
  <c r="JH34" i="24"/>
  <c r="JH36" i="24"/>
  <c r="JH38" i="24"/>
  <c r="JH40" i="24"/>
  <c r="JH42" i="24"/>
  <c r="JH44" i="24"/>
  <c r="JH17" i="24"/>
  <c r="JH19" i="24"/>
  <c r="JH21" i="24"/>
  <c r="JH23" i="24"/>
  <c r="JH27" i="24"/>
  <c r="JH29" i="24"/>
  <c r="JH31" i="24"/>
  <c r="JH33" i="24"/>
  <c r="JH37" i="24"/>
  <c r="JH39" i="24"/>
  <c r="JH41" i="24"/>
  <c r="JH14" i="24"/>
  <c r="JH35" i="24"/>
  <c r="JH25" i="24"/>
  <c r="JH15" i="24"/>
  <c r="JF16" i="24"/>
  <c r="JF18" i="24"/>
  <c r="JF20" i="24"/>
  <c r="JF22" i="24"/>
  <c r="JF24" i="24"/>
  <c r="JF26" i="24"/>
  <c r="JF28" i="24"/>
  <c r="JF30" i="24"/>
  <c r="JF32" i="24"/>
  <c r="JF36" i="24"/>
  <c r="JF38" i="24"/>
  <c r="JF40" i="24"/>
  <c r="JF42" i="24"/>
  <c r="JF44" i="24"/>
  <c r="JF19" i="24"/>
  <c r="JF21" i="24"/>
  <c r="JF23" i="24"/>
  <c r="JF29" i="24"/>
  <c r="JF31" i="24"/>
  <c r="JF33" i="24"/>
  <c r="JF37" i="24"/>
  <c r="JF39" i="24"/>
  <c r="JF43" i="24"/>
  <c r="JF35" i="24"/>
  <c r="JF25" i="24"/>
  <c r="JF15" i="24"/>
  <c r="JD16" i="24"/>
  <c r="JD18" i="24"/>
  <c r="JD20" i="24"/>
  <c r="JD22" i="24"/>
  <c r="JD24" i="24"/>
  <c r="JD26" i="24"/>
  <c r="JD30" i="24"/>
  <c r="JD34" i="24"/>
  <c r="JD36" i="24"/>
  <c r="JD38" i="24"/>
  <c r="JD40" i="24"/>
  <c r="JD44" i="24"/>
  <c r="JD17" i="24"/>
  <c r="JD19" i="24"/>
  <c r="JD21" i="24"/>
  <c r="JD23" i="24"/>
  <c r="JD27" i="24"/>
  <c r="JD29" i="24"/>
  <c r="JD31" i="24"/>
  <c r="JD33" i="24"/>
  <c r="JD37" i="24"/>
  <c r="JD41" i="24"/>
  <c r="JD43" i="24"/>
  <c r="JD14" i="24"/>
  <c r="JD25" i="24"/>
  <c r="JD15" i="24"/>
  <c r="KM15" i="24"/>
  <c r="KM17" i="24"/>
  <c r="KM19" i="24"/>
  <c r="KM21" i="24"/>
  <c r="KM23" i="24"/>
  <c r="KM25" i="24"/>
  <c r="KM29" i="24"/>
  <c r="KM31" i="24"/>
  <c r="KM33" i="24"/>
  <c r="KM35" i="24"/>
  <c r="KM37" i="24"/>
  <c r="KM39" i="24"/>
  <c r="KM41" i="24"/>
  <c r="KM43" i="24"/>
  <c r="KM44" i="24"/>
  <c r="KM16" i="24"/>
  <c r="KM18" i="24"/>
  <c r="KM20" i="24"/>
  <c r="KM22" i="24"/>
  <c r="KM24" i="24"/>
  <c r="KM26" i="24"/>
  <c r="KM28" i="24"/>
  <c r="KM30" i="24"/>
  <c r="KM32" i="24"/>
  <c r="KM34" i="24"/>
  <c r="KM36" i="24"/>
  <c r="KM38" i="24"/>
  <c r="KM40" i="24"/>
  <c r="KM42" i="24"/>
  <c r="KM14" i="24"/>
  <c r="KK15" i="24"/>
  <c r="KK17" i="24"/>
  <c r="KK19" i="24"/>
  <c r="KK21" i="24"/>
  <c r="KK23" i="24"/>
  <c r="KK25" i="24"/>
  <c r="KK27" i="24"/>
  <c r="KK29" i="24"/>
  <c r="KK31" i="24"/>
  <c r="KK33" i="24"/>
  <c r="KK35" i="24"/>
  <c r="KK37" i="24"/>
  <c r="KK39" i="24"/>
  <c r="KK41" i="24"/>
  <c r="KK43" i="24"/>
  <c r="KK16" i="24"/>
  <c r="KK18" i="24"/>
  <c r="KK20" i="24"/>
  <c r="KK22" i="24"/>
  <c r="KK24" i="24"/>
  <c r="KK26" i="24"/>
  <c r="KK28" i="24"/>
  <c r="KK30" i="24"/>
  <c r="KK32" i="24"/>
  <c r="KK34" i="24"/>
  <c r="KK36" i="24"/>
  <c r="KK38" i="24"/>
  <c r="KK40" i="24"/>
  <c r="KK42" i="24"/>
  <c r="KK44" i="24"/>
  <c r="KK14" i="24"/>
  <c r="KI15" i="24"/>
  <c r="KI17" i="24"/>
  <c r="KI19" i="24"/>
  <c r="KI21" i="24"/>
  <c r="KI23" i="24"/>
  <c r="KI27" i="24"/>
  <c r="KI29" i="24"/>
  <c r="KI31" i="24"/>
  <c r="KI33" i="24"/>
  <c r="KI35" i="24"/>
  <c r="KI37" i="24"/>
  <c r="KI41" i="24"/>
  <c r="KI43" i="24"/>
  <c r="KI44" i="24"/>
  <c r="KI16" i="24"/>
  <c r="KI20" i="24"/>
  <c r="KI22" i="24"/>
  <c r="KI24" i="24"/>
  <c r="KI26" i="24"/>
  <c r="KI28" i="24"/>
  <c r="KI30" i="24"/>
  <c r="KI34" i="24"/>
  <c r="KI14" i="24"/>
  <c r="KI36" i="24"/>
  <c r="KI38" i="24"/>
  <c r="KI40" i="24"/>
  <c r="KI42" i="24"/>
  <c r="KG15" i="24"/>
  <c r="KG17" i="24"/>
  <c r="KG21" i="24"/>
  <c r="KG25" i="24"/>
  <c r="KG27" i="24"/>
  <c r="KG29" i="24"/>
  <c r="KG31" i="24"/>
  <c r="KG35" i="24"/>
  <c r="KG39" i="24"/>
  <c r="KG41" i="24"/>
  <c r="KG43" i="24"/>
  <c r="KG18" i="24"/>
  <c r="KG20" i="24"/>
  <c r="KG22" i="24"/>
  <c r="KG24" i="24"/>
  <c r="KG26" i="24"/>
  <c r="KG28" i="24"/>
  <c r="KG32" i="24"/>
  <c r="KG34" i="24"/>
  <c r="KG36" i="24"/>
  <c r="KG38" i="24"/>
  <c r="KG42" i="24"/>
  <c r="KG14" i="24"/>
  <c r="LP15" i="24"/>
  <c r="LP17" i="24"/>
  <c r="LP19" i="24"/>
  <c r="LP21" i="24"/>
  <c r="LP23" i="24"/>
  <c r="LP25" i="24"/>
  <c r="LP27" i="24"/>
  <c r="LP29" i="24"/>
  <c r="LP31" i="24"/>
  <c r="LP33" i="24"/>
  <c r="LP35" i="24"/>
  <c r="LP37" i="24"/>
  <c r="LP41" i="24"/>
  <c r="LP14" i="24"/>
  <c r="LP16" i="24"/>
  <c r="LP20" i="24"/>
  <c r="LP24" i="24"/>
  <c r="LP26" i="24"/>
  <c r="LP28" i="24"/>
  <c r="LP32" i="24"/>
  <c r="LP34" i="24"/>
  <c r="LP36" i="24"/>
  <c r="LP38" i="24"/>
  <c r="LP40" i="24"/>
  <c r="LP42" i="24"/>
  <c r="LP44" i="24"/>
  <c r="LP43" i="24"/>
  <c r="LP39" i="24"/>
  <c r="LP30" i="24"/>
  <c r="LP22" i="24"/>
  <c r="LP18" i="24"/>
  <c r="LN15" i="24"/>
  <c r="LN17" i="24"/>
  <c r="LN19" i="24"/>
  <c r="LN21" i="24"/>
  <c r="LN23" i="24"/>
  <c r="LN25" i="24"/>
  <c r="LN27" i="24"/>
  <c r="LN29" i="24"/>
  <c r="LN31" i="24"/>
  <c r="LN33" i="24"/>
  <c r="LN35" i="24"/>
  <c r="LN37" i="24"/>
  <c r="LN41" i="24"/>
  <c r="LN16" i="24"/>
  <c r="LN20" i="24"/>
  <c r="LN24" i="24"/>
  <c r="LN26" i="24"/>
  <c r="LN28" i="24"/>
  <c r="LN32" i="24"/>
  <c r="LN34" i="24"/>
  <c r="LN36" i="24"/>
  <c r="LN38" i="24"/>
  <c r="LN40" i="24"/>
  <c r="LN42" i="24"/>
  <c r="LN44" i="24"/>
  <c r="LN43" i="24"/>
  <c r="LN39" i="24"/>
  <c r="LN30" i="24"/>
  <c r="LN22" i="24"/>
  <c r="LN18" i="24"/>
  <c r="LL17" i="24"/>
  <c r="LL19" i="24"/>
  <c r="LL21" i="24"/>
  <c r="LL23" i="24"/>
  <c r="LL25" i="24"/>
  <c r="LL27" i="24"/>
  <c r="LL31" i="24"/>
  <c r="LL33" i="24"/>
  <c r="LL35" i="24"/>
  <c r="LL37" i="24"/>
  <c r="LL41" i="24"/>
  <c r="LL16" i="24"/>
  <c r="LL20" i="24"/>
  <c r="LL24" i="24"/>
  <c r="LL26" i="24"/>
  <c r="LL28" i="24"/>
  <c r="LL32" i="24"/>
  <c r="LL34" i="24"/>
  <c r="LL38" i="24"/>
  <c r="LL40" i="24"/>
  <c r="LL42" i="24"/>
  <c r="LL44" i="24"/>
  <c r="LL39" i="24"/>
  <c r="LL30" i="24"/>
  <c r="LL18" i="24"/>
  <c r="LJ15" i="24"/>
  <c r="LJ19" i="24"/>
  <c r="LJ21" i="24"/>
  <c r="LJ25" i="24"/>
  <c r="LJ29" i="24"/>
  <c r="LJ31" i="24"/>
  <c r="LJ33" i="24"/>
  <c r="LJ35" i="24"/>
  <c r="LJ14" i="24"/>
  <c r="LJ24" i="24"/>
  <c r="LJ26" i="24"/>
  <c r="LJ28" i="24"/>
  <c r="LJ32" i="24"/>
  <c r="LJ36" i="24"/>
  <c r="LJ38" i="24"/>
  <c r="LJ40" i="24"/>
  <c r="LJ42" i="24"/>
  <c r="LJ43" i="24"/>
  <c r="LJ39" i="24"/>
  <c r="LJ22" i="24"/>
  <c r="LJ18" i="24"/>
  <c r="MS15" i="24"/>
  <c r="MS17" i="24"/>
  <c r="MS19" i="24"/>
  <c r="MS21" i="24"/>
  <c r="MS23" i="24"/>
  <c r="MS25" i="24"/>
  <c r="MS27" i="24"/>
  <c r="MS31" i="24"/>
  <c r="MS33" i="24"/>
  <c r="MS35" i="24"/>
  <c r="MS16" i="24"/>
  <c r="MS18" i="24"/>
  <c r="MS20" i="24"/>
  <c r="MS22" i="24"/>
  <c r="MS24" i="24"/>
  <c r="MS26" i="24"/>
  <c r="MS28" i="24"/>
  <c r="MS30" i="24"/>
  <c r="MS32" i="24"/>
  <c r="MS34" i="24"/>
  <c r="MS36" i="24"/>
  <c r="MS37" i="24"/>
  <c r="MS39" i="24"/>
  <c r="MS41" i="24"/>
  <c r="MS43" i="24"/>
  <c r="MS14" i="24"/>
  <c r="MS38" i="24"/>
  <c r="MS40" i="24"/>
  <c r="MS42" i="24"/>
  <c r="MS44" i="24"/>
  <c r="MQ15" i="24"/>
  <c r="MQ17" i="24"/>
  <c r="MQ19" i="24"/>
  <c r="MQ21" i="24"/>
  <c r="MQ23" i="24"/>
  <c r="MQ25" i="24"/>
  <c r="MQ27" i="24"/>
  <c r="MQ29" i="24"/>
  <c r="MQ31" i="24"/>
  <c r="MQ33" i="24"/>
  <c r="MQ35" i="24"/>
  <c r="MQ37" i="24"/>
  <c r="MQ39" i="24"/>
  <c r="MQ41" i="24"/>
  <c r="MQ43" i="24"/>
  <c r="MQ14" i="24"/>
  <c r="MQ38" i="24"/>
  <c r="MQ40" i="24"/>
  <c r="MQ42" i="24"/>
  <c r="MQ44" i="24"/>
  <c r="MQ16" i="24"/>
  <c r="MQ18" i="24"/>
  <c r="MQ20" i="24"/>
  <c r="MQ22" i="24"/>
  <c r="MQ24" i="24"/>
  <c r="MQ28" i="24"/>
  <c r="MQ30" i="24"/>
  <c r="MQ32" i="24"/>
  <c r="MQ34" i="24"/>
  <c r="MQ36" i="24"/>
  <c r="MO15" i="24"/>
  <c r="MO17" i="24"/>
  <c r="MO21" i="24"/>
  <c r="MO23" i="24"/>
  <c r="MO25" i="24"/>
  <c r="MO27" i="24"/>
  <c r="MO29" i="24"/>
  <c r="MO31" i="24"/>
  <c r="MO35" i="24"/>
  <c r="MO16" i="24"/>
  <c r="MO18" i="24"/>
  <c r="MO22" i="24"/>
  <c r="MO24" i="24"/>
  <c r="MO28" i="24"/>
  <c r="MO30" i="24"/>
  <c r="MO32" i="24"/>
  <c r="MO34" i="24"/>
  <c r="MO36" i="24"/>
  <c r="MO37" i="24"/>
  <c r="MO39" i="24"/>
  <c r="MO41" i="24"/>
  <c r="MO43" i="24"/>
  <c r="MO14" i="24"/>
  <c r="MO38" i="24"/>
  <c r="MO42" i="24"/>
  <c r="MO44" i="24"/>
  <c r="MM15" i="24"/>
  <c r="MM19" i="24"/>
  <c r="MM21" i="24"/>
  <c r="MM23" i="24"/>
  <c r="MM25" i="24"/>
  <c r="MM29" i="24"/>
  <c r="MM33" i="24"/>
  <c r="MM35" i="24"/>
  <c r="MM37" i="24"/>
  <c r="MM39" i="24"/>
  <c r="MM43" i="24"/>
  <c r="MM16" i="24"/>
  <c r="MM18" i="24"/>
  <c r="MM22" i="24"/>
  <c r="MM26" i="24"/>
  <c r="MM28" i="24"/>
  <c r="MM30" i="24"/>
  <c r="MM32" i="24"/>
  <c r="MM34" i="24"/>
  <c r="MM36" i="24"/>
  <c r="MM40" i="24"/>
  <c r="MM42" i="24"/>
  <c r="MM44" i="24"/>
  <c r="NV16" i="24"/>
  <c r="NV18" i="24"/>
  <c r="NV20" i="24"/>
  <c r="NV22" i="24"/>
  <c r="NV24" i="24"/>
  <c r="NV26" i="24"/>
  <c r="NV28" i="24"/>
  <c r="NV30" i="24"/>
  <c r="NV32" i="24"/>
  <c r="NV34" i="24"/>
  <c r="NV15" i="24"/>
  <c r="NV17" i="24"/>
  <c r="NV19" i="24"/>
  <c r="NV21" i="24"/>
  <c r="NV23" i="24"/>
  <c r="NV25" i="24"/>
  <c r="NV27" i="24"/>
  <c r="NV29" i="24"/>
  <c r="NV31" i="24"/>
  <c r="NV33" i="24"/>
  <c r="NV35" i="24"/>
  <c r="NV37" i="24"/>
  <c r="NV39" i="24"/>
  <c r="NV41" i="24"/>
  <c r="NV43" i="24"/>
  <c r="NV14" i="24"/>
  <c r="NV36" i="24"/>
  <c r="NV40" i="24"/>
  <c r="NV42" i="24"/>
  <c r="NV44" i="24"/>
  <c r="NT16" i="24"/>
  <c r="NT18" i="24"/>
  <c r="NT20" i="24"/>
  <c r="NT22" i="24"/>
  <c r="NT24" i="24"/>
  <c r="NT26" i="24"/>
  <c r="NT28" i="24"/>
  <c r="NT30" i="24"/>
  <c r="NT34" i="24"/>
  <c r="NT37" i="24"/>
  <c r="NT39" i="24"/>
  <c r="NT41" i="24"/>
  <c r="NT43" i="24"/>
  <c r="NT14" i="24"/>
  <c r="NT15" i="24"/>
  <c r="NT17" i="24"/>
  <c r="NT19" i="24"/>
  <c r="NT21" i="24"/>
  <c r="NT23" i="24"/>
  <c r="NT25" i="24"/>
  <c r="NT27" i="24"/>
  <c r="NT29" i="24"/>
  <c r="NT31" i="24"/>
  <c r="NT33" i="24"/>
  <c r="NT35" i="24"/>
  <c r="NT36" i="24"/>
  <c r="NT38" i="24"/>
  <c r="NT40" i="24"/>
  <c r="NT42" i="24"/>
  <c r="NT44" i="24"/>
  <c r="NR16" i="24"/>
  <c r="NR18" i="24"/>
  <c r="NR20" i="24"/>
  <c r="NR22" i="24"/>
  <c r="NR24" i="24"/>
  <c r="NR26" i="24"/>
  <c r="NR28" i="24"/>
  <c r="NR30" i="24"/>
  <c r="NR32" i="24"/>
  <c r="NR34" i="24"/>
  <c r="NR17" i="24"/>
  <c r="NR19" i="24"/>
  <c r="NR23" i="24"/>
  <c r="NR27" i="24"/>
  <c r="NR29" i="24"/>
  <c r="NR31" i="24"/>
  <c r="NR33" i="24"/>
  <c r="NR35" i="24"/>
  <c r="NR37" i="24"/>
  <c r="NR39" i="24"/>
  <c r="NR41" i="24"/>
  <c r="NR43" i="24"/>
  <c r="NR14" i="24"/>
  <c r="NR36" i="24"/>
  <c r="NR38" i="24"/>
  <c r="NR40" i="24"/>
  <c r="NR42" i="24"/>
  <c r="NR44" i="24"/>
  <c r="NP16" i="24"/>
  <c r="NP20" i="24"/>
  <c r="NP22" i="24"/>
  <c r="NP24" i="24"/>
  <c r="NP26" i="24"/>
  <c r="NP28" i="24"/>
  <c r="NP30" i="24"/>
  <c r="NP32" i="24"/>
  <c r="NP34" i="24"/>
  <c r="NP36" i="24"/>
  <c r="NP37" i="24"/>
  <c r="NP39" i="24"/>
  <c r="NP41" i="24"/>
  <c r="NP43" i="24"/>
  <c r="NP38" i="24"/>
  <c r="NP40" i="24"/>
  <c r="NP42" i="24"/>
  <c r="NP44" i="24"/>
  <c r="NP15" i="24"/>
  <c r="NP17" i="24"/>
  <c r="NP19" i="24"/>
  <c r="NP21" i="24"/>
  <c r="NP23" i="24"/>
  <c r="NP25" i="24"/>
  <c r="NP27" i="24"/>
  <c r="NP31" i="24"/>
  <c r="NP33" i="24"/>
  <c r="NP35" i="24"/>
  <c r="BP16" i="24"/>
  <c r="BP18" i="24"/>
  <c r="BP20" i="24"/>
  <c r="BP22" i="24"/>
  <c r="BP24" i="24"/>
  <c r="BP28" i="24"/>
  <c r="BP30" i="24"/>
  <c r="BP34" i="24"/>
  <c r="BP36" i="24"/>
  <c r="BP38" i="24"/>
  <c r="BP44" i="24"/>
  <c r="BP15" i="24"/>
  <c r="BP27" i="24"/>
  <c r="BP31" i="24"/>
  <c r="BP39" i="24"/>
  <c r="BP43" i="24"/>
  <c r="BP17" i="24"/>
  <c r="BP25" i="24"/>
  <c r="BP29" i="24"/>
  <c r="BP37" i="24"/>
  <c r="BP41" i="24"/>
  <c r="BN16" i="24"/>
  <c r="BN18" i="24"/>
  <c r="BN24" i="24"/>
  <c r="BN26" i="24"/>
  <c r="BN28" i="24"/>
  <c r="BN32" i="24"/>
  <c r="BN34" i="24"/>
  <c r="BN36" i="24"/>
  <c r="BN38" i="24"/>
  <c r="BN42" i="24"/>
  <c r="BN44" i="24"/>
  <c r="BN17" i="24"/>
  <c r="BN21" i="24"/>
  <c r="BN25" i="24"/>
  <c r="BN29" i="24"/>
  <c r="BN33" i="24"/>
  <c r="BN37" i="24"/>
  <c r="BN14" i="24"/>
  <c r="BN19" i="24"/>
  <c r="BN23" i="24"/>
  <c r="BN27" i="24"/>
  <c r="BN31" i="24"/>
  <c r="BN35" i="24"/>
  <c r="BN43" i="24"/>
  <c r="BL18" i="24"/>
  <c r="BL22" i="24"/>
  <c r="BL26" i="24"/>
  <c r="BL30" i="24"/>
  <c r="BL32" i="24"/>
  <c r="BL34" i="24"/>
  <c r="BL40" i="24"/>
  <c r="BL44" i="24"/>
  <c r="BL15" i="24"/>
  <c r="BL23" i="24"/>
  <c r="BL27" i="24"/>
  <c r="BL21" i="24"/>
  <c r="BL25" i="24"/>
  <c r="BL33" i="24"/>
  <c r="BL41" i="24"/>
  <c r="BJ20" i="24"/>
  <c r="BJ22" i="24"/>
  <c r="BJ24" i="24"/>
  <c r="BJ26" i="24"/>
  <c r="BJ30" i="24"/>
  <c r="BJ32" i="24"/>
  <c r="BJ34" i="24"/>
  <c r="BJ36" i="24"/>
  <c r="BJ38" i="24"/>
  <c r="BJ42" i="24"/>
  <c r="BJ44" i="24"/>
  <c r="BJ17" i="24"/>
  <c r="BJ29" i="24"/>
  <c r="BJ33" i="24"/>
  <c r="BJ37" i="24"/>
  <c r="BJ41" i="24"/>
  <c r="BJ15" i="24"/>
  <c r="BJ19" i="24"/>
  <c r="BJ27" i="24"/>
  <c r="BJ31" i="24"/>
  <c r="BJ35" i="24"/>
  <c r="BJ39" i="24"/>
  <c r="BJ43" i="24"/>
  <c r="CS15" i="24"/>
  <c r="CS17" i="24"/>
  <c r="CS19" i="24"/>
  <c r="CS16" i="24"/>
  <c r="CS20" i="24"/>
  <c r="CS24" i="24"/>
  <c r="CS28" i="24"/>
  <c r="CS30" i="24"/>
  <c r="CS32" i="24"/>
  <c r="CS34" i="24"/>
  <c r="CS36" i="24"/>
  <c r="CS38" i="24"/>
  <c r="CS40" i="24"/>
  <c r="CS42" i="24"/>
  <c r="CS21" i="24"/>
  <c r="CS23" i="24"/>
  <c r="CS25" i="24"/>
  <c r="CS27" i="24"/>
  <c r="CS31" i="24"/>
  <c r="CS33" i="24"/>
  <c r="CS35" i="24"/>
  <c r="CS37" i="24"/>
  <c r="CS39" i="24"/>
  <c r="CS43" i="24"/>
  <c r="CS14" i="24"/>
  <c r="CS44" i="24"/>
  <c r="CS41" i="24"/>
  <c r="CS29" i="24"/>
  <c r="CS22" i="24"/>
  <c r="CS18" i="24"/>
  <c r="CQ15" i="24"/>
  <c r="CQ17" i="24"/>
  <c r="CQ19" i="24"/>
  <c r="CQ16" i="24"/>
  <c r="CQ20" i="24"/>
  <c r="CQ24" i="24"/>
  <c r="CQ28" i="24"/>
  <c r="CQ30" i="24"/>
  <c r="CQ32" i="24"/>
  <c r="CQ34" i="24"/>
  <c r="CQ36" i="24"/>
  <c r="CQ38" i="24"/>
  <c r="CQ40" i="24"/>
  <c r="CQ42" i="24"/>
  <c r="CQ21" i="24"/>
  <c r="CQ23" i="24"/>
  <c r="CQ25" i="24"/>
  <c r="CQ27" i="24"/>
  <c r="CQ31" i="24"/>
  <c r="CQ33" i="24"/>
  <c r="CQ35" i="24"/>
  <c r="CQ37" i="24"/>
  <c r="CQ39" i="24"/>
  <c r="CQ43" i="24"/>
  <c r="CQ14" i="24"/>
  <c r="CQ44" i="24"/>
  <c r="CQ41" i="24"/>
  <c r="CQ29" i="24"/>
  <c r="CQ26" i="24"/>
  <c r="CQ18" i="24"/>
  <c r="CO15" i="24"/>
  <c r="CO17" i="24"/>
  <c r="CO19" i="24"/>
  <c r="CO16" i="24"/>
  <c r="CO20" i="24"/>
  <c r="CO24" i="24"/>
  <c r="CO28" i="24"/>
  <c r="CO30" i="24"/>
  <c r="CO32" i="24"/>
  <c r="CO34" i="24"/>
  <c r="CO36" i="24"/>
  <c r="CO38" i="24"/>
  <c r="CO40" i="24"/>
  <c r="CO42" i="24"/>
  <c r="CO21" i="24"/>
  <c r="CO23" i="24"/>
  <c r="CO25" i="24"/>
  <c r="CO27" i="24"/>
  <c r="CO31" i="24"/>
  <c r="CO33" i="24"/>
  <c r="CO35" i="24"/>
  <c r="CO37" i="24"/>
  <c r="CO39" i="24"/>
  <c r="CO43" i="24"/>
  <c r="CO44" i="24"/>
  <c r="CO41" i="24"/>
  <c r="CO29" i="24"/>
  <c r="CO26" i="24"/>
  <c r="CO22" i="24"/>
  <c r="CO18" i="24"/>
  <c r="CM15" i="24"/>
  <c r="CM17" i="24"/>
  <c r="CM19" i="24"/>
  <c r="CM21" i="24"/>
  <c r="CM16" i="24"/>
  <c r="CM20" i="24"/>
  <c r="CM24" i="24"/>
  <c r="CM28" i="24"/>
  <c r="CM30" i="24"/>
  <c r="CM32" i="24"/>
  <c r="CM34" i="24"/>
  <c r="CM36" i="24"/>
  <c r="CM38" i="24"/>
  <c r="CM40" i="24"/>
  <c r="CM42" i="24"/>
  <c r="CM23" i="24"/>
  <c r="CM25" i="24"/>
  <c r="CM27" i="24"/>
  <c r="CM31" i="24"/>
  <c r="CM33" i="24"/>
  <c r="CM35" i="24"/>
  <c r="CM37" i="24"/>
  <c r="CM39" i="24"/>
  <c r="CM43" i="24"/>
  <c r="CM14" i="24"/>
  <c r="CM44" i="24"/>
  <c r="CM41" i="24"/>
  <c r="CM26" i="24"/>
  <c r="CM22" i="24"/>
  <c r="CM18" i="24"/>
  <c r="DV16" i="24"/>
  <c r="DV15" i="24"/>
  <c r="DV17" i="24"/>
  <c r="DV19" i="24"/>
  <c r="DV21" i="24"/>
  <c r="DV25" i="24"/>
  <c r="DV27" i="24"/>
  <c r="DV29" i="24"/>
  <c r="DV31" i="24"/>
  <c r="DV35" i="24"/>
  <c r="DV37" i="24"/>
  <c r="DV39" i="24"/>
  <c r="DV41" i="24"/>
  <c r="DV20" i="24"/>
  <c r="DV22" i="24"/>
  <c r="DV24" i="24"/>
  <c r="DV26" i="24"/>
  <c r="DV30" i="24"/>
  <c r="DV32" i="24"/>
  <c r="DV34" i="24"/>
  <c r="DV36" i="24"/>
  <c r="DV40" i="24"/>
  <c r="DV42" i="24"/>
  <c r="DV44" i="24"/>
  <c r="DV43" i="24"/>
  <c r="DV38" i="24"/>
  <c r="DV33" i="24"/>
  <c r="DV23" i="24"/>
  <c r="DV18" i="24"/>
  <c r="DV14" i="24"/>
  <c r="DT15" i="24"/>
  <c r="DT16" i="24"/>
  <c r="DT19" i="24"/>
  <c r="DT21" i="24"/>
  <c r="DT25" i="24"/>
  <c r="DT27" i="24"/>
  <c r="DT29" i="24"/>
  <c r="DT31" i="24"/>
  <c r="DT35" i="24"/>
  <c r="DT41" i="24"/>
  <c r="DT17" i="24"/>
  <c r="DT20" i="24"/>
  <c r="DT22" i="24"/>
  <c r="DT24" i="24"/>
  <c r="DT26" i="24"/>
  <c r="DT34" i="24"/>
  <c r="DT36" i="24"/>
  <c r="DT40" i="24"/>
  <c r="DT42" i="24"/>
  <c r="DT44" i="24"/>
  <c r="DT43" i="24"/>
  <c r="DT38" i="24"/>
  <c r="DT33" i="24"/>
  <c r="DT28" i="24"/>
  <c r="DT23" i="24"/>
  <c r="DT18" i="24"/>
  <c r="DT14" i="24"/>
  <c r="DR15" i="24"/>
  <c r="DR16" i="24"/>
  <c r="DR17" i="24"/>
  <c r="DR19" i="24"/>
  <c r="DR21" i="24"/>
  <c r="DR25" i="24"/>
  <c r="DR27" i="24"/>
  <c r="DR29" i="24"/>
  <c r="DR31" i="24"/>
  <c r="DR37" i="24"/>
  <c r="DR39" i="24"/>
  <c r="DR41" i="24"/>
  <c r="DR20" i="24"/>
  <c r="DR22" i="24"/>
  <c r="DR24" i="24"/>
  <c r="DR26" i="24"/>
  <c r="DR30" i="24"/>
  <c r="DR32" i="24"/>
  <c r="DR34" i="24"/>
  <c r="DR36" i="24"/>
  <c r="DR40" i="24"/>
  <c r="DR44" i="24"/>
  <c r="DR33" i="24"/>
  <c r="DR28" i="24"/>
  <c r="DR23" i="24"/>
  <c r="DR18" i="24"/>
  <c r="DR14" i="24"/>
  <c r="DP15" i="24"/>
  <c r="DP16" i="24"/>
  <c r="DP21" i="24"/>
  <c r="DP25" i="24"/>
  <c r="DP27" i="24"/>
  <c r="DP29" i="24"/>
  <c r="DP31" i="24"/>
  <c r="DP35" i="24"/>
  <c r="DP37" i="24"/>
  <c r="DP39" i="24"/>
  <c r="DP41" i="24"/>
  <c r="DP17" i="24"/>
  <c r="DP19" i="24"/>
  <c r="DP20" i="24"/>
  <c r="DP22" i="24"/>
  <c r="DP24" i="24"/>
  <c r="DP26" i="24"/>
  <c r="DP30" i="24"/>
  <c r="DP32" i="24"/>
  <c r="DP34" i="24"/>
  <c r="DP36" i="24"/>
  <c r="DP42" i="24"/>
  <c r="DP44" i="24"/>
  <c r="DP43" i="24"/>
  <c r="DP38" i="24"/>
  <c r="DP28" i="24"/>
  <c r="DP23" i="24"/>
  <c r="DP18" i="24"/>
  <c r="DP14" i="24"/>
  <c r="EY15" i="24"/>
  <c r="EY19" i="24"/>
  <c r="EY21" i="24"/>
  <c r="EY23" i="24"/>
  <c r="EY25" i="24"/>
  <c r="EY29" i="24"/>
  <c r="EY31" i="24"/>
  <c r="EY16" i="24"/>
  <c r="EY18" i="24"/>
  <c r="EY20" i="24"/>
  <c r="EY24" i="24"/>
  <c r="EY26" i="24"/>
  <c r="EY28" i="24"/>
  <c r="EY30" i="24"/>
  <c r="EY33" i="24"/>
  <c r="EY35" i="24"/>
  <c r="EY39" i="24"/>
  <c r="EY41" i="24"/>
  <c r="EY14" i="24"/>
  <c r="EY34" i="24"/>
  <c r="EY36" i="24"/>
  <c r="EY38" i="24"/>
  <c r="EY40" i="24"/>
  <c r="EY43" i="24"/>
  <c r="EY42" i="24"/>
  <c r="EY37" i="24"/>
  <c r="EY32" i="24"/>
  <c r="EY27" i="24"/>
  <c r="EY22" i="24"/>
  <c r="EY17" i="24"/>
  <c r="EW19" i="24"/>
  <c r="EW25" i="24"/>
  <c r="EW29" i="24"/>
  <c r="EW31" i="24"/>
  <c r="EW39" i="24"/>
  <c r="EW41" i="24"/>
  <c r="EW20" i="24"/>
  <c r="EW24" i="24"/>
  <c r="EW26" i="24"/>
  <c r="EW34" i="24"/>
  <c r="EW36" i="24"/>
  <c r="EW38" i="24"/>
  <c r="EW40" i="24"/>
  <c r="EW43" i="24"/>
  <c r="EW32" i="24"/>
  <c r="EW27" i="24"/>
  <c r="EW22" i="24"/>
  <c r="EW17" i="24"/>
  <c r="EU15" i="24"/>
  <c r="EU21" i="24"/>
  <c r="EU23" i="24"/>
  <c r="EU25" i="24"/>
  <c r="EU29" i="24"/>
  <c r="EU31" i="24"/>
  <c r="EU16" i="24"/>
  <c r="EU18" i="24"/>
  <c r="EU20" i="24"/>
  <c r="EU24" i="24"/>
  <c r="EU28" i="24"/>
  <c r="EU30" i="24"/>
  <c r="EU35" i="24"/>
  <c r="EU39" i="24"/>
  <c r="EU41" i="24"/>
  <c r="EU34" i="24"/>
  <c r="EU36" i="24"/>
  <c r="EU38" i="24"/>
  <c r="EU43" i="24"/>
  <c r="EU42" i="24"/>
  <c r="EU37" i="24"/>
  <c r="EU32" i="24"/>
  <c r="EU27" i="24"/>
  <c r="EU22" i="24"/>
  <c r="EU17" i="24"/>
  <c r="ES15" i="24"/>
  <c r="ES19" i="24"/>
  <c r="ES21" i="24"/>
  <c r="ES23" i="24"/>
  <c r="ES25" i="24"/>
  <c r="ES29" i="24"/>
  <c r="ES33" i="24"/>
  <c r="ES35" i="24"/>
  <c r="ES39" i="24"/>
  <c r="ES41" i="24"/>
  <c r="ES14" i="24"/>
  <c r="ES16" i="24"/>
  <c r="ES18" i="24"/>
  <c r="ES20" i="24"/>
  <c r="ES24" i="24"/>
  <c r="ES26" i="24"/>
  <c r="ES28" i="24"/>
  <c r="ES30" i="24"/>
  <c r="ES34" i="24"/>
  <c r="ES36" i="24"/>
  <c r="ES40" i="24"/>
  <c r="ES44" i="24"/>
  <c r="ES43" i="24"/>
  <c r="ES42" i="24"/>
  <c r="ES37" i="24"/>
  <c r="ES32" i="24"/>
  <c r="ES27" i="24"/>
  <c r="ES22" i="24"/>
  <c r="ES17" i="24"/>
  <c r="GB15" i="24"/>
  <c r="GB17" i="24"/>
  <c r="GB19" i="24"/>
  <c r="GB21" i="24"/>
  <c r="GB23" i="24"/>
  <c r="GB25" i="24"/>
  <c r="GB27" i="24"/>
  <c r="GB29" i="24"/>
  <c r="GB31" i="24"/>
  <c r="GB33" i="24"/>
  <c r="GB35" i="24"/>
  <c r="GB37" i="24"/>
  <c r="GB39" i="24"/>
  <c r="GB41" i="24"/>
  <c r="GB43" i="24"/>
  <c r="GB14" i="24"/>
  <c r="GB16" i="24"/>
  <c r="GB18" i="24"/>
  <c r="GB20" i="24"/>
  <c r="GB22" i="24"/>
  <c r="GB24" i="24"/>
  <c r="GB26" i="24"/>
  <c r="GB28" i="24"/>
  <c r="GB30" i="24"/>
  <c r="GB32" i="24"/>
  <c r="GB34" i="24"/>
  <c r="GB36" i="24"/>
  <c r="GB38" i="24"/>
  <c r="GB40" i="24"/>
  <c r="GB42" i="24"/>
  <c r="FZ15" i="24"/>
  <c r="FZ17" i="24"/>
  <c r="FZ19" i="24"/>
  <c r="FZ21" i="24"/>
  <c r="FZ23" i="24"/>
  <c r="FZ25" i="24"/>
  <c r="FZ29" i="24"/>
  <c r="FZ31" i="24"/>
  <c r="FZ33" i="24"/>
  <c r="FZ35" i="24"/>
  <c r="FZ43" i="24"/>
  <c r="FZ14" i="24"/>
  <c r="FZ16" i="24"/>
  <c r="FZ18" i="24"/>
  <c r="FZ20" i="24"/>
  <c r="FZ22" i="24"/>
  <c r="FZ24" i="24"/>
  <c r="FZ26" i="24"/>
  <c r="FZ28" i="24"/>
  <c r="FZ30" i="24"/>
  <c r="FZ36" i="24"/>
  <c r="FZ38" i="24"/>
  <c r="FZ40" i="24"/>
  <c r="FZ42" i="24"/>
  <c r="FZ44" i="24"/>
  <c r="FX15" i="24"/>
  <c r="FX17" i="24"/>
  <c r="FX19" i="24"/>
  <c r="FX21" i="24"/>
  <c r="FX25" i="24"/>
  <c r="FX27" i="24"/>
  <c r="FX29" i="24"/>
  <c r="FX31" i="24"/>
  <c r="FX33" i="24"/>
  <c r="FX35" i="24"/>
  <c r="FX37" i="24"/>
  <c r="FX39" i="24"/>
  <c r="FX41" i="24"/>
  <c r="FX43" i="24"/>
  <c r="FX14" i="24"/>
  <c r="FX18" i="24"/>
  <c r="FX20" i="24"/>
  <c r="FX22" i="24"/>
  <c r="FX24" i="24"/>
  <c r="FX26" i="24"/>
  <c r="FX30" i="24"/>
  <c r="FX32" i="24"/>
  <c r="FX34" i="24"/>
  <c r="FX36" i="24"/>
  <c r="FX38" i="24"/>
  <c r="FX40" i="24"/>
  <c r="FX42" i="24"/>
  <c r="FV15" i="24"/>
  <c r="FV17" i="24"/>
  <c r="FV19" i="24"/>
  <c r="FV21" i="24"/>
  <c r="FV25" i="24"/>
  <c r="FV27" i="24"/>
  <c r="FV29" i="24"/>
  <c r="FV31" i="24"/>
  <c r="FV33" i="24"/>
  <c r="FV35" i="24"/>
  <c r="FV37" i="24"/>
  <c r="FV39" i="24"/>
  <c r="FV41" i="24"/>
  <c r="FV43" i="24"/>
  <c r="FV16" i="24"/>
  <c r="FV18" i="24"/>
  <c r="FV20" i="24"/>
  <c r="FV22" i="24"/>
  <c r="FV24" i="24"/>
  <c r="FV26" i="24"/>
  <c r="FV28" i="24"/>
  <c r="FV30" i="24"/>
  <c r="FV32" i="24"/>
  <c r="FV34" i="24"/>
  <c r="FV36" i="24"/>
  <c r="FV38" i="24"/>
  <c r="FV40" i="24"/>
  <c r="FV42" i="24"/>
  <c r="FV44" i="24"/>
  <c r="HE15" i="24"/>
  <c r="HE17" i="24"/>
  <c r="HE19" i="24"/>
  <c r="HE21" i="24"/>
  <c r="HE23" i="24"/>
  <c r="HE27" i="24"/>
  <c r="HE31" i="24"/>
  <c r="HE33" i="24"/>
  <c r="HE35" i="24"/>
  <c r="HE37" i="24"/>
  <c r="HE41" i="24"/>
  <c r="HE43" i="24"/>
  <c r="HE14" i="24"/>
  <c r="HE20" i="24"/>
  <c r="HE24" i="24"/>
  <c r="HE26" i="24"/>
  <c r="HE28" i="24"/>
  <c r="HE30" i="24"/>
  <c r="HE32" i="24"/>
  <c r="HE36" i="24"/>
  <c r="HE38" i="24"/>
  <c r="HE40" i="24"/>
  <c r="HE42" i="24"/>
  <c r="HE44" i="24"/>
  <c r="HE34" i="24"/>
  <c r="HE29" i="24"/>
  <c r="HE25" i="24"/>
  <c r="HE22" i="24"/>
  <c r="HE18" i="24"/>
  <c r="HE16" i="24"/>
  <c r="HC15" i="24"/>
  <c r="HC17" i="24"/>
  <c r="HC19" i="24"/>
  <c r="HC21" i="24"/>
  <c r="HC23" i="24"/>
  <c r="HC27" i="24"/>
  <c r="HC33" i="24"/>
  <c r="HC35" i="24"/>
  <c r="HC37" i="24"/>
  <c r="HC41" i="24"/>
  <c r="HC14" i="24"/>
  <c r="HC20" i="24"/>
  <c r="HC26" i="24"/>
  <c r="HC28" i="24"/>
  <c r="HC30" i="24"/>
  <c r="HC32" i="24"/>
  <c r="HC40" i="24"/>
  <c r="HC42" i="24"/>
  <c r="HC44" i="24"/>
  <c r="HC39" i="24"/>
  <c r="HC34" i="24"/>
  <c r="HC25" i="24"/>
  <c r="HC22" i="24"/>
  <c r="HC18" i="24"/>
  <c r="HC16" i="24"/>
  <c r="HA15" i="24"/>
  <c r="HA17" i="24"/>
  <c r="HA19" i="24"/>
  <c r="HA21" i="24"/>
  <c r="HA23" i="24"/>
  <c r="HA31" i="24"/>
  <c r="HA33" i="24"/>
  <c r="HA35" i="24"/>
  <c r="HA37" i="24"/>
  <c r="HA41" i="24"/>
  <c r="HA43" i="24"/>
  <c r="HA14" i="24"/>
  <c r="HA24" i="24"/>
  <c r="HA26" i="24"/>
  <c r="HA28" i="24"/>
  <c r="HA30" i="24"/>
  <c r="HA32" i="24"/>
  <c r="HA36" i="24"/>
  <c r="HA38" i="24"/>
  <c r="HA40" i="24"/>
  <c r="HA42" i="24"/>
  <c r="HA44" i="24"/>
  <c r="HA39" i="24"/>
  <c r="HA29" i="24"/>
  <c r="HA25" i="24"/>
  <c r="HA18" i="24"/>
  <c r="HA16" i="24"/>
  <c r="GY15" i="24"/>
  <c r="GY17" i="24"/>
  <c r="GY19" i="24"/>
  <c r="GY21" i="24"/>
  <c r="GY23" i="24"/>
  <c r="GY27" i="24"/>
  <c r="GY31" i="24"/>
  <c r="GY33" i="24"/>
  <c r="GY35" i="24"/>
  <c r="GY37" i="24"/>
  <c r="GY41" i="24"/>
  <c r="GY43" i="24"/>
  <c r="GY20" i="24"/>
  <c r="GY24" i="24"/>
  <c r="GY26" i="24"/>
  <c r="GY28" i="24"/>
  <c r="GY30" i="24"/>
  <c r="GY32" i="24"/>
  <c r="GY36" i="24"/>
  <c r="GY38" i="24"/>
  <c r="GY40" i="24"/>
  <c r="GY42" i="24"/>
  <c r="GY44" i="24"/>
  <c r="GY39" i="24"/>
  <c r="GY34" i="24"/>
  <c r="GY29" i="24"/>
  <c r="GY25" i="24"/>
  <c r="GY22" i="24"/>
  <c r="GY18" i="24"/>
  <c r="GY16" i="24"/>
  <c r="IH15" i="24"/>
  <c r="IH17" i="24"/>
  <c r="IH19" i="24"/>
  <c r="IH21" i="24"/>
  <c r="IH23" i="24"/>
  <c r="IH25" i="24"/>
  <c r="IH27" i="24"/>
  <c r="IH29" i="24"/>
  <c r="IH31" i="24"/>
  <c r="IH33" i="24"/>
  <c r="IH35" i="24"/>
  <c r="IH37" i="24"/>
  <c r="IH39" i="24"/>
  <c r="IH41" i="24"/>
  <c r="IH43" i="24"/>
  <c r="IH16" i="24"/>
  <c r="IH18" i="24"/>
  <c r="IH20" i="24"/>
  <c r="IH22" i="24"/>
  <c r="IH24" i="24"/>
  <c r="IH26" i="24"/>
  <c r="IH28" i="24"/>
  <c r="IH30" i="24"/>
  <c r="IH32" i="24"/>
  <c r="IH34" i="24"/>
  <c r="IH36" i="24"/>
  <c r="IH38" i="24"/>
  <c r="IH40" i="24"/>
  <c r="IH42" i="24"/>
  <c r="IH44" i="24"/>
  <c r="IF15" i="24"/>
  <c r="IF17" i="24"/>
  <c r="IF19" i="24"/>
  <c r="IF21" i="24"/>
  <c r="IF23" i="24"/>
  <c r="IF25" i="24"/>
  <c r="IF31" i="24"/>
  <c r="IF33" i="24"/>
  <c r="IF35" i="24"/>
  <c r="IF37" i="24"/>
  <c r="IF39" i="24"/>
  <c r="IF41" i="24"/>
  <c r="IF43" i="24"/>
  <c r="IF14" i="24"/>
  <c r="IF16" i="24"/>
  <c r="IF18" i="24"/>
  <c r="IF24" i="24"/>
  <c r="IF26" i="24"/>
  <c r="IF28" i="24"/>
  <c r="IF30" i="24"/>
  <c r="IF32" i="24"/>
  <c r="IF34" i="24"/>
  <c r="IF38" i="24"/>
  <c r="IF40" i="24"/>
  <c r="IF42" i="24"/>
  <c r="ID15" i="24"/>
  <c r="ID17" i="24"/>
  <c r="ID19" i="24"/>
  <c r="ID21" i="24"/>
  <c r="ID23" i="24"/>
  <c r="ID27" i="24"/>
  <c r="ID29" i="24"/>
  <c r="ID31" i="24"/>
  <c r="ID35" i="24"/>
  <c r="ID37" i="24"/>
  <c r="ID39" i="24"/>
  <c r="ID41" i="24"/>
  <c r="ID43" i="24"/>
  <c r="ID14" i="24"/>
  <c r="ID16" i="24"/>
  <c r="ID20" i="24"/>
  <c r="ID22" i="24"/>
  <c r="ID24" i="24"/>
  <c r="ID26" i="24"/>
  <c r="ID28" i="24"/>
  <c r="ID30" i="24"/>
  <c r="ID34" i="24"/>
  <c r="ID36" i="24"/>
  <c r="ID38" i="24"/>
  <c r="ID40" i="24"/>
  <c r="ID42" i="24"/>
  <c r="ID44" i="24"/>
  <c r="IB15" i="24"/>
  <c r="IB17" i="24"/>
  <c r="IB19" i="24"/>
  <c r="IB21" i="24"/>
  <c r="IB23" i="24"/>
  <c r="IB25" i="24"/>
  <c r="IB27" i="24"/>
  <c r="IB29" i="24"/>
  <c r="IB31" i="24"/>
  <c r="IB33" i="24"/>
  <c r="IB35" i="24"/>
  <c r="IB37" i="24"/>
  <c r="IB39" i="24"/>
  <c r="IB41" i="24"/>
  <c r="IB43" i="24"/>
  <c r="IB14" i="24"/>
  <c r="IB16" i="24"/>
  <c r="IB18" i="24"/>
  <c r="IB20" i="24"/>
  <c r="IB22" i="24"/>
  <c r="IB24" i="24"/>
  <c r="IB26" i="24"/>
  <c r="IB28" i="24"/>
  <c r="IB30" i="24"/>
  <c r="IB32" i="24"/>
  <c r="IB34" i="24"/>
  <c r="IB36" i="24"/>
  <c r="IB38" i="24"/>
  <c r="IB42" i="24"/>
  <c r="IB44" i="24"/>
  <c r="JK17" i="24"/>
  <c r="JK19" i="24"/>
  <c r="JK21" i="24"/>
  <c r="JK23" i="24"/>
  <c r="JK27" i="24"/>
  <c r="JK29" i="24"/>
  <c r="JK31" i="24"/>
  <c r="JK33" i="24"/>
  <c r="JK37" i="24"/>
  <c r="JK39" i="24"/>
  <c r="JK41" i="24"/>
  <c r="JK43" i="24"/>
  <c r="JK14" i="24"/>
  <c r="JK16" i="24"/>
  <c r="JK18" i="24"/>
  <c r="JK20" i="24"/>
  <c r="JK22" i="24"/>
  <c r="JK24" i="24"/>
  <c r="JK26" i="24"/>
  <c r="JK28" i="24"/>
  <c r="JK30" i="24"/>
  <c r="JK32" i="24"/>
  <c r="JK34" i="24"/>
  <c r="JK36" i="24"/>
  <c r="JK38" i="24"/>
  <c r="JK40" i="24"/>
  <c r="JK42" i="24"/>
  <c r="JK44" i="24"/>
  <c r="JK35" i="24"/>
  <c r="JK25" i="24"/>
  <c r="JK15" i="24"/>
  <c r="JI17" i="24"/>
  <c r="JI19" i="24"/>
  <c r="JI21" i="24"/>
  <c r="JI23" i="24"/>
  <c r="JI27" i="24"/>
  <c r="JI29" i="24"/>
  <c r="JI37" i="24"/>
  <c r="JI39" i="24"/>
  <c r="JI41" i="24"/>
  <c r="JI43" i="24"/>
  <c r="JI16" i="24"/>
  <c r="JI18" i="24"/>
  <c r="JI20" i="24"/>
  <c r="JI22" i="24"/>
  <c r="JI28" i="24"/>
  <c r="JI30" i="24"/>
  <c r="JI32" i="24"/>
  <c r="JI34" i="24"/>
  <c r="JI36" i="24"/>
  <c r="JI42" i="24"/>
  <c r="JI44" i="24"/>
  <c r="JI35" i="24"/>
  <c r="JG17" i="24"/>
  <c r="JG19" i="24"/>
  <c r="JG21" i="24"/>
  <c r="JG23" i="24"/>
  <c r="JG27" i="24"/>
  <c r="JG31" i="24"/>
  <c r="JG33" i="24"/>
  <c r="JG37" i="24"/>
  <c r="JG39" i="24"/>
  <c r="JG41" i="24"/>
  <c r="JG14" i="24"/>
  <c r="JG18" i="24"/>
  <c r="JG20" i="24"/>
  <c r="JG22" i="24"/>
  <c r="JG24" i="24"/>
  <c r="JG26" i="24"/>
  <c r="JG28" i="24"/>
  <c r="JG30" i="24"/>
  <c r="JG32" i="24"/>
  <c r="JG34" i="24"/>
  <c r="JG36" i="24"/>
  <c r="JG38" i="24"/>
  <c r="JG40" i="24"/>
  <c r="JG42" i="24"/>
  <c r="JG44" i="24"/>
  <c r="JG35" i="24"/>
  <c r="JG25" i="24"/>
  <c r="JG15" i="24"/>
  <c r="JE17" i="24"/>
  <c r="JE19" i="24"/>
  <c r="JE21" i="24"/>
  <c r="JE23" i="24"/>
  <c r="JE27" i="24"/>
  <c r="JE29" i="24"/>
  <c r="JE31" i="24"/>
  <c r="JE33" i="24"/>
  <c r="JE37" i="24"/>
  <c r="JE39" i="24"/>
  <c r="JE41" i="24"/>
  <c r="JE43" i="24"/>
  <c r="JE14" i="24"/>
  <c r="JE16" i="24"/>
  <c r="JE18" i="24"/>
  <c r="JE20" i="24"/>
  <c r="JE22" i="24"/>
  <c r="JE24" i="24"/>
  <c r="JE26" i="24"/>
  <c r="JE28" i="24"/>
  <c r="JE30" i="24"/>
  <c r="JE32" i="24"/>
  <c r="JE34" i="24"/>
  <c r="JE36" i="24"/>
  <c r="JE38" i="24"/>
  <c r="JE40" i="24"/>
  <c r="JE42" i="24"/>
  <c r="JE44" i="24"/>
  <c r="JE35" i="24"/>
  <c r="JE25" i="24"/>
  <c r="KN16" i="24"/>
  <c r="KN18" i="24"/>
  <c r="KN20" i="24"/>
  <c r="KN22" i="24"/>
  <c r="KN24" i="24"/>
  <c r="KN26" i="24"/>
  <c r="KN28" i="24"/>
  <c r="KN30" i="24"/>
  <c r="KN32" i="24"/>
  <c r="KN34" i="24"/>
  <c r="KN36" i="24"/>
  <c r="KN38" i="24"/>
  <c r="KN40" i="24"/>
  <c r="KN42" i="24"/>
  <c r="KN15" i="24"/>
  <c r="KN17" i="24"/>
  <c r="KN19" i="24"/>
  <c r="KN21" i="24"/>
  <c r="KN23" i="24"/>
  <c r="KN25" i="24"/>
  <c r="KN27" i="24"/>
  <c r="KN29" i="24"/>
  <c r="KN31" i="24"/>
  <c r="KN33" i="24"/>
  <c r="KN35" i="24"/>
  <c r="KN37" i="24"/>
  <c r="KN39" i="24"/>
  <c r="KN41" i="24"/>
  <c r="KN43" i="24"/>
  <c r="KN14" i="24"/>
  <c r="KN44" i="24"/>
  <c r="KL16" i="24"/>
  <c r="KL18" i="24"/>
  <c r="KL20" i="24"/>
  <c r="KL26" i="24"/>
  <c r="KL28" i="24"/>
  <c r="KL30" i="24"/>
  <c r="KL32" i="24"/>
  <c r="KL34" i="24"/>
  <c r="KL38" i="24"/>
  <c r="KL40" i="24"/>
  <c r="KL42" i="24"/>
  <c r="KL14" i="24"/>
  <c r="KL19" i="24"/>
  <c r="KL21" i="24"/>
  <c r="KL23" i="24"/>
  <c r="KL25" i="24"/>
  <c r="KL27" i="24"/>
  <c r="KL33" i="24"/>
  <c r="KL44" i="24"/>
  <c r="KL35" i="24"/>
  <c r="KL37" i="24"/>
  <c r="KL39" i="24"/>
  <c r="KL41" i="24"/>
  <c r="KJ16" i="24"/>
  <c r="KJ18" i="24"/>
  <c r="KJ22" i="24"/>
  <c r="KJ24" i="24"/>
  <c r="KJ26" i="24"/>
  <c r="KJ28" i="24"/>
  <c r="KJ30" i="24"/>
  <c r="KJ32" i="24"/>
  <c r="KJ36" i="24"/>
  <c r="KJ38" i="24"/>
  <c r="KJ40" i="24"/>
  <c r="KJ42" i="24"/>
  <c r="KJ15" i="24"/>
  <c r="KJ17" i="24"/>
  <c r="KJ19" i="24"/>
  <c r="KJ21" i="24"/>
  <c r="KJ23" i="24"/>
  <c r="KJ25" i="24"/>
  <c r="KJ29" i="24"/>
  <c r="KJ31" i="24"/>
  <c r="KJ33" i="24"/>
  <c r="KJ35" i="24"/>
  <c r="KJ37" i="24"/>
  <c r="KJ39" i="24"/>
  <c r="KJ43" i="24"/>
  <c r="KJ44" i="24"/>
  <c r="KH16" i="24"/>
  <c r="KH18" i="24"/>
  <c r="KH20" i="24"/>
  <c r="KH22" i="24"/>
  <c r="KH24" i="24"/>
  <c r="KH26" i="24"/>
  <c r="KH28" i="24"/>
  <c r="KH30" i="24"/>
  <c r="KH32" i="24"/>
  <c r="KH34" i="24"/>
  <c r="KH36" i="24"/>
  <c r="KH38" i="24"/>
  <c r="KH40" i="24"/>
  <c r="KH42" i="24"/>
  <c r="KH14" i="24"/>
  <c r="KH15" i="24"/>
  <c r="KH17" i="24"/>
  <c r="KH19" i="24"/>
  <c r="KH21" i="24"/>
  <c r="KH23" i="24"/>
  <c r="KH25" i="24"/>
  <c r="KH27" i="24"/>
  <c r="KH29" i="24"/>
  <c r="KH31" i="24"/>
  <c r="KH33" i="24"/>
  <c r="KH35" i="24"/>
  <c r="KH37" i="24"/>
  <c r="KH39" i="24"/>
  <c r="KH41" i="24"/>
  <c r="KH43" i="24"/>
  <c r="LQ16" i="24"/>
  <c r="LQ20" i="24"/>
  <c r="LQ24" i="24"/>
  <c r="LQ26" i="24"/>
  <c r="LQ28" i="24"/>
  <c r="LQ32" i="24"/>
  <c r="LQ34" i="24"/>
  <c r="LQ36" i="24"/>
  <c r="LQ38" i="24"/>
  <c r="LQ40" i="24"/>
  <c r="LQ42" i="24"/>
  <c r="LQ44" i="24"/>
  <c r="LQ15" i="24"/>
  <c r="LQ17" i="24"/>
  <c r="LQ19" i="24"/>
  <c r="LQ21" i="24"/>
  <c r="LQ23" i="24"/>
  <c r="LQ25" i="24"/>
  <c r="LQ27" i="24"/>
  <c r="LQ29" i="24"/>
  <c r="LQ31" i="24"/>
  <c r="LQ33" i="24"/>
  <c r="LQ35" i="24"/>
  <c r="LQ37" i="24"/>
  <c r="LQ41" i="24"/>
  <c r="LQ14" i="24"/>
  <c r="LQ39" i="24"/>
  <c r="LQ30" i="24"/>
  <c r="LQ22" i="24"/>
  <c r="LQ18" i="24"/>
  <c r="LO16" i="24"/>
  <c r="LO20" i="24"/>
  <c r="LO24" i="24"/>
  <c r="LO28" i="24"/>
  <c r="LO32" i="24"/>
  <c r="LO34" i="24"/>
  <c r="LO36" i="24"/>
  <c r="LO38" i="24"/>
  <c r="LO17" i="24"/>
  <c r="LO23" i="24"/>
  <c r="LO25" i="24"/>
  <c r="LO27" i="24"/>
  <c r="LO29" i="24"/>
  <c r="LO31" i="24"/>
  <c r="LO37" i="24"/>
  <c r="LO41" i="24"/>
  <c r="LO43" i="24"/>
  <c r="LO39" i="24"/>
  <c r="LO30" i="24"/>
  <c r="LM16" i="24"/>
  <c r="LM20" i="24"/>
  <c r="LM26" i="24"/>
  <c r="LM28" i="24"/>
  <c r="LM32" i="24"/>
  <c r="LM34" i="24"/>
  <c r="LM36" i="24"/>
  <c r="LM40" i="24"/>
  <c r="LM42" i="24"/>
  <c r="LM44" i="24"/>
  <c r="LM15" i="24"/>
  <c r="LM19" i="24"/>
  <c r="LM21" i="24"/>
  <c r="LM23" i="24"/>
  <c r="LM25" i="24"/>
  <c r="LM27" i="24"/>
  <c r="LM29" i="24"/>
  <c r="LM33" i="24"/>
  <c r="LM35" i="24"/>
  <c r="LM37" i="24"/>
  <c r="LM41" i="24"/>
  <c r="LM14" i="24"/>
  <c r="LM43" i="24"/>
  <c r="LM39" i="24"/>
  <c r="LM22" i="24"/>
  <c r="LM18" i="24"/>
  <c r="LK16" i="24"/>
  <c r="LK20" i="24"/>
  <c r="LK24" i="24"/>
  <c r="LK26" i="24"/>
  <c r="LK28" i="24"/>
  <c r="LK32" i="24"/>
  <c r="LK34" i="24"/>
  <c r="LK36" i="24"/>
  <c r="LK38" i="24"/>
  <c r="LK40" i="24"/>
  <c r="LK42" i="24"/>
  <c r="LK44" i="24"/>
  <c r="LK15" i="24"/>
  <c r="LK17" i="24"/>
  <c r="LK19" i="24"/>
  <c r="LK21" i="24"/>
  <c r="LK23" i="24"/>
  <c r="LK25" i="24"/>
  <c r="LK27" i="24"/>
  <c r="LK29" i="24"/>
  <c r="LK31" i="24"/>
  <c r="LK33" i="24"/>
  <c r="LK35" i="24"/>
  <c r="LK37" i="24"/>
  <c r="LK41" i="24"/>
  <c r="LK14" i="24"/>
  <c r="LK43" i="24"/>
  <c r="LK30" i="24"/>
  <c r="LK22" i="24"/>
  <c r="MT16" i="24"/>
  <c r="MT18" i="24"/>
  <c r="MT20" i="24"/>
  <c r="MT22" i="24"/>
  <c r="MT24" i="24"/>
  <c r="MT26" i="24"/>
  <c r="MT28" i="24"/>
  <c r="MT30" i="24"/>
  <c r="MT32" i="24"/>
  <c r="MT34" i="24"/>
  <c r="MT36" i="24"/>
  <c r="MT40" i="24"/>
  <c r="MT42" i="24"/>
  <c r="MT44" i="24"/>
  <c r="MT15" i="24"/>
  <c r="MT17" i="24"/>
  <c r="MT19" i="24"/>
  <c r="MT21" i="24"/>
  <c r="MT23" i="24"/>
  <c r="MT25" i="24"/>
  <c r="MT27" i="24"/>
  <c r="MT29" i="24"/>
  <c r="MT31" i="24"/>
  <c r="MT33" i="24"/>
  <c r="MT35" i="24"/>
  <c r="MT37" i="24"/>
  <c r="MT39" i="24"/>
  <c r="MT41" i="24"/>
  <c r="MT43" i="24"/>
  <c r="MT14" i="24"/>
  <c r="MR16" i="24"/>
  <c r="MR18" i="24"/>
  <c r="MR20" i="24"/>
  <c r="MR22" i="24"/>
  <c r="MR24" i="24"/>
  <c r="MR26" i="24"/>
  <c r="MR28" i="24"/>
  <c r="MR30" i="24"/>
  <c r="MR34" i="24"/>
  <c r="MR36" i="24"/>
  <c r="MR15" i="24"/>
  <c r="MR17" i="24"/>
  <c r="MR19" i="24"/>
  <c r="MR21" i="24"/>
  <c r="MR23" i="24"/>
  <c r="MR25" i="24"/>
  <c r="MR27" i="24"/>
  <c r="MR29" i="24"/>
  <c r="MR31" i="24"/>
  <c r="MR33" i="24"/>
  <c r="MR35" i="24"/>
  <c r="MR38" i="24"/>
  <c r="MR40" i="24"/>
  <c r="MR42" i="24"/>
  <c r="MR44" i="24"/>
  <c r="MR37" i="24"/>
  <c r="MR39" i="24"/>
  <c r="MR41" i="24"/>
  <c r="MR43" i="24"/>
  <c r="MR14" i="24"/>
  <c r="MP20" i="24"/>
  <c r="MP22" i="24"/>
  <c r="MP24" i="24"/>
  <c r="MP26" i="24"/>
  <c r="MP32" i="24"/>
  <c r="MP34" i="24"/>
  <c r="MP36" i="24"/>
  <c r="MP38" i="24"/>
  <c r="MP40" i="24"/>
  <c r="MP42" i="24"/>
  <c r="MP44" i="24"/>
  <c r="MP41" i="24"/>
  <c r="MP43" i="24"/>
  <c r="MP15" i="24"/>
  <c r="MP17" i="24"/>
  <c r="MP19" i="24"/>
  <c r="MP27" i="24"/>
  <c r="MP29" i="24"/>
  <c r="MP31" i="24"/>
  <c r="MP33" i="24"/>
  <c r="MN16" i="24"/>
  <c r="MN18" i="24"/>
  <c r="MN20" i="24"/>
  <c r="MN22" i="24"/>
  <c r="MN24" i="24"/>
  <c r="MN26" i="24"/>
  <c r="MN28" i="24"/>
  <c r="MN30" i="24"/>
  <c r="MN32" i="24"/>
  <c r="MN34" i="24"/>
  <c r="MN36" i="24"/>
  <c r="MN15" i="24"/>
  <c r="MN19" i="24"/>
  <c r="MN21" i="24"/>
  <c r="MN23" i="24"/>
  <c r="MN25" i="24"/>
  <c r="MN27" i="24"/>
  <c r="MN29" i="24"/>
  <c r="MN31" i="24"/>
  <c r="MN33" i="24"/>
  <c r="MN35" i="24"/>
  <c r="MN38" i="24"/>
  <c r="MN40" i="24"/>
  <c r="MN42" i="24"/>
  <c r="MN44" i="24"/>
  <c r="MN37" i="24"/>
  <c r="MN39" i="24"/>
  <c r="MN41" i="24"/>
  <c r="MN43" i="24"/>
  <c r="MN14" i="24"/>
  <c r="NW15" i="24"/>
  <c r="NW17" i="24"/>
  <c r="NW19" i="24"/>
  <c r="NW21" i="24"/>
  <c r="NW23" i="24"/>
  <c r="NW25" i="24"/>
  <c r="NW27" i="24"/>
  <c r="NW29" i="24"/>
  <c r="NW31" i="24"/>
  <c r="NW33" i="24"/>
  <c r="NW35" i="24"/>
  <c r="NW36" i="24"/>
  <c r="NW38" i="24"/>
  <c r="NW40" i="24"/>
  <c r="NW42" i="24"/>
  <c r="NW44" i="24"/>
  <c r="NW37" i="24"/>
  <c r="NW39" i="24"/>
  <c r="NW43" i="24"/>
  <c r="NW14" i="24"/>
  <c r="NW16" i="24"/>
  <c r="NW18" i="24"/>
  <c r="NW20" i="24"/>
  <c r="NW22" i="24"/>
  <c r="NW24" i="24"/>
  <c r="NW26" i="24"/>
  <c r="NW28" i="24"/>
  <c r="NW30" i="24"/>
  <c r="NW32" i="24"/>
  <c r="NW34" i="24"/>
  <c r="NU15" i="24"/>
  <c r="NU21" i="24"/>
  <c r="NU23" i="24"/>
  <c r="NU25" i="24"/>
  <c r="NU27" i="24"/>
  <c r="NU31" i="24"/>
  <c r="NU33" i="24"/>
  <c r="NU16" i="24"/>
  <c r="NU18" i="24"/>
  <c r="NU20" i="24"/>
  <c r="NU24" i="24"/>
  <c r="NU28" i="24"/>
  <c r="NU30" i="24"/>
  <c r="NU32" i="24"/>
  <c r="NU34" i="24"/>
  <c r="NU36" i="24"/>
  <c r="NU38" i="24"/>
  <c r="NU40" i="24"/>
  <c r="NU42" i="24"/>
  <c r="NU37" i="24"/>
  <c r="NU39" i="24"/>
  <c r="NU41" i="24"/>
  <c r="NU43" i="24"/>
  <c r="NU14" i="24"/>
  <c r="NS15" i="24"/>
  <c r="NS17" i="24"/>
  <c r="NS19" i="24"/>
  <c r="NS21" i="24"/>
  <c r="NS23" i="24"/>
  <c r="NS25" i="24"/>
  <c r="NS29" i="24"/>
  <c r="NS31" i="24"/>
  <c r="NS33" i="24"/>
  <c r="NS35" i="24"/>
  <c r="NS36" i="24"/>
  <c r="NS38" i="24"/>
  <c r="NS40" i="24"/>
  <c r="NS42" i="24"/>
  <c r="NS44" i="24"/>
  <c r="NS18" i="24"/>
  <c r="NS22" i="24"/>
  <c r="NS26" i="24"/>
  <c r="NS30" i="24"/>
  <c r="NS32" i="24"/>
  <c r="NS34" i="24"/>
  <c r="NS14" i="24"/>
  <c r="NS37" i="24"/>
  <c r="NS39" i="24"/>
  <c r="NS41" i="24"/>
  <c r="NS43" i="24"/>
  <c r="NQ15" i="24"/>
  <c r="NQ19" i="24"/>
  <c r="NQ21" i="24"/>
  <c r="NQ23" i="24"/>
  <c r="NQ25" i="24"/>
  <c r="NQ27" i="24"/>
  <c r="NQ29" i="24"/>
  <c r="NQ31" i="24"/>
  <c r="NQ33" i="24"/>
  <c r="NQ35" i="24"/>
  <c r="NQ16" i="24"/>
  <c r="NQ18" i="24"/>
  <c r="NQ20" i="24"/>
  <c r="NQ22" i="24"/>
  <c r="NQ24" i="24"/>
  <c r="NQ26" i="24"/>
  <c r="NQ28" i="24"/>
  <c r="NQ30" i="24"/>
  <c r="NQ32" i="24"/>
  <c r="NQ34" i="24"/>
  <c r="NQ36" i="24"/>
  <c r="NQ38" i="24"/>
  <c r="NQ40" i="24"/>
  <c r="NQ42" i="24"/>
  <c r="NQ44" i="24"/>
  <c r="NQ37" i="24"/>
  <c r="NQ39" i="24"/>
  <c r="NQ41" i="24"/>
  <c r="NQ43" i="24"/>
  <c r="NQ14" i="24"/>
  <c r="CD58" i="24"/>
  <c r="CD56" i="24"/>
  <c r="CD54" i="24"/>
  <c r="CD52" i="24"/>
  <c r="CD59" i="24"/>
  <c r="CD57" i="24"/>
  <c r="CD55" i="24"/>
  <c r="CD53" i="24"/>
  <c r="CD51" i="24"/>
  <c r="R14" i="11"/>
  <c r="R16" i="11"/>
  <c r="R18" i="11"/>
  <c r="R20" i="11"/>
  <c r="R22" i="11"/>
  <c r="R24" i="11"/>
  <c r="R26" i="11"/>
  <c r="R15" i="11"/>
  <c r="R19" i="11"/>
  <c r="R23" i="11"/>
  <c r="R27" i="11"/>
  <c r="R29" i="11"/>
  <c r="R31" i="11"/>
  <c r="R33" i="11"/>
  <c r="R35" i="11"/>
  <c r="R37" i="11"/>
  <c r="R39" i="11"/>
  <c r="R41" i="11"/>
  <c r="R43" i="11"/>
  <c r="R17" i="11"/>
  <c r="R21" i="11"/>
  <c r="R25" i="11"/>
  <c r="R30" i="11"/>
  <c r="R34" i="11"/>
  <c r="R28" i="11"/>
  <c r="R32" i="11"/>
  <c r="R36" i="11"/>
  <c r="R40" i="11"/>
  <c r="R38" i="11"/>
  <c r="R42" i="11"/>
  <c r="T14" i="11"/>
  <c r="T16" i="11"/>
  <c r="T18" i="11"/>
  <c r="T20" i="11"/>
  <c r="T22" i="11"/>
  <c r="T24" i="11"/>
  <c r="T26" i="11"/>
  <c r="T17" i="11"/>
  <c r="T21" i="11"/>
  <c r="T25" i="11"/>
  <c r="T27" i="11"/>
  <c r="T29" i="11"/>
  <c r="T31" i="11"/>
  <c r="T33" i="11"/>
  <c r="T35" i="11"/>
  <c r="T37" i="11"/>
  <c r="T39" i="11"/>
  <c r="T41" i="11"/>
  <c r="T43" i="11"/>
  <c r="T19" i="11"/>
  <c r="T23" i="11"/>
  <c r="T15" i="11"/>
  <c r="T28" i="11"/>
  <c r="T36" i="11"/>
  <c r="T40" i="11"/>
  <c r="T30" i="11"/>
  <c r="T34" i="11"/>
  <c r="T38" i="11"/>
  <c r="T42" i="11"/>
  <c r="T32" i="11"/>
  <c r="V14" i="11"/>
  <c r="V16" i="11"/>
  <c r="V18" i="11"/>
  <c r="V20" i="11"/>
  <c r="V22" i="11"/>
  <c r="V24" i="11"/>
  <c r="V26" i="11"/>
  <c r="V15" i="11"/>
  <c r="V19" i="11"/>
  <c r="V23" i="11"/>
  <c r="V27" i="11"/>
  <c r="V29" i="11"/>
  <c r="V31" i="11"/>
  <c r="V33" i="11"/>
  <c r="V35" i="11"/>
  <c r="V37" i="11"/>
  <c r="V39" i="11"/>
  <c r="V41" i="11"/>
  <c r="V43" i="11"/>
  <c r="V17" i="11"/>
  <c r="V21" i="11"/>
  <c r="V25" i="11"/>
  <c r="V28" i="11"/>
  <c r="V32" i="11"/>
  <c r="V36" i="11"/>
  <c r="V40" i="11"/>
  <c r="V30" i="11"/>
  <c r="V34" i="11"/>
  <c r="V38" i="11"/>
  <c r="V42" i="11"/>
  <c r="X14" i="11"/>
  <c r="X16" i="11"/>
  <c r="X18" i="11"/>
  <c r="X20" i="11"/>
  <c r="X22" i="11"/>
  <c r="X24" i="11"/>
  <c r="X26" i="11"/>
  <c r="X17" i="11"/>
  <c r="X21" i="11"/>
  <c r="X25" i="11"/>
  <c r="X27" i="11"/>
  <c r="X29" i="11"/>
  <c r="X31" i="11"/>
  <c r="X33" i="11"/>
  <c r="X35" i="11"/>
  <c r="X37" i="11"/>
  <c r="X39" i="11"/>
  <c r="X41" i="11"/>
  <c r="X43" i="11"/>
  <c r="X19" i="11"/>
  <c r="X15" i="11"/>
  <c r="X23" i="11"/>
  <c r="X28" i="11"/>
  <c r="X32" i="11"/>
  <c r="X30" i="11"/>
  <c r="X34" i="11"/>
  <c r="X38" i="11"/>
  <c r="X42" i="11"/>
  <c r="X36" i="11"/>
  <c r="X40" i="11"/>
  <c r="Z14" i="11"/>
  <c r="Z16" i="11"/>
  <c r="Z18" i="11"/>
  <c r="Z20" i="11"/>
  <c r="Z22" i="11"/>
  <c r="Z24" i="11"/>
  <c r="Z26" i="11"/>
  <c r="Z15" i="11"/>
  <c r="Z19" i="11"/>
  <c r="Z23" i="11"/>
  <c r="Z27" i="11"/>
  <c r="Z29" i="11"/>
  <c r="Z31" i="11"/>
  <c r="Z33" i="11"/>
  <c r="Z35" i="11"/>
  <c r="Z37" i="11"/>
  <c r="Z39" i="11"/>
  <c r="Z41" i="11"/>
  <c r="Z43" i="11"/>
  <c r="Z17" i="11"/>
  <c r="Z21" i="11"/>
  <c r="Z25" i="11"/>
  <c r="Z30" i="11"/>
  <c r="Z34" i="11"/>
  <c r="Z38" i="11"/>
  <c r="Z28" i="11"/>
  <c r="Z32" i="11"/>
  <c r="Z36" i="11"/>
  <c r="Z40" i="11"/>
  <c r="Z42" i="11"/>
  <c r="AB14" i="11"/>
  <c r="AB16" i="11"/>
  <c r="AB18" i="11"/>
  <c r="AB20" i="11"/>
  <c r="AB22" i="11"/>
  <c r="AB24" i="11"/>
  <c r="AB26" i="11"/>
  <c r="AB17" i="11"/>
  <c r="AB21" i="11"/>
  <c r="AB25" i="11"/>
  <c r="AB27" i="11"/>
  <c r="AB29" i="11"/>
  <c r="AB31" i="11"/>
  <c r="AB33" i="11"/>
  <c r="AB35" i="11"/>
  <c r="AB37" i="11"/>
  <c r="AB39" i="11"/>
  <c r="AB41" i="11"/>
  <c r="AB43" i="11"/>
  <c r="AB15" i="11"/>
  <c r="AB23" i="11"/>
  <c r="AB19" i="11"/>
  <c r="AB36" i="11"/>
  <c r="AB30" i="11"/>
  <c r="AB34" i="11"/>
  <c r="AB38" i="11"/>
  <c r="AB42" i="11"/>
  <c r="AB28" i="11"/>
  <c r="AB32" i="11"/>
  <c r="AB40" i="11"/>
  <c r="AE14" i="11"/>
  <c r="AE16" i="11"/>
  <c r="AE18" i="11"/>
  <c r="AE20" i="11"/>
  <c r="AE22" i="11"/>
  <c r="AE24" i="11"/>
  <c r="AE26" i="11"/>
  <c r="AE15" i="11"/>
  <c r="AE19" i="11"/>
  <c r="AE23" i="11"/>
  <c r="AE27" i="11"/>
  <c r="AE29" i="11"/>
  <c r="AE31" i="11"/>
  <c r="AE33" i="11"/>
  <c r="AE35" i="11"/>
  <c r="AE37" i="11"/>
  <c r="AE39" i="11"/>
  <c r="AE41" i="11"/>
  <c r="AE43" i="11"/>
  <c r="AE17" i="11"/>
  <c r="AE21" i="11"/>
  <c r="AE25" i="11"/>
  <c r="AE28" i="11"/>
  <c r="AE32" i="11"/>
  <c r="AE36" i="11"/>
  <c r="AE40" i="11"/>
  <c r="AE30" i="11"/>
  <c r="AE34" i="11"/>
  <c r="AE38" i="11"/>
  <c r="AE42" i="11"/>
  <c r="S15" i="11"/>
  <c r="S17" i="11"/>
  <c r="S19" i="11"/>
  <c r="S21" i="11"/>
  <c r="S23" i="11"/>
  <c r="S25" i="11"/>
  <c r="S14" i="11"/>
  <c r="S18" i="11"/>
  <c r="S22" i="11"/>
  <c r="S26" i="11"/>
  <c r="S28" i="11"/>
  <c r="S30" i="11"/>
  <c r="S32" i="11"/>
  <c r="S34" i="11"/>
  <c r="S36" i="11"/>
  <c r="S38" i="11"/>
  <c r="S40" i="11"/>
  <c r="S42" i="11"/>
  <c r="S20" i="11"/>
  <c r="S16" i="11"/>
  <c r="S24" i="11"/>
  <c r="S29" i="11"/>
  <c r="S33" i="11"/>
  <c r="S41" i="11"/>
  <c r="S27" i="11"/>
  <c r="S31" i="11"/>
  <c r="S35" i="11"/>
  <c r="S39" i="11"/>
  <c r="S43" i="11"/>
  <c r="S37" i="11"/>
  <c r="U15" i="11"/>
  <c r="U17" i="11"/>
  <c r="U19" i="11"/>
  <c r="U21" i="11"/>
  <c r="U23" i="11"/>
  <c r="U25" i="11"/>
  <c r="U16" i="11"/>
  <c r="U20" i="11"/>
  <c r="U24" i="11"/>
  <c r="U28" i="11"/>
  <c r="U30" i="11"/>
  <c r="U32" i="11"/>
  <c r="U34" i="11"/>
  <c r="U36" i="11"/>
  <c r="U38" i="11"/>
  <c r="U40" i="11"/>
  <c r="U42" i="11"/>
  <c r="U14" i="11"/>
  <c r="U18" i="11"/>
  <c r="U22" i="11"/>
  <c r="U26" i="11"/>
  <c r="U27" i="11"/>
  <c r="U29" i="11"/>
  <c r="U33" i="11"/>
  <c r="U37" i="11"/>
  <c r="U41" i="11"/>
  <c r="U31" i="11"/>
  <c r="U35" i="11"/>
  <c r="U39" i="11"/>
  <c r="U43" i="11"/>
  <c r="W15" i="11"/>
  <c r="W17" i="11"/>
  <c r="W19" i="11"/>
  <c r="W21" i="11"/>
  <c r="W23" i="11"/>
  <c r="W25" i="11"/>
  <c r="W14" i="11"/>
  <c r="W18" i="11"/>
  <c r="W22" i="11"/>
  <c r="W26" i="11"/>
  <c r="W28" i="11"/>
  <c r="W30" i="11"/>
  <c r="W32" i="11"/>
  <c r="W34" i="11"/>
  <c r="W36" i="11"/>
  <c r="W38" i="11"/>
  <c r="W40" i="11"/>
  <c r="W42" i="11"/>
  <c r="W16" i="11"/>
  <c r="W20" i="11"/>
  <c r="W24" i="11"/>
  <c r="W27" i="11"/>
  <c r="W31" i="11"/>
  <c r="W35" i="11"/>
  <c r="W39" i="11"/>
  <c r="W43" i="11"/>
  <c r="W29" i="11"/>
  <c r="W33" i="11"/>
  <c r="W37" i="11"/>
  <c r="W41" i="11"/>
  <c r="Y15" i="11"/>
  <c r="Y17" i="11"/>
  <c r="Y19" i="11"/>
  <c r="Y21" i="11"/>
  <c r="Y23" i="11"/>
  <c r="Y25" i="11"/>
  <c r="Y16" i="11"/>
  <c r="Y20" i="11"/>
  <c r="Y24" i="11"/>
  <c r="Y28" i="11"/>
  <c r="Y30" i="11"/>
  <c r="Y32" i="11"/>
  <c r="Y34" i="11"/>
  <c r="Y36" i="11"/>
  <c r="Y38" i="11"/>
  <c r="Y40" i="11"/>
  <c r="Y42" i="11"/>
  <c r="Y14" i="11"/>
  <c r="Y18" i="11"/>
  <c r="Y22" i="11"/>
  <c r="Y27" i="11"/>
  <c r="Y31" i="11"/>
  <c r="Y35" i="11"/>
  <c r="Y39" i="11"/>
  <c r="Y26" i="11"/>
  <c r="Y29" i="11"/>
  <c r="Y33" i="11"/>
  <c r="Y37" i="11"/>
  <c r="Y41" i="11"/>
  <c r="Y43" i="11"/>
  <c r="AA15" i="11"/>
  <c r="AA17" i="11"/>
  <c r="AA19" i="11"/>
  <c r="AA21" i="11"/>
  <c r="AA23" i="11"/>
  <c r="AA25" i="11"/>
  <c r="AA14" i="11"/>
  <c r="AA18" i="11"/>
  <c r="AA22" i="11"/>
  <c r="AA26" i="11"/>
  <c r="AA28" i="11"/>
  <c r="AA30" i="11"/>
  <c r="AA32" i="11"/>
  <c r="AA34" i="11"/>
  <c r="AA36" i="11"/>
  <c r="AA38" i="11"/>
  <c r="AA40" i="11"/>
  <c r="AA42" i="11"/>
  <c r="AA16" i="11"/>
  <c r="AA20" i="11"/>
  <c r="AA37" i="11"/>
  <c r="AA24" i="11"/>
  <c r="AA27" i="11"/>
  <c r="AA31" i="11"/>
  <c r="AA35" i="11"/>
  <c r="AA39" i="11"/>
  <c r="AA43" i="11"/>
  <c r="AA29" i="11"/>
  <c r="AA33" i="11"/>
  <c r="AA41" i="11"/>
  <c r="AC15" i="11"/>
  <c r="AC17" i="11"/>
  <c r="AC19" i="11"/>
  <c r="AC21" i="11"/>
  <c r="AC23" i="11"/>
  <c r="AC25" i="11"/>
  <c r="AC16" i="11"/>
  <c r="AC20" i="11"/>
  <c r="AC24" i="11"/>
  <c r="AC28" i="11"/>
  <c r="AC30" i="11"/>
  <c r="AC32" i="11"/>
  <c r="AC34" i="11"/>
  <c r="AC36" i="11"/>
  <c r="AC38" i="11"/>
  <c r="AC40" i="11"/>
  <c r="AC42" i="11"/>
  <c r="AC14" i="11"/>
  <c r="AC18" i="11"/>
  <c r="AC22" i="11"/>
  <c r="AC26" i="11"/>
  <c r="AC29" i="11"/>
  <c r="AC33" i="11"/>
  <c r="AC37" i="11"/>
  <c r="AC41" i="11"/>
  <c r="AC27" i="11"/>
  <c r="AC31" i="11"/>
  <c r="AC35" i="11"/>
  <c r="AC39" i="11"/>
  <c r="AC43" i="11"/>
  <c r="S21" i="49" l="1"/>
  <c r="M22" i="49" s="1"/>
  <c r="G32" i="27"/>
  <c r="K32" i="27"/>
  <c r="T32" i="27" s="1"/>
  <c r="F14" i="27"/>
  <c r="H14" i="27" s="1"/>
  <c r="O123" i="44"/>
  <c r="OC91" i="24"/>
  <c r="OC124" i="24" s="1"/>
  <c r="BV140" i="24" s="1"/>
  <c r="DH118" i="24"/>
  <c r="DI117" i="24"/>
  <c r="EK118" i="24"/>
  <c r="EL117" i="24"/>
  <c r="GQ118" i="24"/>
  <c r="GR117" i="24"/>
  <c r="HT118" i="24"/>
  <c r="HU117" i="24"/>
  <c r="IW118" i="24"/>
  <c r="IX117" i="24"/>
  <c r="LC118" i="24"/>
  <c r="LD117" i="24"/>
  <c r="NI118" i="24"/>
  <c r="NJ117" i="24"/>
  <c r="BB118" i="24"/>
  <c r="BC117" i="24"/>
  <c r="CE118" i="24"/>
  <c r="CF117" i="24"/>
  <c r="FN118" i="24"/>
  <c r="FO117" i="24"/>
  <c r="MF118" i="24"/>
  <c r="MG117" i="24"/>
  <c r="JZ118" i="24"/>
  <c r="KA117" i="24"/>
  <c r="C33" i="27"/>
  <c r="D32" i="27"/>
  <c r="C28" i="18"/>
  <c r="D27" i="18"/>
  <c r="OH9" i="24"/>
  <c r="OI9" i="24"/>
  <c r="NP9" i="24"/>
  <c r="NQ9" i="24"/>
  <c r="NQ17" i="24" s="1"/>
  <c r="NR9" i="24"/>
  <c r="NS9" i="24"/>
  <c r="NT9" i="24"/>
  <c r="NT32" i="24" s="1"/>
  <c r="NU9" i="24"/>
  <c r="NV9" i="24"/>
  <c r="NV38" i="24" s="1"/>
  <c r="NW9" i="24"/>
  <c r="NW41" i="24" s="1"/>
  <c r="NX9" i="24"/>
  <c r="NY9" i="24"/>
  <c r="NZ9" i="24"/>
  <c r="OA9" i="24"/>
  <c r="OB9" i="24"/>
  <c r="OC9" i="24"/>
  <c r="OD9" i="24"/>
  <c r="OE9" i="24"/>
  <c r="OF9" i="24"/>
  <c r="OG9" i="24"/>
  <c r="NO9" i="24"/>
  <c r="NE9" i="24"/>
  <c r="NF9" i="24"/>
  <c r="MM9" i="24"/>
  <c r="MN9" i="24"/>
  <c r="MN17" i="24" s="1"/>
  <c r="MO9" i="24"/>
  <c r="MP9" i="24"/>
  <c r="MQ9" i="24"/>
  <c r="MQ26" i="24" s="1"/>
  <c r="MR9" i="24"/>
  <c r="MR32" i="24" s="1"/>
  <c r="MS9" i="24"/>
  <c r="MS29" i="24" s="1"/>
  <c r="MT9" i="24"/>
  <c r="MT38" i="24" s="1"/>
  <c r="MU9" i="24"/>
  <c r="MV9" i="24"/>
  <c r="MW9" i="24"/>
  <c r="MX9" i="24"/>
  <c r="MY9" i="24"/>
  <c r="MZ9" i="24"/>
  <c r="NA9" i="24"/>
  <c r="NB9" i="24"/>
  <c r="NC9" i="24"/>
  <c r="ND9" i="24"/>
  <c r="ML9" i="24"/>
  <c r="MB9" i="24"/>
  <c r="MC9" i="24"/>
  <c r="LJ9" i="24"/>
  <c r="LK9" i="24"/>
  <c r="LL9" i="24"/>
  <c r="LM9" i="24"/>
  <c r="LN9" i="24"/>
  <c r="LN14" i="24" s="1"/>
  <c r="LO9" i="24"/>
  <c r="LP9" i="24"/>
  <c r="LQ9" i="24"/>
  <c r="LQ43" i="24" s="1"/>
  <c r="LR9" i="24"/>
  <c r="LS9" i="24"/>
  <c r="LT9" i="24"/>
  <c r="LU9" i="24"/>
  <c r="LV9" i="24"/>
  <c r="LW9" i="24"/>
  <c r="LX9" i="24"/>
  <c r="LY9" i="24"/>
  <c r="LZ9" i="24"/>
  <c r="MA9" i="24"/>
  <c r="LI9" i="24"/>
  <c r="KY9" i="24"/>
  <c r="KZ9" i="24"/>
  <c r="KG9" i="24"/>
  <c r="KH9" i="24"/>
  <c r="KH44" i="24" s="1"/>
  <c r="KI9" i="24"/>
  <c r="KJ9" i="24"/>
  <c r="KK9" i="24"/>
  <c r="KL9" i="24"/>
  <c r="KM9" i="24"/>
  <c r="KM27" i="24" s="1"/>
  <c r="KN9" i="24"/>
  <c r="KO9" i="24"/>
  <c r="KP9" i="24"/>
  <c r="KQ9" i="24"/>
  <c r="KR9" i="24"/>
  <c r="KS9" i="24"/>
  <c r="KT9" i="24"/>
  <c r="KU9" i="24"/>
  <c r="KV9" i="24"/>
  <c r="KW9" i="24"/>
  <c r="KX9" i="24"/>
  <c r="KF9" i="24"/>
  <c r="JV9" i="24"/>
  <c r="JW9" i="24"/>
  <c r="JD9" i="24"/>
  <c r="JE9" i="24"/>
  <c r="JE15" i="24" s="1"/>
  <c r="JF9" i="24"/>
  <c r="JG9" i="24"/>
  <c r="JH9" i="24"/>
  <c r="JH43" i="24" s="1"/>
  <c r="JI9" i="24"/>
  <c r="JJ9" i="24"/>
  <c r="JJ35" i="24" s="1"/>
  <c r="JK9" i="24"/>
  <c r="JL9" i="24"/>
  <c r="JM9" i="24"/>
  <c r="JN9" i="24"/>
  <c r="JO9" i="24"/>
  <c r="JP9" i="24"/>
  <c r="JQ9" i="24"/>
  <c r="JR9" i="24"/>
  <c r="JS9" i="24"/>
  <c r="JT9" i="24"/>
  <c r="JU9" i="24"/>
  <c r="JC9" i="24"/>
  <c r="IS9" i="24"/>
  <c r="IT9" i="24"/>
  <c r="IA9" i="24"/>
  <c r="IB9" i="24"/>
  <c r="IB40" i="24" s="1"/>
  <c r="IC9" i="24"/>
  <c r="ID9" i="24"/>
  <c r="IE9" i="24"/>
  <c r="IE27" i="24" s="1"/>
  <c r="IF9" i="24"/>
  <c r="IG9" i="24"/>
  <c r="IG17" i="24" s="1"/>
  <c r="IH9" i="24"/>
  <c r="IH14" i="24" s="1"/>
  <c r="II9" i="24"/>
  <c r="IJ9" i="24"/>
  <c r="IK9" i="24"/>
  <c r="IL9" i="24"/>
  <c r="IM9" i="24"/>
  <c r="IN9" i="24"/>
  <c r="IO9" i="24"/>
  <c r="IP9" i="24"/>
  <c r="IQ9" i="24"/>
  <c r="IR9" i="24"/>
  <c r="HZ9" i="24"/>
  <c r="HP9" i="24"/>
  <c r="HQ9" i="24"/>
  <c r="GX9" i="24"/>
  <c r="GY9" i="24"/>
  <c r="GY14" i="24" s="1"/>
  <c r="GZ9" i="24"/>
  <c r="HA9" i="24"/>
  <c r="HB9" i="24"/>
  <c r="HB25" i="24" s="1"/>
  <c r="HC9" i="24"/>
  <c r="HD9" i="24"/>
  <c r="HD34" i="24" s="1"/>
  <c r="HE9" i="24"/>
  <c r="HE39" i="24" s="1"/>
  <c r="HF9" i="24"/>
  <c r="HG9" i="24"/>
  <c r="HH9" i="24"/>
  <c r="HI9" i="24"/>
  <c r="HJ9" i="24"/>
  <c r="HK9" i="24"/>
  <c r="HL9" i="24"/>
  <c r="HM9" i="24"/>
  <c r="HN9" i="24"/>
  <c r="HO9" i="24"/>
  <c r="GW9" i="24"/>
  <c r="GM9" i="24"/>
  <c r="GN9" i="24"/>
  <c r="FU9" i="24"/>
  <c r="FV9" i="24"/>
  <c r="FW9" i="24"/>
  <c r="FX9" i="24"/>
  <c r="FY9" i="24"/>
  <c r="FY34" i="24" s="1"/>
  <c r="FZ9" i="24"/>
  <c r="GA9" i="24"/>
  <c r="GA40" i="24" s="1"/>
  <c r="GB9" i="24"/>
  <c r="GB44" i="24" s="1"/>
  <c r="GC9" i="24"/>
  <c r="GD9" i="24"/>
  <c r="GE9" i="24"/>
  <c r="GF9" i="24"/>
  <c r="GG9" i="24"/>
  <c r="GH9" i="24"/>
  <c r="GI9" i="24"/>
  <c r="GJ9" i="24"/>
  <c r="GK9" i="24"/>
  <c r="GL9" i="24"/>
  <c r="FT9" i="24"/>
  <c r="FJ9" i="24"/>
  <c r="FK9" i="24"/>
  <c r="ER9" i="24"/>
  <c r="ES9" i="24"/>
  <c r="ET9" i="24"/>
  <c r="EU9" i="24"/>
  <c r="EV9" i="24"/>
  <c r="EV28" i="24" s="1"/>
  <c r="EV45" i="24" s="1"/>
  <c r="EW9" i="24"/>
  <c r="EX9" i="24"/>
  <c r="EY9" i="24"/>
  <c r="EY44" i="24" s="1"/>
  <c r="EY45" i="24" s="1"/>
  <c r="EZ9" i="24"/>
  <c r="FA9" i="24"/>
  <c r="FB9" i="24"/>
  <c r="FC9" i="24"/>
  <c r="FD9" i="24"/>
  <c r="FE9" i="24"/>
  <c r="FF9" i="24"/>
  <c r="FG9" i="24"/>
  <c r="FH9" i="24"/>
  <c r="FI9" i="24"/>
  <c r="EQ9" i="24"/>
  <c r="EG9" i="24"/>
  <c r="EH9" i="24"/>
  <c r="DO9" i="24"/>
  <c r="DP9" i="24"/>
  <c r="DQ9" i="24"/>
  <c r="DR9" i="24"/>
  <c r="DS9" i="24"/>
  <c r="DT9" i="24"/>
  <c r="DU9" i="24"/>
  <c r="DV9" i="24"/>
  <c r="DV28" i="24" s="1"/>
  <c r="DW9" i="24"/>
  <c r="DX9" i="24"/>
  <c r="DY9" i="24"/>
  <c r="DZ9" i="24"/>
  <c r="EA9" i="24"/>
  <c r="EB9" i="24"/>
  <c r="EC9" i="24"/>
  <c r="ED9" i="24"/>
  <c r="EE9" i="24"/>
  <c r="EF9" i="24"/>
  <c r="DN9" i="24"/>
  <c r="DD9" i="24"/>
  <c r="DE9" i="24"/>
  <c r="CL9" i="24"/>
  <c r="CL41" i="24" s="1"/>
  <c r="CM9" i="24"/>
  <c r="CM29" i="24" s="1"/>
  <c r="CN9" i="24"/>
  <c r="CO9" i="24"/>
  <c r="CO14" i="24" s="1"/>
  <c r="CP9" i="24"/>
  <c r="CP14" i="24" s="1"/>
  <c r="CQ9" i="24"/>
  <c r="CQ22" i="24" s="1"/>
  <c r="CR9" i="24"/>
  <c r="CS9" i="24"/>
  <c r="CS26" i="24" s="1"/>
  <c r="CT9" i="24"/>
  <c r="CU9" i="24"/>
  <c r="CV9" i="24"/>
  <c r="CW9" i="24"/>
  <c r="CX9" i="24"/>
  <c r="CY9" i="24"/>
  <c r="CZ9" i="24"/>
  <c r="DA9" i="24"/>
  <c r="DB9" i="24"/>
  <c r="DC9" i="24"/>
  <c r="CK9" i="24"/>
  <c r="BH9" i="24"/>
  <c r="CA9" i="24"/>
  <c r="CB9" i="24"/>
  <c r="BI9" i="24"/>
  <c r="BJ9" i="24"/>
  <c r="BJ40" i="24" s="1"/>
  <c r="BK9" i="24"/>
  <c r="BL9" i="24"/>
  <c r="BL20" i="24" s="1"/>
  <c r="BM9" i="24"/>
  <c r="BM15" i="24" s="1"/>
  <c r="BN9" i="24"/>
  <c r="BO9" i="24"/>
  <c r="BP9" i="24"/>
  <c r="BQ9" i="24"/>
  <c r="BR9" i="24"/>
  <c r="BS9" i="24"/>
  <c r="BT9" i="24"/>
  <c r="BU9" i="24"/>
  <c r="BV9" i="24"/>
  <c r="BW9" i="24"/>
  <c r="BX9" i="24"/>
  <c r="BY9" i="24"/>
  <c r="BZ9" i="24"/>
  <c r="BP26" i="24" l="1"/>
  <c r="BP33" i="24"/>
  <c r="BP35" i="24"/>
  <c r="BP21" i="24"/>
  <c r="BP40" i="24"/>
  <c r="BP19" i="24"/>
  <c r="BP42" i="24"/>
  <c r="BP14" i="24"/>
  <c r="BO39" i="24"/>
  <c r="BO41" i="24"/>
  <c r="BO34" i="24"/>
  <c r="BO25" i="24"/>
  <c r="BO32" i="24"/>
  <c r="BO20" i="24"/>
  <c r="BI31" i="24"/>
  <c r="BI22" i="24"/>
  <c r="BI38" i="24"/>
  <c r="BI17" i="24"/>
  <c r="BI36" i="24"/>
  <c r="BI29" i="24"/>
  <c r="G33" i="27"/>
  <c r="K33" i="27"/>
  <c r="T33" i="27" s="1"/>
  <c r="BO38" i="24"/>
  <c r="BO42" i="24"/>
  <c r="BN20" i="24"/>
  <c r="BN41" i="24"/>
  <c r="BI43" i="24"/>
  <c r="BI39" i="24"/>
  <c r="F15" i="27"/>
  <c r="H15" i="27" s="1"/>
  <c r="E18" i="31"/>
  <c r="E52" i="31" s="1"/>
  <c r="E40" i="31"/>
  <c r="H40" i="31" s="1"/>
  <c r="BJ16" i="24"/>
  <c r="BJ28" i="24"/>
  <c r="BJ21" i="24"/>
  <c r="BJ18" i="24"/>
  <c r="BJ23" i="24"/>
  <c r="EU26" i="24"/>
  <c r="EU19" i="24"/>
  <c r="EU33" i="24"/>
  <c r="EU40" i="24"/>
  <c r="FU36" i="24"/>
  <c r="FU40" i="24"/>
  <c r="FU15" i="24"/>
  <c r="FU43" i="24"/>
  <c r="FU22" i="24"/>
  <c r="FU26" i="24"/>
  <c r="FU29" i="24"/>
  <c r="FU33" i="24"/>
  <c r="HC29" i="24"/>
  <c r="HC31" i="24"/>
  <c r="HC24" i="24"/>
  <c r="HC38" i="24"/>
  <c r="HC43" i="24"/>
  <c r="HC36" i="24"/>
  <c r="HA22" i="24"/>
  <c r="HA27" i="24"/>
  <c r="HA20" i="24"/>
  <c r="HA34" i="24"/>
  <c r="IC37" i="24"/>
  <c r="IC16" i="24"/>
  <c r="IC30" i="24"/>
  <c r="IC23" i="24"/>
  <c r="IA43" i="24"/>
  <c r="IA24" i="24"/>
  <c r="IA28" i="24"/>
  <c r="IA17" i="24"/>
  <c r="IA31" i="24"/>
  <c r="IA35" i="24"/>
  <c r="IA14" i="24"/>
  <c r="JI31" i="24"/>
  <c r="JI24" i="24"/>
  <c r="JI40" i="24"/>
  <c r="JI33" i="24"/>
  <c r="JI26" i="24"/>
  <c r="JI38" i="24"/>
  <c r="JG16" i="24"/>
  <c r="JG29" i="24"/>
  <c r="JG43" i="24"/>
  <c r="KI25" i="24"/>
  <c r="KI18" i="24"/>
  <c r="KI39" i="24"/>
  <c r="KI32" i="24"/>
  <c r="KG37" i="24"/>
  <c r="KG19" i="24"/>
  <c r="KG23" i="24"/>
  <c r="KG16" i="24"/>
  <c r="KG40" i="24"/>
  <c r="KG44" i="24"/>
  <c r="KG33" i="24"/>
  <c r="KG30" i="24"/>
  <c r="LO42" i="24"/>
  <c r="LO26" i="24"/>
  <c r="LO40" i="24"/>
  <c r="LO19" i="24"/>
  <c r="LO35" i="24"/>
  <c r="LO21" i="24"/>
  <c r="LO33" i="24"/>
  <c r="LO14" i="24"/>
  <c r="LM30" i="24"/>
  <c r="LM17" i="24"/>
  <c r="LM24" i="24"/>
  <c r="LM38" i="24"/>
  <c r="LM31" i="24"/>
  <c r="MO20" i="24"/>
  <c r="MO33" i="24"/>
  <c r="MO26" i="24"/>
  <c r="MO40" i="24"/>
  <c r="MO19" i="24"/>
  <c r="MM14" i="24"/>
  <c r="MM17" i="24"/>
  <c r="MM41" i="24"/>
  <c r="MM20" i="24"/>
  <c r="MM24" i="24"/>
  <c r="MM27" i="24"/>
  <c r="MM31" i="24"/>
  <c r="MM38" i="24"/>
  <c r="NU17" i="24"/>
  <c r="NU19" i="24"/>
  <c r="NU22" i="24"/>
  <c r="NU26" i="24"/>
  <c r="NS28" i="24"/>
  <c r="NS27" i="24"/>
  <c r="NS16" i="24"/>
  <c r="NS20" i="24"/>
  <c r="NS24" i="24"/>
  <c r="BL24" i="24"/>
  <c r="BL31" i="24"/>
  <c r="BL39" i="24"/>
  <c r="BL29" i="24"/>
  <c r="BL37" i="24"/>
  <c r="BL36" i="24"/>
  <c r="BL42" i="24"/>
  <c r="BL35" i="24"/>
  <c r="BL43" i="24"/>
  <c r="DO34" i="24"/>
  <c r="DO31" i="24"/>
  <c r="DO41" i="24"/>
  <c r="DO38" i="24"/>
  <c r="EW15" i="24"/>
  <c r="EW23" i="24"/>
  <c r="EW35" i="24"/>
  <c r="EW16" i="24"/>
  <c r="EW44" i="24"/>
  <c r="EW30" i="24"/>
  <c r="EW42" i="24"/>
  <c r="EW21" i="24"/>
  <c r="EW14" i="24"/>
  <c r="EW28" i="24"/>
  <c r="EW37" i="24"/>
  <c r="ES38" i="24"/>
  <c r="ES31" i="24"/>
  <c r="FW18" i="24"/>
  <c r="FW42" i="24"/>
  <c r="FW35" i="24"/>
  <c r="BI40" i="24"/>
  <c r="BI33" i="24"/>
  <c r="DT37" i="24"/>
  <c r="DT30" i="24"/>
  <c r="DT39" i="24"/>
  <c r="DT32" i="24"/>
  <c r="DR42" i="24"/>
  <c r="DR35" i="24"/>
  <c r="DP40" i="24"/>
  <c r="DP33" i="24"/>
  <c r="ER18" i="24"/>
  <c r="ER24" i="24"/>
  <c r="ER15" i="24"/>
  <c r="ER39" i="24"/>
  <c r="ER32" i="24"/>
  <c r="ER22" i="24"/>
  <c r="ER29" i="24"/>
  <c r="ER36" i="24"/>
  <c r="ER43" i="24"/>
  <c r="ER17" i="24"/>
  <c r="FZ37" i="24"/>
  <c r="FZ27" i="24"/>
  <c r="FZ41" i="24"/>
  <c r="FZ34" i="24"/>
  <c r="FZ39" i="24"/>
  <c r="FZ32" i="24"/>
  <c r="FX28" i="24"/>
  <c r="FX23" i="24"/>
  <c r="FX16" i="24"/>
  <c r="FX44" i="24"/>
  <c r="FV23" i="24"/>
  <c r="FV14" i="24"/>
  <c r="GZ18" i="24"/>
  <c r="GZ32" i="24"/>
  <c r="GZ39" i="24"/>
  <c r="GX26" i="24"/>
  <c r="GX30" i="24"/>
  <c r="GX40" i="24"/>
  <c r="GX33" i="24"/>
  <c r="GX37" i="24"/>
  <c r="IF27" i="24"/>
  <c r="IF20" i="24"/>
  <c r="IF29" i="24"/>
  <c r="IF36" i="24"/>
  <c r="ID33" i="24"/>
  <c r="ID25" i="24"/>
  <c r="ID32" i="24"/>
  <c r="ID18" i="24"/>
  <c r="JF27" i="24"/>
  <c r="JF41" i="24"/>
  <c r="JF34" i="24"/>
  <c r="JD42" i="24"/>
  <c r="JD28" i="24"/>
  <c r="JD32" i="24"/>
  <c r="JD39" i="24"/>
  <c r="JD35" i="24"/>
  <c r="KL17" i="24"/>
  <c r="KL22" i="24"/>
  <c r="KL15" i="24"/>
  <c r="KL29" i="24"/>
  <c r="KL24" i="24"/>
  <c r="KL36" i="24"/>
  <c r="KL31" i="24"/>
  <c r="KL43" i="24"/>
  <c r="KJ14" i="24"/>
  <c r="KJ20" i="24"/>
  <c r="KJ27" i="24"/>
  <c r="KJ41" i="24"/>
  <c r="KJ34" i="24"/>
  <c r="LL14" i="24"/>
  <c r="LL29" i="24"/>
  <c r="LL43" i="24"/>
  <c r="LL15" i="24"/>
  <c r="LL36" i="24"/>
  <c r="LL22" i="24"/>
  <c r="LJ17" i="24"/>
  <c r="LJ23" i="24"/>
  <c r="LJ27" i="24"/>
  <c r="LJ41" i="24"/>
  <c r="LJ16" i="24"/>
  <c r="LJ34" i="24"/>
  <c r="LJ30" i="24"/>
  <c r="LJ37" i="24"/>
  <c r="LJ20" i="24"/>
  <c r="LJ44" i="24"/>
  <c r="MP16" i="24"/>
  <c r="MP28" i="24"/>
  <c r="MP39" i="24"/>
  <c r="MP21" i="24"/>
  <c r="MP35" i="24"/>
  <c r="MP18" i="24"/>
  <c r="MP30" i="24"/>
  <c r="MP37" i="24"/>
  <c r="MP25" i="24"/>
  <c r="NR21" i="24"/>
  <c r="NR15" i="24"/>
  <c r="NR25" i="24"/>
  <c r="NP14" i="24"/>
  <c r="NP18" i="24"/>
  <c r="NP29" i="24"/>
  <c r="O124" i="44"/>
  <c r="BL17" i="24"/>
  <c r="BL14" i="24"/>
  <c r="BO14" i="24"/>
  <c r="BO18" i="24"/>
  <c r="BK15" i="24"/>
  <c r="BK43" i="24"/>
  <c r="DR38" i="24"/>
  <c r="DR43" i="24"/>
  <c r="ET23" i="24"/>
  <c r="ET14" i="24"/>
  <c r="GX16" i="24"/>
  <c r="GX43" i="24"/>
  <c r="IF22" i="24"/>
  <c r="IF44" i="24"/>
  <c r="JF14" i="24"/>
  <c r="JF17" i="24"/>
  <c r="MP23" i="24"/>
  <c r="MP14" i="24"/>
  <c r="FU14" i="24"/>
  <c r="FU44" i="24"/>
  <c r="JI25" i="24"/>
  <c r="JI14" i="24"/>
  <c r="JI15" i="24"/>
  <c r="LO44" i="24"/>
  <c r="LO15" i="24"/>
  <c r="LK39" i="24"/>
  <c r="LK18" i="24"/>
  <c r="NU35" i="24"/>
  <c r="NU44" i="24"/>
  <c r="NU29" i="24"/>
  <c r="BQ70" i="24"/>
  <c r="M27" i="17"/>
  <c r="BN70" i="24"/>
  <c r="J27" i="17"/>
  <c r="JZ119" i="24"/>
  <c r="KA118" i="24"/>
  <c r="MF119" i="24"/>
  <c r="MG118" i="24"/>
  <c r="FN119" i="24"/>
  <c r="FO118" i="24"/>
  <c r="CE119" i="24"/>
  <c r="CF118" i="24"/>
  <c r="BB119" i="24"/>
  <c r="BC118" i="24"/>
  <c r="NI119" i="24"/>
  <c r="NJ118" i="24"/>
  <c r="LC119" i="24"/>
  <c r="LD118" i="24"/>
  <c r="IW119" i="24"/>
  <c r="IX118" i="24"/>
  <c r="HT119" i="24"/>
  <c r="HU118" i="24"/>
  <c r="GQ119" i="24"/>
  <c r="GR118" i="24"/>
  <c r="EK119" i="24"/>
  <c r="EL118" i="24"/>
  <c r="DH119" i="24"/>
  <c r="DI118" i="24"/>
  <c r="C34" i="27"/>
  <c r="D33" i="27"/>
  <c r="C29" i="18"/>
  <c r="D28" i="18"/>
  <c r="DU23" i="24"/>
  <c r="DU18" i="24"/>
  <c r="DQ43" i="24"/>
  <c r="DQ33" i="24"/>
  <c r="DQ14" i="24"/>
  <c r="EW33" i="24"/>
  <c r="EW18" i="24"/>
  <c r="EU44" i="24"/>
  <c r="EU14" i="24"/>
  <c r="FT44" i="24"/>
  <c r="FT42" i="24"/>
  <c r="FT40" i="24"/>
  <c r="FT38" i="24"/>
  <c r="FT36" i="24"/>
  <c r="FT34" i="24"/>
  <c r="FT32" i="24"/>
  <c r="FT30" i="24"/>
  <c r="FT28" i="24"/>
  <c r="FT26" i="24"/>
  <c r="FT24" i="24"/>
  <c r="FT22" i="24"/>
  <c r="FT20" i="24"/>
  <c r="FT18" i="24"/>
  <c r="FT16" i="24"/>
  <c r="FT43" i="24"/>
  <c r="FT41" i="24"/>
  <c r="FT39" i="24"/>
  <c r="FT37" i="24"/>
  <c r="FT35" i="24"/>
  <c r="FT33" i="24"/>
  <c r="FT31" i="24"/>
  <c r="FT29" i="24"/>
  <c r="FT27" i="24"/>
  <c r="FT25" i="24"/>
  <c r="FT23" i="24"/>
  <c r="FT21" i="24"/>
  <c r="FT19" i="24"/>
  <c r="FT17" i="24"/>
  <c r="FT15" i="24"/>
  <c r="HZ43" i="24"/>
  <c r="HZ41" i="24"/>
  <c r="HZ39" i="24"/>
  <c r="HZ37" i="24"/>
  <c r="HZ35" i="24"/>
  <c r="HZ33" i="24"/>
  <c r="HZ31" i="24"/>
  <c r="HZ29" i="24"/>
  <c r="HZ27" i="24"/>
  <c r="HZ25" i="24"/>
  <c r="HZ23" i="24"/>
  <c r="HZ21" i="24"/>
  <c r="HZ19" i="24"/>
  <c r="HZ17" i="24"/>
  <c r="HZ15" i="24"/>
  <c r="HZ44" i="24"/>
  <c r="HZ42" i="24"/>
  <c r="HZ40" i="24"/>
  <c r="HZ38" i="24"/>
  <c r="HZ36" i="24"/>
  <c r="HZ34" i="24"/>
  <c r="HZ32" i="24"/>
  <c r="HZ30" i="24"/>
  <c r="HZ28" i="24"/>
  <c r="HZ26" i="24"/>
  <c r="HZ24" i="24"/>
  <c r="HZ22" i="24"/>
  <c r="HZ20" i="24"/>
  <c r="HZ18" i="24"/>
  <c r="HZ16" i="24"/>
  <c r="KF44" i="24"/>
  <c r="KF42" i="24"/>
  <c r="KF40" i="24"/>
  <c r="KF38" i="24"/>
  <c r="KF36" i="24"/>
  <c r="KF34" i="24"/>
  <c r="KF32" i="24"/>
  <c r="KF30" i="24"/>
  <c r="KF28" i="24"/>
  <c r="KF26" i="24"/>
  <c r="KF24" i="24"/>
  <c r="KF22" i="24"/>
  <c r="KF20" i="24"/>
  <c r="KF18" i="24"/>
  <c r="KF16" i="24"/>
  <c r="KF43" i="24"/>
  <c r="KF41" i="24"/>
  <c r="KF39" i="24"/>
  <c r="KF37" i="24"/>
  <c r="KF35" i="24"/>
  <c r="KF33" i="24"/>
  <c r="KF31" i="24"/>
  <c r="KF29" i="24"/>
  <c r="KF27" i="24"/>
  <c r="KF25" i="24"/>
  <c r="KF23" i="24"/>
  <c r="KF21" i="24"/>
  <c r="KF19" i="24"/>
  <c r="KF17" i="24"/>
  <c r="KF15" i="24"/>
  <c r="LO18" i="24"/>
  <c r="LO22" i="24"/>
  <c r="ML42" i="24"/>
  <c r="ML44" i="24"/>
  <c r="ML43" i="24"/>
  <c r="ML41" i="24"/>
  <c r="ML39" i="24"/>
  <c r="ML37" i="24"/>
  <c r="ML35" i="24"/>
  <c r="ML33" i="24"/>
  <c r="ML31" i="24"/>
  <c r="ML29" i="24"/>
  <c r="ML27" i="24"/>
  <c r="ML25" i="24"/>
  <c r="ML23" i="24"/>
  <c r="ML21" i="24"/>
  <c r="ML19" i="24"/>
  <c r="ML17" i="24"/>
  <c r="ML15" i="24"/>
  <c r="ML40" i="24"/>
  <c r="ML38" i="24"/>
  <c r="ML36" i="24"/>
  <c r="ML34" i="24"/>
  <c r="ML32" i="24"/>
  <c r="ML30" i="24"/>
  <c r="ML28" i="24"/>
  <c r="ML26" i="24"/>
  <c r="ML24" i="24"/>
  <c r="ML22" i="24"/>
  <c r="ML20" i="24"/>
  <c r="ML18" i="24"/>
  <c r="ML16" i="24"/>
  <c r="CK43" i="24"/>
  <c r="CK39" i="24"/>
  <c r="CK35" i="24"/>
  <c r="CK31" i="24"/>
  <c r="CK27" i="24"/>
  <c r="CK23" i="24"/>
  <c r="CK19" i="24"/>
  <c r="CK15" i="24"/>
  <c r="CK42" i="24"/>
  <c r="CK38" i="24"/>
  <c r="CK34" i="24"/>
  <c r="CK30" i="24"/>
  <c r="CK26" i="24"/>
  <c r="CK22" i="24"/>
  <c r="CK18" i="24"/>
  <c r="CK41" i="24"/>
  <c r="CK37" i="24"/>
  <c r="CK33" i="24"/>
  <c r="CK29" i="24"/>
  <c r="CK25" i="24"/>
  <c r="CK21" i="24"/>
  <c r="CK17" i="24"/>
  <c r="CK44" i="24"/>
  <c r="CK40" i="24"/>
  <c r="CK36" i="24"/>
  <c r="CK32" i="24"/>
  <c r="CK28" i="24"/>
  <c r="CK24" i="24"/>
  <c r="CK20" i="24"/>
  <c r="CK16" i="24"/>
  <c r="CN18" i="24"/>
  <c r="CN14" i="24"/>
  <c r="CN44" i="24"/>
  <c r="EQ16" i="24"/>
  <c r="EQ18" i="24"/>
  <c r="EQ20" i="24"/>
  <c r="EQ22" i="24"/>
  <c r="EQ24" i="24"/>
  <c r="EQ26" i="24"/>
  <c r="EQ28" i="24"/>
  <c r="EQ30" i="24"/>
  <c r="EQ32" i="24"/>
  <c r="EQ34" i="24"/>
  <c r="EQ36" i="24"/>
  <c r="EQ38" i="24"/>
  <c r="EQ40" i="24"/>
  <c r="EQ42" i="24"/>
  <c r="EQ44" i="24"/>
  <c r="EQ15" i="24"/>
  <c r="EQ17" i="24"/>
  <c r="EQ19" i="24"/>
  <c r="EQ21" i="24"/>
  <c r="EQ23" i="24"/>
  <c r="EQ25" i="24"/>
  <c r="EQ27" i="24"/>
  <c r="EQ29" i="24"/>
  <c r="EQ31" i="24"/>
  <c r="EQ33" i="24"/>
  <c r="EQ35" i="24"/>
  <c r="EQ37" i="24"/>
  <c r="EQ39" i="24"/>
  <c r="EQ43" i="24"/>
  <c r="EQ41" i="24"/>
  <c r="EX43" i="24"/>
  <c r="EX38" i="24"/>
  <c r="GW44" i="24"/>
  <c r="GW43" i="24"/>
  <c r="GW41" i="24"/>
  <c r="GW39" i="24"/>
  <c r="GW37" i="24"/>
  <c r="GW35" i="24"/>
  <c r="GW33" i="24"/>
  <c r="GW31" i="24"/>
  <c r="GW29" i="24"/>
  <c r="GW27" i="24"/>
  <c r="GW25" i="24"/>
  <c r="GW23" i="24"/>
  <c r="GW21" i="24"/>
  <c r="GW19" i="24"/>
  <c r="GW17" i="24"/>
  <c r="GW15" i="24"/>
  <c r="GW42" i="24"/>
  <c r="GW40" i="24"/>
  <c r="GW38" i="24"/>
  <c r="GW36" i="24"/>
  <c r="GW34" i="24"/>
  <c r="GW32" i="24"/>
  <c r="GW30" i="24"/>
  <c r="GW28" i="24"/>
  <c r="GW26" i="24"/>
  <c r="GW24" i="24"/>
  <c r="GW22" i="24"/>
  <c r="GW20" i="24"/>
  <c r="GW18" i="24"/>
  <c r="GW16" i="24"/>
  <c r="JC44" i="24"/>
  <c r="JC42" i="24"/>
  <c r="JC40" i="24"/>
  <c r="JC38" i="24"/>
  <c r="JC36" i="24"/>
  <c r="JC34" i="24"/>
  <c r="JC32" i="24"/>
  <c r="JC30" i="24"/>
  <c r="JC28" i="24"/>
  <c r="JC26" i="24"/>
  <c r="JC24" i="24"/>
  <c r="JC22" i="24"/>
  <c r="JC20" i="24"/>
  <c r="JC18" i="24"/>
  <c r="JC16" i="24"/>
  <c r="JC43" i="24"/>
  <c r="JC41" i="24"/>
  <c r="JC39" i="24"/>
  <c r="JC37" i="24"/>
  <c r="JC35" i="24"/>
  <c r="JC33" i="24"/>
  <c r="JC31" i="24"/>
  <c r="JC29" i="24"/>
  <c r="JC27" i="24"/>
  <c r="JC25" i="24"/>
  <c r="JC23" i="24"/>
  <c r="JC21" i="24"/>
  <c r="JC19" i="24"/>
  <c r="JC17" i="24"/>
  <c r="JC15" i="24"/>
  <c r="LI44" i="24"/>
  <c r="LI42" i="24"/>
  <c r="LI40" i="24"/>
  <c r="LI38" i="24"/>
  <c r="LI36" i="24"/>
  <c r="LI34" i="24"/>
  <c r="LI32" i="24"/>
  <c r="LI30" i="24"/>
  <c r="LI28" i="24"/>
  <c r="LI26" i="24"/>
  <c r="LI24" i="24"/>
  <c r="LI22" i="24"/>
  <c r="LI20" i="24"/>
  <c r="LI18" i="24"/>
  <c r="LI16" i="24"/>
  <c r="LI43" i="24"/>
  <c r="LI41" i="24"/>
  <c r="LI39" i="24"/>
  <c r="LI37" i="24"/>
  <c r="LI35" i="24"/>
  <c r="LI33" i="24"/>
  <c r="LI31" i="24"/>
  <c r="LI29" i="24"/>
  <c r="LI27" i="24"/>
  <c r="LI25" i="24"/>
  <c r="LI23" i="24"/>
  <c r="LI21" i="24"/>
  <c r="LI19" i="24"/>
  <c r="LI17" i="24"/>
  <c r="LI15" i="24"/>
  <c r="NO43" i="24"/>
  <c r="NO41" i="24"/>
  <c r="NO39" i="24"/>
  <c r="NO37" i="24"/>
  <c r="NO35" i="24"/>
  <c r="NO33" i="24"/>
  <c r="NO31" i="24"/>
  <c r="NO29" i="24"/>
  <c r="NO27" i="24"/>
  <c r="NO25" i="24"/>
  <c r="NO23" i="24"/>
  <c r="NO21" i="24"/>
  <c r="NO19" i="24"/>
  <c r="NO17" i="24"/>
  <c r="NO15" i="24"/>
  <c r="NO44" i="24"/>
  <c r="NO42" i="24"/>
  <c r="NO40" i="24"/>
  <c r="NO38" i="24"/>
  <c r="NO36" i="24"/>
  <c r="NO34" i="24"/>
  <c r="NO32" i="24"/>
  <c r="NO30" i="24"/>
  <c r="NO28" i="24"/>
  <c r="NO26" i="24"/>
  <c r="NO24" i="24"/>
  <c r="NO22" i="24"/>
  <c r="NO20" i="24"/>
  <c r="NO18" i="24"/>
  <c r="NO16" i="24"/>
  <c r="DN15" i="24"/>
  <c r="DN17" i="24"/>
  <c r="DN19" i="24"/>
  <c r="DN21" i="24"/>
  <c r="DN23" i="24"/>
  <c r="DN25" i="24"/>
  <c r="DN27" i="24"/>
  <c r="DN29" i="24"/>
  <c r="DN31" i="24"/>
  <c r="DN33" i="24"/>
  <c r="DN35" i="24"/>
  <c r="DN37" i="24"/>
  <c r="DN39" i="24"/>
  <c r="DN41" i="24"/>
  <c r="DN43" i="24"/>
  <c r="DN16" i="24"/>
  <c r="DN18" i="24"/>
  <c r="DN20" i="24"/>
  <c r="DN22" i="24"/>
  <c r="DN24" i="24"/>
  <c r="DN26" i="24"/>
  <c r="DN28" i="24"/>
  <c r="DN30" i="24"/>
  <c r="DN32" i="24"/>
  <c r="DN34" i="24"/>
  <c r="DN36" i="24"/>
  <c r="DN38" i="24"/>
  <c r="DN40" i="24"/>
  <c r="DN42" i="24"/>
  <c r="DN44" i="24"/>
  <c r="BP23" i="24"/>
  <c r="BP32" i="24"/>
  <c r="BN40" i="24"/>
  <c r="BN22" i="24"/>
  <c r="BN30" i="24"/>
  <c r="BN15" i="24"/>
  <c r="BN39" i="24"/>
  <c r="BL38" i="24"/>
  <c r="BL16" i="24"/>
  <c r="BL28" i="24"/>
  <c r="BL19" i="24"/>
  <c r="BJ14" i="24"/>
  <c r="BJ25" i="24"/>
  <c r="BH16" i="24"/>
  <c r="BH18" i="24"/>
  <c r="BH20" i="24"/>
  <c r="BH22" i="24"/>
  <c r="BH24" i="24"/>
  <c r="BH26" i="24"/>
  <c r="BH28" i="24"/>
  <c r="BH30" i="24"/>
  <c r="BH32" i="24"/>
  <c r="BH34" i="24"/>
  <c r="BH36" i="24"/>
  <c r="BH38" i="24"/>
  <c r="BH40" i="24"/>
  <c r="BH42" i="24"/>
  <c r="BH44" i="24"/>
  <c r="BH15" i="24"/>
  <c r="BH19" i="24"/>
  <c r="BH23" i="24"/>
  <c r="BH27" i="24"/>
  <c r="BH31" i="24"/>
  <c r="BH35" i="24"/>
  <c r="BH39" i="24"/>
  <c r="BH43" i="24"/>
  <c r="BH17" i="24"/>
  <c r="BH21" i="24"/>
  <c r="BH25" i="24"/>
  <c r="BH29" i="24"/>
  <c r="BH33" i="24"/>
  <c r="BH37" i="24"/>
  <c r="BH41" i="24"/>
  <c r="BO31" i="24"/>
  <c r="BO43" i="24"/>
  <c r="BO17" i="24"/>
  <c r="BM29" i="24"/>
  <c r="BM37" i="24"/>
  <c r="BM18" i="24"/>
  <c r="BK27" i="24"/>
  <c r="BK35" i="24"/>
  <c r="BK34" i="24"/>
  <c r="BK42" i="24"/>
  <c r="BK21" i="24"/>
  <c r="BK36" i="24"/>
  <c r="BI41" i="24"/>
  <c r="BI24" i="24"/>
  <c r="BZ15" i="24"/>
  <c r="BZ16" i="24"/>
  <c r="BZ17" i="24"/>
  <c r="BZ18" i="24"/>
  <c r="BZ19" i="24"/>
  <c r="BZ20" i="24"/>
  <c r="BZ21" i="24"/>
  <c r="BZ22" i="24"/>
  <c r="BZ23" i="24"/>
  <c r="BZ24" i="24"/>
  <c r="BZ25" i="24"/>
  <c r="BZ26" i="24"/>
  <c r="BZ27" i="24"/>
  <c r="BZ28" i="24"/>
  <c r="BZ29" i="24"/>
  <c r="BZ30" i="24"/>
  <c r="BZ31" i="24"/>
  <c r="BZ32" i="24"/>
  <c r="BZ33" i="24"/>
  <c r="BZ34" i="24"/>
  <c r="BZ35" i="24"/>
  <c r="BZ36" i="24"/>
  <c r="BZ37" i="24"/>
  <c r="BZ38" i="24"/>
  <c r="BZ39" i="24"/>
  <c r="BZ40" i="24"/>
  <c r="BZ41" i="24"/>
  <c r="BZ42" i="24"/>
  <c r="BZ43" i="24"/>
  <c r="BZ44" i="24"/>
  <c r="BZ14" i="24"/>
  <c r="BX15" i="24"/>
  <c r="BX16" i="24"/>
  <c r="BX17" i="24"/>
  <c r="BX18" i="24"/>
  <c r="BX19" i="24"/>
  <c r="BX20" i="24"/>
  <c r="BX21" i="24"/>
  <c r="BX22" i="24"/>
  <c r="BX23" i="24"/>
  <c r="BX24" i="24"/>
  <c r="BX25" i="24"/>
  <c r="BX26" i="24"/>
  <c r="BX27" i="24"/>
  <c r="BX28" i="24"/>
  <c r="BX29" i="24"/>
  <c r="BX30" i="24"/>
  <c r="BX31" i="24"/>
  <c r="BX32" i="24"/>
  <c r="BX33" i="24"/>
  <c r="BX34" i="24"/>
  <c r="BX35" i="24"/>
  <c r="BX36" i="24"/>
  <c r="BX37" i="24"/>
  <c r="BX38" i="24"/>
  <c r="BX39" i="24"/>
  <c r="BX40" i="24"/>
  <c r="BX41" i="24"/>
  <c r="BX42" i="24"/>
  <c r="BX43" i="24"/>
  <c r="BX44" i="24"/>
  <c r="BX14" i="24"/>
  <c r="BV15" i="24"/>
  <c r="BV16" i="24"/>
  <c r="BV17" i="24"/>
  <c r="BV18" i="24"/>
  <c r="BV19" i="24"/>
  <c r="BV20" i="24"/>
  <c r="BV21" i="24"/>
  <c r="BV22" i="24"/>
  <c r="BV23" i="24"/>
  <c r="BV24" i="24"/>
  <c r="BV25" i="24"/>
  <c r="BV26" i="24"/>
  <c r="BV27" i="24"/>
  <c r="BV28" i="24"/>
  <c r="BV29" i="24"/>
  <c r="BV30" i="24"/>
  <c r="BV31" i="24"/>
  <c r="BV32" i="24"/>
  <c r="BV33" i="24"/>
  <c r="BV34" i="24"/>
  <c r="BV35" i="24"/>
  <c r="BV36" i="24"/>
  <c r="BV37" i="24"/>
  <c r="BV38" i="24"/>
  <c r="BV39" i="24"/>
  <c r="BV40" i="24"/>
  <c r="BV41" i="24"/>
  <c r="BV42" i="24"/>
  <c r="BV43" i="24"/>
  <c r="BV44" i="24"/>
  <c r="BV14" i="24"/>
  <c r="BT15" i="24"/>
  <c r="BT16" i="24"/>
  <c r="BT17" i="24"/>
  <c r="BT18" i="24"/>
  <c r="BT19" i="24"/>
  <c r="BT20" i="24"/>
  <c r="BT21" i="24"/>
  <c r="BT22" i="24"/>
  <c r="BT23" i="24"/>
  <c r="BT24" i="24"/>
  <c r="BT25" i="24"/>
  <c r="BT26" i="24"/>
  <c r="BT27" i="24"/>
  <c r="BT28" i="24"/>
  <c r="BT29" i="24"/>
  <c r="BT30" i="24"/>
  <c r="BT31" i="24"/>
  <c r="BT32" i="24"/>
  <c r="BT33" i="24"/>
  <c r="BT34" i="24"/>
  <c r="BT35" i="24"/>
  <c r="BT36" i="24"/>
  <c r="BT37" i="24"/>
  <c r="BT38" i="24"/>
  <c r="BT39" i="24"/>
  <c r="BT40" i="24"/>
  <c r="BT41" i="24"/>
  <c r="BT42" i="24"/>
  <c r="BT43" i="24"/>
  <c r="BT44" i="24"/>
  <c r="BT14" i="24"/>
  <c r="BR15" i="24"/>
  <c r="BR16" i="24"/>
  <c r="BR17" i="24"/>
  <c r="BR18" i="24"/>
  <c r="BR19" i="24"/>
  <c r="BR20" i="24"/>
  <c r="BR21" i="24"/>
  <c r="BR22" i="24"/>
  <c r="BR23" i="24"/>
  <c r="BR24" i="24"/>
  <c r="BR25" i="24"/>
  <c r="BR26" i="24"/>
  <c r="BR27" i="24"/>
  <c r="BR28" i="24"/>
  <c r="BR29" i="24"/>
  <c r="BR30" i="24"/>
  <c r="BR31" i="24"/>
  <c r="BR32" i="24"/>
  <c r="BR33" i="24"/>
  <c r="BR34" i="24"/>
  <c r="BR35" i="24"/>
  <c r="BR36" i="24"/>
  <c r="BR37" i="24"/>
  <c r="BR38" i="24"/>
  <c r="BR39" i="24"/>
  <c r="BR40" i="24"/>
  <c r="BR41" i="24"/>
  <c r="BR42" i="24"/>
  <c r="BR43" i="24"/>
  <c r="BR44" i="24"/>
  <c r="BR14" i="24"/>
  <c r="CB15" i="24"/>
  <c r="CB16" i="24"/>
  <c r="CB17" i="24"/>
  <c r="CB18" i="24"/>
  <c r="CB19" i="24"/>
  <c r="CB20" i="24"/>
  <c r="CB21" i="24"/>
  <c r="CB22" i="24"/>
  <c r="CB23" i="24"/>
  <c r="CB24" i="24"/>
  <c r="CB25" i="24"/>
  <c r="CB26" i="24"/>
  <c r="CB27" i="24"/>
  <c r="CB28" i="24"/>
  <c r="CB29" i="24"/>
  <c r="CB30" i="24"/>
  <c r="CB31" i="24"/>
  <c r="CB32" i="24"/>
  <c r="CB33" i="24"/>
  <c r="CB34" i="24"/>
  <c r="CB35" i="24"/>
  <c r="CB36" i="24"/>
  <c r="CB37" i="24"/>
  <c r="CB38" i="24"/>
  <c r="CB39" i="24"/>
  <c r="CB40" i="24"/>
  <c r="CB41" i="24"/>
  <c r="CB42" i="24"/>
  <c r="CB43" i="24"/>
  <c r="CB44" i="24"/>
  <c r="CB14" i="24"/>
  <c r="BH14" i="24"/>
  <c r="DC15" i="24"/>
  <c r="DC16" i="24"/>
  <c r="DC17" i="24"/>
  <c r="DC18" i="24"/>
  <c r="DC19" i="24"/>
  <c r="DC20" i="24"/>
  <c r="DC21" i="24"/>
  <c r="DC22" i="24"/>
  <c r="DC23" i="24"/>
  <c r="DC24" i="24"/>
  <c r="DC25" i="24"/>
  <c r="DC26" i="24"/>
  <c r="DC27" i="24"/>
  <c r="DC28" i="24"/>
  <c r="DC29" i="24"/>
  <c r="DC30" i="24"/>
  <c r="DC31" i="24"/>
  <c r="DC32" i="24"/>
  <c r="DC33" i="24"/>
  <c r="DC34" i="24"/>
  <c r="DC35" i="24"/>
  <c r="DC36" i="24"/>
  <c r="DC37" i="24"/>
  <c r="DC38" i="24"/>
  <c r="DC39" i="24"/>
  <c r="DC40" i="24"/>
  <c r="DC41" i="24"/>
  <c r="DC42" i="24"/>
  <c r="DC43" i="24"/>
  <c r="DC44" i="24"/>
  <c r="DC14" i="24"/>
  <c r="DA15" i="24"/>
  <c r="DA16" i="24"/>
  <c r="DA17" i="24"/>
  <c r="DA18" i="24"/>
  <c r="DA19" i="24"/>
  <c r="DA20" i="24"/>
  <c r="DA21" i="24"/>
  <c r="DA22" i="24"/>
  <c r="DA23" i="24"/>
  <c r="DA24" i="24"/>
  <c r="DA25" i="24"/>
  <c r="DA26" i="24"/>
  <c r="DA27" i="24"/>
  <c r="DA28" i="24"/>
  <c r="DA29" i="24"/>
  <c r="DA30" i="24"/>
  <c r="DA31" i="24"/>
  <c r="DA32" i="24"/>
  <c r="DA33" i="24"/>
  <c r="DA34" i="24"/>
  <c r="DA35" i="24"/>
  <c r="DA36" i="24"/>
  <c r="DA37" i="24"/>
  <c r="DA38" i="24"/>
  <c r="DA39" i="24"/>
  <c r="DA40" i="24"/>
  <c r="DA41" i="24"/>
  <c r="DA42" i="24"/>
  <c r="DA43" i="24"/>
  <c r="DA44" i="24"/>
  <c r="DA14" i="24"/>
  <c r="CY15" i="24"/>
  <c r="CY16" i="24"/>
  <c r="CY17" i="24"/>
  <c r="CY18" i="24"/>
  <c r="CY19" i="24"/>
  <c r="CY20" i="24"/>
  <c r="CY21" i="24"/>
  <c r="CY22" i="24"/>
  <c r="CY23" i="24"/>
  <c r="CY24" i="24"/>
  <c r="CY25" i="24"/>
  <c r="CY26" i="24"/>
  <c r="CY27" i="24"/>
  <c r="CY28" i="24"/>
  <c r="CY29" i="24"/>
  <c r="CY30" i="24"/>
  <c r="CY31" i="24"/>
  <c r="CY32" i="24"/>
  <c r="CY33" i="24"/>
  <c r="CY34" i="24"/>
  <c r="CY35" i="24"/>
  <c r="CY36" i="24"/>
  <c r="CY37" i="24"/>
  <c r="CY38" i="24"/>
  <c r="CY39" i="24"/>
  <c r="CY40" i="24"/>
  <c r="CY41" i="24"/>
  <c r="CY42" i="24"/>
  <c r="CY43" i="24"/>
  <c r="CY44" i="24"/>
  <c r="CY14" i="24"/>
  <c r="CW15" i="24"/>
  <c r="CW16" i="24"/>
  <c r="CW17" i="24"/>
  <c r="CW18" i="24"/>
  <c r="CW19" i="24"/>
  <c r="CW20" i="24"/>
  <c r="CW21" i="24"/>
  <c r="CW22" i="24"/>
  <c r="CW23" i="24"/>
  <c r="CW24" i="24"/>
  <c r="CW25" i="24"/>
  <c r="CW26" i="24"/>
  <c r="CW27" i="24"/>
  <c r="CW28" i="24"/>
  <c r="CW29" i="24"/>
  <c r="CW30" i="24"/>
  <c r="CW31" i="24"/>
  <c r="CW32" i="24"/>
  <c r="CW33" i="24"/>
  <c r="CW34" i="24"/>
  <c r="CW35" i="24"/>
  <c r="CW36" i="24"/>
  <c r="CW37" i="24"/>
  <c r="CW38" i="24"/>
  <c r="CW39" i="24"/>
  <c r="CW40" i="24"/>
  <c r="CW41" i="24"/>
  <c r="CW42" i="24"/>
  <c r="CW43" i="24"/>
  <c r="CW44" i="24"/>
  <c r="CW14" i="24"/>
  <c r="CU15" i="24"/>
  <c r="CU16" i="24"/>
  <c r="CU17" i="24"/>
  <c r="CU18" i="24"/>
  <c r="CU19" i="24"/>
  <c r="CU20" i="24"/>
  <c r="CU21" i="24"/>
  <c r="CU22" i="24"/>
  <c r="CU23" i="24"/>
  <c r="CU24" i="24"/>
  <c r="CU25" i="24"/>
  <c r="CU26" i="24"/>
  <c r="CU27" i="24"/>
  <c r="CU28" i="24"/>
  <c r="CU29" i="24"/>
  <c r="CU30" i="24"/>
  <c r="CU31" i="24"/>
  <c r="CU32" i="24"/>
  <c r="CU33" i="24"/>
  <c r="CU34" i="24"/>
  <c r="CU35" i="24"/>
  <c r="CU36" i="24"/>
  <c r="CU37" i="24"/>
  <c r="CU38" i="24"/>
  <c r="CU39" i="24"/>
  <c r="CU40" i="24"/>
  <c r="CU41" i="24"/>
  <c r="CU42" i="24"/>
  <c r="CU43" i="24"/>
  <c r="CU44" i="24"/>
  <c r="CU14" i="24"/>
  <c r="DE15" i="24"/>
  <c r="DE16" i="24"/>
  <c r="DE17" i="24"/>
  <c r="DE18" i="24"/>
  <c r="DE19" i="24"/>
  <c r="DE20" i="24"/>
  <c r="DE21" i="24"/>
  <c r="DE22" i="24"/>
  <c r="DE23" i="24"/>
  <c r="DE24" i="24"/>
  <c r="DE25" i="24"/>
  <c r="DE26" i="24"/>
  <c r="DE27" i="24"/>
  <c r="DE28" i="24"/>
  <c r="DE29" i="24"/>
  <c r="DE30" i="24"/>
  <c r="DE31" i="24"/>
  <c r="DE32" i="24"/>
  <c r="DE33" i="24"/>
  <c r="DE34" i="24"/>
  <c r="DE35" i="24"/>
  <c r="DE36" i="24"/>
  <c r="DE37" i="24"/>
  <c r="DE38" i="24"/>
  <c r="DE39" i="24"/>
  <c r="DE40" i="24"/>
  <c r="DE41" i="24"/>
  <c r="DE42" i="24"/>
  <c r="DE43" i="24"/>
  <c r="DE44" i="24"/>
  <c r="DE14" i="24"/>
  <c r="DN14" i="24"/>
  <c r="EE14" i="24"/>
  <c r="EE15" i="24"/>
  <c r="EE17" i="24"/>
  <c r="EE19" i="24"/>
  <c r="EE21" i="24"/>
  <c r="EE23" i="24"/>
  <c r="EE25" i="24"/>
  <c r="EE27" i="24"/>
  <c r="EE29" i="24"/>
  <c r="EE31" i="24"/>
  <c r="EE33" i="24"/>
  <c r="EE35" i="24"/>
  <c r="EE37" i="24"/>
  <c r="EE39" i="24"/>
  <c r="EE41" i="24"/>
  <c r="EE43" i="24"/>
  <c r="EE16" i="24"/>
  <c r="EE18" i="24"/>
  <c r="EE20" i="24"/>
  <c r="EE22" i="24"/>
  <c r="EE24" i="24"/>
  <c r="EE26" i="24"/>
  <c r="EE28" i="24"/>
  <c r="EE30" i="24"/>
  <c r="EE32" i="24"/>
  <c r="EE34" i="24"/>
  <c r="EE36" i="24"/>
  <c r="EE38" i="24"/>
  <c r="EE40" i="24"/>
  <c r="EE42" i="24"/>
  <c r="EE44" i="24"/>
  <c r="EC14" i="24"/>
  <c r="EC16" i="24"/>
  <c r="EC18" i="24"/>
  <c r="EC20" i="24"/>
  <c r="EC22" i="24"/>
  <c r="EC24" i="24"/>
  <c r="EC26" i="24"/>
  <c r="EC28" i="24"/>
  <c r="EC30" i="24"/>
  <c r="EC32" i="24"/>
  <c r="EC34" i="24"/>
  <c r="EC36" i="24"/>
  <c r="EC38" i="24"/>
  <c r="EC40" i="24"/>
  <c r="EC42" i="24"/>
  <c r="EC44" i="24"/>
  <c r="EC15" i="24"/>
  <c r="EC17" i="24"/>
  <c r="EC19" i="24"/>
  <c r="EC21" i="24"/>
  <c r="EC23" i="24"/>
  <c r="EC25" i="24"/>
  <c r="EC27" i="24"/>
  <c r="EC29" i="24"/>
  <c r="EC31" i="24"/>
  <c r="EC33" i="24"/>
  <c r="EC35" i="24"/>
  <c r="EC37" i="24"/>
  <c r="EC39" i="24"/>
  <c r="EC41" i="24"/>
  <c r="EC43" i="24"/>
  <c r="EA14" i="24"/>
  <c r="EA15" i="24"/>
  <c r="EA17" i="24"/>
  <c r="EA19" i="24"/>
  <c r="EA21" i="24"/>
  <c r="EA23" i="24"/>
  <c r="EA25" i="24"/>
  <c r="EA27" i="24"/>
  <c r="EA29" i="24"/>
  <c r="EA31" i="24"/>
  <c r="EA33" i="24"/>
  <c r="EA35" i="24"/>
  <c r="EA37" i="24"/>
  <c r="EA39" i="24"/>
  <c r="EA41" i="24"/>
  <c r="EA43" i="24"/>
  <c r="EA16" i="24"/>
  <c r="EA18" i="24"/>
  <c r="EA20" i="24"/>
  <c r="EA22" i="24"/>
  <c r="EA24" i="24"/>
  <c r="EA26" i="24"/>
  <c r="EA28" i="24"/>
  <c r="EA30" i="24"/>
  <c r="EA32" i="24"/>
  <c r="EA34" i="24"/>
  <c r="EA36" i="24"/>
  <c r="EA38" i="24"/>
  <c r="EA40" i="24"/>
  <c r="EA42" i="24"/>
  <c r="EA44" i="24"/>
  <c r="DY14" i="24"/>
  <c r="DY16" i="24"/>
  <c r="DY18" i="24"/>
  <c r="DY20" i="24"/>
  <c r="DY22" i="24"/>
  <c r="DY24" i="24"/>
  <c r="DY26" i="24"/>
  <c r="DY28" i="24"/>
  <c r="DY30" i="24"/>
  <c r="DY32" i="24"/>
  <c r="DY34" i="24"/>
  <c r="DY36" i="24"/>
  <c r="DY38" i="24"/>
  <c r="DY40" i="24"/>
  <c r="DY42" i="24"/>
  <c r="DY44" i="24"/>
  <c r="DY15" i="24"/>
  <c r="DY17" i="24"/>
  <c r="DY19" i="24"/>
  <c r="DY21" i="24"/>
  <c r="DY23" i="24"/>
  <c r="DY25" i="24"/>
  <c r="DY27" i="24"/>
  <c r="DY29" i="24"/>
  <c r="DY31" i="24"/>
  <c r="DY33" i="24"/>
  <c r="DY35" i="24"/>
  <c r="DY37" i="24"/>
  <c r="DY39" i="24"/>
  <c r="DY41" i="24"/>
  <c r="DY43" i="24"/>
  <c r="DW14" i="24"/>
  <c r="DW15" i="24"/>
  <c r="DW17" i="24"/>
  <c r="DW19" i="24"/>
  <c r="DW21" i="24"/>
  <c r="DW23" i="24"/>
  <c r="DW25" i="24"/>
  <c r="DW27" i="24"/>
  <c r="DW29" i="24"/>
  <c r="DW31" i="24"/>
  <c r="DW33" i="24"/>
  <c r="DW35" i="24"/>
  <c r="DW37" i="24"/>
  <c r="DW39" i="24"/>
  <c r="DW41" i="24"/>
  <c r="DW43" i="24"/>
  <c r="DW16" i="24"/>
  <c r="DW18" i="24"/>
  <c r="DW20" i="24"/>
  <c r="DW22" i="24"/>
  <c r="DW24" i="24"/>
  <c r="DW26" i="24"/>
  <c r="DW28" i="24"/>
  <c r="DW30" i="24"/>
  <c r="DW32" i="24"/>
  <c r="DW34" i="24"/>
  <c r="DW36" i="24"/>
  <c r="DW38" i="24"/>
  <c r="DW40" i="24"/>
  <c r="DW42" i="24"/>
  <c r="DW44" i="24"/>
  <c r="EG14" i="24"/>
  <c r="EG16" i="24"/>
  <c r="EG18" i="24"/>
  <c r="EG20" i="24"/>
  <c r="EG22" i="24"/>
  <c r="EG24" i="24"/>
  <c r="EG26" i="24"/>
  <c r="EG28" i="24"/>
  <c r="EG30" i="24"/>
  <c r="EG32" i="24"/>
  <c r="EG34" i="24"/>
  <c r="EG36" i="24"/>
  <c r="EG38" i="24"/>
  <c r="EG40" i="24"/>
  <c r="EG42" i="24"/>
  <c r="EG44" i="24"/>
  <c r="EG15" i="24"/>
  <c r="EG17" i="24"/>
  <c r="EG19" i="24"/>
  <c r="EG21" i="24"/>
  <c r="EG23" i="24"/>
  <c r="EG25" i="24"/>
  <c r="EG27" i="24"/>
  <c r="EG29" i="24"/>
  <c r="EG31" i="24"/>
  <c r="EG33" i="24"/>
  <c r="EG35" i="24"/>
  <c r="EG37" i="24"/>
  <c r="EG39" i="24"/>
  <c r="EG41" i="24"/>
  <c r="EG43" i="24"/>
  <c r="FI15" i="24"/>
  <c r="FI16" i="24"/>
  <c r="FI17" i="24"/>
  <c r="FI18" i="24"/>
  <c r="FI19" i="24"/>
  <c r="FI20" i="24"/>
  <c r="FI21" i="24"/>
  <c r="FI22" i="24"/>
  <c r="FI23" i="24"/>
  <c r="FI24" i="24"/>
  <c r="FI25" i="24"/>
  <c r="FI26" i="24"/>
  <c r="FI27" i="24"/>
  <c r="FI28" i="24"/>
  <c r="FI29" i="24"/>
  <c r="FI30" i="24"/>
  <c r="FI31" i="24"/>
  <c r="FI32" i="24"/>
  <c r="FI33" i="24"/>
  <c r="FI34" i="24"/>
  <c r="FI35" i="24"/>
  <c r="FI36" i="24"/>
  <c r="FI37" i="24"/>
  <c r="FI38" i="24"/>
  <c r="FI39" i="24"/>
  <c r="FI40" i="24"/>
  <c r="FI41" i="24"/>
  <c r="FI42" i="24"/>
  <c r="FI43" i="24"/>
  <c r="FI44" i="24"/>
  <c r="FI14" i="24"/>
  <c r="FG15" i="24"/>
  <c r="FG16" i="24"/>
  <c r="FG17" i="24"/>
  <c r="FG18" i="24"/>
  <c r="FG19" i="24"/>
  <c r="FG20" i="24"/>
  <c r="FG21" i="24"/>
  <c r="FG22" i="24"/>
  <c r="FG23" i="24"/>
  <c r="FG24" i="24"/>
  <c r="FG25" i="24"/>
  <c r="FG26" i="24"/>
  <c r="FG27" i="24"/>
  <c r="FG28" i="24"/>
  <c r="FG29" i="24"/>
  <c r="FG30" i="24"/>
  <c r="FG31" i="24"/>
  <c r="FG32" i="24"/>
  <c r="FG33" i="24"/>
  <c r="FG34" i="24"/>
  <c r="FG35" i="24"/>
  <c r="FG36" i="24"/>
  <c r="FG37" i="24"/>
  <c r="FG38" i="24"/>
  <c r="FG39" i="24"/>
  <c r="FG40" i="24"/>
  <c r="FG41" i="24"/>
  <c r="FG42" i="24"/>
  <c r="FG43" i="24"/>
  <c r="FG44" i="24"/>
  <c r="FG14" i="24"/>
  <c r="FE15" i="24"/>
  <c r="FE16" i="24"/>
  <c r="FE17" i="24"/>
  <c r="FE18" i="24"/>
  <c r="FE19" i="24"/>
  <c r="FE20" i="24"/>
  <c r="FE21" i="24"/>
  <c r="FE22" i="24"/>
  <c r="FE23" i="24"/>
  <c r="FE24" i="24"/>
  <c r="FE25" i="24"/>
  <c r="FE26" i="24"/>
  <c r="FE27" i="24"/>
  <c r="FE28" i="24"/>
  <c r="FE29" i="24"/>
  <c r="FE30" i="24"/>
  <c r="FE31" i="24"/>
  <c r="FE32" i="24"/>
  <c r="FE33" i="24"/>
  <c r="FE34" i="24"/>
  <c r="FE35" i="24"/>
  <c r="FE36" i="24"/>
  <c r="FE37" i="24"/>
  <c r="FE38" i="24"/>
  <c r="FE39" i="24"/>
  <c r="FE40" i="24"/>
  <c r="FE41" i="24"/>
  <c r="FE42" i="24"/>
  <c r="FE43" i="24"/>
  <c r="FE44" i="24"/>
  <c r="FE14" i="24"/>
  <c r="FC15" i="24"/>
  <c r="FC16" i="24"/>
  <c r="FC17" i="24"/>
  <c r="FC18" i="24"/>
  <c r="FC19" i="24"/>
  <c r="FC20" i="24"/>
  <c r="FC21" i="24"/>
  <c r="FC22" i="24"/>
  <c r="FC23" i="24"/>
  <c r="FC24" i="24"/>
  <c r="FC25" i="24"/>
  <c r="FC26" i="24"/>
  <c r="FC27" i="24"/>
  <c r="FC28" i="24"/>
  <c r="FC29" i="24"/>
  <c r="FC30" i="24"/>
  <c r="FC31" i="24"/>
  <c r="FC32" i="24"/>
  <c r="FC33" i="24"/>
  <c r="FC34" i="24"/>
  <c r="FC35" i="24"/>
  <c r="FC36" i="24"/>
  <c r="FC37" i="24"/>
  <c r="FC38" i="24"/>
  <c r="FC39" i="24"/>
  <c r="FC40" i="24"/>
  <c r="FC41" i="24"/>
  <c r="FC42" i="24"/>
  <c r="FC43" i="24"/>
  <c r="FC44" i="24"/>
  <c r="FC14" i="24"/>
  <c r="FA15" i="24"/>
  <c r="FA16" i="24"/>
  <c r="FA17" i="24"/>
  <c r="FA18" i="24"/>
  <c r="FA19" i="24"/>
  <c r="FA20" i="24"/>
  <c r="FA21" i="24"/>
  <c r="FA22" i="24"/>
  <c r="FA23" i="24"/>
  <c r="FA24" i="24"/>
  <c r="FA25" i="24"/>
  <c r="FA26" i="24"/>
  <c r="FA27" i="24"/>
  <c r="FA28" i="24"/>
  <c r="FA29" i="24"/>
  <c r="FA30" i="24"/>
  <c r="FA31" i="24"/>
  <c r="FA32" i="24"/>
  <c r="FA33" i="24"/>
  <c r="FA34" i="24"/>
  <c r="FA35" i="24"/>
  <c r="FA36" i="24"/>
  <c r="FA37" i="24"/>
  <c r="FA38" i="24"/>
  <c r="FA39" i="24"/>
  <c r="FA40" i="24"/>
  <c r="FA41" i="24"/>
  <c r="FA42" i="24"/>
  <c r="FA43" i="24"/>
  <c r="FA44" i="24"/>
  <c r="FA14" i="24"/>
  <c r="FK15" i="24"/>
  <c r="FK16" i="24"/>
  <c r="FK17" i="24"/>
  <c r="FK18" i="24"/>
  <c r="FK19" i="24"/>
  <c r="FK20" i="24"/>
  <c r="FK21" i="24"/>
  <c r="FK22" i="24"/>
  <c r="FK23" i="24"/>
  <c r="FK24" i="24"/>
  <c r="FK25" i="24"/>
  <c r="FK26" i="24"/>
  <c r="FK27" i="24"/>
  <c r="FK28" i="24"/>
  <c r="FK29" i="24"/>
  <c r="FK30" i="24"/>
  <c r="FK31" i="24"/>
  <c r="FK32" i="24"/>
  <c r="FK33" i="24"/>
  <c r="FK34" i="24"/>
  <c r="FK35" i="24"/>
  <c r="FK36" i="24"/>
  <c r="FK37" i="24"/>
  <c r="FK38" i="24"/>
  <c r="FK39" i="24"/>
  <c r="FK40" i="24"/>
  <c r="FK41" i="24"/>
  <c r="FK42" i="24"/>
  <c r="FK43" i="24"/>
  <c r="FK44" i="24"/>
  <c r="FK14" i="24"/>
  <c r="FT14" i="24"/>
  <c r="GK15" i="24"/>
  <c r="GK16" i="24"/>
  <c r="GK17" i="24"/>
  <c r="GK18" i="24"/>
  <c r="GK19" i="24"/>
  <c r="GK20" i="24"/>
  <c r="GK21" i="24"/>
  <c r="GK22" i="24"/>
  <c r="GK23" i="24"/>
  <c r="GK24" i="24"/>
  <c r="GK25" i="24"/>
  <c r="GK26" i="24"/>
  <c r="GK27" i="24"/>
  <c r="GK28" i="24"/>
  <c r="GK29" i="24"/>
  <c r="GK30" i="24"/>
  <c r="GK31" i="24"/>
  <c r="GK32" i="24"/>
  <c r="GK33" i="24"/>
  <c r="GK34" i="24"/>
  <c r="GK35" i="24"/>
  <c r="GK36" i="24"/>
  <c r="GK37" i="24"/>
  <c r="GK38" i="24"/>
  <c r="GK39" i="24"/>
  <c r="GK40" i="24"/>
  <c r="GK41" i="24"/>
  <c r="GK42" i="24"/>
  <c r="GK43" i="24"/>
  <c r="GK44" i="24"/>
  <c r="GK14" i="24"/>
  <c r="GI15" i="24"/>
  <c r="GI16" i="24"/>
  <c r="GI17" i="24"/>
  <c r="GI18" i="24"/>
  <c r="GI19" i="24"/>
  <c r="GI20" i="24"/>
  <c r="GI21" i="24"/>
  <c r="GI22" i="24"/>
  <c r="GI23" i="24"/>
  <c r="GI24" i="24"/>
  <c r="GI25" i="24"/>
  <c r="GI26" i="24"/>
  <c r="GI27" i="24"/>
  <c r="GI28" i="24"/>
  <c r="GI29" i="24"/>
  <c r="GI30" i="24"/>
  <c r="GI31" i="24"/>
  <c r="GI32" i="24"/>
  <c r="GI33" i="24"/>
  <c r="GI34" i="24"/>
  <c r="GI35" i="24"/>
  <c r="GI36" i="24"/>
  <c r="GI37" i="24"/>
  <c r="GI38" i="24"/>
  <c r="GI39" i="24"/>
  <c r="GI40" i="24"/>
  <c r="GI41" i="24"/>
  <c r="GI42" i="24"/>
  <c r="GI43" i="24"/>
  <c r="GI44" i="24"/>
  <c r="GI14" i="24"/>
  <c r="GG15" i="24"/>
  <c r="GG16" i="24"/>
  <c r="GG17" i="24"/>
  <c r="GG18" i="24"/>
  <c r="GG19" i="24"/>
  <c r="GG20" i="24"/>
  <c r="GG21" i="24"/>
  <c r="GG22" i="24"/>
  <c r="GG23" i="24"/>
  <c r="GG24" i="24"/>
  <c r="GG25" i="24"/>
  <c r="GG26" i="24"/>
  <c r="GG27" i="24"/>
  <c r="GG28" i="24"/>
  <c r="GG29" i="24"/>
  <c r="GG30" i="24"/>
  <c r="GG31" i="24"/>
  <c r="GG32" i="24"/>
  <c r="GG33" i="24"/>
  <c r="GG34" i="24"/>
  <c r="GG35" i="24"/>
  <c r="GG36" i="24"/>
  <c r="GG37" i="24"/>
  <c r="GG38" i="24"/>
  <c r="GG39" i="24"/>
  <c r="GG40" i="24"/>
  <c r="GG41" i="24"/>
  <c r="GG42" i="24"/>
  <c r="GG43" i="24"/>
  <c r="GG44" i="24"/>
  <c r="GG14" i="24"/>
  <c r="GE15" i="24"/>
  <c r="GE16" i="24"/>
  <c r="GE17" i="24"/>
  <c r="GE18" i="24"/>
  <c r="GE19" i="24"/>
  <c r="GE20" i="24"/>
  <c r="GE21" i="24"/>
  <c r="GE22" i="24"/>
  <c r="GE23" i="24"/>
  <c r="GE24" i="24"/>
  <c r="GE25" i="24"/>
  <c r="GE26" i="24"/>
  <c r="GE27" i="24"/>
  <c r="GE28" i="24"/>
  <c r="GE29" i="24"/>
  <c r="GE30" i="24"/>
  <c r="GE31" i="24"/>
  <c r="GE32" i="24"/>
  <c r="GE33" i="24"/>
  <c r="GE34" i="24"/>
  <c r="GE35" i="24"/>
  <c r="GE36" i="24"/>
  <c r="GE37" i="24"/>
  <c r="GE38" i="24"/>
  <c r="GE39" i="24"/>
  <c r="GE40" i="24"/>
  <c r="GE41" i="24"/>
  <c r="GE42" i="24"/>
  <c r="GE43" i="24"/>
  <c r="GE44" i="24"/>
  <c r="GE14" i="24"/>
  <c r="GC15" i="24"/>
  <c r="GC16" i="24"/>
  <c r="GC17" i="24"/>
  <c r="GC18" i="24"/>
  <c r="GC19" i="24"/>
  <c r="GC20" i="24"/>
  <c r="GC21" i="24"/>
  <c r="GC22" i="24"/>
  <c r="GC23" i="24"/>
  <c r="GC24" i="24"/>
  <c r="GC25" i="24"/>
  <c r="GC26" i="24"/>
  <c r="GC27" i="24"/>
  <c r="GC28" i="24"/>
  <c r="GC29" i="24"/>
  <c r="GC30" i="24"/>
  <c r="GC31" i="24"/>
  <c r="GC32" i="24"/>
  <c r="GC33" i="24"/>
  <c r="GC34" i="24"/>
  <c r="GC35" i="24"/>
  <c r="GC36" i="24"/>
  <c r="GC37" i="24"/>
  <c r="GC38" i="24"/>
  <c r="GC39" i="24"/>
  <c r="GC40" i="24"/>
  <c r="GC41" i="24"/>
  <c r="GC42" i="24"/>
  <c r="GC43" i="24"/>
  <c r="GC44" i="24"/>
  <c r="GC14" i="24"/>
  <c r="GM15" i="24"/>
  <c r="GM16" i="24"/>
  <c r="GM17" i="24"/>
  <c r="GM18" i="24"/>
  <c r="GM19" i="24"/>
  <c r="GM20" i="24"/>
  <c r="GM21" i="24"/>
  <c r="GM22" i="24"/>
  <c r="GM23" i="24"/>
  <c r="GM24" i="24"/>
  <c r="GM25" i="24"/>
  <c r="GM26" i="24"/>
  <c r="GM27" i="24"/>
  <c r="GM28" i="24"/>
  <c r="GM29" i="24"/>
  <c r="GM30" i="24"/>
  <c r="GM31" i="24"/>
  <c r="GM32" i="24"/>
  <c r="GM33" i="24"/>
  <c r="GM34" i="24"/>
  <c r="GM35" i="24"/>
  <c r="GM36" i="24"/>
  <c r="GM37" i="24"/>
  <c r="GM38" i="24"/>
  <c r="GM39" i="24"/>
  <c r="GM40" i="24"/>
  <c r="GM41" i="24"/>
  <c r="GM42" i="24"/>
  <c r="GM43" i="24"/>
  <c r="GM44" i="24"/>
  <c r="GM14" i="24"/>
  <c r="HO14" i="24"/>
  <c r="HO15" i="24"/>
  <c r="HO16" i="24"/>
  <c r="HO17" i="24"/>
  <c r="HO18" i="24"/>
  <c r="HO19" i="24"/>
  <c r="HO20" i="24"/>
  <c r="HO21" i="24"/>
  <c r="HO22" i="24"/>
  <c r="HO23" i="24"/>
  <c r="HO24" i="24"/>
  <c r="HO25" i="24"/>
  <c r="HO26" i="24"/>
  <c r="HO27" i="24"/>
  <c r="HO28" i="24"/>
  <c r="HO29" i="24"/>
  <c r="HO30" i="24"/>
  <c r="HO31" i="24"/>
  <c r="HO32" i="24"/>
  <c r="HO33" i="24"/>
  <c r="HO34" i="24"/>
  <c r="HO35" i="24"/>
  <c r="HO36" i="24"/>
  <c r="HO37" i="24"/>
  <c r="HO38" i="24"/>
  <c r="HO39" i="24"/>
  <c r="HO40" i="24"/>
  <c r="HO41" i="24"/>
  <c r="HO42" i="24"/>
  <c r="HO43" i="24"/>
  <c r="HO44" i="24"/>
  <c r="HM14" i="24"/>
  <c r="HM15" i="24"/>
  <c r="HM16" i="24"/>
  <c r="HM17" i="24"/>
  <c r="HM18" i="24"/>
  <c r="HM19" i="24"/>
  <c r="HM20" i="24"/>
  <c r="HM21" i="24"/>
  <c r="HM22" i="24"/>
  <c r="HM23" i="24"/>
  <c r="HM24" i="24"/>
  <c r="HM25" i="24"/>
  <c r="HM26" i="24"/>
  <c r="HM27" i="24"/>
  <c r="HM28" i="24"/>
  <c r="HM29" i="24"/>
  <c r="HM30" i="24"/>
  <c r="HM31" i="24"/>
  <c r="HM32" i="24"/>
  <c r="HM33" i="24"/>
  <c r="HM34" i="24"/>
  <c r="HM35" i="24"/>
  <c r="HM36" i="24"/>
  <c r="HM37" i="24"/>
  <c r="HM38" i="24"/>
  <c r="HM39" i="24"/>
  <c r="HM40" i="24"/>
  <c r="HM41" i="24"/>
  <c r="HM42" i="24"/>
  <c r="HM43" i="24"/>
  <c r="HM44" i="24"/>
  <c r="HK14" i="24"/>
  <c r="HK15" i="24"/>
  <c r="HK16" i="24"/>
  <c r="HK17" i="24"/>
  <c r="HK18" i="24"/>
  <c r="HK19" i="24"/>
  <c r="HK20" i="24"/>
  <c r="HK21" i="24"/>
  <c r="HK22" i="24"/>
  <c r="HK23" i="24"/>
  <c r="HK24" i="24"/>
  <c r="HK25" i="24"/>
  <c r="HK26" i="24"/>
  <c r="HK27" i="24"/>
  <c r="HK28" i="24"/>
  <c r="HK29" i="24"/>
  <c r="HK30" i="24"/>
  <c r="HK31" i="24"/>
  <c r="HK32" i="24"/>
  <c r="HK33" i="24"/>
  <c r="HK34" i="24"/>
  <c r="HK35" i="24"/>
  <c r="HK36" i="24"/>
  <c r="HK37" i="24"/>
  <c r="HK38" i="24"/>
  <c r="HK39" i="24"/>
  <c r="HK40" i="24"/>
  <c r="HK41" i="24"/>
  <c r="HK42" i="24"/>
  <c r="HK43" i="24"/>
  <c r="HK44" i="24"/>
  <c r="HI14" i="24"/>
  <c r="HI15" i="24"/>
  <c r="HI16" i="24"/>
  <c r="HI17" i="24"/>
  <c r="HI18" i="24"/>
  <c r="HI19" i="24"/>
  <c r="HI20" i="24"/>
  <c r="HI21" i="24"/>
  <c r="HI22" i="24"/>
  <c r="HI23" i="24"/>
  <c r="HI24" i="24"/>
  <c r="HI25" i="24"/>
  <c r="HI26" i="24"/>
  <c r="HI27" i="24"/>
  <c r="HI28" i="24"/>
  <c r="HI29" i="24"/>
  <c r="HI30" i="24"/>
  <c r="HI31" i="24"/>
  <c r="HI32" i="24"/>
  <c r="HI33" i="24"/>
  <c r="HI34" i="24"/>
  <c r="HI35" i="24"/>
  <c r="HI36" i="24"/>
  <c r="HI37" i="24"/>
  <c r="HI38" i="24"/>
  <c r="HI39" i="24"/>
  <c r="HI40" i="24"/>
  <c r="HI41" i="24"/>
  <c r="HI42" i="24"/>
  <c r="HI43" i="24"/>
  <c r="HI44" i="24"/>
  <c r="HG14" i="24"/>
  <c r="HG15" i="24"/>
  <c r="HG16" i="24"/>
  <c r="HG17" i="24"/>
  <c r="HG18" i="24"/>
  <c r="HG19" i="24"/>
  <c r="HG20" i="24"/>
  <c r="HG21" i="24"/>
  <c r="HG22" i="24"/>
  <c r="HG23" i="24"/>
  <c r="HG24" i="24"/>
  <c r="HG25" i="24"/>
  <c r="HG26" i="24"/>
  <c r="HG27" i="24"/>
  <c r="HG28" i="24"/>
  <c r="HG29" i="24"/>
  <c r="HG30" i="24"/>
  <c r="HG31" i="24"/>
  <c r="HG32" i="24"/>
  <c r="HG33" i="24"/>
  <c r="HG34" i="24"/>
  <c r="HG35" i="24"/>
  <c r="HG36" i="24"/>
  <c r="HG37" i="24"/>
  <c r="HG38" i="24"/>
  <c r="HG39" i="24"/>
  <c r="HG40" i="24"/>
  <c r="HG41" i="24"/>
  <c r="HG42" i="24"/>
  <c r="HG43" i="24"/>
  <c r="HG44" i="24"/>
  <c r="HQ14" i="24"/>
  <c r="HQ15" i="24"/>
  <c r="HQ16" i="24"/>
  <c r="HQ17" i="24"/>
  <c r="HQ18" i="24"/>
  <c r="HQ19" i="24"/>
  <c r="HQ20" i="24"/>
  <c r="HQ21" i="24"/>
  <c r="HQ22" i="24"/>
  <c r="HQ23" i="24"/>
  <c r="HQ24" i="24"/>
  <c r="HQ25" i="24"/>
  <c r="HQ26" i="24"/>
  <c r="HQ27" i="24"/>
  <c r="HQ28" i="24"/>
  <c r="HQ29" i="24"/>
  <c r="HQ30" i="24"/>
  <c r="HQ31" i="24"/>
  <c r="HQ32" i="24"/>
  <c r="HQ33" i="24"/>
  <c r="HQ34" i="24"/>
  <c r="HQ35" i="24"/>
  <c r="HQ36" i="24"/>
  <c r="HQ37" i="24"/>
  <c r="HQ38" i="24"/>
  <c r="HQ39" i="24"/>
  <c r="HQ40" i="24"/>
  <c r="HQ41" i="24"/>
  <c r="HQ42" i="24"/>
  <c r="HQ43" i="24"/>
  <c r="HQ44" i="24"/>
  <c r="HZ14" i="24"/>
  <c r="IQ15" i="24"/>
  <c r="IQ16" i="24"/>
  <c r="IQ17" i="24"/>
  <c r="IQ18" i="24"/>
  <c r="IQ19" i="24"/>
  <c r="IQ20" i="24"/>
  <c r="IQ21" i="24"/>
  <c r="IQ22" i="24"/>
  <c r="IQ23" i="24"/>
  <c r="IQ24" i="24"/>
  <c r="IQ25" i="24"/>
  <c r="IQ26" i="24"/>
  <c r="IQ27" i="24"/>
  <c r="IQ28" i="24"/>
  <c r="IQ29" i="24"/>
  <c r="IQ30" i="24"/>
  <c r="IQ31" i="24"/>
  <c r="IQ32" i="24"/>
  <c r="IQ33" i="24"/>
  <c r="IQ34" i="24"/>
  <c r="IQ35" i="24"/>
  <c r="IQ36" i="24"/>
  <c r="IQ37" i="24"/>
  <c r="IQ38" i="24"/>
  <c r="IQ39" i="24"/>
  <c r="IQ40" i="24"/>
  <c r="IQ41" i="24"/>
  <c r="IQ42" i="24"/>
  <c r="IQ43" i="24"/>
  <c r="IQ44" i="24"/>
  <c r="IQ14" i="24"/>
  <c r="IO15" i="24"/>
  <c r="IO16" i="24"/>
  <c r="IO17" i="24"/>
  <c r="IO18" i="24"/>
  <c r="IO19" i="24"/>
  <c r="IO20" i="24"/>
  <c r="IO21" i="24"/>
  <c r="IO22" i="24"/>
  <c r="IO23" i="24"/>
  <c r="IO24" i="24"/>
  <c r="IO25" i="24"/>
  <c r="IO26" i="24"/>
  <c r="IO27" i="24"/>
  <c r="IO28" i="24"/>
  <c r="IO29" i="24"/>
  <c r="IO30" i="24"/>
  <c r="IO31" i="24"/>
  <c r="IO32" i="24"/>
  <c r="IO33" i="24"/>
  <c r="IO34" i="24"/>
  <c r="IO35" i="24"/>
  <c r="IO36" i="24"/>
  <c r="IO37" i="24"/>
  <c r="IO38" i="24"/>
  <c r="IO39" i="24"/>
  <c r="IO40" i="24"/>
  <c r="IO41" i="24"/>
  <c r="IO42" i="24"/>
  <c r="IO43" i="24"/>
  <c r="IO44" i="24"/>
  <c r="IO14" i="24"/>
  <c r="IM15" i="24"/>
  <c r="IM16" i="24"/>
  <c r="IM17" i="24"/>
  <c r="IM18" i="24"/>
  <c r="IM19" i="24"/>
  <c r="IM20" i="24"/>
  <c r="IM21" i="24"/>
  <c r="IM22" i="24"/>
  <c r="IM23" i="24"/>
  <c r="IM24" i="24"/>
  <c r="IM25" i="24"/>
  <c r="IM26" i="24"/>
  <c r="IM27" i="24"/>
  <c r="IM28" i="24"/>
  <c r="IM29" i="24"/>
  <c r="IM30" i="24"/>
  <c r="IM31" i="24"/>
  <c r="IM32" i="24"/>
  <c r="IM33" i="24"/>
  <c r="IM34" i="24"/>
  <c r="IM35" i="24"/>
  <c r="IM36" i="24"/>
  <c r="IM37" i="24"/>
  <c r="IM38" i="24"/>
  <c r="IM39" i="24"/>
  <c r="IM40" i="24"/>
  <c r="IM41" i="24"/>
  <c r="IM42" i="24"/>
  <c r="IM43" i="24"/>
  <c r="IM44" i="24"/>
  <c r="IM14" i="24"/>
  <c r="IK15" i="24"/>
  <c r="IK16" i="24"/>
  <c r="IK17" i="24"/>
  <c r="IK18" i="24"/>
  <c r="IK19" i="24"/>
  <c r="IK20" i="24"/>
  <c r="IK21" i="24"/>
  <c r="IK22" i="24"/>
  <c r="IK23" i="24"/>
  <c r="IK24" i="24"/>
  <c r="IK25" i="24"/>
  <c r="IK26" i="24"/>
  <c r="IK27" i="24"/>
  <c r="IK28" i="24"/>
  <c r="IK29" i="24"/>
  <c r="IK30" i="24"/>
  <c r="IK31" i="24"/>
  <c r="IK32" i="24"/>
  <c r="IK33" i="24"/>
  <c r="IK34" i="24"/>
  <c r="IK35" i="24"/>
  <c r="IK36" i="24"/>
  <c r="IK37" i="24"/>
  <c r="IK38" i="24"/>
  <c r="IK39" i="24"/>
  <c r="IK40" i="24"/>
  <c r="IK41" i="24"/>
  <c r="IK42" i="24"/>
  <c r="IK43" i="24"/>
  <c r="IK44" i="24"/>
  <c r="IK14" i="24"/>
  <c r="II15" i="24"/>
  <c r="II16" i="24"/>
  <c r="II17" i="24"/>
  <c r="II18" i="24"/>
  <c r="II19" i="24"/>
  <c r="II20" i="24"/>
  <c r="II21" i="24"/>
  <c r="II22" i="24"/>
  <c r="II23" i="24"/>
  <c r="II24" i="24"/>
  <c r="II25" i="24"/>
  <c r="II26" i="24"/>
  <c r="II27" i="24"/>
  <c r="II28" i="24"/>
  <c r="II29" i="24"/>
  <c r="II30" i="24"/>
  <c r="II31" i="24"/>
  <c r="II32" i="24"/>
  <c r="II33" i="24"/>
  <c r="II34" i="24"/>
  <c r="II35" i="24"/>
  <c r="II36" i="24"/>
  <c r="II37" i="24"/>
  <c r="II38" i="24"/>
  <c r="II39" i="24"/>
  <c r="II40" i="24"/>
  <c r="II41" i="24"/>
  <c r="II42" i="24"/>
  <c r="II43" i="24"/>
  <c r="II44" i="24"/>
  <c r="II14" i="24"/>
  <c r="IS15" i="24"/>
  <c r="IS16" i="24"/>
  <c r="IS17" i="24"/>
  <c r="IS18" i="24"/>
  <c r="IS19" i="24"/>
  <c r="IS20" i="24"/>
  <c r="IS21" i="24"/>
  <c r="IS22" i="24"/>
  <c r="IS23" i="24"/>
  <c r="IS24" i="24"/>
  <c r="IS25" i="24"/>
  <c r="IS26" i="24"/>
  <c r="IS27" i="24"/>
  <c r="IS28" i="24"/>
  <c r="IS29" i="24"/>
  <c r="IS30" i="24"/>
  <c r="IS31" i="24"/>
  <c r="IS32" i="24"/>
  <c r="IS33" i="24"/>
  <c r="IS34" i="24"/>
  <c r="IS35" i="24"/>
  <c r="IS36" i="24"/>
  <c r="IS37" i="24"/>
  <c r="IS38" i="24"/>
  <c r="IS39" i="24"/>
  <c r="IS40" i="24"/>
  <c r="IS41" i="24"/>
  <c r="IS42" i="24"/>
  <c r="IS43" i="24"/>
  <c r="IS44" i="24"/>
  <c r="IS14" i="24"/>
  <c r="JU14" i="24"/>
  <c r="JU15" i="24"/>
  <c r="JU16" i="24"/>
  <c r="JU17" i="24"/>
  <c r="JU18" i="24"/>
  <c r="JU19" i="24"/>
  <c r="JU20" i="24"/>
  <c r="JU21" i="24"/>
  <c r="JU22" i="24"/>
  <c r="JU23" i="24"/>
  <c r="JU24" i="24"/>
  <c r="JU25" i="24"/>
  <c r="JU26" i="24"/>
  <c r="JU27" i="24"/>
  <c r="JU28" i="24"/>
  <c r="JU29" i="24"/>
  <c r="JU30" i="24"/>
  <c r="JU31" i="24"/>
  <c r="JU32" i="24"/>
  <c r="JU33" i="24"/>
  <c r="JU34" i="24"/>
  <c r="JU35" i="24"/>
  <c r="JU36" i="24"/>
  <c r="JU37" i="24"/>
  <c r="JU38" i="24"/>
  <c r="JU39" i="24"/>
  <c r="JU40" i="24"/>
  <c r="JU41" i="24"/>
  <c r="JU42" i="24"/>
  <c r="JU43" i="24"/>
  <c r="JU44" i="24"/>
  <c r="JS14" i="24"/>
  <c r="JS15" i="24"/>
  <c r="JS16" i="24"/>
  <c r="JS17" i="24"/>
  <c r="JS18" i="24"/>
  <c r="JS19" i="24"/>
  <c r="JS20" i="24"/>
  <c r="JS21" i="24"/>
  <c r="JS22" i="24"/>
  <c r="JS23" i="24"/>
  <c r="JS24" i="24"/>
  <c r="JS25" i="24"/>
  <c r="JS26" i="24"/>
  <c r="JS27" i="24"/>
  <c r="JS28" i="24"/>
  <c r="JS29" i="24"/>
  <c r="JS30" i="24"/>
  <c r="JS31" i="24"/>
  <c r="JS32" i="24"/>
  <c r="JS33" i="24"/>
  <c r="JS34" i="24"/>
  <c r="JS35" i="24"/>
  <c r="JS36" i="24"/>
  <c r="JS37" i="24"/>
  <c r="JS38" i="24"/>
  <c r="JS39" i="24"/>
  <c r="JS40" i="24"/>
  <c r="JS41" i="24"/>
  <c r="JS42" i="24"/>
  <c r="JS43" i="24"/>
  <c r="JS44" i="24"/>
  <c r="JQ14" i="24"/>
  <c r="JQ15" i="24"/>
  <c r="JQ16" i="24"/>
  <c r="JQ17" i="24"/>
  <c r="JQ18" i="24"/>
  <c r="JQ19" i="24"/>
  <c r="JQ20" i="24"/>
  <c r="JQ21" i="24"/>
  <c r="JQ22" i="24"/>
  <c r="JQ23" i="24"/>
  <c r="JQ24" i="24"/>
  <c r="JQ25" i="24"/>
  <c r="JQ26" i="24"/>
  <c r="JQ27" i="24"/>
  <c r="JQ28" i="24"/>
  <c r="JQ29" i="24"/>
  <c r="JQ30" i="24"/>
  <c r="JQ31" i="24"/>
  <c r="JQ32" i="24"/>
  <c r="JQ33" i="24"/>
  <c r="JQ34" i="24"/>
  <c r="JQ35" i="24"/>
  <c r="JQ36" i="24"/>
  <c r="JQ37" i="24"/>
  <c r="JQ38" i="24"/>
  <c r="JQ39" i="24"/>
  <c r="JQ40" i="24"/>
  <c r="JQ41" i="24"/>
  <c r="JQ42" i="24"/>
  <c r="JQ43" i="24"/>
  <c r="JQ44" i="24"/>
  <c r="JO14" i="24"/>
  <c r="JO15" i="24"/>
  <c r="JO16" i="24"/>
  <c r="JO17" i="24"/>
  <c r="JO18" i="24"/>
  <c r="JO19" i="24"/>
  <c r="JO20" i="24"/>
  <c r="JO21" i="24"/>
  <c r="JO22" i="24"/>
  <c r="JO23" i="24"/>
  <c r="JO24" i="24"/>
  <c r="JO25" i="24"/>
  <c r="JO26" i="24"/>
  <c r="JO27" i="24"/>
  <c r="JO28" i="24"/>
  <c r="JO29" i="24"/>
  <c r="JO30" i="24"/>
  <c r="JO31" i="24"/>
  <c r="JO32" i="24"/>
  <c r="JO33" i="24"/>
  <c r="JO34" i="24"/>
  <c r="JO35" i="24"/>
  <c r="JO36" i="24"/>
  <c r="JO37" i="24"/>
  <c r="JO38" i="24"/>
  <c r="JO39" i="24"/>
  <c r="JO40" i="24"/>
  <c r="JO41" i="24"/>
  <c r="JO42" i="24"/>
  <c r="JO43" i="24"/>
  <c r="JO44" i="24"/>
  <c r="JM14" i="24"/>
  <c r="JM15" i="24"/>
  <c r="JM16" i="24"/>
  <c r="JM17" i="24"/>
  <c r="JM18" i="24"/>
  <c r="JM19" i="24"/>
  <c r="JM20" i="24"/>
  <c r="JM21" i="24"/>
  <c r="JM22" i="24"/>
  <c r="JM23" i="24"/>
  <c r="JM24" i="24"/>
  <c r="JM25" i="24"/>
  <c r="JM26" i="24"/>
  <c r="JM27" i="24"/>
  <c r="JM28" i="24"/>
  <c r="JM29" i="24"/>
  <c r="JM30" i="24"/>
  <c r="JM31" i="24"/>
  <c r="JM32" i="24"/>
  <c r="JM33" i="24"/>
  <c r="JM34" i="24"/>
  <c r="JM35" i="24"/>
  <c r="JM36" i="24"/>
  <c r="JM37" i="24"/>
  <c r="JM38" i="24"/>
  <c r="JM39" i="24"/>
  <c r="JM40" i="24"/>
  <c r="JM41" i="24"/>
  <c r="JM42" i="24"/>
  <c r="JM43" i="24"/>
  <c r="JM44" i="24"/>
  <c r="JW14" i="24"/>
  <c r="JW15" i="24"/>
  <c r="JW16" i="24"/>
  <c r="JW17" i="24"/>
  <c r="JW18" i="24"/>
  <c r="JW19" i="24"/>
  <c r="JW20" i="24"/>
  <c r="JW21" i="24"/>
  <c r="JW22" i="24"/>
  <c r="JW23" i="24"/>
  <c r="JW24" i="24"/>
  <c r="JW25" i="24"/>
  <c r="JW26" i="24"/>
  <c r="JW27" i="24"/>
  <c r="JW28" i="24"/>
  <c r="JW29" i="24"/>
  <c r="JW30" i="24"/>
  <c r="JW31" i="24"/>
  <c r="JW32" i="24"/>
  <c r="JW33" i="24"/>
  <c r="JW34" i="24"/>
  <c r="JW35" i="24"/>
  <c r="JW36" i="24"/>
  <c r="JW37" i="24"/>
  <c r="JW38" i="24"/>
  <c r="JW39" i="24"/>
  <c r="JW40" i="24"/>
  <c r="JW41" i="24"/>
  <c r="JW42" i="24"/>
  <c r="JW43" i="24"/>
  <c r="JW44" i="24"/>
  <c r="KF14" i="24"/>
  <c r="KW15" i="24"/>
  <c r="KW16" i="24"/>
  <c r="KW17" i="24"/>
  <c r="KW18" i="24"/>
  <c r="KW19" i="24"/>
  <c r="KW20" i="24"/>
  <c r="KW21" i="24"/>
  <c r="KW22" i="24"/>
  <c r="KW23" i="24"/>
  <c r="KW24" i="24"/>
  <c r="KW25" i="24"/>
  <c r="KW26" i="24"/>
  <c r="KW27" i="24"/>
  <c r="KW28" i="24"/>
  <c r="KW29" i="24"/>
  <c r="KW30" i="24"/>
  <c r="KW31" i="24"/>
  <c r="KW32" i="24"/>
  <c r="KW33" i="24"/>
  <c r="KW34" i="24"/>
  <c r="KW35" i="24"/>
  <c r="KW36" i="24"/>
  <c r="KW37" i="24"/>
  <c r="KW38" i="24"/>
  <c r="KW39" i="24"/>
  <c r="KW40" i="24"/>
  <c r="KW41" i="24"/>
  <c r="KW42" i="24"/>
  <c r="KW43" i="24"/>
  <c r="KW44" i="24"/>
  <c r="KW14" i="24"/>
  <c r="KU15" i="24"/>
  <c r="KU16" i="24"/>
  <c r="KU17" i="24"/>
  <c r="KU18" i="24"/>
  <c r="KU19" i="24"/>
  <c r="KU20" i="24"/>
  <c r="KU21" i="24"/>
  <c r="KU22" i="24"/>
  <c r="KU23" i="24"/>
  <c r="KU24" i="24"/>
  <c r="KU25" i="24"/>
  <c r="KU26" i="24"/>
  <c r="KU27" i="24"/>
  <c r="KU28" i="24"/>
  <c r="KU29" i="24"/>
  <c r="KU30" i="24"/>
  <c r="KU31" i="24"/>
  <c r="KU32" i="24"/>
  <c r="KU33" i="24"/>
  <c r="KU34" i="24"/>
  <c r="KU35" i="24"/>
  <c r="KU36" i="24"/>
  <c r="KU37" i="24"/>
  <c r="KU38" i="24"/>
  <c r="KU39" i="24"/>
  <c r="KU40" i="24"/>
  <c r="KU41" i="24"/>
  <c r="KU42" i="24"/>
  <c r="KU43" i="24"/>
  <c r="KU44" i="24"/>
  <c r="KU14" i="24"/>
  <c r="KS15" i="24"/>
  <c r="KS16" i="24"/>
  <c r="KS17" i="24"/>
  <c r="KS18" i="24"/>
  <c r="KS19" i="24"/>
  <c r="KS20" i="24"/>
  <c r="KS21" i="24"/>
  <c r="KS22" i="24"/>
  <c r="KS23" i="24"/>
  <c r="KS24" i="24"/>
  <c r="KS25" i="24"/>
  <c r="KS26" i="24"/>
  <c r="KS27" i="24"/>
  <c r="KS28" i="24"/>
  <c r="KS29" i="24"/>
  <c r="KS30" i="24"/>
  <c r="KS31" i="24"/>
  <c r="KS32" i="24"/>
  <c r="KS33" i="24"/>
  <c r="KS34" i="24"/>
  <c r="KS35" i="24"/>
  <c r="KS36" i="24"/>
  <c r="KS37" i="24"/>
  <c r="KS38" i="24"/>
  <c r="KS39" i="24"/>
  <c r="KS40" i="24"/>
  <c r="KS41" i="24"/>
  <c r="KS42" i="24"/>
  <c r="KS43" i="24"/>
  <c r="KS44" i="24"/>
  <c r="KS14" i="24"/>
  <c r="KQ15" i="24"/>
  <c r="KQ16" i="24"/>
  <c r="KQ17" i="24"/>
  <c r="KQ18" i="24"/>
  <c r="KQ19" i="24"/>
  <c r="KQ20" i="24"/>
  <c r="KQ21" i="24"/>
  <c r="KQ22" i="24"/>
  <c r="KQ23" i="24"/>
  <c r="KQ24" i="24"/>
  <c r="KQ25" i="24"/>
  <c r="KQ26" i="24"/>
  <c r="KQ27" i="24"/>
  <c r="KQ28" i="24"/>
  <c r="KQ29" i="24"/>
  <c r="KQ30" i="24"/>
  <c r="KQ31" i="24"/>
  <c r="KQ32" i="24"/>
  <c r="KQ33" i="24"/>
  <c r="KQ34" i="24"/>
  <c r="KQ35" i="24"/>
  <c r="KQ36" i="24"/>
  <c r="KQ37" i="24"/>
  <c r="KQ38" i="24"/>
  <c r="KQ39" i="24"/>
  <c r="KQ40" i="24"/>
  <c r="KQ41" i="24"/>
  <c r="KQ42" i="24"/>
  <c r="KQ43" i="24"/>
  <c r="KQ44" i="24"/>
  <c r="KQ14" i="24"/>
  <c r="KO15" i="24"/>
  <c r="KO16" i="24"/>
  <c r="KO17" i="24"/>
  <c r="KO18" i="24"/>
  <c r="KO19" i="24"/>
  <c r="KO20" i="24"/>
  <c r="KO21" i="24"/>
  <c r="KO22" i="24"/>
  <c r="KO23" i="24"/>
  <c r="KO24" i="24"/>
  <c r="KO25" i="24"/>
  <c r="KO26" i="24"/>
  <c r="KO27" i="24"/>
  <c r="KO28" i="24"/>
  <c r="KO29" i="24"/>
  <c r="KO30" i="24"/>
  <c r="KO31" i="24"/>
  <c r="KO32" i="24"/>
  <c r="KO33" i="24"/>
  <c r="KO34" i="24"/>
  <c r="KO35" i="24"/>
  <c r="KO36" i="24"/>
  <c r="KO37" i="24"/>
  <c r="KO38" i="24"/>
  <c r="KO39" i="24"/>
  <c r="KO40" i="24"/>
  <c r="KO41" i="24"/>
  <c r="KO42" i="24"/>
  <c r="KO43" i="24"/>
  <c r="KO44" i="24"/>
  <c r="KO14" i="24"/>
  <c r="KY15" i="24"/>
  <c r="KY16" i="24"/>
  <c r="KY17" i="24"/>
  <c r="KY18" i="24"/>
  <c r="KY19" i="24"/>
  <c r="KY20" i="24"/>
  <c r="KY21" i="24"/>
  <c r="KY22" i="24"/>
  <c r="KY23" i="24"/>
  <c r="KY24" i="24"/>
  <c r="KY25" i="24"/>
  <c r="KY26" i="24"/>
  <c r="KY27" i="24"/>
  <c r="KY28" i="24"/>
  <c r="KY29" i="24"/>
  <c r="KY30" i="24"/>
  <c r="KY31" i="24"/>
  <c r="KY32" i="24"/>
  <c r="KY33" i="24"/>
  <c r="KY34" i="24"/>
  <c r="KY35" i="24"/>
  <c r="KY36" i="24"/>
  <c r="KY37" i="24"/>
  <c r="KY38" i="24"/>
  <c r="KY39" i="24"/>
  <c r="KY40" i="24"/>
  <c r="KY41" i="24"/>
  <c r="KY42" i="24"/>
  <c r="KY43" i="24"/>
  <c r="KY44" i="24"/>
  <c r="KY14" i="24"/>
  <c r="MA15" i="24"/>
  <c r="MA16" i="24"/>
  <c r="MA17" i="24"/>
  <c r="MA18" i="24"/>
  <c r="MA19" i="24"/>
  <c r="MA20" i="24"/>
  <c r="MA21" i="24"/>
  <c r="MA22" i="24"/>
  <c r="MA23" i="24"/>
  <c r="MA24" i="24"/>
  <c r="MA25" i="24"/>
  <c r="MA26" i="24"/>
  <c r="MA27" i="24"/>
  <c r="MA28" i="24"/>
  <c r="MA29" i="24"/>
  <c r="MA30" i="24"/>
  <c r="MA31" i="24"/>
  <c r="MA32" i="24"/>
  <c r="MA33" i="24"/>
  <c r="MA34" i="24"/>
  <c r="MA35" i="24"/>
  <c r="MA36" i="24"/>
  <c r="MA37" i="24"/>
  <c r="MA38" i="24"/>
  <c r="MA39" i="24"/>
  <c r="MA40" i="24"/>
  <c r="MA41" i="24"/>
  <c r="MA42" i="24"/>
  <c r="MA43" i="24"/>
  <c r="MA44" i="24"/>
  <c r="MA14" i="24"/>
  <c r="LY15" i="24"/>
  <c r="LY16" i="24"/>
  <c r="LY17" i="24"/>
  <c r="LY18" i="24"/>
  <c r="LY19" i="24"/>
  <c r="LY20" i="24"/>
  <c r="LY21" i="24"/>
  <c r="LY22" i="24"/>
  <c r="LY23" i="24"/>
  <c r="LY24" i="24"/>
  <c r="LY25" i="24"/>
  <c r="LY26" i="24"/>
  <c r="LY27" i="24"/>
  <c r="LY28" i="24"/>
  <c r="LY29" i="24"/>
  <c r="LY30" i="24"/>
  <c r="LY31" i="24"/>
  <c r="LY32" i="24"/>
  <c r="LY33" i="24"/>
  <c r="LY34" i="24"/>
  <c r="LY35" i="24"/>
  <c r="LY36" i="24"/>
  <c r="LY37" i="24"/>
  <c r="LY38" i="24"/>
  <c r="LY39" i="24"/>
  <c r="LY40" i="24"/>
  <c r="LY41" i="24"/>
  <c r="LY42" i="24"/>
  <c r="LY43" i="24"/>
  <c r="LY44" i="24"/>
  <c r="LY14" i="24"/>
  <c r="LW15" i="24"/>
  <c r="LW16" i="24"/>
  <c r="LW17" i="24"/>
  <c r="LW18" i="24"/>
  <c r="LW19" i="24"/>
  <c r="LW20" i="24"/>
  <c r="LW21" i="24"/>
  <c r="LW22" i="24"/>
  <c r="LW23" i="24"/>
  <c r="LW24" i="24"/>
  <c r="LW25" i="24"/>
  <c r="LW26" i="24"/>
  <c r="LW27" i="24"/>
  <c r="LW28" i="24"/>
  <c r="LW29" i="24"/>
  <c r="LW30" i="24"/>
  <c r="LW31" i="24"/>
  <c r="LW32" i="24"/>
  <c r="LW33" i="24"/>
  <c r="LW34" i="24"/>
  <c r="LW35" i="24"/>
  <c r="LW36" i="24"/>
  <c r="LW37" i="24"/>
  <c r="LW38" i="24"/>
  <c r="LW39" i="24"/>
  <c r="LW40" i="24"/>
  <c r="LW41" i="24"/>
  <c r="LW42" i="24"/>
  <c r="LW43" i="24"/>
  <c r="LW44" i="24"/>
  <c r="LW14" i="24"/>
  <c r="LU15" i="24"/>
  <c r="LU16" i="24"/>
  <c r="LU17" i="24"/>
  <c r="LU18" i="24"/>
  <c r="LU19" i="24"/>
  <c r="LU20" i="24"/>
  <c r="LU21" i="24"/>
  <c r="LU22" i="24"/>
  <c r="LU23" i="24"/>
  <c r="LU24" i="24"/>
  <c r="LU25" i="24"/>
  <c r="LU26" i="24"/>
  <c r="LU27" i="24"/>
  <c r="LU28" i="24"/>
  <c r="LU29" i="24"/>
  <c r="LU30" i="24"/>
  <c r="LU31" i="24"/>
  <c r="LU32" i="24"/>
  <c r="LU33" i="24"/>
  <c r="LU34" i="24"/>
  <c r="LU35" i="24"/>
  <c r="LU36" i="24"/>
  <c r="LU37" i="24"/>
  <c r="LU38" i="24"/>
  <c r="LU39" i="24"/>
  <c r="LU40" i="24"/>
  <c r="LU41" i="24"/>
  <c r="LU42" i="24"/>
  <c r="LU43" i="24"/>
  <c r="LU44" i="24"/>
  <c r="LU14" i="24"/>
  <c r="LS15" i="24"/>
  <c r="LS16" i="24"/>
  <c r="LS17" i="24"/>
  <c r="LS18" i="24"/>
  <c r="LS19" i="24"/>
  <c r="LS20" i="24"/>
  <c r="LS21" i="24"/>
  <c r="LS22" i="24"/>
  <c r="LS23" i="24"/>
  <c r="LS24" i="24"/>
  <c r="LS25" i="24"/>
  <c r="LS26" i="24"/>
  <c r="LS27" i="24"/>
  <c r="LS28" i="24"/>
  <c r="LS29" i="24"/>
  <c r="LS30" i="24"/>
  <c r="LS31" i="24"/>
  <c r="LS32" i="24"/>
  <c r="LS33" i="24"/>
  <c r="LS34" i="24"/>
  <c r="LS35" i="24"/>
  <c r="LS36" i="24"/>
  <c r="LS37" i="24"/>
  <c r="LS38" i="24"/>
  <c r="LS39" i="24"/>
  <c r="LS40" i="24"/>
  <c r="LS41" i="24"/>
  <c r="LS42" i="24"/>
  <c r="LS43" i="24"/>
  <c r="LS44" i="24"/>
  <c r="LS14" i="24"/>
  <c r="MC15" i="24"/>
  <c r="MC16" i="24"/>
  <c r="MC17" i="24"/>
  <c r="MC18" i="24"/>
  <c r="MC19" i="24"/>
  <c r="MC20" i="24"/>
  <c r="MC21" i="24"/>
  <c r="MC22" i="24"/>
  <c r="MC23" i="24"/>
  <c r="MC24" i="24"/>
  <c r="MC25" i="24"/>
  <c r="MC26" i="24"/>
  <c r="MC27" i="24"/>
  <c r="MC28" i="24"/>
  <c r="MC29" i="24"/>
  <c r="MC30" i="24"/>
  <c r="MC31" i="24"/>
  <c r="MC32" i="24"/>
  <c r="MC33" i="24"/>
  <c r="MC34" i="24"/>
  <c r="MC35" i="24"/>
  <c r="MC36" i="24"/>
  <c r="MC37" i="24"/>
  <c r="MC38" i="24"/>
  <c r="MC39" i="24"/>
  <c r="MC40" i="24"/>
  <c r="MC41" i="24"/>
  <c r="MC42" i="24"/>
  <c r="MC43" i="24"/>
  <c r="MC44" i="24"/>
  <c r="MC14" i="24"/>
  <c r="ML14" i="24"/>
  <c r="NC15" i="24"/>
  <c r="NC17" i="24"/>
  <c r="NC19" i="24"/>
  <c r="NC21" i="24"/>
  <c r="NC23" i="24"/>
  <c r="NC25" i="24"/>
  <c r="NC26" i="24"/>
  <c r="NC27" i="24"/>
  <c r="NC28" i="24"/>
  <c r="NC29" i="24"/>
  <c r="NC30" i="24"/>
  <c r="NC31" i="24"/>
  <c r="NC32" i="24"/>
  <c r="NC33" i="24"/>
  <c r="NC34" i="24"/>
  <c r="NC35" i="24"/>
  <c r="NC36" i="24"/>
  <c r="NC37" i="24"/>
  <c r="NC38" i="24"/>
  <c r="NC39" i="24"/>
  <c r="NC40" i="24"/>
  <c r="NC41" i="24"/>
  <c r="NC42" i="24"/>
  <c r="NC43" i="24"/>
  <c r="NC44" i="24"/>
  <c r="NC14" i="24"/>
  <c r="NC18" i="24"/>
  <c r="NC22" i="24"/>
  <c r="NC16" i="24"/>
  <c r="NC24" i="24"/>
  <c r="NC20" i="24"/>
  <c r="NA16" i="24"/>
  <c r="NA18" i="24"/>
  <c r="NA20" i="24"/>
  <c r="NA22" i="24"/>
  <c r="NA24" i="24"/>
  <c r="NA26" i="24"/>
  <c r="NA27" i="24"/>
  <c r="NA28" i="24"/>
  <c r="NA29" i="24"/>
  <c r="NA30" i="24"/>
  <c r="NA31" i="24"/>
  <c r="NA32" i="24"/>
  <c r="NA33" i="24"/>
  <c r="NA34" i="24"/>
  <c r="NA35" i="24"/>
  <c r="NA36" i="24"/>
  <c r="NA37" i="24"/>
  <c r="NA38" i="24"/>
  <c r="NA39" i="24"/>
  <c r="NA40" i="24"/>
  <c r="NA41" i="24"/>
  <c r="NA42" i="24"/>
  <c r="NA43" i="24"/>
  <c r="NA44" i="24"/>
  <c r="NA14" i="24"/>
  <c r="NA17" i="24"/>
  <c r="NA21" i="24"/>
  <c r="NA25" i="24"/>
  <c r="NA19" i="24"/>
  <c r="NA15" i="24"/>
  <c r="NA23" i="24"/>
  <c r="MY15" i="24"/>
  <c r="MY17" i="24"/>
  <c r="MY19" i="24"/>
  <c r="MY21" i="24"/>
  <c r="MY23" i="24"/>
  <c r="MY25" i="24"/>
  <c r="MY26" i="24"/>
  <c r="MY27" i="24"/>
  <c r="MY28" i="24"/>
  <c r="MY29" i="24"/>
  <c r="MY30" i="24"/>
  <c r="MY31" i="24"/>
  <c r="MY32" i="24"/>
  <c r="MY33" i="24"/>
  <c r="MY34" i="24"/>
  <c r="MY35" i="24"/>
  <c r="MY36" i="24"/>
  <c r="MY37" i="24"/>
  <c r="MY38" i="24"/>
  <c r="MY39" i="24"/>
  <c r="MY40" i="24"/>
  <c r="MY41" i="24"/>
  <c r="MY42" i="24"/>
  <c r="MY43" i="24"/>
  <c r="MY44" i="24"/>
  <c r="MY14" i="24"/>
  <c r="MY16" i="24"/>
  <c r="MY20" i="24"/>
  <c r="MY24" i="24"/>
  <c r="MY22" i="24"/>
  <c r="MY18" i="24"/>
  <c r="MW16" i="24"/>
  <c r="MW18" i="24"/>
  <c r="MW20" i="24"/>
  <c r="MW22" i="24"/>
  <c r="MW24" i="24"/>
  <c r="MW26" i="24"/>
  <c r="MW27" i="24"/>
  <c r="MW28" i="24"/>
  <c r="MW29" i="24"/>
  <c r="MW30" i="24"/>
  <c r="MW31" i="24"/>
  <c r="MW32" i="24"/>
  <c r="MW33" i="24"/>
  <c r="MW34" i="24"/>
  <c r="MW35" i="24"/>
  <c r="MW36" i="24"/>
  <c r="MW37" i="24"/>
  <c r="MW38" i="24"/>
  <c r="MW39" i="24"/>
  <c r="MW40" i="24"/>
  <c r="MW41" i="24"/>
  <c r="MW42" i="24"/>
  <c r="MW43" i="24"/>
  <c r="MW44" i="24"/>
  <c r="MW14" i="24"/>
  <c r="MW15" i="24"/>
  <c r="MW19" i="24"/>
  <c r="MW23" i="24"/>
  <c r="MW17" i="24"/>
  <c r="MW25" i="24"/>
  <c r="MW21" i="24"/>
  <c r="MU15" i="24"/>
  <c r="MU17" i="24"/>
  <c r="MU19" i="24"/>
  <c r="MU21" i="24"/>
  <c r="MU23" i="24"/>
  <c r="MU25" i="24"/>
  <c r="MU27" i="24"/>
  <c r="MU28" i="24"/>
  <c r="MU29" i="24"/>
  <c r="MU30" i="24"/>
  <c r="MU31" i="24"/>
  <c r="MU32" i="24"/>
  <c r="MU33" i="24"/>
  <c r="MU34" i="24"/>
  <c r="MU35" i="24"/>
  <c r="MU36" i="24"/>
  <c r="MU37" i="24"/>
  <c r="MU38" i="24"/>
  <c r="MU39" i="24"/>
  <c r="MU40" i="24"/>
  <c r="MU41" i="24"/>
  <c r="MU42" i="24"/>
  <c r="MU43" i="24"/>
  <c r="MU44" i="24"/>
  <c r="MU14" i="24"/>
  <c r="MU18" i="24"/>
  <c r="MU22" i="24"/>
  <c r="MU26" i="24"/>
  <c r="MU20" i="24"/>
  <c r="MU16" i="24"/>
  <c r="MU24" i="24"/>
  <c r="NE16" i="24"/>
  <c r="NE18" i="24"/>
  <c r="NE20" i="24"/>
  <c r="NE22" i="24"/>
  <c r="NE24" i="24"/>
  <c r="NE26" i="24"/>
  <c r="NE27" i="24"/>
  <c r="NE28" i="24"/>
  <c r="NE29" i="24"/>
  <c r="NE30" i="24"/>
  <c r="NE31" i="24"/>
  <c r="NE32" i="24"/>
  <c r="NE33" i="24"/>
  <c r="NE34" i="24"/>
  <c r="NE35" i="24"/>
  <c r="NE36" i="24"/>
  <c r="NE37" i="24"/>
  <c r="NE38" i="24"/>
  <c r="NE39" i="24"/>
  <c r="NE40" i="24"/>
  <c r="NE41" i="24"/>
  <c r="NE42" i="24"/>
  <c r="NE43" i="24"/>
  <c r="NE44" i="24"/>
  <c r="NE14" i="24"/>
  <c r="NE15" i="24"/>
  <c r="NE19" i="24"/>
  <c r="NE23" i="24"/>
  <c r="NE21" i="24"/>
  <c r="NE17" i="24"/>
  <c r="NE25" i="24"/>
  <c r="OG15" i="24"/>
  <c r="OG16" i="24"/>
  <c r="OG17" i="24"/>
  <c r="OG18" i="24"/>
  <c r="OG19" i="24"/>
  <c r="OG20" i="24"/>
  <c r="OG21" i="24"/>
  <c r="OG23" i="24"/>
  <c r="OG25" i="24"/>
  <c r="OG27" i="24"/>
  <c r="OG29" i="24"/>
  <c r="OG31" i="24"/>
  <c r="OG33" i="24"/>
  <c r="OG24" i="24"/>
  <c r="OG28" i="24"/>
  <c r="OG32" i="24"/>
  <c r="OG34" i="24"/>
  <c r="OG36" i="24"/>
  <c r="OG38" i="24"/>
  <c r="OG40" i="24"/>
  <c r="OG42" i="24"/>
  <c r="OG44" i="24"/>
  <c r="OG14" i="24"/>
  <c r="OG22" i="24"/>
  <c r="OG30" i="24"/>
  <c r="OG35" i="24"/>
  <c r="OG39" i="24"/>
  <c r="OG43" i="24"/>
  <c r="OG26" i="24"/>
  <c r="OG37" i="24"/>
  <c r="OG41" i="24"/>
  <c r="OE15" i="24"/>
  <c r="OE16" i="24"/>
  <c r="OE17" i="24"/>
  <c r="OE18" i="24"/>
  <c r="OE19" i="24"/>
  <c r="OE20" i="24"/>
  <c r="OE21" i="24"/>
  <c r="OE22" i="24"/>
  <c r="OE24" i="24"/>
  <c r="OE26" i="24"/>
  <c r="OE28" i="24"/>
  <c r="OE30" i="24"/>
  <c r="OE32" i="24"/>
  <c r="OE23" i="24"/>
  <c r="OE27" i="24"/>
  <c r="OE31" i="24"/>
  <c r="OE35" i="24"/>
  <c r="OE37" i="24"/>
  <c r="OE39" i="24"/>
  <c r="OE41" i="24"/>
  <c r="OE43" i="24"/>
  <c r="OE25" i="24"/>
  <c r="OE33" i="24"/>
  <c r="OE34" i="24"/>
  <c r="OE38" i="24"/>
  <c r="OE42" i="24"/>
  <c r="OE29" i="24"/>
  <c r="OE40" i="24"/>
  <c r="OE44" i="24"/>
  <c r="OE14" i="24"/>
  <c r="OE36" i="24"/>
  <c r="OC15" i="24"/>
  <c r="OC16" i="24"/>
  <c r="OC17" i="24"/>
  <c r="OC18" i="24"/>
  <c r="OC19" i="24"/>
  <c r="OC20" i="24"/>
  <c r="OC21" i="24"/>
  <c r="OC22" i="24"/>
  <c r="OC23" i="24"/>
  <c r="OC25" i="24"/>
  <c r="OC27" i="24"/>
  <c r="OC29" i="24"/>
  <c r="OC31" i="24"/>
  <c r="OC33" i="24"/>
  <c r="OC26" i="24"/>
  <c r="OC30" i="24"/>
  <c r="OC34" i="24"/>
  <c r="OC36" i="24"/>
  <c r="OC38" i="24"/>
  <c r="OC40" i="24"/>
  <c r="OC42" i="24"/>
  <c r="OC44" i="24"/>
  <c r="OC14" i="24"/>
  <c r="OC28" i="24"/>
  <c r="OC37" i="24"/>
  <c r="OC41" i="24"/>
  <c r="OC32" i="24"/>
  <c r="OC35" i="24"/>
  <c r="OC43" i="24"/>
  <c r="OC24" i="24"/>
  <c r="OC39" i="24"/>
  <c r="OA15" i="24"/>
  <c r="OA16" i="24"/>
  <c r="OA17" i="24"/>
  <c r="OA18" i="24"/>
  <c r="OA19" i="24"/>
  <c r="OA20" i="24"/>
  <c r="OA21" i="24"/>
  <c r="OA22" i="24"/>
  <c r="OA24" i="24"/>
  <c r="OA26" i="24"/>
  <c r="OA28" i="24"/>
  <c r="OA30" i="24"/>
  <c r="OA32" i="24"/>
  <c r="OA25" i="24"/>
  <c r="OA29" i="24"/>
  <c r="OA33" i="24"/>
  <c r="OA35" i="24"/>
  <c r="OA37" i="24"/>
  <c r="OA39" i="24"/>
  <c r="OA41" i="24"/>
  <c r="OA43" i="24"/>
  <c r="OA23" i="24"/>
  <c r="OA31" i="24"/>
  <c r="OA36" i="24"/>
  <c r="OA40" i="24"/>
  <c r="OA44" i="24"/>
  <c r="OA14" i="24"/>
  <c r="OA38" i="24"/>
  <c r="OA27" i="24"/>
  <c r="OA34" i="24"/>
  <c r="OA42" i="24"/>
  <c r="NY15" i="24"/>
  <c r="NY16" i="24"/>
  <c r="NY17" i="24"/>
  <c r="NY18" i="24"/>
  <c r="NY19" i="24"/>
  <c r="NY20" i="24"/>
  <c r="NY21" i="24"/>
  <c r="NY22" i="24"/>
  <c r="NY23" i="24"/>
  <c r="NY25" i="24"/>
  <c r="NY27" i="24"/>
  <c r="NY29" i="24"/>
  <c r="NY31" i="24"/>
  <c r="NY33" i="24"/>
  <c r="NY24" i="24"/>
  <c r="NY28" i="24"/>
  <c r="NY32" i="24"/>
  <c r="NY34" i="24"/>
  <c r="NY36" i="24"/>
  <c r="NY38" i="24"/>
  <c r="NY40" i="24"/>
  <c r="NY42" i="24"/>
  <c r="NY44" i="24"/>
  <c r="NY14" i="24"/>
  <c r="NY26" i="24"/>
  <c r="NY35" i="24"/>
  <c r="NY39" i="24"/>
  <c r="NY43" i="24"/>
  <c r="NY41" i="24"/>
  <c r="NY37" i="24"/>
  <c r="NY30" i="24"/>
  <c r="OI15" i="24"/>
  <c r="OI16" i="24"/>
  <c r="OI17" i="24"/>
  <c r="OI18" i="24"/>
  <c r="OI19" i="24"/>
  <c r="OI20" i="24"/>
  <c r="OI21" i="24"/>
  <c r="OI22" i="24"/>
  <c r="OI24" i="24"/>
  <c r="OI26" i="24"/>
  <c r="OI28" i="24"/>
  <c r="OI30" i="24"/>
  <c r="OI32" i="24"/>
  <c r="OI25" i="24"/>
  <c r="OI29" i="24"/>
  <c r="OI33" i="24"/>
  <c r="OI35" i="24"/>
  <c r="OI37" i="24"/>
  <c r="OI39" i="24"/>
  <c r="OI41" i="24"/>
  <c r="OI43" i="24"/>
  <c r="OI27" i="24"/>
  <c r="OI36" i="24"/>
  <c r="OI40" i="24"/>
  <c r="OI44" i="24"/>
  <c r="OI14" i="24"/>
  <c r="OI23" i="24"/>
  <c r="OI34" i="24"/>
  <c r="OI42" i="24"/>
  <c r="OI31" i="24"/>
  <c r="OI38" i="24"/>
  <c r="BY14" i="24"/>
  <c r="BY15" i="24"/>
  <c r="BY17" i="24"/>
  <c r="BY19" i="24"/>
  <c r="BY21" i="24"/>
  <c r="BY23" i="24"/>
  <c r="BY25" i="24"/>
  <c r="BY27" i="24"/>
  <c r="BY29" i="24"/>
  <c r="BY31" i="24"/>
  <c r="BY33" i="24"/>
  <c r="BY35" i="24"/>
  <c r="BY37" i="24"/>
  <c r="BY39" i="24"/>
  <c r="BY41" i="24"/>
  <c r="BY43" i="24"/>
  <c r="BY16" i="24"/>
  <c r="BY18" i="24"/>
  <c r="BY20" i="24"/>
  <c r="BY22" i="24"/>
  <c r="BY24" i="24"/>
  <c r="BY26" i="24"/>
  <c r="BY28" i="24"/>
  <c r="BY30" i="24"/>
  <c r="BY32" i="24"/>
  <c r="BY34" i="24"/>
  <c r="BY36" i="24"/>
  <c r="BY38" i="24"/>
  <c r="BY40" i="24"/>
  <c r="BY42" i="24"/>
  <c r="BY44" i="24"/>
  <c r="BW14" i="24"/>
  <c r="BW16" i="24"/>
  <c r="BW18" i="24"/>
  <c r="BW20" i="24"/>
  <c r="BW22" i="24"/>
  <c r="BW24" i="24"/>
  <c r="BW26" i="24"/>
  <c r="BW28" i="24"/>
  <c r="BW30" i="24"/>
  <c r="BW32" i="24"/>
  <c r="BW34" i="24"/>
  <c r="BW36" i="24"/>
  <c r="BW38" i="24"/>
  <c r="BW40" i="24"/>
  <c r="BW42" i="24"/>
  <c r="BW44" i="24"/>
  <c r="BW15" i="24"/>
  <c r="BW17" i="24"/>
  <c r="BW19" i="24"/>
  <c r="BW21" i="24"/>
  <c r="BW23" i="24"/>
  <c r="BW25" i="24"/>
  <c r="BW27" i="24"/>
  <c r="BW29" i="24"/>
  <c r="BW31" i="24"/>
  <c r="BW33" i="24"/>
  <c r="BW35" i="24"/>
  <c r="BW37" i="24"/>
  <c r="BW39" i="24"/>
  <c r="BW41" i="24"/>
  <c r="BW43" i="24"/>
  <c r="BU14" i="24"/>
  <c r="BU15" i="24"/>
  <c r="BU17" i="24"/>
  <c r="BU19" i="24"/>
  <c r="BU21" i="24"/>
  <c r="BU23" i="24"/>
  <c r="BU25" i="24"/>
  <c r="BU27" i="24"/>
  <c r="BU29" i="24"/>
  <c r="BU31" i="24"/>
  <c r="BU33" i="24"/>
  <c r="BU35" i="24"/>
  <c r="BU37" i="24"/>
  <c r="BU39" i="24"/>
  <c r="BU41" i="24"/>
  <c r="BU43" i="24"/>
  <c r="BU16" i="24"/>
  <c r="BU18" i="24"/>
  <c r="BU20" i="24"/>
  <c r="BU22" i="24"/>
  <c r="BU24" i="24"/>
  <c r="BU26" i="24"/>
  <c r="BU28" i="24"/>
  <c r="BU30" i="24"/>
  <c r="BU32" i="24"/>
  <c r="BU34" i="24"/>
  <c r="BU36" i="24"/>
  <c r="BU38" i="24"/>
  <c r="BU40" i="24"/>
  <c r="BU42" i="24"/>
  <c r="BU44" i="24"/>
  <c r="BS14" i="24"/>
  <c r="BS16" i="24"/>
  <c r="BS18" i="24"/>
  <c r="BS20" i="24"/>
  <c r="BS22" i="24"/>
  <c r="BS24" i="24"/>
  <c r="BS26" i="24"/>
  <c r="BS28" i="24"/>
  <c r="BS30" i="24"/>
  <c r="BS32" i="24"/>
  <c r="BS34" i="24"/>
  <c r="BS36" i="24"/>
  <c r="BS38" i="24"/>
  <c r="BS40" i="24"/>
  <c r="BS42" i="24"/>
  <c r="BS44" i="24"/>
  <c r="BS15" i="24"/>
  <c r="BS17" i="24"/>
  <c r="BS19" i="24"/>
  <c r="BS21" i="24"/>
  <c r="BS23" i="24"/>
  <c r="BS25" i="24"/>
  <c r="BS27" i="24"/>
  <c r="BS29" i="24"/>
  <c r="BS31" i="24"/>
  <c r="BS33" i="24"/>
  <c r="BS35" i="24"/>
  <c r="BS37" i="24"/>
  <c r="BS39" i="24"/>
  <c r="BS41" i="24"/>
  <c r="BS43" i="24"/>
  <c r="BQ14" i="24"/>
  <c r="BQ15" i="24"/>
  <c r="BQ17" i="24"/>
  <c r="BQ19" i="24"/>
  <c r="BQ21" i="24"/>
  <c r="BQ23" i="24"/>
  <c r="BQ25" i="24"/>
  <c r="BQ27" i="24"/>
  <c r="BQ29" i="24"/>
  <c r="BQ31" i="24"/>
  <c r="BQ33" i="24"/>
  <c r="BQ35" i="24"/>
  <c r="BQ37" i="24"/>
  <c r="BQ39" i="24"/>
  <c r="BQ41" i="24"/>
  <c r="BQ43" i="24"/>
  <c r="BQ16" i="24"/>
  <c r="BQ18" i="24"/>
  <c r="BQ20" i="24"/>
  <c r="BQ22" i="24"/>
  <c r="BQ24" i="24"/>
  <c r="BQ26" i="24"/>
  <c r="BQ28" i="24"/>
  <c r="BQ30" i="24"/>
  <c r="BQ32" i="24"/>
  <c r="BQ34" i="24"/>
  <c r="BQ36" i="24"/>
  <c r="BQ38" i="24"/>
  <c r="BQ40" i="24"/>
  <c r="BQ42" i="24"/>
  <c r="BQ44" i="24"/>
  <c r="CA14" i="24"/>
  <c r="CA16" i="24"/>
  <c r="CA18" i="24"/>
  <c r="CA20" i="24"/>
  <c r="CA22" i="24"/>
  <c r="CA24" i="24"/>
  <c r="CA26" i="24"/>
  <c r="CA28" i="24"/>
  <c r="CA30" i="24"/>
  <c r="CA32" i="24"/>
  <c r="CA34" i="24"/>
  <c r="CA36" i="24"/>
  <c r="CA38" i="24"/>
  <c r="CA40" i="24"/>
  <c r="CA42" i="24"/>
  <c r="CA44" i="24"/>
  <c r="CA15" i="24"/>
  <c r="CA17" i="24"/>
  <c r="CA19" i="24"/>
  <c r="CA21" i="24"/>
  <c r="CA23" i="24"/>
  <c r="CA25" i="24"/>
  <c r="CA27" i="24"/>
  <c r="CA29" i="24"/>
  <c r="CA31" i="24"/>
  <c r="CA33" i="24"/>
  <c r="CA35" i="24"/>
  <c r="CA37" i="24"/>
  <c r="CA39" i="24"/>
  <c r="CA41" i="24"/>
  <c r="CA43" i="24"/>
  <c r="CK14" i="24"/>
  <c r="DB14" i="24"/>
  <c r="DB15" i="24"/>
  <c r="DB17" i="24"/>
  <c r="DB19" i="24"/>
  <c r="DB21" i="24"/>
  <c r="DB23" i="24"/>
  <c r="DB25" i="24"/>
  <c r="DB27" i="24"/>
  <c r="DB29" i="24"/>
  <c r="DB31" i="24"/>
  <c r="DB33" i="24"/>
  <c r="DB35" i="24"/>
  <c r="DB37" i="24"/>
  <c r="DB39" i="24"/>
  <c r="DB41" i="24"/>
  <c r="DB43" i="24"/>
  <c r="DB16" i="24"/>
  <c r="DB18" i="24"/>
  <c r="DB20" i="24"/>
  <c r="DB22" i="24"/>
  <c r="DB24" i="24"/>
  <c r="DB26" i="24"/>
  <c r="DB28" i="24"/>
  <c r="DB30" i="24"/>
  <c r="DB32" i="24"/>
  <c r="DB34" i="24"/>
  <c r="DB36" i="24"/>
  <c r="DB38" i="24"/>
  <c r="DB40" i="24"/>
  <c r="DB42" i="24"/>
  <c r="DB44" i="24"/>
  <c r="CZ14" i="24"/>
  <c r="CZ16" i="24"/>
  <c r="CZ18" i="24"/>
  <c r="CZ20" i="24"/>
  <c r="CZ22" i="24"/>
  <c r="CZ24" i="24"/>
  <c r="CZ26" i="24"/>
  <c r="CZ28" i="24"/>
  <c r="CZ30" i="24"/>
  <c r="CZ32" i="24"/>
  <c r="CZ34" i="24"/>
  <c r="CZ36" i="24"/>
  <c r="CZ38" i="24"/>
  <c r="CZ40" i="24"/>
  <c r="CZ42" i="24"/>
  <c r="CZ44" i="24"/>
  <c r="CZ15" i="24"/>
  <c r="CZ17" i="24"/>
  <c r="CZ19" i="24"/>
  <c r="CZ21" i="24"/>
  <c r="CZ23" i="24"/>
  <c r="CZ25" i="24"/>
  <c r="CZ27" i="24"/>
  <c r="CZ29" i="24"/>
  <c r="CZ31" i="24"/>
  <c r="CZ33" i="24"/>
  <c r="CZ35" i="24"/>
  <c r="CZ37" i="24"/>
  <c r="CZ39" i="24"/>
  <c r="CZ41" i="24"/>
  <c r="CZ43" i="24"/>
  <c r="CX14" i="24"/>
  <c r="CX15" i="24"/>
  <c r="CX17" i="24"/>
  <c r="CX19" i="24"/>
  <c r="CX21" i="24"/>
  <c r="CX23" i="24"/>
  <c r="CX25" i="24"/>
  <c r="CX27" i="24"/>
  <c r="CX29" i="24"/>
  <c r="CX31" i="24"/>
  <c r="CX33" i="24"/>
  <c r="CX35" i="24"/>
  <c r="CX37" i="24"/>
  <c r="CX39" i="24"/>
  <c r="CX41" i="24"/>
  <c r="CX43" i="24"/>
  <c r="CX16" i="24"/>
  <c r="CX18" i="24"/>
  <c r="CX20" i="24"/>
  <c r="CX22" i="24"/>
  <c r="CX24" i="24"/>
  <c r="CX26" i="24"/>
  <c r="CX28" i="24"/>
  <c r="CX30" i="24"/>
  <c r="CX32" i="24"/>
  <c r="CX34" i="24"/>
  <c r="CX36" i="24"/>
  <c r="CX38" i="24"/>
  <c r="CX40" i="24"/>
  <c r="CX42" i="24"/>
  <c r="CX44" i="24"/>
  <c r="CV14" i="24"/>
  <c r="CV16" i="24"/>
  <c r="CV18" i="24"/>
  <c r="CV20" i="24"/>
  <c r="CV22" i="24"/>
  <c r="CV24" i="24"/>
  <c r="CV26" i="24"/>
  <c r="CV28" i="24"/>
  <c r="CV30" i="24"/>
  <c r="CV32" i="24"/>
  <c r="CV34" i="24"/>
  <c r="CV36" i="24"/>
  <c r="CV38" i="24"/>
  <c r="CV40" i="24"/>
  <c r="CV42" i="24"/>
  <c r="CV44" i="24"/>
  <c r="CV15" i="24"/>
  <c r="CV17" i="24"/>
  <c r="CV19" i="24"/>
  <c r="CV21" i="24"/>
  <c r="CV23" i="24"/>
  <c r="CV25" i="24"/>
  <c r="CV27" i="24"/>
  <c r="CV29" i="24"/>
  <c r="CV31" i="24"/>
  <c r="CV33" i="24"/>
  <c r="CV35" i="24"/>
  <c r="CV37" i="24"/>
  <c r="CV39" i="24"/>
  <c r="CV41" i="24"/>
  <c r="CV43" i="24"/>
  <c r="CT14" i="24"/>
  <c r="CT15" i="24"/>
  <c r="CT17" i="24"/>
  <c r="CT19" i="24"/>
  <c r="CT21" i="24"/>
  <c r="CT23" i="24"/>
  <c r="CT25" i="24"/>
  <c r="CT27" i="24"/>
  <c r="CT29" i="24"/>
  <c r="CT31" i="24"/>
  <c r="CT33" i="24"/>
  <c r="CT35" i="24"/>
  <c r="CT37" i="24"/>
  <c r="CT39" i="24"/>
  <c r="CT41" i="24"/>
  <c r="CT43" i="24"/>
  <c r="CT16" i="24"/>
  <c r="CT18" i="24"/>
  <c r="CT20" i="24"/>
  <c r="CT22" i="24"/>
  <c r="CT24" i="24"/>
  <c r="CT26" i="24"/>
  <c r="CT28" i="24"/>
  <c r="CT30" i="24"/>
  <c r="CT32" i="24"/>
  <c r="CT34" i="24"/>
  <c r="CT36" i="24"/>
  <c r="CT38" i="24"/>
  <c r="CT40" i="24"/>
  <c r="CT42" i="24"/>
  <c r="CT44" i="24"/>
  <c r="DD14" i="24"/>
  <c r="DD16" i="24"/>
  <c r="DD18" i="24"/>
  <c r="DD20" i="24"/>
  <c r="DD22" i="24"/>
  <c r="DD24" i="24"/>
  <c r="DD26" i="24"/>
  <c r="DD28" i="24"/>
  <c r="DD30" i="24"/>
  <c r="DD32" i="24"/>
  <c r="DD34" i="24"/>
  <c r="DD36" i="24"/>
  <c r="DD38" i="24"/>
  <c r="DD40" i="24"/>
  <c r="DD42" i="24"/>
  <c r="DD44" i="24"/>
  <c r="DD15" i="24"/>
  <c r="DD17" i="24"/>
  <c r="DD19" i="24"/>
  <c r="DD21" i="24"/>
  <c r="DD23" i="24"/>
  <c r="DD25" i="24"/>
  <c r="DD27" i="24"/>
  <c r="DD29" i="24"/>
  <c r="DD31" i="24"/>
  <c r="DD33" i="24"/>
  <c r="DD35" i="24"/>
  <c r="DD37" i="24"/>
  <c r="DD39" i="24"/>
  <c r="DD41" i="24"/>
  <c r="DD43" i="24"/>
  <c r="EF15" i="24"/>
  <c r="EF16" i="24"/>
  <c r="EF17" i="24"/>
  <c r="EF18" i="24"/>
  <c r="EF19" i="24"/>
  <c r="EF20" i="24"/>
  <c r="EF21" i="24"/>
  <c r="EF22" i="24"/>
  <c r="EF23" i="24"/>
  <c r="EF24" i="24"/>
  <c r="EF25" i="24"/>
  <c r="EF26" i="24"/>
  <c r="EF27" i="24"/>
  <c r="EF28" i="24"/>
  <c r="EF29" i="24"/>
  <c r="EF30" i="24"/>
  <c r="EF31" i="24"/>
  <c r="EF32" i="24"/>
  <c r="EF33" i="24"/>
  <c r="EF34" i="24"/>
  <c r="EF35" i="24"/>
  <c r="EF36" i="24"/>
  <c r="EF37" i="24"/>
  <c r="EF38" i="24"/>
  <c r="EF39" i="24"/>
  <c r="EF40" i="24"/>
  <c r="EF41" i="24"/>
  <c r="EF42" i="24"/>
  <c r="EF43" i="24"/>
  <c r="EF44" i="24"/>
  <c r="EF14" i="24"/>
  <c r="ED15" i="24"/>
  <c r="ED16" i="24"/>
  <c r="ED17" i="24"/>
  <c r="ED18" i="24"/>
  <c r="ED19" i="24"/>
  <c r="ED20" i="24"/>
  <c r="ED21" i="24"/>
  <c r="ED22" i="24"/>
  <c r="ED23" i="24"/>
  <c r="ED24" i="24"/>
  <c r="ED25" i="24"/>
  <c r="ED26" i="24"/>
  <c r="ED27" i="24"/>
  <c r="ED28" i="24"/>
  <c r="ED29" i="24"/>
  <c r="ED30" i="24"/>
  <c r="ED31" i="24"/>
  <c r="ED32" i="24"/>
  <c r="ED33" i="24"/>
  <c r="ED34" i="24"/>
  <c r="ED35" i="24"/>
  <c r="ED36" i="24"/>
  <c r="ED37" i="24"/>
  <c r="ED38" i="24"/>
  <c r="ED39" i="24"/>
  <c r="ED40" i="24"/>
  <c r="ED41" i="24"/>
  <c r="ED42" i="24"/>
  <c r="ED43" i="24"/>
  <c r="ED44" i="24"/>
  <c r="ED14" i="24"/>
  <c r="EB15" i="24"/>
  <c r="EB16" i="24"/>
  <c r="EB17" i="24"/>
  <c r="EB18" i="24"/>
  <c r="EB19" i="24"/>
  <c r="EB20" i="24"/>
  <c r="EB21" i="24"/>
  <c r="EB22" i="24"/>
  <c r="EB23" i="24"/>
  <c r="EB24" i="24"/>
  <c r="EB25" i="24"/>
  <c r="EB26" i="24"/>
  <c r="EB27" i="24"/>
  <c r="EB28" i="24"/>
  <c r="EB29" i="24"/>
  <c r="EB30" i="24"/>
  <c r="EB31" i="24"/>
  <c r="EB32" i="24"/>
  <c r="EB33" i="24"/>
  <c r="EB34" i="24"/>
  <c r="EB35" i="24"/>
  <c r="EB36" i="24"/>
  <c r="EB37" i="24"/>
  <c r="EB38" i="24"/>
  <c r="EB39" i="24"/>
  <c r="EB40" i="24"/>
  <c r="EB41" i="24"/>
  <c r="EB42" i="24"/>
  <c r="EB43" i="24"/>
  <c r="EB44" i="24"/>
  <c r="EB14" i="24"/>
  <c r="DZ15" i="24"/>
  <c r="DZ16" i="24"/>
  <c r="DZ17" i="24"/>
  <c r="DZ18" i="24"/>
  <c r="DZ19" i="24"/>
  <c r="DZ20" i="24"/>
  <c r="DZ21" i="24"/>
  <c r="DZ22" i="24"/>
  <c r="DZ23" i="24"/>
  <c r="DZ24" i="24"/>
  <c r="DZ25" i="24"/>
  <c r="DZ26" i="24"/>
  <c r="DZ27" i="24"/>
  <c r="DZ28" i="24"/>
  <c r="DZ29" i="24"/>
  <c r="DZ30" i="24"/>
  <c r="DZ31" i="24"/>
  <c r="DZ32" i="24"/>
  <c r="DZ33" i="24"/>
  <c r="DZ34" i="24"/>
  <c r="DZ35" i="24"/>
  <c r="DZ36" i="24"/>
  <c r="DZ37" i="24"/>
  <c r="DZ38" i="24"/>
  <c r="DZ39" i="24"/>
  <c r="DZ40" i="24"/>
  <c r="DZ41" i="24"/>
  <c r="DZ42" i="24"/>
  <c r="DZ43" i="24"/>
  <c r="DZ44" i="24"/>
  <c r="DZ14" i="24"/>
  <c r="DX15" i="24"/>
  <c r="DX16" i="24"/>
  <c r="DX17" i="24"/>
  <c r="DX18" i="24"/>
  <c r="DX19" i="24"/>
  <c r="DX20" i="24"/>
  <c r="DX21" i="24"/>
  <c r="DX22" i="24"/>
  <c r="DX23" i="24"/>
  <c r="DX24" i="24"/>
  <c r="DX25" i="24"/>
  <c r="DX26" i="24"/>
  <c r="DX27" i="24"/>
  <c r="DX28" i="24"/>
  <c r="DX29" i="24"/>
  <c r="DX30" i="24"/>
  <c r="DX31" i="24"/>
  <c r="DX32" i="24"/>
  <c r="DX33" i="24"/>
  <c r="DX34" i="24"/>
  <c r="DX35" i="24"/>
  <c r="DX36" i="24"/>
  <c r="DX37" i="24"/>
  <c r="DX38" i="24"/>
  <c r="DX39" i="24"/>
  <c r="DX40" i="24"/>
  <c r="DX41" i="24"/>
  <c r="DX42" i="24"/>
  <c r="DX43" i="24"/>
  <c r="DX44" i="24"/>
  <c r="DX14" i="24"/>
  <c r="EH15" i="24"/>
  <c r="EH16" i="24"/>
  <c r="EH17" i="24"/>
  <c r="EH18" i="24"/>
  <c r="EH19" i="24"/>
  <c r="EH20" i="24"/>
  <c r="EH21" i="24"/>
  <c r="EH22" i="24"/>
  <c r="EH23" i="24"/>
  <c r="EH24" i="24"/>
  <c r="EH25" i="24"/>
  <c r="EH26" i="24"/>
  <c r="EH27" i="24"/>
  <c r="EH28" i="24"/>
  <c r="EH29" i="24"/>
  <c r="EH30" i="24"/>
  <c r="EH31" i="24"/>
  <c r="EH32" i="24"/>
  <c r="EH33" i="24"/>
  <c r="EH34" i="24"/>
  <c r="EH35" i="24"/>
  <c r="EH36" i="24"/>
  <c r="EH37" i="24"/>
  <c r="EH38" i="24"/>
  <c r="EH39" i="24"/>
  <c r="EH40" i="24"/>
  <c r="EH41" i="24"/>
  <c r="EH42" i="24"/>
  <c r="EH43" i="24"/>
  <c r="EH44" i="24"/>
  <c r="EH14" i="24"/>
  <c r="EQ14" i="24"/>
  <c r="FH14" i="24"/>
  <c r="FH15" i="24"/>
  <c r="FH17" i="24"/>
  <c r="FH19" i="24"/>
  <c r="FH21" i="24"/>
  <c r="FH23" i="24"/>
  <c r="FH25" i="24"/>
  <c r="FH27" i="24"/>
  <c r="FH29" i="24"/>
  <c r="FH31" i="24"/>
  <c r="FH33" i="24"/>
  <c r="FH35" i="24"/>
  <c r="FH37" i="24"/>
  <c r="FH39" i="24"/>
  <c r="FH41" i="24"/>
  <c r="FH43" i="24"/>
  <c r="FH16" i="24"/>
  <c r="FH18" i="24"/>
  <c r="FH20" i="24"/>
  <c r="FH22" i="24"/>
  <c r="FH24" i="24"/>
  <c r="FH26" i="24"/>
  <c r="FH28" i="24"/>
  <c r="FH30" i="24"/>
  <c r="FH32" i="24"/>
  <c r="FH34" i="24"/>
  <c r="FH36" i="24"/>
  <c r="FH38" i="24"/>
  <c r="FH40" i="24"/>
  <c r="FH42" i="24"/>
  <c r="FH44" i="24"/>
  <c r="FF14" i="24"/>
  <c r="FF16" i="24"/>
  <c r="FF18" i="24"/>
  <c r="FF20" i="24"/>
  <c r="FF22" i="24"/>
  <c r="FF24" i="24"/>
  <c r="FF26" i="24"/>
  <c r="FF28" i="24"/>
  <c r="FF30" i="24"/>
  <c r="FF32" i="24"/>
  <c r="FF34" i="24"/>
  <c r="FF36" i="24"/>
  <c r="FF38" i="24"/>
  <c r="FF40" i="24"/>
  <c r="FF42" i="24"/>
  <c r="FF44" i="24"/>
  <c r="FF15" i="24"/>
  <c r="FF17" i="24"/>
  <c r="FF19" i="24"/>
  <c r="FF21" i="24"/>
  <c r="FF23" i="24"/>
  <c r="FF25" i="24"/>
  <c r="FF27" i="24"/>
  <c r="FF29" i="24"/>
  <c r="FF31" i="24"/>
  <c r="FF33" i="24"/>
  <c r="FF35" i="24"/>
  <c r="FF37" i="24"/>
  <c r="FF39" i="24"/>
  <c r="FF41" i="24"/>
  <c r="FF43" i="24"/>
  <c r="FD14" i="24"/>
  <c r="FD15" i="24"/>
  <c r="FD17" i="24"/>
  <c r="FD19" i="24"/>
  <c r="FD21" i="24"/>
  <c r="FD23" i="24"/>
  <c r="FD25" i="24"/>
  <c r="FD27" i="24"/>
  <c r="FD29" i="24"/>
  <c r="FD31" i="24"/>
  <c r="FD33" i="24"/>
  <c r="FD35" i="24"/>
  <c r="FD37" i="24"/>
  <c r="FD39" i="24"/>
  <c r="FD41" i="24"/>
  <c r="FD43" i="24"/>
  <c r="FD16" i="24"/>
  <c r="FD18" i="24"/>
  <c r="FD20" i="24"/>
  <c r="FD22" i="24"/>
  <c r="FD24" i="24"/>
  <c r="FD26" i="24"/>
  <c r="FD28" i="24"/>
  <c r="FD30" i="24"/>
  <c r="FD32" i="24"/>
  <c r="FD34" i="24"/>
  <c r="FD36" i="24"/>
  <c r="FD38" i="24"/>
  <c r="FD40" i="24"/>
  <c r="FD42" i="24"/>
  <c r="FD44" i="24"/>
  <c r="FB14" i="24"/>
  <c r="FB16" i="24"/>
  <c r="FB18" i="24"/>
  <c r="FB20" i="24"/>
  <c r="FB22" i="24"/>
  <c r="FB24" i="24"/>
  <c r="FB26" i="24"/>
  <c r="FB28" i="24"/>
  <c r="FB30" i="24"/>
  <c r="FB32" i="24"/>
  <c r="FB34" i="24"/>
  <c r="FB36" i="24"/>
  <c r="FB38" i="24"/>
  <c r="FB40" i="24"/>
  <c r="FB42" i="24"/>
  <c r="FB44" i="24"/>
  <c r="FB15" i="24"/>
  <c r="FB17" i="24"/>
  <c r="FB19" i="24"/>
  <c r="FB21" i="24"/>
  <c r="FB23" i="24"/>
  <c r="FB25" i="24"/>
  <c r="FB27" i="24"/>
  <c r="FB29" i="24"/>
  <c r="FB31" i="24"/>
  <c r="FB33" i="24"/>
  <c r="FB35" i="24"/>
  <c r="FB37" i="24"/>
  <c r="FB39" i="24"/>
  <c r="FB41" i="24"/>
  <c r="FB43" i="24"/>
  <c r="EZ14" i="24"/>
  <c r="EZ15" i="24"/>
  <c r="EZ17" i="24"/>
  <c r="EZ19" i="24"/>
  <c r="EZ21" i="24"/>
  <c r="EZ23" i="24"/>
  <c r="EZ25" i="24"/>
  <c r="EZ27" i="24"/>
  <c r="EZ29" i="24"/>
  <c r="EZ31" i="24"/>
  <c r="EZ33" i="24"/>
  <c r="EZ35" i="24"/>
  <c r="EZ37" i="24"/>
  <c r="EZ39" i="24"/>
  <c r="EZ41" i="24"/>
  <c r="EZ43" i="24"/>
  <c r="EZ16" i="24"/>
  <c r="EZ18" i="24"/>
  <c r="EZ20" i="24"/>
  <c r="EZ22" i="24"/>
  <c r="EZ24" i="24"/>
  <c r="EZ26" i="24"/>
  <c r="EZ28" i="24"/>
  <c r="EZ30" i="24"/>
  <c r="EZ32" i="24"/>
  <c r="EZ34" i="24"/>
  <c r="EZ36" i="24"/>
  <c r="EZ38" i="24"/>
  <c r="EZ40" i="24"/>
  <c r="EZ42" i="24"/>
  <c r="EZ44" i="24"/>
  <c r="FJ14" i="24"/>
  <c r="FJ16" i="24"/>
  <c r="FJ18" i="24"/>
  <c r="FJ20" i="24"/>
  <c r="FJ22" i="24"/>
  <c r="FJ24" i="24"/>
  <c r="FJ26" i="24"/>
  <c r="FJ28" i="24"/>
  <c r="FJ30" i="24"/>
  <c r="FJ32" i="24"/>
  <c r="FJ34" i="24"/>
  <c r="FJ36" i="24"/>
  <c r="FJ38" i="24"/>
  <c r="FJ40" i="24"/>
  <c r="FJ42" i="24"/>
  <c r="FJ44" i="24"/>
  <c r="FJ15" i="24"/>
  <c r="FJ17" i="24"/>
  <c r="FJ19" i="24"/>
  <c r="FJ21" i="24"/>
  <c r="FJ23" i="24"/>
  <c r="FJ25" i="24"/>
  <c r="FJ27" i="24"/>
  <c r="FJ29" i="24"/>
  <c r="FJ31" i="24"/>
  <c r="FJ33" i="24"/>
  <c r="FJ35" i="24"/>
  <c r="FJ37" i="24"/>
  <c r="FJ39" i="24"/>
  <c r="FJ41" i="24"/>
  <c r="FJ43" i="24"/>
  <c r="GL14" i="24"/>
  <c r="GL15" i="24"/>
  <c r="GL17" i="24"/>
  <c r="GL19" i="24"/>
  <c r="GL21" i="24"/>
  <c r="GL23" i="24"/>
  <c r="GL25" i="24"/>
  <c r="GL27" i="24"/>
  <c r="GL29" i="24"/>
  <c r="GL31" i="24"/>
  <c r="GL33" i="24"/>
  <c r="GL35" i="24"/>
  <c r="GL37" i="24"/>
  <c r="GL39" i="24"/>
  <c r="GL41" i="24"/>
  <c r="GL43" i="24"/>
  <c r="GL16" i="24"/>
  <c r="GL18" i="24"/>
  <c r="GL20" i="24"/>
  <c r="GL22" i="24"/>
  <c r="GL24" i="24"/>
  <c r="GL26" i="24"/>
  <c r="GL28" i="24"/>
  <c r="GL30" i="24"/>
  <c r="GL32" i="24"/>
  <c r="GL34" i="24"/>
  <c r="GL36" i="24"/>
  <c r="GL38" i="24"/>
  <c r="GL40" i="24"/>
  <c r="GL42" i="24"/>
  <c r="GL44" i="24"/>
  <c r="GJ14" i="24"/>
  <c r="GJ16" i="24"/>
  <c r="GJ18" i="24"/>
  <c r="GJ20" i="24"/>
  <c r="GJ22" i="24"/>
  <c r="GJ24" i="24"/>
  <c r="GJ26" i="24"/>
  <c r="GJ28" i="24"/>
  <c r="GJ30" i="24"/>
  <c r="GJ32" i="24"/>
  <c r="GJ34" i="24"/>
  <c r="GJ36" i="24"/>
  <c r="GJ38" i="24"/>
  <c r="GJ40" i="24"/>
  <c r="GJ42" i="24"/>
  <c r="GJ44" i="24"/>
  <c r="GJ15" i="24"/>
  <c r="GJ17" i="24"/>
  <c r="GJ19" i="24"/>
  <c r="GJ21" i="24"/>
  <c r="GJ23" i="24"/>
  <c r="GJ25" i="24"/>
  <c r="GJ27" i="24"/>
  <c r="GJ29" i="24"/>
  <c r="GJ31" i="24"/>
  <c r="GJ33" i="24"/>
  <c r="GJ35" i="24"/>
  <c r="GJ37" i="24"/>
  <c r="GJ39" i="24"/>
  <c r="GJ41" i="24"/>
  <c r="GJ43" i="24"/>
  <c r="GH14" i="24"/>
  <c r="GH15" i="24"/>
  <c r="GH17" i="24"/>
  <c r="GH19" i="24"/>
  <c r="GH21" i="24"/>
  <c r="GH23" i="24"/>
  <c r="GH25" i="24"/>
  <c r="GH27" i="24"/>
  <c r="GH29" i="24"/>
  <c r="GH31" i="24"/>
  <c r="GH33" i="24"/>
  <c r="GH35" i="24"/>
  <c r="GH37" i="24"/>
  <c r="GH39" i="24"/>
  <c r="GH41" i="24"/>
  <c r="GH43" i="24"/>
  <c r="GH16" i="24"/>
  <c r="GH18" i="24"/>
  <c r="GH20" i="24"/>
  <c r="GH22" i="24"/>
  <c r="GH24" i="24"/>
  <c r="GH26" i="24"/>
  <c r="GH28" i="24"/>
  <c r="GH30" i="24"/>
  <c r="GH32" i="24"/>
  <c r="GH34" i="24"/>
  <c r="GH36" i="24"/>
  <c r="GH38" i="24"/>
  <c r="GH40" i="24"/>
  <c r="GH42" i="24"/>
  <c r="GH44" i="24"/>
  <c r="GF14" i="24"/>
  <c r="GF16" i="24"/>
  <c r="GF18" i="24"/>
  <c r="GF20" i="24"/>
  <c r="GF22" i="24"/>
  <c r="GF24" i="24"/>
  <c r="GF26" i="24"/>
  <c r="GF28" i="24"/>
  <c r="GF30" i="24"/>
  <c r="GF32" i="24"/>
  <c r="GF34" i="24"/>
  <c r="GF36" i="24"/>
  <c r="GF38" i="24"/>
  <c r="GF40" i="24"/>
  <c r="GF42" i="24"/>
  <c r="GF44" i="24"/>
  <c r="GF15" i="24"/>
  <c r="GF17" i="24"/>
  <c r="GF19" i="24"/>
  <c r="GF21" i="24"/>
  <c r="GF23" i="24"/>
  <c r="GF25" i="24"/>
  <c r="GF27" i="24"/>
  <c r="GF29" i="24"/>
  <c r="GF31" i="24"/>
  <c r="GF33" i="24"/>
  <c r="GF35" i="24"/>
  <c r="GF37" i="24"/>
  <c r="GF39" i="24"/>
  <c r="GF41" i="24"/>
  <c r="GF43" i="24"/>
  <c r="GD14" i="24"/>
  <c r="GD15" i="24"/>
  <c r="GD17" i="24"/>
  <c r="GD19" i="24"/>
  <c r="GD21" i="24"/>
  <c r="GD23" i="24"/>
  <c r="GD25" i="24"/>
  <c r="GD27" i="24"/>
  <c r="GD29" i="24"/>
  <c r="GD31" i="24"/>
  <c r="GD33" i="24"/>
  <c r="GD35" i="24"/>
  <c r="GD37" i="24"/>
  <c r="GD39" i="24"/>
  <c r="GD41" i="24"/>
  <c r="GD43" i="24"/>
  <c r="GD16" i="24"/>
  <c r="GD18" i="24"/>
  <c r="GD20" i="24"/>
  <c r="GD22" i="24"/>
  <c r="GD24" i="24"/>
  <c r="GD26" i="24"/>
  <c r="GD28" i="24"/>
  <c r="GD30" i="24"/>
  <c r="GD32" i="24"/>
  <c r="GD34" i="24"/>
  <c r="GD36" i="24"/>
  <c r="GD38" i="24"/>
  <c r="GD40" i="24"/>
  <c r="GD42" i="24"/>
  <c r="GD44" i="24"/>
  <c r="GN14" i="24"/>
  <c r="GN16" i="24"/>
  <c r="GN18" i="24"/>
  <c r="GN20" i="24"/>
  <c r="GN22" i="24"/>
  <c r="GN24" i="24"/>
  <c r="GN26" i="24"/>
  <c r="GN28" i="24"/>
  <c r="GN30" i="24"/>
  <c r="GN32" i="24"/>
  <c r="GN34" i="24"/>
  <c r="GN36" i="24"/>
  <c r="GN38" i="24"/>
  <c r="GN40" i="24"/>
  <c r="GN42" i="24"/>
  <c r="GN44" i="24"/>
  <c r="GN15" i="24"/>
  <c r="GN17" i="24"/>
  <c r="GN19" i="24"/>
  <c r="GN21" i="24"/>
  <c r="GN23" i="24"/>
  <c r="GN25" i="24"/>
  <c r="GN27" i="24"/>
  <c r="GN29" i="24"/>
  <c r="GN31" i="24"/>
  <c r="GN33" i="24"/>
  <c r="GN35" i="24"/>
  <c r="GN37" i="24"/>
  <c r="GN39" i="24"/>
  <c r="GN41" i="24"/>
  <c r="GN43" i="24"/>
  <c r="GW14" i="24"/>
  <c r="HN15" i="24"/>
  <c r="HN16" i="24"/>
  <c r="HN17" i="24"/>
  <c r="HN18" i="24"/>
  <c r="HN19" i="24"/>
  <c r="HN20" i="24"/>
  <c r="HN21" i="24"/>
  <c r="HN22" i="24"/>
  <c r="HN23" i="24"/>
  <c r="HN24" i="24"/>
  <c r="HN25" i="24"/>
  <c r="HN26" i="24"/>
  <c r="HN27" i="24"/>
  <c r="HN28" i="24"/>
  <c r="HN29" i="24"/>
  <c r="HN30" i="24"/>
  <c r="HN31" i="24"/>
  <c r="HN32" i="24"/>
  <c r="HN33" i="24"/>
  <c r="HN34" i="24"/>
  <c r="HN35" i="24"/>
  <c r="HN36" i="24"/>
  <c r="HN37" i="24"/>
  <c r="HN38" i="24"/>
  <c r="HN39" i="24"/>
  <c r="HN40" i="24"/>
  <c r="HN41" i="24"/>
  <c r="HN42" i="24"/>
  <c r="HN43" i="24"/>
  <c r="HN44" i="24"/>
  <c r="HN14" i="24"/>
  <c r="HL15" i="24"/>
  <c r="HL16" i="24"/>
  <c r="HL17" i="24"/>
  <c r="HL18" i="24"/>
  <c r="HL19" i="24"/>
  <c r="HL20" i="24"/>
  <c r="HL21" i="24"/>
  <c r="HL22" i="24"/>
  <c r="HL23" i="24"/>
  <c r="HL24" i="24"/>
  <c r="HL25" i="24"/>
  <c r="HL26" i="24"/>
  <c r="HL27" i="24"/>
  <c r="HL28" i="24"/>
  <c r="HL29" i="24"/>
  <c r="HL30" i="24"/>
  <c r="HL31" i="24"/>
  <c r="HL32" i="24"/>
  <c r="HL33" i="24"/>
  <c r="HL34" i="24"/>
  <c r="HL35" i="24"/>
  <c r="HL36" i="24"/>
  <c r="HL37" i="24"/>
  <c r="HL38" i="24"/>
  <c r="HL39" i="24"/>
  <c r="HL40" i="24"/>
  <c r="HL41" i="24"/>
  <c r="HL42" i="24"/>
  <c r="HL43" i="24"/>
  <c r="HL44" i="24"/>
  <c r="HL14" i="24"/>
  <c r="HJ15" i="24"/>
  <c r="HJ16" i="24"/>
  <c r="HJ17" i="24"/>
  <c r="HJ18" i="24"/>
  <c r="HJ19" i="24"/>
  <c r="HJ20" i="24"/>
  <c r="HJ21" i="24"/>
  <c r="HJ22" i="24"/>
  <c r="HJ23" i="24"/>
  <c r="HJ24" i="24"/>
  <c r="HJ25" i="24"/>
  <c r="HJ26" i="24"/>
  <c r="HJ27" i="24"/>
  <c r="HJ28" i="24"/>
  <c r="HJ29" i="24"/>
  <c r="HJ30" i="24"/>
  <c r="HJ31" i="24"/>
  <c r="HJ32" i="24"/>
  <c r="HJ33" i="24"/>
  <c r="HJ34" i="24"/>
  <c r="HJ35" i="24"/>
  <c r="HJ36" i="24"/>
  <c r="HJ37" i="24"/>
  <c r="HJ38" i="24"/>
  <c r="HJ39" i="24"/>
  <c r="HJ40" i="24"/>
  <c r="HJ41" i="24"/>
  <c r="HJ42" i="24"/>
  <c r="HJ43" i="24"/>
  <c r="HJ44" i="24"/>
  <c r="HJ14" i="24"/>
  <c r="HH15" i="24"/>
  <c r="HH16" i="24"/>
  <c r="HH17" i="24"/>
  <c r="HH18" i="24"/>
  <c r="HH19" i="24"/>
  <c r="HH20" i="24"/>
  <c r="HH21" i="24"/>
  <c r="HH22" i="24"/>
  <c r="HH23" i="24"/>
  <c r="HH24" i="24"/>
  <c r="HH25" i="24"/>
  <c r="HH26" i="24"/>
  <c r="HH27" i="24"/>
  <c r="HH28" i="24"/>
  <c r="HH29" i="24"/>
  <c r="HH30" i="24"/>
  <c r="HH31" i="24"/>
  <c r="HH32" i="24"/>
  <c r="HH33" i="24"/>
  <c r="HH34" i="24"/>
  <c r="HH35" i="24"/>
  <c r="HH36" i="24"/>
  <c r="HH37" i="24"/>
  <c r="HH38" i="24"/>
  <c r="HH39" i="24"/>
  <c r="HH40" i="24"/>
  <c r="HH41" i="24"/>
  <c r="HH42" i="24"/>
  <c r="HH43" i="24"/>
  <c r="HH44" i="24"/>
  <c r="HH14" i="24"/>
  <c r="HF15" i="24"/>
  <c r="HF16" i="24"/>
  <c r="HF17" i="24"/>
  <c r="HF18" i="24"/>
  <c r="HF19" i="24"/>
  <c r="HF20" i="24"/>
  <c r="HF21" i="24"/>
  <c r="HF22" i="24"/>
  <c r="HF23" i="24"/>
  <c r="HF24" i="24"/>
  <c r="HF25" i="24"/>
  <c r="HF26" i="24"/>
  <c r="HF27" i="24"/>
  <c r="HF28" i="24"/>
  <c r="HF29" i="24"/>
  <c r="HF30" i="24"/>
  <c r="HF31" i="24"/>
  <c r="HF32" i="24"/>
  <c r="HF33" i="24"/>
  <c r="HF34" i="24"/>
  <c r="HF35" i="24"/>
  <c r="HF36" i="24"/>
  <c r="HF37" i="24"/>
  <c r="HF38" i="24"/>
  <c r="HF39" i="24"/>
  <c r="HF40" i="24"/>
  <c r="HF41" i="24"/>
  <c r="HF42" i="24"/>
  <c r="HF43" i="24"/>
  <c r="HF44" i="24"/>
  <c r="HF14" i="24"/>
  <c r="HP15" i="24"/>
  <c r="HP16" i="24"/>
  <c r="HP17" i="24"/>
  <c r="HP18" i="24"/>
  <c r="HP19" i="24"/>
  <c r="HP20" i="24"/>
  <c r="HP21" i="24"/>
  <c r="HP22" i="24"/>
  <c r="HP23" i="24"/>
  <c r="HP24" i="24"/>
  <c r="HP25" i="24"/>
  <c r="HP26" i="24"/>
  <c r="HP27" i="24"/>
  <c r="HP28" i="24"/>
  <c r="HP29" i="24"/>
  <c r="HP30" i="24"/>
  <c r="HP31" i="24"/>
  <c r="HP32" i="24"/>
  <c r="HP33" i="24"/>
  <c r="HP34" i="24"/>
  <c r="HP35" i="24"/>
  <c r="HP36" i="24"/>
  <c r="HP37" i="24"/>
  <c r="HP38" i="24"/>
  <c r="HP39" i="24"/>
  <c r="HP40" i="24"/>
  <c r="HP41" i="24"/>
  <c r="HP42" i="24"/>
  <c r="HP43" i="24"/>
  <c r="HP44" i="24"/>
  <c r="HP14" i="24"/>
  <c r="IR15" i="24"/>
  <c r="IR17" i="24"/>
  <c r="IR19" i="24"/>
  <c r="IR21" i="24"/>
  <c r="IR23" i="24"/>
  <c r="IR25" i="24"/>
  <c r="IR27" i="24"/>
  <c r="IR29" i="24"/>
  <c r="IR31" i="24"/>
  <c r="IR33" i="24"/>
  <c r="IR35" i="24"/>
  <c r="IR37" i="24"/>
  <c r="IR39" i="24"/>
  <c r="IR41" i="24"/>
  <c r="IR43" i="24"/>
  <c r="IR14" i="24"/>
  <c r="IR16" i="24"/>
  <c r="IR20" i="24"/>
  <c r="IR24" i="24"/>
  <c r="IR28" i="24"/>
  <c r="IR32" i="24"/>
  <c r="IR36" i="24"/>
  <c r="IR40" i="24"/>
  <c r="IR44" i="24"/>
  <c r="IR18" i="24"/>
  <c r="IR22" i="24"/>
  <c r="IR26" i="24"/>
  <c r="IR30" i="24"/>
  <c r="IR34" i="24"/>
  <c r="IR38" i="24"/>
  <c r="IR42" i="24"/>
  <c r="IP16" i="24"/>
  <c r="IP18" i="24"/>
  <c r="IP20" i="24"/>
  <c r="IP22" i="24"/>
  <c r="IP24" i="24"/>
  <c r="IP26" i="24"/>
  <c r="IP28" i="24"/>
  <c r="IP30" i="24"/>
  <c r="IP32" i="24"/>
  <c r="IP34" i="24"/>
  <c r="IP36" i="24"/>
  <c r="IP38" i="24"/>
  <c r="IP40" i="24"/>
  <c r="IP42" i="24"/>
  <c r="IP44" i="24"/>
  <c r="IP14" i="24"/>
  <c r="IP15" i="24"/>
  <c r="IP19" i="24"/>
  <c r="IP23" i="24"/>
  <c r="IP27" i="24"/>
  <c r="IP31" i="24"/>
  <c r="IP35" i="24"/>
  <c r="IP39" i="24"/>
  <c r="IP43" i="24"/>
  <c r="IP17" i="24"/>
  <c r="IP21" i="24"/>
  <c r="IP25" i="24"/>
  <c r="IP29" i="24"/>
  <c r="IP33" i="24"/>
  <c r="IP37" i="24"/>
  <c r="IP41" i="24"/>
  <c r="IN15" i="24"/>
  <c r="IN17" i="24"/>
  <c r="IN19" i="24"/>
  <c r="IN21" i="24"/>
  <c r="IN23" i="24"/>
  <c r="IN25" i="24"/>
  <c r="IN27" i="24"/>
  <c r="IN29" i="24"/>
  <c r="IN31" i="24"/>
  <c r="IN33" i="24"/>
  <c r="IN35" i="24"/>
  <c r="IN37" i="24"/>
  <c r="IN39" i="24"/>
  <c r="IN41" i="24"/>
  <c r="IN43" i="24"/>
  <c r="IN14" i="24"/>
  <c r="IN18" i="24"/>
  <c r="IN22" i="24"/>
  <c r="IN26" i="24"/>
  <c r="IN30" i="24"/>
  <c r="IN34" i="24"/>
  <c r="IN38" i="24"/>
  <c r="IN42" i="24"/>
  <c r="IN16" i="24"/>
  <c r="IN20" i="24"/>
  <c r="IN24" i="24"/>
  <c r="IN28" i="24"/>
  <c r="IN32" i="24"/>
  <c r="IN36" i="24"/>
  <c r="IN40" i="24"/>
  <c r="IN44" i="24"/>
  <c r="IL16" i="24"/>
  <c r="IL18" i="24"/>
  <c r="IL20" i="24"/>
  <c r="IL22" i="24"/>
  <c r="IL24" i="24"/>
  <c r="IL26" i="24"/>
  <c r="IL28" i="24"/>
  <c r="IL30" i="24"/>
  <c r="IL32" i="24"/>
  <c r="IL34" i="24"/>
  <c r="IL36" i="24"/>
  <c r="IL38" i="24"/>
  <c r="IL40" i="24"/>
  <c r="IL42" i="24"/>
  <c r="IL44" i="24"/>
  <c r="IL14" i="24"/>
  <c r="IL17" i="24"/>
  <c r="IL21" i="24"/>
  <c r="IL25" i="24"/>
  <c r="IL29" i="24"/>
  <c r="IL33" i="24"/>
  <c r="IL37" i="24"/>
  <c r="IL41" i="24"/>
  <c r="IL15" i="24"/>
  <c r="IL19" i="24"/>
  <c r="IL23" i="24"/>
  <c r="IL27" i="24"/>
  <c r="IL31" i="24"/>
  <c r="IL35" i="24"/>
  <c r="IL39" i="24"/>
  <c r="IL43" i="24"/>
  <c r="IJ15" i="24"/>
  <c r="IJ17" i="24"/>
  <c r="IJ19" i="24"/>
  <c r="IJ21" i="24"/>
  <c r="IJ23" i="24"/>
  <c r="IJ25" i="24"/>
  <c r="IJ27" i="24"/>
  <c r="IJ29" i="24"/>
  <c r="IJ31" i="24"/>
  <c r="IJ33" i="24"/>
  <c r="IJ35" i="24"/>
  <c r="IJ37" i="24"/>
  <c r="IJ39" i="24"/>
  <c r="IJ41" i="24"/>
  <c r="IJ43" i="24"/>
  <c r="IJ14" i="24"/>
  <c r="IJ16" i="24"/>
  <c r="IJ20" i="24"/>
  <c r="IJ24" i="24"/>
  <c r="IJ28" i="24"/>
  <c r="IJ32" i="24"/>
  <c r="IJ36" i="24"/>
  <c r="IJ40" i="24"/>
  <c r="IJ44" i="24"/>
  <c r="IJ18" i="24"/>
  <c r="IJ22" i="24"/>
  <c r="IJ26" i="24"/>
  <c r="IJ30" i="24"/>
  <c r="IJ34" i="24"/>
  <c r="IJ38" i="24"/>
  <c r="IJ42" i="24"/>
  <c r="IT16" i="24"/>
  <c r="IT18" i="24"/>
  <c r="IT20" i="24"/>
  <c r="IT22" i="24"/>
  <c r="IT24" i="24"/>
  <c r="IT26" i="24"/>
  <c r="IT28" i="24"/>
  <c r="IT30" i="24"/>
  <c r="IT32" i="24"/>
  <c r="IT34" i="24"/>
  <c r="IT36" i="24"/>
  <c r="IT38" i="24"/>
  <c r="IT40" i="24"/>
  <c r="IT42" i="24"/>
  <c r="IT44" i="24"/>
  <c r="IT14" i="24"/>
  <c r="IT17" i="24"/>
  <c r="IT21" i="24"/>
  <c r="IT25" i="24"/>
  <c r="IT29" i="24"/>
  <c r="IT33" i="24"/>
  <c r="IT37" i="24"/>
  <c r="IT41" i="24"/>
  <c r="IT15" i="24"/>
  <c r="IT19" i="24"/>
  <c r="IT23" i="24"/>
  <c r="IT27" i="24"/>
  <c r="IT31" i="24"/>
  <c r="IT35" i="24"/>
  <c r="IT39" i="24"/>
  <c r="IT43" i="24"/>
  <c r="JC14" i="24"/>
  <c r="JT15" i="24"/>
  <c r="JT16" i="24"/>
  <c r="JT17" i="24"/>
  <c r="JT18" i="24"/>
  <c r="JT19" i="24"/>
  <c r="JT20" i="24"/>
  <c r="JT21" i="24"/>
  <c r="JT22" i="24"/>
  <c r="JT23" i="24"/>
  <c r="JT24" i="24"/>
  <c r="JT25" i="24"/>
  <c r="JT26" i="24"/>
  <c r="JT27" i="24"/>
  <c r="JT28" i="24"/>
  <c r="JT29" i="24"/>
  <c r="JT30" i="24"/>
  <c r="JT31" i="24"/>
  <c r="JT32" i="24"/>
  <c r="JT33" i="24"/>
  <c r="JT34" i="24"/>
  <c r="JT35" i="24"/>
  <c r="JT36" i="24"/>
  <c r="JT37" i="24"/>
  <c r="JT38" i="24"/>
  <c r="JT39" i="24"/>
  <c r="JT40" i="24"/>
  <c r="JT41" i="24"/>
  <c r="JT42" i="24"/>
  <c r="JT43" i="24"/>
  <c r="JT44" i="24"/>
  <c r="JT14" i="24"/>
  <c r="JR15" i="24"/>
  <c r="JR16" i="24"/>
  <c r="JR17" i="24"/>
  <c r="JR18" i="24"/>
  <c r="JR19" i="24"/>
  <c r="JR20" i="24"/>
  <c r="JR21" i="24"/>
  <c r="JR22" i="24"/>
  <c r="JR23" i="24"/>
  <c r="JR24" i="24"/>
  <c r="JR25" i="24"/>
  <c r="JR26" i="24"/>
  <c r="JR27" i="24"/>
  <c r="JR28" i="24"/>
  <c r="JR29" i="24"/>
  <c r="JR30" i="24"/>
  <c r="JR31" i="24"/>
  <c r="JR32" i="24"/>
  <c r="JR33" i="24"/>
  <c r="JR34" i="24"/>
  <c r="JR35" i="24"/>
  <c r="JR36" i="24"/>
  <c r="JR37" i="24"/>
  <c r="JR38" i="24"/>
  <c r="JR39" i="24"/>
  <c r="JR40" i="24"/>
  <c r="JR41" i="24"/>
  <c r="JR42" i="24"/>
  <c r="JR43" i="24"/>
  <c r="JR44" i="24"/>
  <c r="JR14" i="24"/>
  <c r="JP15" i="24"/>
  <c r="JP16" i="24"/>
  <c r="JP17" i="24"/>
  <c r="JP18" i="24"/>
  <c r="JP19" i="24"/>
  <c r="JP20" i="24"/>
  <c r="JP21" i="24"/>
  <c r="JP22" i="24"/>
  <c r="JP23" i="24"/>
  <c r="JP24" i="24"/>
  <c r="JP25" i="24"/>
  <c r="JP26" i="24"/>
  <c r="JP27" i="24"/>
  <c r="JP28" i="24"/>
  <c r="JP29" i="24"/>
  <c r="JP30" i="24"/>
  <c r="JP31" i="24"/>
  <c r="JP32" i="24"/>
  <c r="JP33" i="24"/>
  <c r="JP34" i="24"/>
  <c r="JP35" i="24"/>
  <c r="JP36" i="24"/>
  <c r="JP37" i="24"/>
  <c r="JP38" i="24"/>
  <c r="JP39" i="24"/>
  <c r="JP40" i="24"/>
  <c r="JP41" i="24"/>
  <c r="JP42" i="24"/>
  <c r="JP43" i="24"/>
  <c r="JP44" i="24"/>
  <c r="JP14" i="24"/>
  <c r="JN15" i="24"/>
  <c r="JN16" i="24"/>
  <c r="JN17" i="24"/>
  <c r="JN18" i="24"/>
  <c r="JN19" i="24"/>
  <c r="JN20" i="24"/>
  <c r="JN21" i="24"/>
  <c r="JN22" i="24"/>
  <c r="JN23" i="24"/>
  <c r="JN24" i="24"/>
  <c r="JN25" i="24"/>
  <c r="JN26" i="24"/>
  <c r="JN27" i="24"/>
  <c r="JN28" i="24"/>
  <c r="JN29" i="24"/>
  <c r="JN30" i="24"/>
  <c r="JN31" i="24"/>
  <c r="JN32" i="24"/>
  <c r="JN33" i="24"/>
  <c r="JN34" i="24"/>
  <c r="JN35" i="24"/>
  <c r="JN36" i="24"/>
  <c r="JN37" i="24"/>
  <c r="JN38" i="24"/>
  <c r="JN39" i="24"/>
  <c r="JN40" i="24"/>
  <c r="JN41" i="24"/>
  <c r="JN42" i="24"/>
  <c r="JN43" i="24"/>
  <c r="JN44" i="24"/>
  <c r="JN14" i="24"/>
  <c r="JL15" i="24"/>
  <c r="JL16" i="24"/>
  <c r="JL17" i="24"/>
  <c r="JL18" i="24"/>
  <c r="JL19" i="24"/>
  <c r="JL20" i="24"/>
  <c r="JL21" i="24"/>
  <c r="JL22" i="24"/>
  <c r="JL23" i="24"/>
  <c r="JL24" i="24"/>
  <c r="JL25" i="24"/>
  <c r="JL26" i="24"/>
  <c r="JL27" i="24"/>
  <c r="JL28" i="24"/>
  <c r="JL29" i="24"/>
  <c r="JL30" i="24"/>
  <c r="JL31" i="24"/>
  <c r="JL32" i="24"/>
  <c r="JL33" i="24"/>
  <c r="JL34" i="24"/>
  <c r="JL35" i="24"/>
  <c r="JL36" i="24"/>
  <c r="JL37" i="24"/>
  <c r="JL38" i="24"/>
  <c r="JL39" i="24"/>
  <c r="JL40" i="24"/>
  <c r="JL41" i="24"/>
  <c r="JL42" i="24"/>
  <c r="JL43" i="24"/>
  <c r="JL44" i="24"/>
  <c r="JL14" i="24"/>
  <c r="JV15" i="24"/>
  <c r="JV16" i="24"/>
  <c r="JV17" i="24"/>
  <c r="JV18" i="24"/>
  <c r="JV19" i="24"/>
  <c r="JV20" i="24"/>
  <c r="JV21" i="24"/>
  <c r="JV22" i="24"/>
  <c r="JV23" i="24"/>
  <c r="JV24" i="24"/>
  <c r="JV25" i="24"/>
  <c r="JV26" i="24"/>
  <c r="JV27" i="24"/>
  <c r="JV28" i="24"/>
  <c r="JV29" i="24"/>
  <c r="JV30" i="24"/>
  <c r="JV31" i="24"/>
  <c r="JV32" i="24"/>
  <c r="JV33" i="24"/>
  <c r="JV34" i="24"/>
  <c r="JV35" i="24"/>
  <c r="JV36" i="24"/>
  <c r="JV37" i="24"/>
  <c r="JV38" i="24"/>
  <c r="JV39" i="24"/>
  <c r="JV40" i="24"/>
  <c r="JV41" i="24"/>
  <c r="JV42" i="24"/>
  <c r="JV43" i="24"/>
  <c r="JV44" i="24"/>
  <c r="JV14" i="24"/>
  <c r="KX14" i="24"/>
  <c r="KX15" i="24"/>
  <c r="KX17" i="24"/>
  <c r="KX19" i="24"/>
  <c r="KX21" i="24"/>
  <c r="KX23" i="24"/>
  <c r="KX25" i="24"/>
  <c r="KX27" i="24"/>
  <c r="KX29" i="24"/>
  <c r="KX31" i="24"/>
  <c r="KX33" i="24"/>
  <c r="KX35" i="24"/>
  <c r="KX37" i="24"/>
  <c r="KX39" i="24"/>
  <c r="KX41" i="24"/>
  <c r="KX43" i="24"/>
  <c r="KX18" i="24"/>
  <c r="KX22" i="24"/>
  <c r="KX26" i="24"/>
  <c r="KX30" i="24"/>
  <c r="KX34" i="24"/>
  <c r="KX38" i="24"/>
  <c r="KX42" i="24"/>
  <c r="KX16" i="24"/>
  <c r="KX20" i="24"/>
  <c r="KX24" i="24"/>
  <c r="KX28" i="24"/>
  <c r="KX32" i="24"/>
  <c r="KX36" i="24"/>
  <c r="KX40" i="24"/>
  <c r="KX44" i="24"/>
  <c r="KV14" i="24"/>
  <c r="KV16" i="24"/>
  <c r="KV18" i="24"/>
  <c r="KV20" i="24"/>
  <c r="KV22" i="24"/>
  <c r="KV24" i="24"/>
  <c r="KV26" i="24"/>
  <c r="KV28" i="24"/>
  <c r="KV30" i="24"/>
  <c r="KV32" i="24"/>
  <c r="KV34" i="24"/>
  <c r="KV36" i="24"/>
  <c r="KV38" i="24"/>
  <c r="KV40" i="24"/>
  <c r="KV42" i="24"/>
  <c r="KV44" i="24"/>
  <c r="KV17" i="24"/>
  <c r="KV21" i="24"/>
  <c r="KV25" i="24"/>
  <c r="KV29" i="24"/>
  <c r="KV33" i="24"/>
  <c r="KV37" i="24"/>
  <c r="KV41" i="24"/>
  <c r="KV15" i="24"/>
  <c r="KV19" i="24"/>
  <c r="KV23" i="24"/>
  <c r="KV27" i="24"/>
  <c r="KV31" i="24"/>
  <c r="KV35" i="24"/>
  <c r="KV39" i="24"/>
  <c r="KV43" i="24"/>
  <c r="KT14" i="24"/>
  <c r="KT15" i="24"/>
  <c r="KT17" i="24"/>
  <c r="KT19" i="24"/>
  <c r="KT21" i="24"/>
  <c r="KT23" i="24"/>
  <c r="KT25" i="24"/>
  <c r="KT27" i="24"/>
  <c r="KT29" i="24"/>
  <c r="KT31" i="24"/>
  <c r="KT33" i="24"/>
  <c r="KT35" i="24"/>
  <c r="KT37" i="24"/>
  <c r="KT39" i="24"/>
  <c r="KT41" i="24"/>
  <c r="KT43" i="24"/>
  <c r="KT16" i="24"/>
  <c r="KT20" i="24"/>
  <c r="KT24" i="24"/>
  <c r="KT28" i="24"/>
  <c r="KT32" i="24"/>
  <c r="KT36" i="24"/>
  <c r="KT40" i="24"/>
  <c r="KT44" i="24"/>
  <c r="KT18" i="24"/>
  <c r="KT22" i="24"/>
  <c r="KT26" i="24"/>
  <c r="KT30" i="24"/>
  <c r="KT34" i="24"/>
  <c r="KT38" i="24"/>
  <c r="KT42" i="24"/>
  <c r="KR14" i="24"/>
  <c r="KR16" i="24"/>
  <c r="KR18" i="24"/>
  <c r="KR20" i="24"/>
  <c r="KR22" i="24"/>
  <c r="KR24" i="24"/>
  <c r="KR26" i="24"/>
  <c r="KR28" i="24"/>
  <c r="KR30" i="24"/>
  <c r="KR32" i="24"/>
  <c r="KR34" i="24"/>
  <c r="KR36" i="24"/>
  <c r="KR38" i="24"/>
  <c r="KR40" i="24"/>
  <c r="KR42" i="24"/>
  <c r="KR44" i="24"/>
  <c r="KR15" i="24"/>
  <c r="KR19" i="24"/>
  <c r="KR23" i="24"/>
  <c r="KR27" i="24"/>
  <c r="KR31" i="24"/>
  <c r="KR35" i="24"/>
  <c r="KR39" i="24"/>
  <c r="KR43" i="24"/>
  <c r="KR17" i="24"/>
  <c r="KR21" i="24"/>
  <c r="KR25" i="24"/>
  <c r="KR29" i="24"/>
  <c r="KR33" i="24"/>
  <c r="KR37" i="24"/>
  <c r="KR41" i="24"/>
  <c r="KP14" i="24"/>
  <c r="KP15" i="24"/>
  <c r="KP17" i="24"/>
  <c r="KP19" i="24"/>
  <c r="KP21" i="24"/>
  <c r="KP23" i="24"/>
  <c r="KP25" i="24"/>
  <c r="KP27" i="24"/>
  <c r="KP29" i="24"/>
  <c r="KP31" i="24"/>
  <c r="KP33" i="24"/>
  <c r="KP35" i="24"/>
  <c r="KP37" i="24"/>
  <c r="KP39" i="24"/>
  <c r="KP41" i="24"/>
  <c r="KP43" i="24"/>
  <c r="KP18" i="24"/>
  <c r="KP22" i="24"/>
  <c r="KP26" i="24"/>
  <c r="KP30" i="24"/>
  <c r="KP34" i="24"/>
  <c r="KP38" i="24"/>
  <c r="KP42" i="24"/>
  <c r="KP16" i="24"/>
  <c r="KP20" i="24"/>
  <c r="KP24" i="24"/>
  <c r="KP28" i="24"/>
  <c r="KP32" i="24"/>
  <c r="KP36" i="24"/>
  <c r="KP40" i="24"/>
  <c r="KP44" i="24"/>
  <c r="KZ14" i="24"/>
  <c r="KZ16" i="24"/>
  <c r="KZ18" i="24"/>
  <c r="KZ20" i="24"/>
  <c r="KZ22" i="24"/>
  <c r="KZ24" i="24"/>
  <c r="KZ26" i="24"/>
  <c r="KZ28" i="24"/>
  <c r="KZ30" i="24"/>
  <c r="KZ32" i="24"/>
  <c r="KZ34" i="24"/>
  <c r="KZ36" i="24"/>
  <c r="KZ38" i="24"/>
  <c r="KZ40" i="24"/>
  <c r="KZ42" i="24"/>
  <c r="KZ44" i="24"/>
  <c r="KZ15" i="24"/>
  <c r="KZ19" i="24"/>
  <c r="KZ23" i="24"/>
  <c r="KZ27" i="24"/>
  <c r="KZ31" i="24"/>
  <c r="KZ35" i="24"/>
  <c r="KZ39" i="24"/>
  <c r="KZ43" i="24"/>
  <c r="KZ17" i="24"/>
  <c r="KZ21" i="24"/>
  <c r="KZ25" i="24"/>
  <c r="KZ29" i="24"/>
  <c r="KZ33" i="24"/>
  <c r="KZ37" i="24"/>
  <c r="KZ41" i="24"/>
  <c r="LI14" i="24"/>
  <c r="LZ15" i="24"/>
  <c r="LZ17" i="24"/>
  <c r="LZ19" i="24"/>
  <c r="LZ21" i="24"/>
  <c r="LZ23" i="24"/>
  <c r="LZ25" i="24"/>
  <c r="LZ27" i="24"/>
  <c r="LZ29" i="24"/>
  <c r="LZ31" i="24"/>
  <c r="LZ33" i="24"/>
  <c r="LZ35" i="24"/>
  <c r="LZ37" i="24"/>
  <c r="LZ39" i="24"/>
  <c r="LZ41" i="24"/>
  <c r="LZ18" i="24"/>
  <c r="LZ22" i="24"/>
  <c r="LZ26" i="24"/>
  <c r="LZ30" i="24"/>
  <c r="LZ34" i="24"/>
  <c r="LZ38" i="24"/>
  <c r="LZ42" i="24"/>
  <c r="LZ44" i="24"/>
  <c r="LZ14" i="24"/>
  <c r="LZ43" i="24"/>
  <c r="LZ16" i="24"/>
  <c r="LZ20" i="24"/>
  <c r="LZ24" i="24"/>
  <c r="LZ28" i="24"/>
  <c r="LZ32" i="24"/>
  <c r="LZ36" i="24"/>
  <c r="LZ40" i="24"/>
  <c r="LX16" i="24"/>
  <c r="LX18" i="24"/>
  <c r="LX20" i="24"/>
  <c r="LX22" i="24"/>
  <c r="LX24" i="24"/>
  <c r="LX26" i="24"/>
  <c r="LX28" i="24"/>
  <c r="LX30" i="24"/>
  <c r="LX32" i="24"/>
  <c r="LX34" i="24"/>
  <c r="LX36" i="24"/>
  <c r="LX38" i="24"/>
  <c r="LX40" i="24"/>
  <c r="LX17" i="24"/>
  <c r="LX21" i="24"/>
  <c r="LX25" i="24"/>
  <c r="LX29" i="24"/>
  <c r="LX33" i="24"/>
  <c r="LX37" i="24"/>
  <c r="LX41" i="24"/>
  <c r="LX43" i="24"/>
  <c r="LX15" i="24"/>
  <c r="LX19" i="24"/>
  <c r="LX23" i="24"/>
  <c r="LX27" i="24"/>
  <c r="LX31" i="24"/>
  <c r="LX35" i="24"/>
  <c r="LX39" i="24"/>
  <c r="LX42" i="24"/>
  <c r="LX44" i="24"/>
  <c r="LX14" i="24"/>
  <c r="LV15" i="24"/>
  <c r="LV17" i="24"/>
  <c r="LV19" i="24"/>
  <c r="LV21" i="24"/>
  <c r="LV23" i="24"/>
  <c r="LV25" i="24"/>
  <c r="LV27" i="24"/>
  <c r="LV29" i="24"/>
  <c r="LV31" i="24"/>
  <c r="LV33" i="24"/>
  <c r="LV35" i="24"/>
  <c r="LV37" i="24"/>
  <c r="LV39" i="24"/>
  <c r="LV41" i="24"/>
  <c r="LV16" i="24"/>
  <c r="LV20" i="24"/>
  <c r="LV24" i="24"/>
  <c r="LV28" i="24"/>
  <c r="LV32" i="24"/>
  <c r="LV36" i="24"/>
  <c r="LV40" i="24"/>
  <c r="LV42" i="24"/>
  <c r="LV44" i="24"/>
  <c r="LV14" i="24"/>
  <c r="LV18" i="24"/>
  <c r="LV22" i="24"/>
  <c r="LV26" i="24"/>
  <c r="LV30" i="24"/>
  <c r="LV34" i="24"/>
  <c r="LV38" i="24"/>
  <c r="LV43" i="24"/>
  <c r="LT16" i="24"/>
  <c r="LT18" i="24"/>
  <c r="LT20" i="24"/>
  <c r="LT22" i="24"/>
  <c r="LT24" i="24"/>
  <c r="LT26" i="24"/>
  <c r="LT28" i="24"/>
  <c r="LT30" i="24"/>
  <c r="LT32" i="24"/>
  <c r="LT34" i="24"/>
  <c r="LT36" i="24"/>
  <c r="LT38" i="24"/>
  <c r="LT40" i="24"/>
  <c r="LT15" i="24"/>
  <c r="LT19" i="24"/>
  <c r="LT23" i="24"/>
  <c r="LT27" i="24"/>
  <c r="LT31" i="24"/>
  <c r="LT35" i="24"/>
  <c r="LT39" i="24"/>
  <c r="LT43" i="24"/>
  <c r="LT17" i="24"/>
  <c r="LT21" i="24"/>
  <c r="LT25" i="24"/>
  <c r="LT29" i="24"/>
  <c r="LT33" i="24"/>
  <c r="LT37" i="24"/>
  <c r="LT41" i="24"/>
  <c r="LT42" i="24"/>
  <c r="LT44" i="24"/>
  <c r="LT14" i="24"/>
  <c r="LR15" i="24"/>
  <c r="LR17" i="24"/>
  <c r="LR19" i="24"/>
  <c r="LR21" i="24"/>
  <c r="LR23" i="24"/>
  <c r="LR25" i="24"/>
  <c r="LR27" i="24"/>
  <c r="LR29" i="24"/>
  <c r="LR31" i="24"/>
  <c r="LR33" i="24"/>
  <c r="LR35" i="24"/>
  <c r="LR37" i="24"/>
  <c r="LR39" i="24"/>
  <c r="LR41" i="24"/>
  <c r="LR18" i="24"/>
  <c r="LR22" i="24"/>
  <c r="LR26" i="24"/>
  <c r="LR30" i="24"/>
  <c r="LR34" i="24"/>
  <c r="LR38" i="24"/>
  <c r="LR42" i="24"/>
  <c r="LR44" i="24"/>
  <c r="LR14" i="24"/>
  <c r="LR16" i="24"/>
  <c r="LR20" i="24"/>
  <c r="LR24" i="24"/>
  <c r="LR28" i="24"/>
  <c r="LR32" i="24"/>
  <c r="LR36" i="24"/>
  <c r="LR40" i="24"/>
  <c r="LR43" i="24"/>
  <c r="MB16" i="24"/>
  <c r="MB18" i="24"/>
  <c r="MB20" i="24"/>
  <c r="MB22" i="24"/>
  <c r="MB24" i="24"/>
  <c r="MB26" i="24"/>
  <c r="MB28" i="24"/>
  <c r="MB30" i="24"/>
  <c r="MB32" i="24"/>
  <c r="MB34" i="24"/>
  <c r="MB36" i="24"/>
  <c r="MB38" i="24"/>
  <c r="MB40" i="24"/>
  <c r="MB15" i="24"/>
  <c r="MB19" i="24"/>
  <c r="MB23" i="24"/>
  <c r="MB27" i="24"/>
  <c r="MB31" i="24"/>
  <c r="MB35" i="24"/>
  <c r="MB39" i="24"/>
  <c r="MB43" i="24"/>
  <c r="MB42" i="24"/>
  <c r="MB44" i="24"/>
  <c r="MB14" i="24"/>
  <c r="MB17" i="24"/>
  <c r="MB21" i="24"/>
  <c r="MB25" i="24"/>
  <c r="MB29" i="24"/>
  <c r="MB33" i="24"/>
  <c r="MB37" i="24"/>
  <c r="MB41" i="24"/>
  <c r="ND15" i="24"/>
  <c r="ND16" i="24"/>
  <c r="ND17" i="24"/>
  <c r="ND18" i="24"/>
  <c r="ND19" i="24"/>
  <c r="ND20" i="24"/>
  <c r="ND21" i="24"/>
  <c r="ND22" i="24"/>
  <c r="ND23" i="24"/>
  <c r="ND24" i="24"/>
  <c r="ND25" i="24"/>
  <c r="ND26" i="24"/>
  <c r="ND28" i="24"/>
  <c r="ND30" i="24"/>
  <c r="ND32" i="24"/>
  <c r="ND34" i="24"/>
  <c r="ND36" i="24"/>
  <c r="ND38" i="24"/>
  <c r="ND40" i="24"/>
  <c r="ND42" i="24"/>
  <c r="ND44" i="24"/>
  <c r="ND14" i="24"/>
  <c r="ND27" i="24"/>
  <c r="ND31" i="24"/>
  <c r="ND35" i="24"/>
  <c r="ND39" i="24"/>
  <c r="ND43" i="24"/>
  <c r="ND33" i="24"/>
  <c r="ND41" i="24"/>
  <c r="ND29" i="24"/>
  <c r="ND37" i="24"/>
  <c r="NB15" i="24"/>
  <c r="NB16" i="24"/>
  <c r="NB17" i="24"/>
  <c r="NB18" i="24"/>
  <c r="NB19" i="24"/>
  <c r="NB20" i="24"/>
  <c r="NB21" i="24"/>
  <c r="NB22" i="24"/>
  <c r="NB23" i="24"/>
  <c r="NB24" i="24"/>
  <c r="NB25" i="24"/>
  <c r="NB27" i="24"/>
  <c r="NB29" i="24"/>
  <c r="NB31" i="24"/>
  <c r="NB33" i="24"/>
  <c r="NB35" i="24"/>
  <c r="NB37" i="24"/>
  <c r="NB39" i="24"/>
  <c r="NB41" i="24"/>
  <c r="NB43" i="24"/>
  <c r="NB26" i="24"/>
  <c r="NB30" i="24"/>
  <c r="NB34" i="24"/>
  <c r="NB38" i="24"/>
  <c r="NB42" i="24"/>
  <c r="NB28" i="24"/>
  <c r="NB36" i="24"/>
  <c r="NB44" i="24"/>
  <c r="NB14" i="24"/>
  <c r="NB32" i="24"/>
  <c r="NB40" i="24"/>
  <c r="MZ15" i="24"/>
  <c r="MZ16" i="24"/>
  <c r="MZ17" i="24"/>
  <c r="MZ18" i="24"/>
  <c r="MZ19" i="24"/>
  <c r="MZ20" i="24"/>
  <c r="MZ21" i="24"/>
  <c r="MZ22" i="24"/>
  <c r="MZ23" i="24"/>
  <c r="MZ24" i="24"/>
  <c r="MZ25" i="24"/>
  <c r="MZ26" i="24"/>
  <c r="MZ28" i="24"/>
  <c r="MZ30" i="24"/>
  <c r="MZ32" i="24"/>
  <c r="MZ34" i="24"/>
  <c r="MZ36" i="24"/>
  <c r="MZ38" i="24"/>
  <c r="MZ40" i="24"/>
  <c r="MZ42" i="24"/>
  <c r="MZ44" i="24"/>
  <c r="MZ14" i="24"/>
  <c r="MZ29" i="24"/>
  <c r="MZ33" i="24"/>
  <c r="MZ37" i="24"/>
  <c r="MZ41" i="24"/>
  <c r="MZ31" i="24"/>
  <c r="MZ39" i="24"/>
  <c r="MZ27" i="24"/>
  <c r="MZ35" i="24"/>
  <c r="MZ43" i="24"/>
  <c r="MX15" i="24"/>
  <c r="MX16" i="24"/>
  <c r="MX17" i="24"/>
  <c r="MX18" i="24"/>
  <c r="MX19" i="24"/>
  <c r="MX20" i="24"/>
  <c r="MX21" i="24"/>
  <c r="MX22" i="24"/>
  <c r="MX23" i="24"/>
  <c r="MX24" i="24"/>
  <c r="MX25" i="24"/>
  <c r="MX27" i="24"/>
  <c r="MX29" i="24"/>
  <c r="MX31" i="24"/>
  <c r="MX33" i="24"/>
  <c r="MX35" i="24"/>
  <c r="MX37" i="24"/>
  <c r="MX39" i="24"/>
  <c r="MX41" i="24"/>
  <c r="MX43" i="24"/>
  <c r="MX28" i="24"/>
  <c r="MX32" i="24"/>
  <c r="MX36" i="24"/>
  <c r="MX40" i="24"/>
  <c r="MX44" i="24"/>
  <c r="MX14" i="24"/>
  <c r="MX26" i="24"/>
  <c r="MX34" i="24"/>
  <c r="MX42" i="24"/>
  <c r="MX30" i="24"/>
  <c r="MX38" i="24"/>
  <c r="MV15" i="24"/>
  <c r="MV16" i="24"/>
  <c r="MV17" i="24"/>
  <c r="MV18" i="24"/>
  <c r="MV19" i="24"/>
  <c r="MV20" i="24"/>
  <c r="MV21" i="24"/>
  <c r="MV22" i="24"/>
  <c r="MV23" i="24"/>
  <c r="MV24" i="24"/>
  <c r="MV25" i="24"/>
  <c r="MV26" i="24"/>
  <c r="MV28" i="24"/>
  <c r="MV30" i="24"/>
  <c r="MV32" i="24"/>
  <c r="MV34" i="24"/>
  <c r="MV36" i="24"/>
  <c r="MV38" i="24"/>
  <c r="MV40" i="24"/>
  <c r="MV42" i="24"/>
  <c r="MV44" i="24"/>
  <c r="MV14" i="24"/>
  <c r="MV27" i="24"/>
  <c r="MV31" i="24"/>
  <c r="MV35" i="24"/>
  <c r="MV39" i="24"/>
  <c r="MV43" i="24"/>
  <c r="MV29" i="24"/>
  <c r="MV37" i="24"/>
  <c r="MV33" i="24"/>
  <c r="MV41" i="24"/>
  <c r="NF15" i="24"/>
  <c r="NF16" i="24"/>
  <c r="NF17" i="24"/>
  <c r="NF18" i="24"/>
  <c r="NF19" i="24"/>
  <c r="NF20" i="24"/>
  <c r="NF21" i="24"/>
  <c r="NF22" i="24"/>
  <c r="NF23" i="24"/>
  <c r="NF24" i="24"/>
  <c r="NF25" i="24"/>
  <c r="NF27" i="24"/>
  <c r="NF29" i="24"/>
  <c r="NF31" i="24"/>
  <c r="NF33" i="24"/>
  <c r="NF35" i="24"/>
  <c r="NF37" i="24"/>
  <c r="NF39" i="24"/>
  <c r="NF41" i="24"/>
  <c r="NF43" i="24"/>
  <c r="NF28" i="24"/>
  <c r="NF32" i="24"/>
  <c r="NF36" i="24"/>
  <c r="NF40" i="24"/>
  <c r="NF44" i="24"/>
  <c r="NF14" i="24"/>
  <c r="NF30" i="24"/>
  <c r="NF38" i="24"/>
  <c r="NF26" i="24"/>
  <c r="NF34" i="24"/>
  <c r="NF42" i="24"/>
  <c r="NO14" i="24"/>
  <c r="OF15" i="24"/>
  <c r="OF17" i="24"/>
  <c r="OF19" i="24"/>
  <c r="OF21" i="24"/>
  <c r="OF22" i="24"/>
  <c r="OF23" i="24"/>
  <c r="OF24" i="24"/>
  <c r="OF25" i="24"/>
  <c r="OF26" i="24"/>
  <c r="OF27" i="24"/>
  <c r="OF28" i="24"/>
  <c r="OF29" i="24"/>
  <c r="OF30" i="24"/>
  <c r="OF31" i="24"/>
  <c r="OF32" i="24"/>
  <c r="OF33" i="24"/>
  <c r="OF18" i="24"/>
  <c r="OF34" i="24"/>
  <c r="OF35" i="24"/>
  <c r="OF36" i="24"/>
  <c r="OF37" i="24"/>
  <c r="OF38" i="24"/>
  <c r="OF39" i="24"/>
  <c r="OF40" i="24"/>
  <c r="OF41" i="24"/>
  <c r="OF42" i="24"/>
  <c r="OF43" i="24"/>
  <c r="OF44" i="24"/>
  <c r="OF14" i="24"/>
  <c r="OF16" i="24"/>
  <c r="OF20" i="24"/>
  <c r="OD16" i="24"/>
  <c r="OD18" i="24"/>
  <c r="OD20" i="24"/>
  <c r="OD22" i="24"/>
  <c r="OD23" i="24"/>
  <c r="OD24" i="24"/>
  <c r="OD25" i="24"/>
  <c r="OD26" i="24"/>
  <c r="OD27" i="24"/>
  <c r="OD28" i="24"/>
  <c r="OD29" i="24"/>
  <c r="OD30" i="24"/>
  <c r="OD31" i="24"/>
  <c r="OD32" i="24"/>
  <c r="OD33" i="24"/>
  <c r="OD17" i="24"/>
  <c r="OD21" i="24"/>
  <c r="OD34" i="24"/>
  <c r="OD35" i="24"/>
  <c r="OD36" i="24"/>
  <c r="OD37" i="24"/>
  <c r="OD38" i="24"/>
  <c r="OD39" i="24"/>
  <c r="OD40" i="24"/>
  <c r="OD41" i="24"/>
  <c r="OD42" i="24"/>
  <c r="OD43" i="24"/>
  <c r="OD44" i="24"/>
  <c r="OD14" i="24"/>
  <c r="OD19" i="24"/>
  <c r="OD15" i="24"/>
  <c r="OB15" i="24"/>
  <c r="OB17" i="24"/>
  <c r="OB19" i="24"/>
  <c r="OB21" i="24"/>
  <c r="OB23" i="24"/>
  <c r="OB24" i="24"/>
  <c r="OB25" i="24"/>
  <c r="OB26" i="24"/>
  <c r="OB27" i="24"/>
  <c r="OB28" i="24"/>
  <c r="OB29" i="24"/>
  <c r="OB30" i="24"/>
  <c r="OB31" i="24"/>
  <c r="OB32" i="24"/>
  <c r="OB33" i="24"/>
  <c r="OB16" i="24"/>
  <c r="OB20" i="24"/>
  <c r="OB34" i="24"/>
  <c r="OB35" i="24"/>
  <c r="OB36" i="24"/>
  <c r="OB37" i="24"/>
  <c r="OB38" i="24"/>
  <c r="OB39" i="24"/>
  <c r="OB40" i="24"/>
  <c r="OB41" i="24"/>
  <c r="OB42" i="24"/>
  <c r="OB43" i="24"/>
  <c r="OB44" i="24"/>
  <c r="OB14" i="24"/>
  <c r="OB22" i="24"/>
  <c r="OB18" i="24"/>
  <c r="NZ16" i="24"/>
  <c r="NZ18" i="24"/>
  <c r="NZ20" i="24"/>
  <c r="NZ22" i="24"/>
  <c r="NZ23" i="24"/>
  <c r="NZ24" i="24"/>
  <c r="NZ25" i="24"/>
  <c r="NZ26" i="24"/>
  <c r="NZ27" i="24"/>
  <c r="NZ28" i="24"/>
  <c r="NZ29" i="24"/>
  <c r="NZ30" i="24"/>
  <c r="NZ31" i="24"/>
  <c r="NZ32" i="24"/>
  <c r="NZ33" i="24"/>
  <c r="NZ15" i="24"/>
  <c r="NZ19" i="24"/>
  <c r="NZ34" i="24"/>
  <c r="NZ35" i="24"/>
  <c r="NZ36" i="24"/>
  <c r="NZ37" i="24"/>
  <c r="NZ38" i="24"/>
  <c r="NZ39" i="24"/>
  <c r="NZ40" i="24"/>
  <c r="NZ41" i="24"/>
  <c r="NZ42" i="24"/>
  <c r="NZ43" i="24"/>
  <c r="NZ44" i="24"/>
  <c r="NZ14" i="24"/>
  <c r="NZ17" i="24"/>
  <c r="NZ21" i="24"/>
  <c r="NX15" i="24"/>
  <c r="NX17" i="24"/>
  <c r="NX19" i="24"/>
  <c r="NX21" i="24"/>
  <c r="NX23" i="24"/>
  <c r="NX24" i="24"/>
  <c r="NX25" i="24"/>
  <c r="NX26" i="24"/>
  <c r="NX27" i="24"/>
  <c r="NX28" i="24"/>
  <c r="NX29" i="24"/>
  <c r="NX30" i="24"/>
  <c r="NX31" i="24"/>
  <c r="NX32" i="24"/>
  <c r="NX33" i="24"/>
  <c r="NX18" i="24"/>
  <c r="NX22" i="24"/>
  <c r="NX34" i="24"/>
  <c r="NX35" i="24"/>
  <c r="NX36" i="24"/>
  <c r="NX37" i="24"/>
  <c r="NX38" i="24"/>
  <c r="NX39" i="24"/>
  <c r="NX40" i="24"/>
  <c r="NX41" i="24"/>
  <c r="NX42" i="24"/>
  <c r="NX43" i="24"/>
  <c r="NX44" i="24"/>
  <c r="NX14" i="24"/>
  <c r="NX20" i="24"/>
  <c r="NX16" i="24"/>
  <c r="OH16" i="24"/>
  <c r="OH18" i="24"/>
  <c r="OH20" i="24"/>
  <c r="OH22" i="24"/>
  <c r="OH23" i="24"/>
  <c r="OH24" i="24"/>
  <c r="OH25" i="24"/>
  <c r="OH26" i="24"/>
  <c r="OH27" i="24"/>
  <c r="OH28" i="24"/>
  <c r="OH29" i="24"/>
  <c r="OH30" i="24"/>
  <c r="OH31" i="24"/>
  <c r="OH32" i="24"/>
  <c r="OH33" i="24"/>
  <c r="OH15" i="24"/>
  <c r="OH19" i="24"/>
  <c r="OH34" i="24"/>
  <c r="OH35" i="24"/>
  <c r="OH36" i="24"/>
  <c r="OH37" i="24"/>
  <c r="OH38" i="24"/>
  <c r="OH39" i="24"/>
  <c r="OH40" i="24"/>
  <c r="OH41" i="24"/>
  <c r="OH42" i="24"/>
  <c r="OH43" i="24"/>
  <c r="OH44" i="24"/>
  <c r="OH14" i="24"/>
  <c r="OH21" i="24"/>
  <c r="OH17" i="24"/>
  <c r="NI14" i="24"/>
  <c r="NI15" i="24" s="1"/>
  <c r="MF14" i="24"/>
  <c r="MF15" i="24" s="1"/>
  <c r="LC14" i="24"/>
  <c r="LC15" i="24" s="1"/>
  <c r="JZ14" i="24"/>
  <c r="JZ15" i="24" s="1"/>
  <c r="IW14" i="24"/>
  <c r="IW15" i="24" s="1"/>
  <c r="HT14" i="24"/>
  <c r="HT15" i="24" s="1"/>
  <c r="GQ14" i="24"/>
  <c r="GQ15" i="24" s="1"/>
  <c r="FN14" i="24"/>
  <c r="FN15" i="24" s="1"/>
  <c r="EK14" i="24"/>
  <c r="EK15" i="24" s="1"/>
  <c r="DH14" i="24"/>
  <c r="DH15" i="24" s="1"/>
  <c r="CE14" i="24"/>
  <c r="CE15" i="24" s="1"/>
  <c r="BB14" i="24"/>
  <c r="BB15" i="24" s="1"/>
  <c r="G34" i="27" l="1"/>
  <c r="K34" i="27"/>
  <c r="T34" i="27" s="1"/>
  <c r="F16" i="27"/>
  <c r="H16" i="27" s="1"/>
  <c r="H18" i="31"/>
  <c r="ER45" i="24"/>
  <c r="ES45" i="24"/>
  <c r="O125" i="44"/>
  <c r="EQ45" i="24"/>
  <c r="BI70" i="24" s="1"/>
  <c r="J9" i="31" s="1"/>
  <c r="ET45" i="24"/>
  <c r="EX45" i="24"/>
  <c r="DH120" i="24"/>
  <c r="DI119" i="24"/>
  <c r="EK120" i="24"/>
  <c r="EL119" i="24"/>
  <c r="GQ120" i="24"/>
  <c r="GR119" i="24"/>
  <c r="HT120" i="24"/>
  <c r="HU119" i="24"/>
  <c r="IW120" i="24"/>
  <c r="IX119" i="24"/>
  <c r="LC120" i="24"/>
  <c r="LD119" i="24"/>
  <c r="NI120" i="24"/>
  <c r="NJ119" i="24"/>
  <c r="BB120" i="24"/>
  <c r="BC119" i="24"/>
  <c r="CE120" i="24"/>
  <c r="CF119" i="24"/>
  <c r="FN120" i="24"/>
  <c r="FO119" i="24"/>
  <c r="MF120" i="24"/>
  <c r="MG119" i="24"/>
  <c r="JZ120" i="24"/>
  <c r="KA119" i="24"/>
  <c r="C35" i="27"/>
  <c r="D34" i="27"/>
  <c r="C30" i="18"/>
  <c r="D29" i="18"/>
  <c r="EU45" i="24"/>
  <c r="EW45" i="24"/>
  <c r="IG45" i="24"/>
  <c r="L42" i="17" s="1"/>
  <c r="KS45" i="24"/>
  <c r="R52" i="17" s="1"/>
  <c r="FU45" i="24"/>
  <c r="F32" i="17" s="1"/>
  <c r="LQ45" i="24"/>
  <c r="M57" i="17" s="1"/>
  <c r="JU45" i="24"/>
  <c r="N13" i="31" s="1"/>
  <c r="N47" i="31" s="1"/>
  <c r="GK45" i="24"/>
  <c r="V32" i="17" s="1"/>
  <c r="DA45" i="24"/>
  <c r="U17" i="17" s="1"/>
  <c r="OC45" i="24"/>
  <c r="S67" i="17" s="1"/>
  <c r="NE45" i="24"/>
  <c r="O16" i="31" s="1"/>
  <c r="O50" i="31" s="1"/>
  <c r="MO45" i="24"/>
  <c r="H62" i="17" s="1"/>
  <c r="JE45" i="24"/>
  <c r="G47" i="17" s="1"/>
  <c r="HI45" i="24"/>
  <c r="Q37" i="17" s="1"/>
  <c r="DY45" i="24"/>
  <c r="P22" i="17" s="1"/>
  <c r="BM45" i="24"/>
  <c r="J12" i="17" s="1"/>
  <c r="LI45" i="24"/>
  <c r="NU45" i="24"/>
  <c r="K67" i="17" s="1"/>
  <c r="MW45" i="24"/>
  <c r="P62" i="17" s="1"/>
  <c r="LY45" i="24"/>
  <c r="U57" i="17" s="1"/>
  <c r="KK45" i="24"/>
  <c r="J52" i="17" s="1"/>
  <c r="JM45" i="24"/>
  <c r="O47" i="17" s="1"/>
  <c r="IO45" i="24"/>
  <c r="T42" i="17" s="1"/>
  <c r="HQ45" i="24"/>
  <c r="P11" i="31" s="1"/>
  <c r="P45" i="31" s="1"/>
  <c r="HA45" i="24"/>
  <c r="I37" i="17" s="1"/>
  <c r="GC45" i="24"/>
  <c r="N32" i="17" s="1"/>
  <c r="FE45" i="24"/>
  <c r="S27" i="17" s="1"/>
  <c r="EG45" i="24"/>
  <c r="O8" i="31" s="1"/>
  <c r="O42" i="31" s="1"/>
  <c r="DQ45" i="24"/>
  <c r="H22" i="17" s="1"/>
  <c r="CS45" i="24"/>
  <c r="M17" i="17" s="1"/>
  <c r="NP45" i="24"/>
  <c r="F67" i="17" s="1"/>
  <c r="OF45" i="24"/>
  <c r="V67" i="17" s="1"/>
  <c r="NO45" i="24"/>
  <c r="JV45" i="24"/>
  <c r="O13" i="31" s="1"/>
  <c r="O47" i="31" s="1"/>
  <c r="JF45" i="24"/>
  <c r="H47" i="17" s="1"/>
  <c r="JJ45" i="24"/>
  <c r="L47" i="17" s="1"/>
  <c r="JN45" i="24"/>
  <c r="P47" i="17" s="1"/>
  <c r="JR45" i="24"/>
  <c r="T47" i="17" s="1"/>
  <c r="GX45" i="24"/>
  <c r="F37" i="17" s="1"/>
  <c r="HB45" i="24"/>
  <c r="J37" i="17" s="1"/>
  <c r="HF45" i="24"/>
  <c r="N37" i="17" s="1"/>
  <c r="HJ45" i="24"/>
  <c r="R37" i="17" s="1"/>
  <c r="HN45" i="24"/>
  <c r="V37" i="17" s="1"/>
  <c r="DP45" i="24"/>
  <c r="G22" i="17" s="1"/>
  <c r="DT45" i="24"/>
  <c r="K22" i="17" s="1"/>
  <c r="DX45" i="24"/>
  <c r="O22" i="17" s="1"/>
  <c r="EB45" i="24"/>
  <c r="S22" i="17" s="1"/>
  <c r="EF45" i="24"/>
  <c r="N8" i="31" s="1"/>
  <c r="N42" i="31" s="1"/>
  <c r="CK45" i="24"/>
  <c r="BU45" i="24"/>
  <c r="R12" i="17" s="1"/>
  <c r="BY45" i="24"/>
  <c r="V12" i="17" s="1"/>
  <c r="NQ45" i="24"/>
  <c r="G67" i="17" s="1"/>
  <c r="NY45" i="24"/>
  <c r="O67" i="17" s="1"/>
  <c r="OG45" i="24"/>
  <c r="N17" i="31" s="1"/>
  <c r="N51" i="31" s="1"/>
  <c r="MS45" i="24"/>
  <c r="L62" i="17" s="1"/>
  <c r="MU45" i="24"/>
  <c r="N62" i="17" s="1"/>
  <c r="NA45" i="24"/>
  <c r="T62" i="17" s="1"/>
  <c r="MC45" i="24"/>
  <c r="P15" i="31" s="1"/>
  <c r="P49" i="31" s="1"/>
  <c r="LK45" i="24"/>
  <c r="G57" i="17" s="1"/>
  <c r="LM45" i="24"/>
  <c r="I57" i="17" s="1"/>
  <c r="LO45" i="24"/>
  <c r="K57" i="17" s="1"/>
  <c r="LS45" i="24"/>
  <c r="O57" i="17" s="1"/>
  <c r="LU45" i="24"/>
  <c r="Q57" i="17" s="1"/>
  <c r="LW45" i="24"/>
  <c r="S57" i="17" s="1"/>
  <c r="MA45" i="24"/>
  <c r="N15" i="31" s="1"/>
  <c r="N49" i="31" s="1"/>
  <c r="KG45" i="24"/>
  <c r="F52" i="17" s="1"/>
  <c r="KO45" i="24"/>
  <c r="N52" i="17" s="1"/>
  <c r="KW45" i="24"/>
  <c r="V52" i="17" s="1"/>
  <c r="JI45" i="24"/>
  <c r="K47" i="17" s="1"/>
  <c r="JQ45" i="24"/>
  <c r="S47" i="17" s="1"/>
  <c r="IS45" i="24"/>
  <c r="O12" i="31" s="1"/>
  <c r="O46" i="31" s="1"/>
  <c r="IC45" i="24"/>
  <c r="H42" i="17" s="1"/>
  <c r="IK45" i="24"/>
  <c r="P42" i="17" s="1"/>
  <c r="HE45" i="24"/>
  <c r="M37" i="17" s="1"/>
  <c r="HM45" i="24"/>
  <c r="U37" i="17" s="1"/>
  <c r="FY45" i="24"/>
  <c r="J32" i="17" s="1"/>
  <c r="GG45" i="24"/>
  <c r="R32" i="17" s="1"/>
  <c r="FK45" i="24"/>
  <c r="P9" i="31" s="1"/>
  <c r="P43" i="31" s="1"/>
  <c r="FA45" i="24"/>
  <c r="O27" i="17" s="1"/>
  <c r="FC45" i="24"/>
  <c r="Q27" i="17" s="1"/>
  <c r="FG45" i="24"/>
  <c r="U27" i="17" s="1"/>
  <c r="FI45" i="24"/>
  <c r="N9" i="31" s="1"/>
  <c r="N43" i="31" s="1"/>
  <c r="DU45" i="24"/>
  <c r="L22" i="17" s="1"/>
  <c r="EC45" i="24"/>
  <c r="T22" i="17" s="1"/>
  <c r="DN45" i="24"/>
  <c r="DE45" i="24"/>
  <c r="CM45" i="24"/>
  <c r="G17" i="17" s="1"/>
  <c r="CO45" i="24"/>
  <c r="I17" i="17" s="1"/>
  <c r="CQ45" i="24"/>
  <c r="K17" i="17" s="1"/>
  <c r="CU45" i="24"/>
  <c r="O17" i="17" s="1"/>
  <c r="CW45" i="24"/>
  <c r="Q17" i="17" s="1"/>
  <c r="CY45" i="24"/>
  <c r="S17" i="17" s="1"/>
  <c r="DC45" i="24"/>
  <c r="N7" i="31" s="1"/>
  <c r="N41" i="31" s="1"/>
  <c r="CB45" i="24"/>
  <c r="P6" i="31" s="1"/>
  <c r="P40" i="31" s="1"/>
  <c r="BL45" i="24"/>
  <c r="I12" i="17" s="1"/>
  <c r="BP45" i="24"/>
  <c r="M12" i="17" s="1"/>
  <c r="BT45" i="24"/>
  <c r="Q12" i="17" s="1"/>
  <c r="BX45" i="24"/>
  <c r="U12" i="17" s="1"/>
  <c r="GW45" i="24"/>
  <c r="CA45" i="24"/>
  <c r="BK45" i="24"/>
  <c r="H12" i="17" s="1"/>
  <c r="BO45" i="24"/>
  <c r="L12" i="17" s="1"/>
  <c r="BQ45" i="24"/>
  <c r="N12" i="17" s="1"/>
  <c r="BS45" i="24"/>
  <c r="P12" i="17" s="1"/>
  <c r="BW45" i="24"/>
  <c r="T12" i="17" s="1"/>
  <c r="OI45" i="24"/>
  <c r="P17" i="31" s="1"/>
  <c r="P51" i="31" s="1"/>
  <c r="NS45" i="24"/>
  <c r="I67" i="17" s="1"/>
  <c r="NW45" i="24"/>
  <c r="M67" i="17" s="1"/>
  <c r="OA45" i="24"/>
  <c r="Q67" i="17" s="1"/>
  <c r="OE45" i="24"/>
  <c r="U67" i="17" s="1"/>
  <c r="MM45" i="24"/>
  <c r="F62" i="17" s="1"/>
  <c r="MQ45" i="24"/>
  <c r="J62" i="17" s="1"/>
  <c r="MY45" i="24"/>
  <c r="R62" i="17" s="1"/>
  <c r="NC45" i="24"/>
  <c r="V62" i="17" s="1"/>
  <c r="KY45" i="24"/>
  <c r="O14" i="31" s="1"/>
  <c r="O48" i="31" s="1"/>
  <c r="KI45" i="24"/>
  <c r="H52" i="17" s="1"/>
  <c r="KM45" i="24"/>
  <c r="L52" i="17" s="1"/>
  <c r="KQ45" i="24"/>
  <c r="P52" i="17" s="1"/>
  <c r="KU45" i="24"/>
  <c r="T52" i="17" s="1"/>
  <c r="JW45" i="24"/>
  <c r="P13" i="31" s="1"/>
  <c r="P47" i="31" s="1"/>
  <c r="JG45" i="24"/>
  <c r="I47" i="17" s="1"/>
  <c r="JK45" i="24"/>
  <c r="M47" i="17" s="1"/>
  <c r="JO45" i="24"/>
  <c r="Q47" i="17" s="1"/>
  <c r="JS45" i="24"/>
  <c r="U47" i="17" s="1"/>
  <c r="IA45" i="24"/>
  <c r="F42" i="17" s="1"/>
  <c r="IE45" i="24"/>
  <c r="J42" i="17" s="1"/>
  <c r="II45" i="24"/>
  <c r="N42" i="17" s="1"/>
  <c r="IM45" i="24"/>
  <c r="R42" i="17" s="1"/>
  <c r="IQ45" i="24"/>
  <c r="V42" i="17" s="1"/>
  <c r="GY45" i="24"/>
  <c r="G37" i="17" s="1"/>
  <c r="HC45" i="24"/>
  <c r="K37" i="17" s="1"/>
  <c r="HG45" i="24"/>
  <c r="O37" i="17" s="1"/>
  <c r="HK45" i="24"/>
  <c r="S37" i="17" s="1"/>
  <c r="HO45" i="24"/>
  <c r="N11" i="31" s="1"/>
  <c r="N45" i="31" s="1"/>
  <c r="GM45" i="24"/>
  <c r="O10" i="31" s="1"/>
  <c r="O44" i="31" s="1"/>
  <c r="FW45" i="24"/>
  <c r="H32" i="17" s="1"/>
  <c r="GA45" i="24"/>
  <c r="L32" i="17" s="1"/>
  <c r="GE45" i="24"/>
  <c r="P32" i="17" s="1"/>
  <c r="GI45" i="24"/>
  <c r="T32" i="17" s="1"/>
  <c r="DO45" i="24"/>
  <c r="F22" i="17" s="1"/>
  <c r="DS45" i="24"/>
  <c r="J22" i="17" s="1"/>
  <c r="DW45" i="24"/>
  <c r="N22" i="17" s="1"/>
  <c r="EA45" i="24"/>
  <c r="R22" i="17" s="1"/>
  <c r="EE45" i="24"/>
  <c r="V22" i="17" s="1"/>
  <c r="OH45" i="24"/>
  <c r="O17" i="31" s="1"/>
  <c r="O51" i="31" s="1"/>
  <c r="NR45" i="24"/>
  <c r="H67" i="17" s="1"/>
  <c r="NT45" i="24"/>
  <c r="J67" i="17" s="1"/>
  <c r="NV45" i="24"/>
  <c r="L67" i="17" s="1"/>
  <c r="NX45" i="24"/>
  <c r="N67" i="17" s="1"/>
  <c r="NZ45" i="24"/>
  <c r="P67" i="17" s="1"/>
  <c r="OB45" i="24"/>
  <c r="R67" i="17" s="1"/>
  <c r="OD45" i="24"/>
  <c r="T67" i="17" s="1"/>
  <c r="NF45" i="24"/>
  <c r="P16" i="31" s="1"/>
  <c r="P50" i="31" s="1"/>
  <c r="MN45" i="24"/>
  <c r="G62" i="17" s="1"/>
  <c r="MP45" i="24"/>
  <c r="I62" i="17" s="1"/>
  <c r="MR45" i="24"/>
  <c r="K62" i="17" s="1"/>
  <c r="MT45" i="24"/>
  <c r="M62" i="17" s="1"/>
  <c r="MV45" i="24"/>
  <c r="O62" i="17" s="1"/>
  <c r="MX45" i="24"/>
  <c r="Q62" i="17" s="1"/>
  <c r="MZ45" i="24"/>
  <c r="S62" i="17" s="1"/>
  <c r="NB45" i="24"/>
  <c r="U62" i="17" s="1"/>
  <c r="ND45" i="24"/>
  <c r="N16" i="31" s="1"/>
  <c r="N50" i="31" s="1"/>
  <c r="MB45" i="24"/>
  <c r="O15" i="31" s="1"/>
  <c r="O49" i="31" s="1"/>
  <c r="LJ45" i="24"/>
  <c r="F57" i="17" s="1"/>
  <c r="LL45" i="24"/>
  <c r="H57" i="17" s="1"/>
  <c r="LN45" i="24"/>
  <c r="J57" i="17" s="1"/>
  <c r="LP45" i="24"/>
  <c r="L57" i="17" s="1"/>
  <c r="LR45" i="24"/>
  <c r="N57" i="17" s="1"/>
  <c r="LT45" i="24"/>
  <c r="P57" i="17" s="1"/>
  <c r="LV45" i="24"/>
  <c r="R57" i="17" s="1"/>
  <c r="LX45" i="24"/>
  <c r="T57" i="17" s="1"/>
  <c r="LZ45" i="24"/>
  <c r="V57" i="17" s="1"/>
  <c r="KZ45" i="24"/>
  <c r="P14" i="31" s="1"/>
  <c r="P48" i="31" s="1"/>
  <c r="KH45" i="24"/>
  <c r="G52" i="17" s="1"/>
  <c r="KJ45" i="24"/>
  <c r="I52" i="17" s="1"/>
  <c r="KL45" i="24"/>
  <c r="K52" i="17" s="1"/>
  <c r="KN45" i="24"/>
  <c r="M52" i="17" s="1"/>
  <c r="KP45" i="24"/>
  <c r="O52" i="17" s="1"/>
  <c r="KR45" i="24"/>
  <c r="Q52" i="17" s="1"/>
  <c r="KT45" i="24"/>
  <c r="S52" i="17" s="1"/>
  <c r="KV45" i="24"/>
  <c r="U52" i="17" s="1"/>
  <c r="KX45" i="24"/>
  <c r="N14" i="31" s="1"/>
  <c r="N48" i="31" s="1"/>
  <c r="JD45" i="24"/>
  <c r="F47" i="17" s="1"/>
  <c r="JH45" i="24"/>
  <c r="J47" i="17" s="1"/>
  <c r="JL45" i="24"/>
  <c r="N47" i="17" s="1"/>
  <c r="JP45" i="24"/>
  <c r="R47" i="17" s="1"/>
  <c r="JT45" i="24"/>
  <c r="V47" i="17" s="1"/>
  <c r="JC45" i="24"/>
  <c r="IT45" i="24"/>
  <c r="P12" i="31" s="1"/>
  <c r="P46" i="31" s="1"/>
  <c r="IB45" i="24"/>
  <c r="G42" i="17" s="1"/>
  <c r="ID45" i="24"/>
  <c r="I42" i="17" s="1"/>
  <c r="IF45" i="24"/>
  <c r="K42" i="17" s="1"/>
  <c r="IH45" i="24"/>
  <c r="M42" i="17" s="1"/>
  <c r="IJ45" i="24"/>
  <c r="O42" i="17" s="1"/>
  <c r="IL45" i="24"/>
  <c r="Q42" i="17" s="1"/>
  <c r="IN45" i="24"/>
  <c r="S42" i="17" s="1"/>
  <c r="IP45" i="24"/>
  <c r="U42" i="17" s="1"/>
  <c r="IR45" i="24"/>
  <c r="N12" i="31" s="1"/>
  <c r="N46" i="31" s="1"/>
  <c r="HP45" i="24"/>
  <c r="O11" i="31" s="1"/>
  <c r="O45" i="31" s="1"/>
  <c r="GZ45" i="24"/>
  <c r="H37" i="17" s="1"/>
  <c r="HD45" i="24"/>
  <c r="L37" i="17" s="1"/>
  <c r="HH45" i="24"/>
  <c r="P37" i="17" s="1"/>
  <c r="HL45" i="24"/>
  <c r="T37" i="17" s="1"/>
  <c r="GN45" i="24"/>
  <c r="P10" i="31" s="1"/>
  <c r="P44" i="31" s="1"/>
  <c r="FV45" i="24"/>
  <c r="G32" i="17" s="1"/>
  <c r="FX45" i="24"/>
  <c r="I32" i="17" s="1"/>
  <c r="FZ45" i="24"/>
  <c r="K32" i="17" s="1"/>
  <c r="GB45" i="24"/>
  <c r="M32" i="17" s="1"/>
  <c r="GD45" i="24"/>
  <c r="O32" i="17" s="1"/>
  <c r="GF45" i="24"/>
  <c r="Q32" i="17" s="1"/>
  <c r="GH45" i="24"/>
  <c r="S32" i="17" s="1"/>
  <c r="GJ45" i="24"/>
  <c r="U32" i="17" s="1"/>
  <c r="GL45" i="24"/>
  <c r="N10" i="31" s="1"/>
  <c r="N44" i="31" s="1"/>
  <c r="FJ45" i="24"/>
  <c r="O9" i="31" s="1"/>
  <c r="O43" i="31" s="1"/>
  <c r="EZ45" i="24"/>
  <c r="N27" i="17" s="1"/>
  <c r="FB45" i="24"/>
  <c r="P27" i="17" s="1"/>
  <c r="FD45" i="24"/>
  <c r="R27" i="17" s="1"/>
  <c r="FF45" i="24"/>
  <c r="T27" i="17" s="1"/>
  <c r="FH45" i="24"/>
  <c r="V27" i="17" s="1"/>
  <c r="EH45" i="24"/>
  <c r="P8" i="31" s="1"/>
  <c r="P42" i="31" s="1"/>
  <c r="DR45" i="24"/>
  <c r="I22" i="17" s="1"/>
  <c r="DV45" i="24"/>
  <c r="M22" i="17" s="1"/>
  <c r="DZ45" i="24"/>
  <c r="Q22" i="17" s="1"/>
  <c r="ED45" i="24"/>
  <c r="U22" i="17" s="1"/>
  <c r="DD45" i="24"/>
  <c r="O7" i="31" s="1"/>
  <c r="O41" i="31" s="1"/>
  <c r="CL45" i="24"/>
  <c r="F17" i="17" s="1"/>
  <c r="CN45" i="24"/>
  <c r="H17" i="17" s="1"/>
  <c r="CP45" i="24"/>
  <c r="J17" i="17" s="1"/>
  <c r="CR45" i="24"/>
  <c r="L17" i="17" s="1"/>
  <c r="CT45" i="24"/>
  <c r="N17" i="17" s="1"/>
  <c r="CV45" i="24"/>
  <c r="P17" i="17" s="1"/>
  <c r="CX45" i="24"/>
  <c r="R17" i="17" s="1"/>
  <c r="CZ45" i="24"/>
  <c r="T17" i="17" s="1"/>
  <c r="DB45" i="24"/>
  <c r="V17" i="17" s="1"/>
  <c r="BI45" i="24"/>
  <c r="F12" i="17" s="1"/>
  <c r="ML45" i="24"/>
  <c r="KF45" i="24"/>
  <c r="HZ45" i="24"/>
  <c r="FT45" i="24"/>
  <c r="BJ45" i="24"/>
  <c r="BN45" i="24"/>
  <c r="BR45" i="24"/>
  <c r="BV45" i="24"/>
  <c r="BZ45" i="24"/>
  <c r="BH45" i="24"/>
  <c r="BI67" i="24" s="1"/>
  <c r="J6" i="31" s="1"/>
  <c r="NI16" i="24"/>
  <c r="NJ15" i="24"/>
  <c r="NJ14" i="24"/>
  <c r="MF16" i="24"/>
  <c r="MG15" i="24"/>
  <c r="MG14" i="24"/>
  <c r="LC16" i="24"/>
  <c r="LD15" i="24"/>
  <c r="LD14" i="24"/>
  <c r="JZ16" i="24"/>
  <c r="KA15" i="24"/>
  <c r="KA14" i="24"/>
  <c r="IW16" i="24"/>
  <c r="IX15" i="24"/>
  <c r="IX14" i="24"/>
  <c r="HT16" i="24"/>
  <c r="HU15" i="24"/>
  <c r="HU14" i="24"/>
  <c r="GQ16" i="24"/>
  <c r="GR15" i="24"/>
  <c r="GR14" i="24"/>
  <c r="FN16" i="24"/>
  <c r="FO15" i="24"/>
  <c r="FO14" i="24"/>
  <c r="EK16" i="24"/>
  <c r="EL15" i="24"/>
  <c r="EL14" i="24"/>
  <c r="DH16" i="24"/>
  <c r="DI15" i="24"/>
  <c r="DI14" i="24"/>
  <c r="CE16" i="24"/>
  <c r="CF15" i="24"/>
  <c r="CF14" i="24"/>
  <c r="BB16" i="24"/>
  <c r="BC15" i="24"/>
  <c r="BC14" i="24"/>
  <c r="G35" i="27" l="1"/>
  <c r="K35" i="27"/>
  <c r="T35" i="27" s="1"/>
  <c r="F17" i="27"/>
  <c r="H17" i="27" s="1"/>
  <c r="O6" i="31"/>
  <c r="P7" i="31"/>
  <c r="P41" i="31" s="1"/>
  <c r="BK70" i="24"/>
  <c r="G27" i="17"/>
  <c r="BJ70" i="24"/>
  <c r="F27" i="17"/>
  <c r="F73" i="17" s="1"/>
  <c r="F74" i="17" s="1"/>
  <c r="J43" i="31"/>
  <c r="O126" i="44"/>
  <c r="E27" i="17"/>
  <c r="H27" i="17"/>
  <c r="H73" i="17" s="1"/>
  <c r="H74" i="17" s="1"/>
  <c r="BL70" i="24"/>
  <c r="J40" i="31"/>
  <c r="CC45" i="24"/>
  <c r="N6" i="31"/>
  <c r="Q73" i="17"/>
  <c r="Q74" i="17" s="1"/>
  <c r="U73" i="17"/>
  <c r="U74" i="17" s="1"/>
  <c r="BM70" i="24"/>
  <c r="I27" i="17"/>
  <c r="I73" i="17" s="1"/>
  <c r="I74" i="17" s="1"/>
  <c r="M73" i="17"/>
  <c r="M74" i="17" s="1"/>
  <c r="BO70" i="24"/>
  <c r="K27" i="17"/>
  <c r="BP70" i="24"/>
  <c r="L27" i="17"/>
  <c r="L73" i="17" s="1"/>
  <c r="L74" i="17" s="1"/>
  <c r="T73" i="17"/>
  <c r="T74" i="17" s="1"/>
  <c r="N73" i="17"/>
  <c r="N74" i="17" s="1"/>
  <c r="V73" i="17"/>
  <c r="V74" i="17" s="1"/>
  <c r="J73" i="17"/>
  <c r="J74" i="17" s="1"/>
  <c r="P73" i="17"/>
  <c r="P74" i="17" s="1"/>
  <c r="R73" i="17"/>
  <c r="R74" i="17" s="1"/>
  <c r="BW67" i="24"/>
  <c r="S12" i="17"/>
  <c r="S73" i="17" s="1"/>
  <c r="S74" i="17" s="1"/>
  <c r="BO67" i="24"/>
  <c r="K12" i="17"/>
  <c r="BS67" i="24"/>
  <c r="O12" i="17"/>
  <c r="O73" i="17" s="1"/>
  <c r="O74" i="17" s="1"/>
  <c r="BK67" i="24"/>
  <c r="G12" i="17"/>
  <c r="JZ121" i="24"/>
  <c r="KA120" i="24"/>
  <c r="MF121" i="24"/>
  <c r="MG120" i="24"/>
  <c r="FN121" i="24"/>
  <c r="FO120" i="24"/>
  <c r="CE121" i="24"/>
  <c r="CF120" i="24"/>
  <c r="BB121" i="24"/>
  <c r="BC120" i="24"/>
  <c r="NI121" i="24"/>
  <c r="NJ120" i="24"/>
  <c r="LC121" i="24"/>
  <c r="LD120" i="24"/>
  <c r="IW121" i="24"/>
  <c r="IX120" i="24"/>
  <c r="HT121" i="24"/>
  <c r="HU120" i="24"/>
  <c r="GQ121" i="24"/>
  <c r="GR120" i="24"/>
  <c r="EK121" i="24"/>
  <c r="EL120" i="24"/>
  <c r="DH121" i="24"/>
  <c r="DI120" i="24"/>
  <c r="C36" i="27"/>
  <c r="D35" i="27"/>
  <c r="C31" i="18"/>
  <c r="D30" i="18"/>
  <c r="E52" i="17"/>
  <c r="BI75" i="24"/>
  <c r="J14" i="31" s="1"/>
  <c r="BX68" i="24"/>
  <c r="BP68" i="24"/>
  <c r="BM69" i="24"/>
  <c r="BV70" i="24"/>
  <c r="BS71" i="24"/>
  <c r="BK71" i="24"/>
  <c r="BP72" i="24"/>
  <c r="BY73" i="24"/>
  <c r="BU73" i="24"/>
  <c r="BQ73" i="24"/>
  <c r="BM73" i="24"/>
  <c r="BZ74" i="24"/>
  <c r="BR74" i="24"/>
  <c r="BJ74" i="24"/>
  <c r="BY75" i="24"/>
  <c r="BU75" i="24"/>
  <c r="BQ75" i="24"/>
  <c r="BM75" i="24"/>
  <c r="BX76" i="24"/>
  <c r="BT76" i="24"/>
  <c r="BP76" i="24"/>
  <c r="BL76" i="24"/>
  <c r="BY77" i="24"/>
  <c r="BU77" i="24"/>
  <c r="BQ77" i="24"/>
  <c r="BM77" i="24"/>
  <c r="BV78" i="24"/>
  <c r="BR78" i="24"/>
  <c r="BN78" i="24"/>
  <c r="BV69" i="24"/>
  <c r="BN69" i="24"/>
  <c r="BX71" i="24"/>
  <c r="BP71" i="24"/>
  <c r="BW72" i="24"/>
  <c r="BO72" i="24"/>
  <c r="BZ73" i="24"/>
  <c r="BR73" i="24"/>
  <c r="BJ73" i="24"/>
  <c r="BU74" i="24"/>
  <c r="BM74" i="24"/>
  <c r="BX75" i="24"/>
  <c r="BP75" i="24"/>
  <c r="BV77" i="24"/>
  <c r="BJ77" i="24"/>
  <c r="BU78" i="24"/>
  <c r="BM78" i="24"/>
  <c r="E37" i="17"/>
  <c r="BI72" i="24"/>
  <c r="J11" i="31" s="1"/>
  <c r="BU68" i="24"/>
  <c r="BO68" i="24"/>
  <c r="BK68" i="24"/>
  <c r="BP69" i="24"/>
  <c r="BY70" i="24"/>
  <c r="BS70" i="24"/>
  <c r="BN71" i="24"/>
  <c r="BQ72" i="24"/>
  <c r="BL73" i="24"/>
  <c r="BW74" i="24"/>
  <c r="BZ75" i="24"/>
  <c r="BJ75" i="24"/>
  <c r="BW76" i="24"/>
  <c r="BS76" i="24"/>
  <c r="BM76" i="24"/>
  <c r="BR77" i="24"/>
  <c r="BK78" i="24"/>
  <c r="BS69" i="24"/>
  <c r="BK69" i="24"/>
  <c r="BZ72" i="24"/>
  <c r="BR72" i="24"/>
  <c r="BJ72" i="24"/>
  <c r="BT74" i="24"/>
  <c r="BL74" i="24"/>
  <c r="E67" i="17"/>
  <c r="BI78" i="24"/>
  <c r="J17" i="31" s="1"/>
  <c r="BJ78" i="24"/>
  <c r="BL69" i="24"/>
  <c r="BW70" i="24"/>
  <c r="BM72" i="24"/>
  <c r="BX73" i="24"/>
  <c r="BN75" i="24"/>
  <c r="BT77" i="24"/>
  <c r="E57" i="17"/>
  <c r="BI76" i="24"/>
  <c r="J15" i="31" s="1"/>
  <c r="J49" i="31" s="1"/>
  <c r="BT69" i="24"/>
  <c r="BK74" i="24"/>
  <c r="BY68" i="24"/>
  <c r="BQ76" i="24"/>
  <c r="BV75" i="24"/>
  <c r="E32" i="17"/>
  <c r="BI71" i="24"/>
  <c r="J10" i="31" s="1"/>
  <c r="BT68" i="24"/>
  <c r="BL68" i="24"/>
  <c r="BU69" i="24"/>
  <c r="BZ70" i="24"/>
  <c r="BR70" i="24"/>
  <c r="BW71" i="24"/>
  <c r="BO71" i="24"/>
  <c r="BX72" i="24"/>
  <c r="E42" i="17"/>
  <c r="BI73" i="24"/>
  <c r="J12" i="31" s="1"/>
  <c r="E62" i="17"/>
  <c r="BI77" i="24"/>
  <c r="J16" i="31" s="1"/>
  <c r="BZ68" i="24"/>
  <c r="BV68" i="24"/>
  <c r="BR68" i="24"/>
  <c r="BN68" i="24"/>
  <c r="BJ68" i="24"/>
  <c r="BY69" i="24"/>
  <c r="BQ69" i="24"/>
  <c r="BX70" i="24"/>
  <c r="BT70" i="24"/>
  <c r="BY71" i="24"/>
  <c r="BU71" i="24"/>
  <c r="BQ71" i="24"/>
  <c r="BM71" i="24"/>
  <c r="BT72" i="24"/>
  <c r="BL72" i="24"/>
  <c r="BW73" i="24"/>
  <c r="BS73" i="24"/>
  <c r="BO73" i="24"/>
  <c r="BK73" i="24"/>
  <c r="E47" i="17"/>
  <c r="BI74" i="24"/>
  <c r="J13" i="31" s="1"/>
  <c r="BV74" i="24"/>
  <c r="BN74" i="24"/>
  <c r="BW75" i="24"/>
  <c r="BS75" i="24"/>
  <c r="BO75" i="24"/>
  <c r="BK75" i="24"/>
  <c r="BZ76" i="24"/>
  <c r="BV76" i="24"/>
  <c r="BR76" i="24"/>
  <c r="BN76" i="24"/>
  <c r="BJ76" i="24"/>
  <c r="BW77" i="24"/>
  <c r="BS77" i="24"/>
  <c r="BO77" i="24"/>
  <c r="BK77" i="24"/>
  <c r="BX78" i="24"/>
  <c r="BT78" i="24"/>
  <c r="BP78" i="24"/>
  <c r="BL78" i="24"/>
  <c r="BZ69" i="24"/>
  <c r="BR69" i="24"/>
  <c r="BJ69" i="24"/>
  <c r="BT71" i="24"/>
  <c r="BL71" i="24"/>
  <c r="BS72" i="24"/>
  <c r="BK72" i="24"/>
  <c r="BV73" i="24"/>
  <c r="BN73" i="24"/>
  <c r="BY74" i="24"/>
  <c r="BQ74" i="24"/>
  <c r="BT75" i="24"/>
  <c r="BL75" i="24"/>
  <c r="BZ77" i="24"/>
  <c r="BN77" i="24"/>
  <c r="BY78" i="24"/>
  <c r="BQ78" i="24"/>
  <c r="BW68" i="24"/>
  <c r="BS68" i="24"/>
  <c r="BM68" i="24"/>
  <c r="BX69" i="24"/>
  <c r="BU70" i="24"/>
  <c r="BV71" i="24"/>
  <c r="BY72" i="24"/>
  <c r="BT73" i="24"/>
  <c r="BO74" i="24"/>
  <c r="BR75" i="24"/>
  <c r="BU76" i="24"/>
  <c r="BO76" i="24"/>
  <c r="BK76" i="24"/>
  <c r="BX77" i="24"/>
  <c r="BP77" i="24"/>
  <c r="BS78" i="24"/>
  <c r="E17" i="17"/>
  <c r="BI68" i="24"/>
  <c r="J7" i="31" s="1"/>
  <c r="BW69" i="24"/>
  <c r="BO69" i="24"/>
  <c r="BV72" i="24"/>
  <c r="BN72" i="24"/>
  <c r="BX74" i="24"/>
  <c r="BP74" i="24"/>
  <c r="BZ78" i="24"/>
  <c r="BQ68" i="24"/>
  <c r="BR71" i="24"/>
  <c r="BS74" i="24"/>
  <c r="BY76" i="24"/>
  <c r="BO78" i="24"/>
  <c r="BU72" i="24"/>
  <c r="BL77" i="24"/>
  <c r="BW78" i="24"/>
  <c r="BZ71" i="24"/>
  <c r="BJ71" i="24"/>
  <c r="BP73" i="24"/>
  <c r="BJ67" i="24"/>
  <c r="BX67" i="24"/>
  <c r="BR67" i="24"/>
  <c r="BL67" i="24"/>
  <c r="BU67" i="24"/>
  <c r="BM67" i="24"/>
  <c r="BV67" i="24"/>
  <c r="BT67" i="24"/>
  <c r="BP67" i="24"/>
  <c r="BY67" i="24"/>
  <c r="BQ67" i="24"/>
  <c r="BZ67" i="24"/>
  <c r="BN67" i="24"/>
  <c r="E22" i="17"/>
  <c r="BI69" i="24"/>
  <c r="J8" i="31" s="1"/>
  <c r="J42" i="31" s="1"/>
  <c r="BW46" i="24"/>
  <c r="BW51" i="24" s="1"/>
  <c r="LA45" i="24"/>
  <c r="BM46" i="24"/>
  <c r="BX46" i="24"/>
  <c r="BX51" i="24" s="1"/>
  <c r="BO46" i="24"/>
  <c r="BP46" i="24"/>
  <c r="DF45" i="24"/>
  <c r="JX45" i="24"/>
  <c r="IU45" i="24"/>
  <c r="BT46" i="24"/>
  <c r="BL46" i="24"/>
  <c r="BK46" i="24"/>
  <c r="BK51" i="24" s="1"/>
  <c r="BY46" i="24"/>
  <c r="BY51" i="24" s="1"/>
  <c r="BS46" i="24"/>
  <c r="HR45" i="24"/>
  <c r="MD45" i="24"/>
  <c r="FL45" i="24"/>
  <c r="BH46" i="24"/>
  <c r="E12" i="17"/>
  <c r="BV46" i="24"/>
  <c r="BN46" i="24"/>
  <c r="BU46" i="24"/>
  <c r="BQ46" i="24"/>
  <c r="BQ51" i="24" s="1"/>
  <c r="BI46" i="24"/>
  <c r="BI51" i="24" s="1"/>
  <c r="BR46" i="24"/>
  <c r="BR51" i="24" s="1"/>
  <c r="BJ46" i="24"/>
  <c r="BJ51" i="24" s="1"/>
  <c r="EI45" i="24"/>
  <c r="NG45" i="24"/>
  <c r="OJ45" i="24"/>
  <c r="GO45" i="24"/>
  <c r="NI17" i="24"/>
  <c r="NJ16" i="24"/>
  <c r="MF17" i="24"/>
  <c r="MG16" i="24"/>
  <c r="LC17" i="24"/>
  <c r="LD16" i="24"/>
  <c r="JZ17" i="24"/>
  <c r="KA16" i="24"/>
  <c r="IW17" i="24"/>
  <c r="IX16" i="24"/>
  <c r="HT17" i="24"/>
  <c r="HU16" i="24"/>
  <c r="GQ17" i="24"/>
  <c r="GR16" i="24"/>
  <c r="FN17" i="24"/>
  <c r="FO16" i="24"/>
  <c r="EK17" i="24"/>
  <c r="EL16" i="24"/>
  <c r="DH17" i="24"/>
  <c r="DI16" i="24"/>
  <c r="CE17" i="24"/>
  <c r="CF16" i="24"/>
  <c r="BB17" i="24"/>
  <c r="BC16" i="24"/>
  <c r="L9" i="34" l="1"/>
  <c r="L11" i="34" s="1"/>
  <c r="K6" i="31"/>
  <c r="K40" i="31" s="1"/>
  <c r="O40" i="31"/>
  <c r="C22" i="49"/>
  <c r="N40" i="31"/>
  <c r="G36" i="27"/>
  <c r="K36" i="27"/>
  <c r="T36" i="27" s="1"/>
  <c r="P18" i="31"/>
  <c r="P52" i="31" s="1"/>
  <c r="F18" i="27"/>
  <c r="H18" i="27" s="1"/>
  <c r="O18" i="31"/>
  <c r="O52" i="31" s="1"/>
  <c r="G73" i="17"/>
  <c r="G74" i="17" s="1"/>
  <c r="J51" i="31"/>
  <c r="J50" i="31"/>
  <c r="J48" i="31"/>
  <c r="J47" i="31"/>
  <c r="J46" i="31"/>
  <c r="J45" i="31"/>
  <c r="J44" i="31"/>
  <c r="O127" i="44"/>
  <c r="J41" i="31"/>
  <c r="H22" i="5"/>
  <c r="N18" i="31"/>
  <c r="N52" i="31" s="1"/>
  <c r="OI46" i="24"/>
  <c r="R51" i="31"/>
  <c r="EH46" i="24"/>
  <c r="R42" i="31"/>
  <c r="FK46" i="24"/>
  <c r="R43" i="31"/>
  <c r="HQ46" i="24"/>
  <c r="R45" i="31"/>
  <c r="IT46" i="24"/>
  <c r="R46" i="31"/>
  <c r="DE46" i="24"/>
  <c r="CB46" i="24"/>
  <c r="GN46" i="24"/>
  <c r="R44" i="31"/>
  <c r="MC46" i="24"/>
  <c r="R49" i="31"/>
  <c r="JW46" i="24"/>
  <c r="R47" i="31"/>
  <c r="KZ46" i="24"/>
  <c r="R48" i="31"/>
  <c r="H26" i="5"/>
  <c r="NF46" i="24"/>
  <c r="R50" i="31"/>
  <c r="K73" i="17"/>
  <c r="K74" i="17" s="1"/>
  <c r="H30" i="5"/>
  <c r="H16" i="5"/>
  <c r="H18" i="5"/>
  <c r="BP79" i="24"/>
  <c r="BU79" i="24"/>
  <c r="DH122" i="24"/>
  <c r="DI122" i="24" s="1"/>
  <c r="DI121" i="24"/>
  <c r="EK122" i="24"/>
  <c r="EL122" i="24" s="1"/>
  <c r="EL121" i="24"/>
  <c r="GQ122" i="24"/>
  <c r="GR122" i="24" s="1"/>
  <c r="GR121" i="24"/>
  <c r="HT122" i="24"/>
  <c r="HU122" i="24" s="1"/>
  <c r="HU121" i="24"/>
  <c r="IW122" i="24"/>
  <c r="IX122" i="24" s="1"/>
  <c r="IX121" i="24"/>
  <c r="LC122" i="24"/>
  <c r="LD122" i="24" s="1"/>
  <c r="LD121" i="24"/>
  <c r="NI122" i="24"/>
  <c r="NJ122" i="24" s="1"/>
  <c r="NJ121" i="24"/>
  <c r="BB122" i="24"/>
  <c r="BC122" i="24" s="1"/>
  <c r="BC121" i="24"/>
  <c r="CE122" i="24"/>
  <c r="CF122" i="24" s="1"/>
  <c r="CF121" i="24"/>
  <c r="FN122" i="24"/>
  <c r="FO122" i="24" s="1"/>
  <c r="FO121" i="24"/>
  <c r="MF122" i="24"/>
  <c r="MG122" i="24" s="1"/>
  <c r="MG121" i="24"/>
  <c r="JZ122" i="24"/>
  <c r="KA122" i="24" s="1"/>
  <c r="KA121" i="24"/>
  <c r="C37" i="27"/>
  <c r="D36" i="27"/>
  <c r="H33" i="5"/>
  <c r="H24" i="5"/>
  <c r="H32" i="5"/>
  <c r="H19" i="5"/>
  <c r="H23" i="5"/>
  <c r="H27" i="5"/>
  <c r="H31" i="5"/>
  <c r="H17" i="5"/>
  <c r="H20" i="5"/>
  <c r="H28" i="5"/>
  <c r="H21" i="5"/>
  <c r="H25" i="5"/>
  <c r="H29" i="5"/>
  <c r="C32" i="18"/>
  <c r="D31" i="18"/>
  <c r="BS79" i="24"/>
  <c r="BW79" i="24"/>
  <c r="BJ79" i="24"/>
  <c r="BK79" i="24"/>
  <c r="BO79" i="24"/>
  <c r="BI79" i="24"/>
  <c r="J18" i="31" s="1"/>
  <c r="K18" i="31" s="1"/>
  <c r="BN79" i="24"/>
  <c r="BZ79" i="24"/>
  <c r="BQ79" i="24"/>
  <c r="BY79" i="24"/>
  <c r="BT79" i="24"/>
  <c r="BV79" i="24"/>
  <c r="BM79" i="24"/>
  <c r="BL79" i="24"/>
  <c r="BR79" i="24"/>
  <c r="BX79" i="24"/>
  <c r="CX10" i="24"/>
  <c r="BU51" i="24"/>
  <c r="CQ10" i="24"/>
  <c r="BN51" i="24"/>
  <c r="CY10" i="24"/>
  <c r="BV51" i="24"/>
  <c r="CK10" i="24"/>
  <c r="BH51" i="24"/>
  <c r="E7" i="31" s="1"/>
  <c r="CV10" i="24"/>
  <c r="BS51" i="24"/>
  <c r="CW10" i="24"/>
  <c r="BT51" i="24"/>
  <c r="CS10" i="24"/>
  <c r="BP51" i="24"/>
  <c r="CO10" i="24"/>
  <c r="BL51" i="24"/>
  <c r="CR10" i="24"/>
  <c r="BO51" i="24"/>
  <c r="CP10" i="24"/>
  <c r="BM51" i="24"/>
  <c r="CM10" i="24"/>
  <c r="CZ10" i="24"/>
  <c r="CT10" i="24"/>
  <c r="CL10" i="24"/>
  <c r="DA10" i="24"/>
  <c r="CN10" i="24"/>
  <c r="DB10" i="24"/>
  <c r="CU10" i="24"/>
  <c r="NI18" i="24"/>
  <c r="NJ17" i="24"/>
  <c r="MF18" i="24"/>
  <c r="MG17" i="24"/>
  <c r="LC18" i="24"/>
  <c r="LD17" i="24"/>
  <c r="JZ18" i="24"/>
  <c r="KA17" i="24"/>
  <c r="IW18" i="24"/>
  <c r="IX17" i="24"/>
  <c r="HT18" i="24"/>
  <c r="HU17" i="24"/>
  <c r="GQ18" i="24"/>
  <c r="GR17" i="24"/>
  <c r="FN18" i="24"/>
  <c r="FO17" i="24"/>
  <c r="EK18" i="24"/>
  <c r="EL17" i="24"/>
  <c r="DH18" i="24"/>
  <c r="DI17" i="24"/>
  <c r="CE18" i="24"/>
  <c r="CF17" i="24"/>
  <c r="BB18" i="24"/>
  <c r="BC17" i="24"/>
  <c r="G37" i="27" l="1"/>
  <c r="K37" i="27"/>
  <c r="T37" i="27" s="1"/>
  <c r="F19" i="27"/>
  <c r="H19" i="27" s="1"/>
  <c r="E41" i="31"/>
  <c r="H41" i="31" s="1"/>
  <c r="K52" i="31"/>
  <c r="J52" i="31"/>
  <c r="H7" i="31"/>
  <c r="K7" i="31" s="1"/>
  <c r="O128" i="44"/>
  <c r="R41" i="31"/>
  <c r="Q9" i="34"/>
  <c r="R18" i="31"/>
  <c r="R52" i="31" s="1"/>
  <c r="CU13" i="24"/>
  <c r="CU46" i="24" s="1"/>
  <c r="CN13" i="24"/>
  <c r="CN46" i="24" s="1"/>
  <c r="CL13" i="24"/>
  <c r="CL46" i="24" s="1"/>
  <c r="CZ13" i="24"/>
  <c r="CZ46" i="24" s="1"/>
  <c r="DB13" i="24"/>
  <c r="DB46" i="24" s="1"/>
  <c r="DA13" i="24"/>
  <c r="DA46" i="24" s="1"/>
  <c r="CT13" i="24"/>
  <c r="CT46" i="24" s="1"/>
  <c r="CM13" i="24"/>
  <c r="CM46" i="24" s="1"/>
  <c r="CP13" i="24"/>
  <c r="CP46" i="24" s="1"/>
  <c r="CR13" i="24"/>
  <c r="CR46" i="24" s="1"/>
  <c r="CO13" i="24"/>
  <c r="CO46" i="24" s="1"/>
  <c r="CS13" i="24"/>
  <c r="CS46" i="24" s="1"/>
  <c r="CW13" i="24"/>
  <c r="CW46" i="24" s="1"/>
  <c r="CV13" i="24"/>
  <c r="CV46" i="24" s="1"/>
  <c r="CY13" i="24"/>
  <c r="CY46" i="24" s="1"/>
  <c r="CQ13" i="24"/>
  <c r="CQ46" i="24" s="1"/>
  <c r="CX13" i="24"/>
  <c r="CX46" i="24" s="1"/>
  <c r="CK13" i="24"/>
  <c r="CK46" i="24" s="1"/>
  <c r="C38" i="27"/>
  <c r="D37" i="27"/>
  <c r="C33" i="18"/>
  <c r="D32" i="18"/>
  <c r="NI19" i="24"/>
  <c r="NJ18" i="24"/>
  <c r="MF19" i="24"/>
  <c r="MG18" i="24"/>
  <c r="LC19" i="24"/>
  <c r="LD18" i="24"/>
  <c r="JZ19" i="24"/>
  <c r="KA18" i="24"/>
  <c r="IW19" i="24"/>
  <c r="IX18" i="24"/>
  <c r="HT19" i="24"/>
  <c r="HU18" i="24"/>
  <c r="GQ19" i="24"/>
  <c r="GR18" i="24"/>
  <c r="FN19" i="24"/>
  <c r="FO18" i="24"/>
  <c r="EK19" i="24"/>
  <c r="EL18" i="24"/>
  <c r="DH19" i="24"/>
  <c r="DI18" i="24"/>
  <c r="CE19" i="24"/>
  <c r="CF18" i="24"/>
  <c r="BB19" i="24"/>
  <c r="BC18" i="24"/>
  <c r="G38" i="27" l="1"/>
  <c r="K38" i="27"/>
  <c r="F20" i="27"/>
  <c r="H20" i="27" s="1"/>
  <c r="L20" i="27" s="1"/>
  <c r="D38" i="27"/>
  <c r="G39" i="27"/>
  <c r="H39" i="27" s="1"/>
  <c r="K41" i="31"/>
  <c r="O129" i="44"/>
  <c r="Q11" i="34"/>
  <c r="N11" i="34"/>
  <c r="BH52" i="24"/>
  <c r="E8" i="31" s="1"/>
  <c r="DN10" i="24"/>
  <c r="DN13" i="24" s="1"/>
  <c r="DN46" i="24" s="1"/>
  <c r="BN52" i="24"/>
  <c r="DT10" i="24"/>
  <c r="BS52" i="24"/>
  <c r="DY10" i="24"/>
  <c r="BP52" i="24"/>
  <c r="DV10" i="24"/>
  <c r="BO52" i="24"/>
  <c r="DU10" i="24"/>
  <c r="DP10" i="24"/>
  <c r="BJ52" i="24"/>
  <c r="BX52" i="24"/>
  <c r="ED10" i="24"/>
  <c r="EC10" i="24"/>
  <c r="BW52" i="24"/>
  <c r="BK52" i="24"/>
  <c r="DQ10" i="24"/>
  <c r="BU52" i="24"/>
  <c r="EA10" i="24"/>
  <c r="BV52" i="24"/>
  <c r="EB10" i="24"/>
  <c r="BT52" i="24"/>
  <c r="DZ10" i="24"/>
  <c r="BL52" i="24"/>
  <c r="DR10" i="24"/>
  <c r="BM52" i="24"/>
  <c r="DS10" i="24"/>
  <c r="DW10" i="24"/>
  <c r="BQ52" i="24"/>
  <c r="EE10" i="24"/>
  <c r="BY52" i="24"/>
  <c r="DO10" i="24"/>
  <c r="BI52" i="24"/>
  <c r="BR52" i="24"/>
  <c r="DX10" i="24"/>
  <c r="C34" i="18"/>
  <c r="D33" i="18"/>
  <c r="NI20" i="24"/>
  <c r="NJ19" i="24"/>
  <c r="MF20" i="24"/>
  <c r="MG19" i="24"/>
  <c r="LC20" i="24"/>
  <c r="LD19" i="24"/>
  <c r="JZ20" i="24"/>
  <c r="KA19" i="24"/>
  <c r="IW20" i="24"/>
  <c r="IX19" i="24"/>
  <c r="HT20" i="24"/>
  <c r="HU19" i="24"/>
  <c r="GQ20" i="24"/>
  <c r="GR19" i="24"/>
  <c r="FN20" i="24"/>
  <c r="FO19" i="24"/>
  <c r="EK20" i="24"/>
  <c r="EL19" i="24"/>
  <c r="DH20" i="24"/>
  <c r="DI19" i="24"/>
  <c r="CE20" i="24"/>
  <c r="CF19" i="24"/>
  <c r="BB20" i="24"/>
  <c r="BC19" i="24"/>
  <c r="E42" i="31" l="1"/>
  <c r="H42" i="31" s="1"/>
  <c r="T38" i="27"/>
  <c r="K39" i="27"/>
  <c r="T39" i="27" s="1"/>
  <c r="L39" i="27" s="1"/>
  <c r="H8" i="31"/>
  <c r="O130" i="44"/>
  <c r="AU287" i="44" s="1"/>
  <c r="DX13" i="24"/>
  <c r="DX46" i="24" s="1"/>
  <c r="DS13" i="24"/>
  <c r="DS46" i="24" s="1"/>
  <c r="DR13" i="24"/>
  <c r="DR46" i="24" s="1"/>
  <c r="DZ13" i="24"/>
  <c r="DZ46" i="24" s="1"/>
  <c r="EB13" i="24"/>
  <c r="EB46" i="24" s="1"/>
  <c r="EA13" i="24"/>
  <c r="EA46" i="24" s="1"/>
  <c r="DQ13" i="24"/>
  <c r="DQ46" i="24" s="1"/>
  <c r="ED13" i="24"/>
  <c r="ED46" i="24" s="1"/>
  <c r="DU13" i="24"/>
  <c r="DU46" i="24" s="1"/>
  <c r="DV13" i="24"/>
  <c r="DV46" i="24" s="1"/>
  <c r="DY13" i="24"/>
  <c r="DY46" i="24" s="1"/>
  <c r="DT13" i="24"/>
  <c r="DT46" i="24" s="1"/>
  <c r="DO13" i="24"/>
  <c r="DO46" i="24" s="1"/>
  <c r="EE13" i="24"/>
  <c r="EE46" i="24" s="1"/>
  <c r="DW13" i="24"/>
  <c r="DW46" i="24" s="1"/>
  <c r="EC13" i="24"/>
  <c r="EC46" i="24" s="1"/>
  <c r="DP13" i="24"/>
  <c r="DP46" i="24" s="1"/>
  <c r="BH53" i="24"/>
  <c r="EQ10" i="24"/>
  <c r="C35" i="18"/>
  <c r="D34" i="18"/>
  <c r="NI21" i="24"/>
  <c r="NJ20" i="24"/>
  <c r="MF21" i="24"/>
  <c r="MG20" i="24"/>
  <c r="LC21" i="24"/>
  <c r="LD20" i="24"/>
  <c r="JZ21" i="24"/>
  <c r="KA20" i="24"/>
  <c r="IW21" i="24"/>
  <c r="IX20" i="24"/>
  <c r="HT21" i="24"/>
  <c r="HU20" i="24"/>
  <c r="GQ21" i="24"/>
  <c r="GR20" i="24"/>
  <c r="FN21" i="24"/>
  <c r="FO20" i="24"/>
  <c r="EK21" i="24"/>
  <c r="EL20" i="24"/>
  <c r="DH21" i="24"/>
  <c r="DI20" i="24"/>
  <c r="CE21" i="24"/>
  <c r="CF20" i="24"/>
  <c r="BB21" i="24"/>
  <c r="BC20" i="24"/>
  <c r="K8" i="31" l="1"/>
  <c r="K42" i="31" s="1"/>
  <c r="F21" i="27"/>
  <c r="H21" i="27" s="1"/>
  <c r="E9" i="31"/>
  <c r="O131" i="44"/>
  <c r="BW53" i="24"/>
  <c r="FF10" i="24"/>
  <c r="FH10" i="24"/>
  <c r="BY53" i="24"/>
  <c r="BN53" i="24"/>
  <c r="EW10" i="24"/>
  <c r="BP53" i="24"/>
  <c r="EY10" i="24"/>
  <c r="BX53" i="24"/>
  <c r="FG10" i="24"/>
  <c r="BU53" i="24"/>
  <c r="FD10" i="24"/>
  <c r="BT53" i="24"/>
  <c r="FC10" i="24"/>
  <c r="BM53" i="24"/>
  <c r="EV10" i="24"/>
  <c r="BJ53" i="24"/>
  <c r="ES10" i="24"/>
  <c r="BQ53" i="24"/>
  <c r="EZ10" i="24"/>
  <c r="BI53" i="24"/>
  <c r="ER10" i="24"/>
  <c r="BS53" i="24"/>
  <c r="FB10" i="24"/>
  <c r="BO53" i="24"/>
  <c r="EX10" i="24"/>
  <c r="ET10" i="24"/>
  <c r="BK53" i="24"/>
  <c r="BV53" i="24"/>
  <c r="FE10" i="24"/>
  <c r="BL53" i="24"/>
  <c r="EU10" i="24"/>
  <c r="BR53" i="24"/>
  <c r="FA10" i="24"/>
  <c r="EQ13" i="24"/>
  <c r="EQ46" i="24" s="1"/>
  <c r="BH54" i="24" s="1"/>
  <c r="E10" i="31" s="1"/>
  <c r="E44" i="31" s="1"/>
  <c r="C36" i="18"/>
  <c r="D35" i="18"/>
  <c r="NI22" i="24"/>
  <c r="NJ21" i="24"/>
  <c r="MF22" i="24"/>
  <c r="MG21" i="24"/>
  <c r="LC22" i="24"/>
  <c r="LD21" i="24"/>
  <c r="JZ22" i="24"/>
  <c r="KA21" i="24"/>
  <c r="IW22" i="24"/>
  <c r="IX21" i="24"/>
  <c r="HT22" i="24"/>
  <c r="HU21" i="24"/>
  <c r="GQ22" i="24"/>
  <c r="GR21" i="24"/>
  <c r="FN22" i="24"/>
  <c r="FO21" i="24"/>
  <c r="EK22" i="24"/>
  <c r="EL21" i="24"/>
  <c r="DH22" i="24"/>
  <c r="DI21" i="24"/>
  <c r="CE22" i="24"/>
  <c r="CF21" i="24"/>
  <c r="BB22" i="24"/>
  <c r="BC21" i="24"/>
  <c r="E43" i="31" l="1"/>
  <c r="H43" i="31" s="1"/>
  <c r="G9" i="34"/>
  <c r="G11" i="34" s="1"/>
  <c r="F22" i="27"/>
  <c r="H22" i="27" s="1"/>
  <c r="H9" i="31"/>
  <c r="J9" i="34" s="1"/>
  <c r="J11" i="34" s="1"/>
  <c r="H44" i="31"/>
  <c r="H10" i="31"/>
  <c r="O132" i="44"/>
  <c r="FA13" i="24"/>
  <c r="FA46" i="24" s="1"/>
  <c r="EU13" i="24"/>
  <c r="EU46" i="24" s="1"/>
  <c r="FE13" i="24"/>
  <c r="FE46" i="24" s="1"/>
  <c r="EX13" i="24"/>
  <c r="EX46" i="24" s="1"/>
  <c r="FB13" i="24"/>
  <c r="FB46" i="24" s="1"/>
  <c r="ER13" i="24"/>
  <c r="ER46" i="24" s="1"/>
  <c r="EZ13" i="24"/>
  <c r="EZ46" i="24" s="1"/>
  <c r="ES13" i="24"/>
  <c r="ES46" i="24" s="1"/>
  <c r="EV13" i="24"/>
  <c r="EV46" i="24" s="1"/>
  <c r="FC13" i="24"/>
  <c r="FC46" i="24" s="1"/>
  <c r="FD13" i="24"/>
  <c r="FD46" i="24" s="1"/>
  <c r="FG13" i="24"/>
  <c r="FG46" i="24" s="1"/>
  <c r="EY13" i="24"/>
  <c r="EY46" i="24" s="1"/>
  <c r="EW13" i="24"/>
  <c r="EW46" i="24" s="1"/>
  <c r="FF13" i="24"/>
  <c r="FF46" i="24" s="1"/>
  <c r="ET13" i="24"/>
  <c r="ET46" i="24" s="1"/>
  <c r="FH13" i="24"/>
  <c r="FH46" i="24" s="1"/>
  <c r="FT10" i="24"/>
  <c r="C37" i="18"/>
  <c r="D37" i="18" s="1"/>
  <c r="D36" i="18"/>
  <c r="NI23" i="24"/>
  <c r="NJ22" i="24"/>
  <c r="MF23" i="24"/>
  <c r="MG22" i="24"/>
  <c r="LC23" i="24"/>
  <c r="LD22" i="24"/>
  <c r="JZ23" i="24"/>
  <c r="KA22" i="24"/>
  <c r="IW23" i="24"/>
  <c r="IX22" i="24"/>
  <c r="HT23" i="24"/>
  <c r="HU22" i="24"/>
  <c r="GQ23" i="24"/>
  <c r="GR22" i="24"/>
  <c r="FN23" i="24"/>
  <c r="FO22" i="24"/>
  <c r="EK23" i="24"/>
  <c r="EL22" i="24"/>
  <c r="DH23" i="24"/>
  <c r="DI22" i="24"/>
  <c r="CE23" i="24"/>
  <c r="CF22" i="24"/>
  <c r="BB23" i="24"/>
  <c r="BC22" i="24"/>
  <c r="K10" i="31" l="1"/>
  <c r="K44" i="31" s="1"/>
  <c r="K9" i="31"/>
  <c r="K43" i="31" s="1"/>
  <c r="F23" i="27"/>
  <c r="H23" i="27" s="1"/>
  <c r="O133" i="44"/>
  <c r="BK54" i="24"/>
  <c r="FW10" i="24"/>
  <c r="BN54" i="24"/>
  <c r="FZ10" i="24"/>
  <c r="GJ10" i="24"/>
  <c r="BX54" i="24"/>
  <c r="BT54" i="24"/>
  <c r="GF10" i="24"/>
  <c r="BJ54" i="24"/>
  <c r="FV10" i="24"/>
  <c r="BI54" i="24"/>
  <c r="FU10" i="24"/>
  <c r="BO54" i="24"/>
  <c r="GA10" i="24"/>
  <c r="BL54" i="24"/>
  <c r="FX10" i="24"/>
  <c r="GK10" i="24"/>
  <c r="BY54" i="24"/>
  <c r="BW54" i="24"/>
  <c r="GI10" i="24"/>
  <c r="BP54" i="24"/>
  <c r="GB10" i="24"/>
  <c r="BU54" i="24"/>
  <c r="GG10" i="24"/>
  <c r="BM54" i="24"/>
  <c r="FY10" i="24"/>
  <c r="BQ54" i="24"/>
  <c r="GC10" i="24"/>
  <c r="BS54" i="24"/>
  <c r="GE10" i="24"/>
  <c r="BV54" i="24"/>
  <c r="GH10" i="24"/>
  <c r="BR54" i="24"/>
  <c r="GD10" i="24"/>
  <c r="FT13" i="24"/>
  <c r="FT46" i="24" s="1"/>
  <c r="BH55" i="24" s="1"/>
  <c r="E11" i="31" s="1"/>
  <c r="E45" i="31" s="1"/>
  <c r="NI24" i="24"/>
  <c r="NJ23" i="24"/>
  <c r="MF24" i="24"/>
  <c r="MG23" i="24"/>
  <c r="LC24" i="24"/>
  <c r="LD23" i="24"/>
  <c r="JZ24" i="24"/>
  <c r="KA23" i="24"/>
  <c r="IW24" i="24"/>
  <c r="IX23" i="24"/>
  <c r="HT24" i="24"/>
  <c r="HU23" i="24"/>
  <c r="GQ24" i="24"/>
  <c r="GR23" i="24"/>
  <c r="FN24" i="24"/>
  <c r="FO23" i="24"/>
  <c r="EK24" i="24"/>
  <c r="EL23" i="24"/>
  <c r="DH24" i="24"/>
  <c r="DI23" i="24"/>
  <c r="CE24" i="24"/>
  <c r="CF23" i="24"/>
  <c r="BB24" i="24"/>
  <c r="BC23" i="24"/>
  <c r="F24" i="27" l="1"/>
  <c r="H24" i="27" s="1"/>
  <c r="H45" i="31"/>
  <c r="H11" i="31"/>
  <c r="O134" i="44"/>
  <c r="GW10" i="24"/>
  <c r="GW13" i="24" s="1"/>
  <c r="GW46" i="24" s="1"/>
  <c r="GD13" i="24"/>
  <c r="GD46" i="24" s="1"/>
  <c r="GH13" i="24"/>
  <c r="GH46" i="24" s="1"/>
  <c r="GE13" i="24"/>
  <c r="GE46" i="24" s="1"/>
  <c r="GC13" i="24"/>
  <c r="GC46" i="24" s="1"/>
  <c r="FY13" i="24"/>
  <c r="FY46" i="24" s="1"/>
  <c r="GG13" i="24"/>
  <c r="GG46" i="24" s="1"/>
  <c r="GB13" i="24"/>
  <c r="GB46" i="24" s="1"/>
  <c r="GI13" i="24"/>
  <c r="GI46" i="24" s="1"/>
  <c r="FX13" i="24"/>
  <c r="FX46" i="24" s="1"/>
  <c r="GA13" i="24"/>
  <c r="GA46" i="24" s="1"/>
  <c r="FU13" i="24"/>
  <c r="FU46" i="24" s="1"/>
  <c r="GX10" i="24" s="1"/>
  <c r="FV13" i="24"/>
  <c r="FV46" i="24" s="1"/>
  <c r="GF13" i="24"/>
  <c r="GF46" i="24" s="1"/>
  <c r="FZ13" i="24"/>
  <c r="FZ46" i="24" s="1"/>
  <c r="FW13" i="24"/>
  <c r="FW46" i="24" s="1"/>
  <c r="GK13" i="24"/>
  <c r="GK46" i="24" s="1"/>
  <c r="GJ13" i="24"/>
  <c r="GJ46" i="24" s="1"/>
  <c r="NI25" i="24"/>
  <c r="NJ24" i="24"/>
  <c r="MF25" i="24"/>
  <c r="MG24" i="24"/>
  <c r="LC25" i="24"/>
  <c r="LD24" i="24"/>
  <c r="JZ25" i="24"/>
  <c r="KA24" i="24"/>
  <c r="IW25" i="24"/>
  <c r="IX24" i="24"/>
  <c r="HT25" i="24"/>
  <c r="HU24" i="24"/>
  <c r="GQ25" i="24"/>
  <c r="GR24" i="24"/>
  <c r="FN25" i="24"/>
  <c r="FO24" i="24"/>
  <c r="EK25" i="24"/>
  <c r="EL24" i="24"/>
  <c r="DH25" i="24"/>
  <c r="DI24" i="24"/>
  <c r="CE25" i="24"/>
  <c r="CF24" i="24"/>
  <c r="BB25" i="24"/>
  <c r="BC24" i="24"/>
  <c r="K11" i="31" l="1"/>
  <c r="K45" i="31" s="1"/>
  <c r="F25" i="27"/>
  <c r="H25" i="27" s="1"/>
  <c r="O135" i="44"/>
  <c r="BH56" i="24"/>
  <c r="E12" i="31" s="1"/>
  <c r="E46" i="31" s="1"/>
  <c r="HZ10" i="24"/>
  <c r="HZ13" i="24" s="1"/>
  <c r="HZ46" i="24" s="1"/>
  <c r="HN10" i="24"/>
  <c r="BY55" i="24"/>
  <c r="BN55" i="24"/>
  <c r="HC10" i="24"/>
  <c r="BJ55" i="24"/>
  <c r="GY10" i="24"/>
  <c r="BO55" i="24"/>
  <c r="HD10" i="24"/>
  <c r="BW55" i="24"/>
  <c r="HL10" i="24"/>
  <c r="BU55" i="24"/>
  <c r="HJ10" i="24"/>
  <c r="BQ55" i="24"/>
  <c r="HF10" i="24"/>
  <c r="BV55" i="24"/>
  <c r="HK10" i="24"/>
  <c r="BX55" i="24"/>
  <c r="HM10" i="24"/>
  <c r="BK55" i="24"/>
  <c r="GZ10" i="24"/>
  <c r="BT55" i="24"/>
  <c r="HI10" i="24"/>
  <c r="BI55" i="24"/>
  <c r="BL55" i="24"/>
  <c r="HA10" i="24"/>
  <c r="BP55" i="24"/>
  <c r="HE10" i="24"/>
  <c r="BM55" i="24"/>
  <c r="HB10" i="24"/>
  <c r="BS55" i="24"/>
  <c r="HH10" i="24"/>
  <c r="HG10" i="24"/>
  <c r="BR55" i="24"/>
  <c r="NI26" i="24"/>
  <c r="NJ25" i="24"/>
  <c r="MF26" i="24"/>
  <c r="MG25" i="24"/>
  <c r="LC26" i="24"/>
  <c r="LD25" i="24"/>
  <c r="JZ26" i="24"/>
  <c r="KA25" i="24"/>
  <c r="IW26" i="24"/>
  <c r="IX25" i="24"/>
  <c r="HT26" i="24"/>
  <c r="HU25" i="24"/>
  <c r="GQ26" i="24"/>
  <c r="GR25" i="24"/>
  <c r="FN26" i="24"/>
  <c r="FO25" i="24"/>
  <c r="EK26" i="24"/>
  <c r="EL25" i="24"/>
  <c r="DH26" i="24"/>
  <c r="DI25" i="24"/>
  <c r="CE26" i="24"/>
  <c r="CF25" i="24"/>
  <c r="BB26" i="24"/>
  <c r="BC25" i="24"/>
  <c r="F26" i="27" l="1"/>
  <c r="H26" i="27" s="1"/>
  <c r="H46" i="31"/>
  <c r="H12" i="31"/>
  <c r="O136" i="44"/>
  <c r="BH57" i="24"/>
  <c r="E13" i="31" s="1"/>
  <c r="E47" i="31" s="1"/>
  <c r="JC10" i="24"/>
  <c r="JC13" i="24" s="1"/>
  <c r="JC46" i="24" s="1"/>
  <c r="HH13" i="24"/>
  <c r="HH46" i="24" s="1"/>
  <c r="HB13" i="24"/>
  <c r="HB46" i="24" s="1"/>
  <c r="HE13" i="24"/>
  <c r="HE46" i="24" s="1"/>
  <c r="HA13" i="24"/>
  <c r="HA46" i="24" s="1"/>
  <c r="GX13" i="24"/>
  <c r="GX46" i="24" s="1"/>
  <c r="HI13" i="24"/>
  <c r="HI46" i="24" s="1"/>
  <c r="GZ13" i="24"/>
  <c r="GZ46" i="24" s="1"/>
  <c r="HM13" i="24"/>
  <c r="HM46" i="24" s="1"/>
  <c r="HK13" i="24"/>
  <c r="HK46" i="24" s="1"/>
  <c r="HF13" i="24"/>
  <c r="HF46" i="24" s="1"/>
  <c r="HJ13" i="24"/>
  <c r="HJ46" i="24" s="1"/>
  <c r="HL13" i="24"/>
  <c r="HL46" i="24" s="1"/>
  <c r="HD13" i="24"/>
  <c r="HD46" i="24" s="1"/>
  <c r="GY13" i="24"/>
  <c r="GY46" i="24" s="1"/>
  <c r="HC13" i="24"/>
  <c r="HC46" i="24" s="1"/>
  <c r="HG13" i="24"/>
  <c r="HG46" i="24" s="1"/>
  <c r="HN13" i="24"/>
  <c r="HN46" i="24" s="1"/>
  <c r="NI27" i="24"/>
  <c r="NJ26" i="24"/>
  <c r="MF27" i="24"/>
  <c r="MG26" i="24"/>
  <c r="LC27" i="24"/>
  <c r="LD26" i="24"/>
  <c r="JZ27" i="24"/>
  <c r="KA26" i="24"/>
  <c r="IW27" i="24"/>
  <c r="IX26" i="24"/>
  <c r="HT27" i="24"/>
  <c r="HU26" i="24"/>
  <c r="GQ27" i="24"/>
  <c r="GR26" i="24"/>
  <c r="FN27" i="24"/>
  <c r="FO26" i="24"/>
  <c r="EK27" i="24"/>
  <c r="EL26" i="24"/>
  <c r="DH27" i="24"/>
  <c r="DI26" i="24"/>
  <c r="CE27" i="24"/>
  <c r="CF26" i="24"/>
  <c r="BB27" i="24"/>
  <c r="BC26" i="24"/>
  <c r="K12" i="31" l="1"/>
  <c r="K46" i="31" s="1"/>
  <c r="F27" i="27"/>
  <c r="H27" i="27" s="1"/>
  <c r="H47" i="31"/>
  <c r="H13" i="31"/>
  <c r="O137" i="44"/>
  <c r="BH58" i="24"/>
  <c r="E14" i="31" s="1"/>
  <c r="E48" i="31" s="1"/>
  <c r="KF10" i="24"/>
  <c r="KF13" i="24" s="1"/>
  <c r="KF46" i="24" s="1"/>
  <c r="BH59" i="24" s="1"/>
  <c r="BR56" i="24"/>
  <c r="IJ10" i="24"/>
  <c r="BJ56" i="24"/>
  <c r="IB10" i="24"/>
  <c r="BW56" i="24"/>
  <c r="IO10" i="24"/>
  <c r="BQ56" i="24"/>
  <c r="II10" i="24"/>
  <c r="IP10" i="24"/>
  <c r="BX56" i="24"/>
  <c r="BT56" i="24"/>
  <c r="IL10" i="24"/>
  <c r="BL56" i="24"/>
  <c r="ID10" i="24"/>
  <c r="BM56" i="24"/>
  <c r="IE10" i="24"/>
  <c r="IQ10" i="24"/>
  <c r="BY56" i="24"/>
  <c r="BN56" i="24"/>
  <c r="IF10" i="24"/>
  <c r="BO56" i="24"/>
  <c r="IG10" i="24"/>
  <c r="BU56" i="24"/>
  <c r="IM10" i="24"/>
  <c r="BV56" i="24"/>
  <c r="IN10" i="24"/>
  <c r="BK56" i="24"/>
  <c r="IC10" i="24"/>
  <c r="BI56" i="24"/>
  <c r="IA10" i="24"/>
  <c r="BP56" i="24"/>
  <c r="IH10" i="24"/>
  <c r="BS56" i="24"/>
  <c r="IK10" i="24"/>
  <c r="NI28" i="24"/>
  <c r="NJ27" i="24"/>
  <c r="MF28" i="24"/>
  <c r="MG27" i="24"/>
  <c r="LC28" i="24"/>
  <c r="LD27" i="24"/>
  <c r="JZ28" i="24"/>
  <c r="KA27" i="24"/>
  <c r="IW28" i="24"/>
  <c r="IX27" i="24"/>
  <c r="HT28" i="24"/>
  <c r="HU27" i="24"/>
  <c r="GQ28" i="24"/>
  <c r="GR27" i="24"/>
  <c r="FN28" i="24"/>
  <c r="FO27" i="24"/>
  <c r="EK28" i="24"/>
  <c r="EL27" i="24"/>
  <c r="DH28" i="24"/>
  <c r="DI27" i="24"/>
  <c r="CE28" i="24"/>
  <c r="CF27" i="24"/>
  <c r="BB28" i="24"/>
  <c r="BC27" i="24"/>
  <c r="K13" i="31" l="1"/>
  <c r="K47" i="31" s="1"/>
  <c r="F28" i="27"/>
  <c r="H28" i="27" s="1"/>
  <c r="H48" i="31"/>
  <c r="H14" i="31"/>
  <c r="O138" i="44"/>
  <c r="LI10" i="24"/>
  <c r="LI13" i="24" s="1"/>
  <c r="LI46" i="24" s="1"/>
  <c r="IK13" i="24"/>
  <c r="IK46" i="24" s="1"/>
  <c r="IH13" i="24"/>
  <c r="IH46" i="24" s="1"/>
  <c r="IA13" i="24"/>
  <c r="IA46" i="24" s="1"/>
  <c r="IC13" i="24"/>
  <c r="IC46" i="24" s="1"/>
  <c r="IN13" i="24"/>
  <c r="IN46" i="24" s="1"/>
  <c r="IM13" i="24"/>
  <c r="IM46" i="24" s="1"/>
  <c r="IG13" i="24"/>
  <c r="IG46" i="24" s="1"/>
  <c r="IF13" i="24"/>
  <c r="IF46" i="24" s="1"/>
  <c r="IE13" i="24"/>
  <c r="IE46" i="24" s="1"/>
  <c r="ID13" i="24"/>
  <c r="ID46" i="24" s="1"/>
  <c r="IL13" i="24"/>
  <c r="IL46" i="24" s="1"/>
  <c r="II13" i="24"/>
  <c r="II46" i="24" s="1"/>
  <c r="IO13" i="24"/>
  <c r="IO46" i="24" s="1"/>
  <c r="IB13" i="24"/>
  <c r="IB46" i="24" s="1"/>
  <c r="IJ13" i="24"/>
  <c r="IJ46" i="24" s="1"/>
  <c r="IQ13" i="24"/>
  <c r="IQ46" i="24" s="1"/>
  <c r="IP13" i="24"/>
  <c r="IP46" i="24" s="1"/>
  <c r="NI29" i="24"/>
  <c r="NJ28" i="24"/>
  <c r="MF29" i="24"/>
  <c r="MG28" i="24"/>
  <c r="LC29" i="24"/>
  <c r="LD28" i="24"/>
  <c r="JZ29" i="24"/>
  <c r="KA28" i="24"/>
  <c r="IW29" i="24"/>
  <c r="IX28" i="24"/>
  <c r="HT29" i="24"/>
  <c r="HU28" i="24"/>
  <c r="GQ29" i="24"/>
  <c r="GR28" i="24"/>
  <c r="FN29" i="24"/>
  <c r="FO28" i="24"/>
  <c r="EK29" i="24"/>
  <c r="EL28" i="24"/>
  <c r="DH29" i="24"/>
  <c r="DI28" i="24"/>
  <c r="CE29" i="24"/>
  <c r="CF28" i="24"/>
  <c r="BB29" i="24"/>
  <c r="BC28" i="24"/>
  <c r="K14" i="31" l="1"/>
  <c r="K48" i="31" s="1"/>
  <c r="F29" i="27"/>
  <c r="H29" i="27" s="1"/>
  <c r="O139" i="44"/>
  <c r="BH60" i="24"/>
  <c r="E16" i="31" s="1"/>
  <c r="ML10" i="24"/>
  <c r="BY57" i="24"/>
  <c r="JT10" i="24"/>
  <c r="BJ57" i="24"/>
  <c r="JE10" i="24"/>
  <c r="BQ57" i="24"/>
  <c r="JL10" i="24"/>
  <c r="BL57" i="24"/>
  <c r="JG10" i="24"/>
  <c r="BN57" i="24"/>
  <c r="JI10" i="24"/>
  <c r="BU57" i="24"/>
  <c r="JP10" i="24"/>
  <c r="BK57" i="24"/>
  <c r="JF10" i="24"/>
  <c r="BP57" i="24"/>
  <c r="JK10" i="24"/>
  <c r="BX57" i="24"/>
  <c r="JS10" i="24"/>
  <c r="BR57" i="24"/>
  <c r="JM10" i="24"/>
  <c r="BW57" i="24"/>
  <c r="JR10" i="24"/>
  <c r="BT57" i="24"/>
  <c r="JO10" i="24"/>
  <c r="BM57" i="24"/>
  <c r="JH10" i="24"/>
  <c r="BO57" i="24"/>
  <c r="JJ10" i="24"/>
  <c r="BV57" i="24"/>
  <c r="JQ10" i="24"/>
  <c r="BI57" i="24"/>
  <c r="JD10" i="24"/>
  <c r="BS57" i="24"/>
  <c r="JN10" i="24"/>
  <c r="NI30" i="24"/>
  <c r="NJ29" i="24"/>
  <c r="MF30" i="24"/>
  <c r="MG29" i="24"/>
  <c r="LC30" i="24"/>
  <c r="LD29" i="24"/>
  <c r="JZ30" i="24"/>
  <c r="KA29" i="24"/>
  <c r="IW30" i="24"/>
  <c r="IX29" i="24"/>
  <c r="HT30" i="24"/>
  <c r="HU29" i="24"/>
  <c r="GQ30" i="24"/>
  <c r="GR29" i="24"/>
  <c r="FN30" i="24"/>
  <c r="FO29" i="24"/>
  <c r="EK30" i="24"/>
  <c r="EL29" i="24"/>
  <c r="DH30" i="24"/>
  <c r="DI29" i="24"/>
  <c r="CE30" i="24"/>
  <c r="CF29" i="24"/>
  <c r="BB30" i="24"/>
  <c r="BC29" i="24"/>
  <c r="F30" i="27" l="1"/>
  <c r="H30" i="27" s="1"/>
  <c r="E50" i="31"/>
  <c r="H50" i="31" s="1"/>
  <c r="H16" i="31"/>
  <c r="O140" i="44"/>
  <c r="ML13" i="24"/>
  <c r="ML46" i="24" s="1"/>
  <c r="JN13" i="24"/>
  <c r="JN46" i="24" s="1"/>
  <c r="JD13" i="24"/>
  <c r="JD46" i="24" s="1"/>
  <c r="JQ13" i="24"/>
  <c r="JQ46" i="24" s="1"/>
  <c r="JJ13" i="24"/>
  <c r="JJ46" i="24" s="1"/>
  <c r="JH13" i="24"/>
  <c r="JH46" i="24" s="1"/>
  <c r="JO13" i="24"/>
  <c r="JO46" i="24" s="1"/>
  <c r="JR13" i="24"/>
  <c r="JR46" i="24" s="1"/>
  <c r="JM13" i="24"/>
  <c r="JM46" i="24" s="1"/>
  <c r="JS13" i="24"/>
  <c r="JS46" i="24" s="1"/>
  <c r="JK13" i="24"/>
  <c r="JK46" i="24" s="1"/>
  <c r="JF13" i="24"/>
  <c r="JF46" i="24" s="1"/>
  <c r="JP13" i="24"/>
  <c r="JP46" i="24" s="1"/>
  <c r="JI13" i="24"/>
  <c r="JI46" i="24" s="1"/>
  <c r="JG13" i="24"/>
  <c r="JG46" i="24" s="1"/>
  <c r="JL13" i="24"/>
  <c r="JL46" i="24" s="1"/>
  <c r="JE13" i="24"/>
  <c r="JE46" i="24" s="1"/>
  <c r="JT13" i="24"/>
  <c r="JT46" i="24" s="1"/>
  <c r="NI31" i="24"/>
  <c r="NJ30" i="24"/>
  <c r="MF31" i="24"/>
  <c r="MG30" i="24"/>
  <c r="LC31" i="24"/>
  <c r="LD30" i="24"/>
  <c r="JZ31" i="24"/>
  <c r="KA30" i="24"/>
  <c r="IW31" i="24"/>
  <c r="IX30" i="24"/>
  <c r="HT31" i="24"/>
  <c r="HU30" i="24"/>
  <c r="GQ31" i="24"/>
  <c r="GR30" i="24"/>
  <c r="FN31" i="24"/>
  <c r="FO30" i="24"/>
  <c r="EK31" i="24"/>
  <c r="EL30" i="24"/>
  <c r="DH31" i="24"/>
  <c r="DI30" i="24"/>
  <c r="CE31" i="24"/>
  <c r="CF30" i="24"/>
  <c r="BB31" i="24"/>
  <c r="BC30" i="24"/>
  <c r="F31" i="27" l="1"/>
  <c r="H31" i="27" s="1"/>
  <c r="O141" i="44"/>
  <c r="BH61" i="24"/>
  <c r="NO10" i="24"/>
  <c r="BJ58" i="24"/>
  <c r="KH10" i="24"/>
  <c r="BL58" i="24"/>
  <c r="KJ10" i="24"/>
  <c r="BU58" i="24"/>
  <c r="KS10" i="24"/>
  <c r="BP58" i="24"/>
  <c r="KN10" i="24"/>
  <c r="BR58" i="24"/>
  <c r="KP10" i="24"/>
  <c r="BT58" i="24"/>
  <c r="KR10" i="24"/>
  <c r="BO58" i="24"/>
  <c r="KM10" i="24"/>
  <c r="BI58" i="24"/>
  <c r="KG10" i="24"/>
  <c r="BY58" i="24"/>
  <c r="KW10" i="24"/>
  <c r="BQ58" i="24"/>
  <c r="KO10" i="24"/>
  <c r="BN58" i="24"/>
  <c r="KL10" i="24"/>
  <c r="BK58" i="24"/>
  <c r="KI10" i="24"/>
  <c r="KV10" i="24"/>
  <c r="BX58" i="24"/>
  <c r="BW58" i="24"/>
  <c r="KU10" i="24"/>
  <c r="BM58" i="24"/>
  <c r="KK10" i="24"/>
  <c r="BV58" i="24"/>
  <c r="KT10" i="24"/>
  <c r="BS58" i="24"/>
  <c r="KQ10" i="24"/>
  <c r="NI32" i="24"/>
  <c r="NJ31" i="24"/>
  <c r="MF32" i="24"/>
  <c r="MG31" i="24"/>
  <c r="LC32" i="24"/>
  <c r="LD31" i="24"/>
  <c r="JZ32" i="24"/>
  <c r="KA31" i="24"/>
  <c r="IW32" i="24"/>
  <c r="IX31" i="24"/>
  <c r="HT32" i="24"/>
  <c r="HU31" i="24"/>
  <c r="GQ32" i="24"/>
  <c r="GR31" i="24"/>
  <c r="FN32" i="24"/>
  <c r="FO31" i="24"/>
  <c r="EK32" i="24"/>
  <c r="EL31" i="24"/>
  <c r="DH32" i="24"/>
  <c r="DI31" i="24"/>
  <c r="CE32" i="24"/>
  <c r="CF31" i="24"/>
  <c r="BB32" i="24"/>
  <c r="BC31" i="24"/>
  <c r="F32" i="27" l="1"/>
  <c r="H32" i="27" s="1"/>
  <c r="L32" i="27" s="1"/>
  <c r="E17" i="31"/>
  <c r="E51" i="31" s="1"/>
  <c r="H51" i="31" s="1"/>
  <c r="F8" i="6"/>
  <c r="K50" i="31"/>
  <c r="M9" i="34"/>
  <c r="M11" i="34" s="1"/>
  <c r="H17" i="31"/>
  <c r="K51" i="31" s="1"/>
  <c r="O142" i="44"/>
  <c r="D16" i="5"/>
  <c r="G16" i="5" s="1"/>
  <c r="I16" i="5" s="1"/>
  <c r="I9" i="11"/>
  <c r="I12" i="11" s="1"/>
  <c r="NO13" i="24"/>
  <c r="NO46" i="24" s="1"/>
  <c r="BH62" i="24" s="1"/>
  <c r="KQ13" i="24"/>
  <c r="KQ46" i="24" s="1"/>
  <c r="KT13" i="24"/>
  <c r="KT46" i="24" s="1"/>
  <c r="KK13" i="24"/>
  <c r="KK46" i="24" s="1"/>
  <c r="KU13" i="24"/>
  <c r="KU46" i="24" s="1"/>
  <c r="KI13" i="24"/>
  <c r="KI46" i="24" s="1"/>
  <c r="KL13" i="24"/>
  <c r="KL46" i="24" s="1"/>
  <c r="KO13" i="24"/>
  <c r="KO46" i="24" s="1"/>
  <c r="KW13" i="24"/>
  <c r="KW46" i="24" s="1"/>
  <c r="KG13" i="24"/>
  <c r="KG46" i="24" s="1"/>
  <c r="KM13" i="24"/>
  <c r="KM46" i="24" s="1"/>
  <c r="KR13" i="24"/>
  <c r="KR46" i="24" s="1"/>
  <c r="KP13" i="24"/>
  <c r="KP46" i="24" s="1"/>
  <c r="KN13" i="24"/>
  <c r="KN46" i="24" s="1"/>
  <c r="KS13" i="24"/>
  <c r="KS46" i="24" s="1"/>
  <c r="KJ13" i="24"/>
  <c r="KJ46" i="24" s="1"/>
  <c r="KH13" i="24"/>
  <c r="KH46" i="24" s="1"/>
  <c r="KV13" i="24"/>
  <c r="KV46" i="24" s="1"/>
  <c r="NI33" i="24"/>
  <c r="NJ32" i="24"/>
  <c r="MF33" i="24"/>
  <c r="MG32" i="24"/>
  <c r="LC33" i="24"/>
  <c r="LD32" i="24"/>
  <c r="JZ33" i="24"/>
  <c r="KA32" i="24"/>
  <c r="IW33" i="24"/>
  <c r="IX32" i="24"/>
  <c r="HT33" i="24"/>
  <c r="HU32" i="24"/>
  <c r="GQ33" i="24"/>
  <c r="GR32" i="24"/>
  <c r="FN33" i="24"/>
  <c r="FO32" i="24"/>
  <c r="EK33" i="24"/>
  <c r="EL32" i="24"/>
  <c r="DH33" i="24"/>
  <c r="DI32" i="24"/>
  <c r="CE33" i="24"/>
  <c r="CF32" i="24"/>
  <c r="BB33" i="24"/>
  <c r="BC32" i="24"/>
  <c r="F33" i="27" l="1"/>
  <c r="H33" i="27" s="1"/>
  <c r="L33" i="27" s="1"/>
  <c r="H8" i="6"/>
  <c r="L8" i="6" s="1"/>
  <c r="F39" i="6"/>
  <c r="O143" i="44"/>
  <c r="BH63" i="24"/>
  <c r="BJ59" i="24"/>
  <c r="LK10" i="24"/>
  <c r="BU59" i="24"/>
  <c r="LV10" i="24"/>
  <c r="BR59" i="24"/>
  <c r="LS10" i="24"/>
  <c r="BO59" i="24"/>
  <c r="LP10" i="24"/>
  <c r="BY59" i="24"/>
  <c r="LZ10" i="24"/>
  <c r="BN59" i="24"/>
  <c r="LO10" i="24"/>
  <c r="BW59" i="24"/>
  <c r="LX10" i="24"/>
  <c r="BV59" i="24"/>
  <c r="LW10" i="24"/>
  <c r="BX59" i="24"/>
  <c r="LY10" i="24"/>
  <c r="BL59" i="24"/>
  <c r="LM10" i="24"/>
  <c r="BP59" i="24"/>
  <c r="LQ10" i="24"/>
  <c r="BT59" i="24"/>
  <c r="LU10" i="24"/>
  <c r="BI59" i="24"/>
  <c r="LJ10" i="24"/>
  <c r="BQ59" i="24"/>
  <c r="LR10" i="24"/>
  <c r="BK59" i="24"/>
  <c r="LL10" i="24"/>
  <c r="BM59" i="24"/>
  <c r="LN10" i="24"/>
  <c r="BS59" i="24"/>
  <c r="LT10" i="24"/>
  <c r="NI34" i="24"/>
  <c r="NJ33" i="24"/>
  <c r="MF34" i="24"/>
  <c r="MG33" i="24"/>
  <c r="LC34" i="24"/>
  <c r="LD33" i="24"/>
  <c r="JZ34" i="24"/>
  <c r="KA33" i="24"/>
  <c r="IW34" i="24"/>
  <c r="IX33" i="24"/>
  <c r="HT34" i="24"/>
  <c r="HU33" i="24"/>
  <c r="GQ34" i="24"/>
  <c r="GR33" i="24"/>
  <c r="FN34" i="24"/>
  <c r="FO33" i="24"/>
  <c r="EK34" i="24"/>
  <c r="EL33" i="24"/>
  <c r="DH34" i="24"/>
  <c r="DI33" i="24"/>
  <c r="CE34" i="24"/>
  <c r="CF33" i="24"/>
  <c r="BB34" i="24"/>
  <c r="BC33" i="24"/>
  <c r="F9" i="6" l="1"/>
  <c r="O144" i="44"/>
  <c r="LT13" i="24"/>
  <c r="LT46" i="24" s="1"/>
  <c r="LN13" i="24"/>
  <c r="LN46" i="24" s="1"/>
  <c r="LL13" i="24"/>
  <c r="LL46" i="24" s="1"/>
  <c r="LR13" i="24"/>
  <c r="LR46" i="24" s="1"/>
  <c r="LJ13" i="24"/>
  <c r="LJ46" i="24" s="1"/>
  <c r="LU13" i="24"/>
  <c r="LU46" i="24" s="1"/>
  <c r="LQ13" i="24"/>
  <c r="LQ46" i="24" s="1"/>
  <c r="LM13" i="24"/>
  <c r="LM46" i="24" s="1"/>
  <c r="LY13" i="24"/>
  <c r="LY46" i="24" s="1"/>
  <c r="LW13" i="24"/>
  <c r="LW46" i="24" s="1"/>
  <c r="LX13" i="24"/>
  <c r="LX46" i="24" s="1"/>
  <c r="LO13" i="24"/>
  <c r="LO46" i="24" s="1"/>
  <c r="LZ13" i="24"/>
  <c r="LZ46" i="24" s="1"/>
  <c r="LP13" i="24"/>
  <c r="LP46" i="24" s="1"/>
  <c r="LS13" i="24"/>
  <c r="LS46" i="24" s="1"/>
  <c r="LV13" i="24"/>
  <c r="LV46" i="24" s="1"/>
  <c r="LK13" i="24"/>
  <c r="LK46" i="24" s="1"/>
  <c r="NI35" i="24"/>
  <c r="NJ34" i="24"/>
  <c r="MF35" i="24"/>
  <c r="MG34" i="24"/>
  <c r="LC35" i="24"/>
  <c r="LD34" i="24"/>
  <c r="JZ35" i="24"/>
  <c r="KA34" i="24"/>
  <c r="IW35" i="24"/>
  <c r="IX34" i="24"/>
  <c r="HT35" i="24"/>
  <c r="HU34" i="24"/>
  <c r="GQ35" i="24"/>
  <c r="GR34" i="24"/>
  <c r="FN35" i="24"/>
  <c r="FO34" i="24"/>
  <c r="EK35" i="24"/>
  <c r="EL34" i="24"/>
  <c r="DH35" i="24"/>
  <c r="DI34" i="24"/>
  <c r="CE35" i="24"/>
  <c r="CF34" i="24"/>
  <c r="BB35" i="24"/>
  <c r="BC34" i="24"/>
  <c r="F34" i="27" l="1"/>
  <c r="H34" i="27" s="1"/>
  <c r="L34" i="27" s="1"/>
  <c r="O145" i="44"/>
  <c r="BU60" i="24"/>
  <c r="MY10" i="24"/>
  <c r="BO60" i="24"/>
  <c r="MS10" i="24"/>
  <c r="BN60" i="24"/>
  <c r="MR10" i="24"/>
  <c r="BV60" i="24"/>
  <c r="MZ10" i="24"/>
  <c r="BL60" i="24"/>
  <c r="MP10" i="24"/>
  <c r="BT60" i="24"/>
  <c r="MX10" i="24"/>
  <c r="BQ60" i="24"/>
  <c r="MU10" i="24"/>
  <c r="BM60" i="24"/>
  <c r="MQ10" i="24"/>
  <c r="BJ60" i="24"/>
  <c r="MN10" i="24"/>
  <c r="BR60" i="24"/>
  <c r="MV10" i="24"/>
  <c r="NC10" i="24"/>
  <c r="BY60" i="24"/>
  <c r="BW60" i="24"/>
  <c r="NA10" i="24"/>
  <c r="NB10" i="24"/>
  <c r="BX60" i="24"/>
  <c r="BP60" i="24"/>
  <c r="MT10" i="24"/>
  <c r="BI60" i="24"/>
  <c r="MM10" i="24"/>
  <c r="BK60" i="24"/>
  <c r="MO10" i="24"/>
  <c r="BS60" i="24"/>
  <c r="MW10" i="24"/>
  <c r="NI36" i="24"/>
  <c r="NJ35" i="24"/>
  <c r="MF36" i="24"/>
  <c r="MG35" i="24"/>
  <c r="LC36" i="24"/>
  <c r="LD35" i="24"/>
  <c r="JZ36" i="24"/>
  <c r="KA35" i="24"/>
  <c r="IW36" i="24"/>
  <c r="IX35" i="24"/>
  <c r="HT36" i="24"/>
  <c r="HU35" i="24"/>
  <c r="GQ36" i="24"/>
  <c r="GR35" i="24"/>
  <c r="FN36" i="24"/>
  <c r="FO35" i="24"/>
  <c r="EK36" i="24"/>
  <c r="EL35" i="24"/>
  <c r="DH36" i="24"/>
  <c r="DI35" i="24"/>
  <c r="CE36" i="24"/>
  <c r="CF35" i="24"/>
  <c r="BB36" i="24"/>
  <c r="BC35" i="24"/>
  <c r="F35" i="27" l="1"/>
  <c r="O146" i="44"/>
  <c r="MW13" i="24"/>
  <c r="MW46" i="24" s="1"/>
  <c r="MO13" i="24"/>
  <c r="MO46" i="24" s="1"/>
  <c r="MM13" i="24"/>
  <c r="MM46" i="24" s="1"/>
  <c r="MT13" i="24"/>
  <c r="MT46" i="24" s="1"/>
  <c r="NA13" i="24"/>
  <c r="NA46" i="24" s="1"/>
  <c r="MV13" i="24"/>
  <c r="MV46" i="24" s="1"/>
  <c r="MN13" i="24"/>
  <c r="MN46" i="24" s="1"/>
  <c r="MQ13" i="24"/>
  <c r="MQ46" i="24" s="1"/>
  <c r="MU13" i="24"/>
  <c r="MU46" i="24" s="1"/>
  <c r="MX13" i="24"/>
  <c r="MX46" i="24" s="1"/>
  <c r="MP13" i="24"/>
  <c r="MP46" i="24" s="1"/>
  <c r="MZ13" i="24"/>
  <c r="MZ46" i="24" s="1"/>
  <c r="MR13" i="24"/>
  <c r="MR46" i="24" s="1"/>
  <c r="MS13" i="24"/>
  <c r="MS46" i="24" s="1"/>
  <c r="MY13" i="24"/>
  <c r="MY46" i="24" s="1"/>
  <c r="NB13" i="24"/>
  <c r="NB46" i="24" s="1"/>
  <c r="NC13" i="24"/>
  <c r="NC46" i="24" s="1"/>
  <c r="NI37" i="24"/>
  <c r="NJ36" i="24"/>
  <c r="MF37" i="24"/>
  <c r="MG36" i="24"/>
  <c r="LC37" i="24"/>
  <c r="LD36" i="24"/>
  <c r="JZ37" i="24"/>
  <c r="KA36" i="24"/>
  <c r="IW37" i="24"/>
  <c r="IX36" i="24"/>
  <c r="HT37" i="24"/>
  <c r="HU36" i="24"/>
  <c r="GQ37" i="24"/>
  <c r="GR36" i="24"/>
  <c r="FN37" i="24"/>
  <c r="FO36" i="24"/>
  <c r="EK37" i="24"/>
  <c r="EL36" i="24"/>
  <c r="DH37" i="24"/>
  <c r="DI36" i="24"/>
  <c r="CE37" i="24"/>
  <c r="CF36" i="24"/>
  <c r="BB37" i="24"/>
  <c r="BC36" i="24"/>
  <c r="H35" i="27" l="1"/>
  <c r="L35" i="27" s="1"/>
  <c r="O147" i="44"/>
  <c r="OE10" i="24"/>
  <c r="BX61" i="24"/>
  <c r="BO61" i="24"/>
  <c r="NV10" i="24"/>
  <c r="BV61" i="24"/>
  <c r="OC10" i="24"/>
  <c r="BT61" i="24"/>
  <c r="OA10" i="24"/>
  <c r="BM61" i="24"/>
  <c r="NT10" i="24"/>
  <c r="BR61" i="24"/>
  <c r="NY10" i="24"/>
  <c r="BP61" i="24"/>
  <c r="NW10" i="24"/>
  <c r="BK61" i="24"/>
  <c r="NR10" i="24"/>
  <c r="OF10" i="24"/>
  <c r="BY61" i="24"/>
  <c r="BU61" i="24"/>
  <c r="OB10" i="24"/>
  <c r="BN61" i="24"/>
  <c r="NU10" i="24"/>
  <c r="BL61" i="24"/>
  <c r="NS10" i="24"/>
  <c r="BQ61" i="24"/>
  <c r="NX10" i="24"/>
  <c r="BJ61" i="24"/>
  <c r="NQ10" i="24"/>
  <c r="BW61" i="24"/>
  <c r="OD10" i="24"/>
  <c r="BI61" i="24"/>
  <c r="NP10" i="24"/>
  <c r="BS61" i="24"/>
  <c r="NZ10" i="24"/>
  <c r="NI38" i="24"/>
  <c r="NJ37" i="24"/>
  <c r="MF38" i="24"/>
  <c r="MG37" i="24"/>
  <c r="LC38" i="24"/>
  <c r="LD37" i="24"/>
  <c r="JZ38" i="24"/>
  <c r="KA37" i="24"/>
  <c r="IW38" i="24"/>
  <c r="IX37" i="24"/>
  <c r="HT38" i="24"/>
  <c r="HU37" i="24"/>
  <c r="GQ38" i="24"/>
  <c r="GR37" i="24"/>
  <c r="FN38" i="24"/>
  <c r="FO37" i="24"/>
  <c r="EK38" i="24"/>
  <c r="EL37" i="24"/>
  <c r="DH38" i="24"/>
  <c r="DI37" i="24"/>
  <c r="CE38" i="24"/>
  <c r="CF37" i="24"/>
  <c r="BB38" i="24"/>
  <c r="BC37" i="24"/>
  <c r="F36" i="27" l="1"/>
  <c r="O148" i="44"/>
  <c r="D33" i="5"/>
  <c r="G33" i="5" s="1"/>
  <c r="I33" i="5" s="1"/>
  <c r="Z9" i="11"/>
  <c r="Z12" i="11" s="1"/>
  <c r="D32" i="5"/>
  <c r="G32" i="5" s="1"/>
  <c r="I32" i="5" s="1"/>
  <c r="Y9" i="11"/>
  <c r="Y12" i="11" s="1"/>
  <c r="D27" i="5"/>
  <c r="G27" i="5" s="1"/>
  <c r="I27" i="5" s="1"/>
  <c r="T9" i="11"/>
  <c r="T12" i="11" s="1"/>
  <c r="D17" i="5"/>
  <c r="G17" i="5" s="1"/>
  <c r="I17" i="5" s="1"/>
  <c r="J9" i="11"/>
  <c r="J12" i="11" s="1"/>
  <c r="D31" i="5"/>
  <c r="G31" i="5" s="1"/>
  <c r="I31" i="5" s="1"/>
  <c r="X9" i="11"/>
  <c r="X12" i="11" s="1"/>
  <c r="D18" i="5"/>
  <c r="G18" i="5" s="1"/>
  <c r="I18" i="5" s="1"/>
  <c r="K9" i="11"/>
  <c r="K12" i="11" s="1"/>
  <c r="D25" i="5"/>
  <c r="G25" i="5" s="1"/>
  <c r="I25" i="5" s="1"/>
  <c r="R9" i="11"/>
  <c r="R12" i="11" s="1"/>
  <c r="D20" i="5"/>
  <c r="G20" i="5" s="1"/>
  <c r="I20" i="5" s="1"/>
  <c r="M9" i="11"/>
  <c r="M12" i="11" s="1"/>
  <c r="D22" i="5"/>
  <c r="G22" i="5" s="1"/>
  <c r="I22" i="5" s="1"/>
  <c r="O9" i="11"/>
  <c r="O12" i="11" s="1"/>
  <c r="D29" i="5"/>
  <c r="G29" i="5" s="1"/>
  <c r="I29" i="5" s="1"/>
  <c r="V9" i="11"/>
  <c r="V12" i="11" s="1"/>
  <c r="D19" i="5"/>
  <c r="G19" i="5" s="1"/>
  <c r="I19" i="5" s="1"/>
  <c r="L9" i="11"/>
  <c r="L12" i="11" s="1"/>
  <c r="D24" i="5"/>
  <c r="G24" i="5" s="1"/>
  <c r="I24" i="5" s="1"/>
  <c r="Q9" i="11"/>
  <c r="Q12" i="11" s="1"/>
  <c r="D26" i="5"/>
  <c r="G26" i="5" s="1"/>
  <c r="I26" i="5" s="1"/>
  <c r="S9" i="11"/>
  <c r="S12" i="11" s="1"/>
  <c r="D21" i="5"/>
  <c r="G21" i="5" s="1"/>
  <c r="I21" i="5" s="1"/>
  <c r="N9" i="11"/>
  <c r="N12" i="11" s="1"/>
  <c r="D28" i="5"/>
  <c r="G28" i="5" s="1"/>
  <c r="I28" i="5" s="1"/>
  <c r="U9" i="11"/>
  <c r="U12" i="11" s="1"/>
  <c r="D30" i="5"/>
  <c r="G30" i="5" s="1"/>
  <c r="I30" i="5" s="1"/>
  <c r="W9" i="11"/>
  <c r="W12" i="11" s="1"/>
  <c r="D23" i="5"/>
  <c r="G23" i="5" s="1"/>
  <c r="I23" i="5" s="1"/>
  <c r="P9" i="11"/>
  <c r="P12" i="11" s="1"/>
  <c r="NZ13" i="24"/>
  <c r="NZ46" i="24" s="1"/>
  <c r="BS62" i="24" s="1"/>
  <c r="NP13" i="24"/>
  <c r="NP46" i="24" s="1"/>
  <c r="BI62" i="24" s="1"/>
  <c r="OD13" i="24"/>
  <c r="OD46" i="24" s="1"/>
  <c r="BW62" i="24" s="1"/>
  <c r="NQ13" i="24"/>
  <c r="NQ46" i="24" s="1"/>
  <c r="BJ62" i="24" s="1"/>
  <c r="NX13" i="24"/>
  <c r="NX46" i="24" s="1"/>
  <c r="BQ62" i="24" s="1"/>
  <c r="NS13" i="24"/>
  <c r="NS46" i="24" s="1"/>
  <c r="BL62" i="24" s="1"/>
  <c r="NU13" i="24"/>
  <c r="NU46" i="24" s="1"/>
  <c r="BN62" i="24" s="1"/>
  <c r="OB13" i="24"/>
  <c r="OB46" i="24" s="1"/>
  <c r="BU62" i="24" s="1"/>
  <c r="NR13" i="24"/>
  <c r="NR46" i="24" s="1"/>
  <c r="BK62" i="24" s="1"/>
  <c r="NW13" i="24"/>
  <c r="NW46" i="24" s="1"/>
  <c r="BP62" i="24" s="1"/>
  <c r="NY13" i="24"/>
  <c r="NY46" i="24" s="1"/>
  <c r="BR62" i="24" s="1"/>
  <c r="NT13" i="24"/>
  <c r="NT46" i="24" s="1"/>
  <c r="BM62" i="24" s="1"/>
  <c r="OA13" i="24"/>
  <c r="OA46" i="24" s="1"/>
  <c r="BT62" i="24" s="1"/>
  <c r="OC13" i="24"/>
  <c r="OC46" i="24" s="1"/>
  <c r="BV62" i="24" s="1"/>
  <c r="NV13" i="24"/>
  <c r="NV46" i="24" s="1"/>
  <c r="BO62" i="24" s="1"/>
  <c r="OF13" i="24"/>
  <c r="OF46" i="24" s="1"/>
  <c r="BY62" i="24" s="1"/>
  <c r="OE13" i="24"/>
  <c r="OE46" i="24" s="1"/>
  <c r="BX62" i="24" s="1"/>
  <c r="NI39" i="24"/>
  <c r="NJ38" i="24"/>
  <c r="MF39" i="24"/>
  <c r="MG38" i="24"/>
  <c r="LC39" i="24"/>
  <c r="LD38" i="24"/>
  <c r="JZ39" i="24"/>
  <c r="KA38" i="24"/>
  <c r="IW39" i="24"/>
  <c r="IX38" i="24"/>
  <c r="HT39" i="24"/>
  <c r="HU38" i="24"/>
  <c r="GQ39" i="24"/>
  <c r="GR38" i="24"/>
  <c r="FN39" i="24"/>
  <c r="FO38" i="24"/>
  <c r="EK39" i="24"/>
  <c r="EL38" i="24"/>
  <c r="DH39" i="24"/>
  <c r="DI38" i="24"/>
  <c r="CE39" i="24"/>
  <c r="CF38" i="24"/>
  <c r="BB39" i="24"/>
  <c r="BC38" i="24"/>
  <c r="H36" i="27" l="1"/>
  <c r="L36" i="27" s="1"/>
  <c r="O149" i="44"/>
  <c r="NI40" i="24"/>
  <c r="NJ39" i="24"/>
  <c r="MF40" i="24"/>
  <c r="MG39" i="24"/>
  <c r="LC40" i="24"/>
  <c r="LD39" i="24"/>
  <c r="JZ40" i="24"/>
  <c r="KA39" i="24"/>
  <c r="IW40" i="24"/>
  <c r="IX39" i="24"/>
  <c r="HT40" i="24"/>
  <c r="HU39" i="24"/>
  <c r="GQ40" i="24"/>
  <c r="GR39" i="24"/>
  <c r="FN40" i="24"/>
  <c r="FO39" i="24"/>
  <c r="EK40" i="24"/>
  <c r="EL39" i="24"/>
  <c r="DH40" i="24"/>
  <c r="DI39" i="24"/>
  <c r="CE40" i="24"/>
  <c r="CF39" i="24"/>
  <c r="BB40" i="24"/>
  <c r="BC39" i="24"/>
  <c r="F37" i="27" l="1"/>
  <c r="H37" i="27" s="1"/>
  <c r="L37" i="27" s="1"/>
  <c r="O150" i="44"/>
  <c r="NI41" i="24"/>
  <c r="NJ40" i="24"/>
  <c r="MF41" i="24"/>
  <c r="MG40" i="24"/>
  <c r="LC41" i="24"/>
  <c r="LD40" i="24"/>
  <c r="JZ41" i="24"/>
  <c r="KA40" i="24"/>
  <c r="IW41" i="24"/>
  <c r="IX40" i="24"/>
  <c r="HT41" i="24"/>
  <c r="HU40" i="24"/>
  <c r="GQ41" i="24"/>
  <c r="GR40" i="24"/>
  <c r="FN41" i="24"/>
  <c r="FO40" i="24"/>
  <c r="EK41" i="24"/>
  <c r="EL40" i="24"/>
  <c r="DH41" i="24"/>
  <c r="DI40" i="24"/>
  <c r="CE41" i="24"/>
  <c r="CF40" i="24"/>
  <c r="BB41" i="24"/>
  <c r="BC40" i="24"/>
  <c r="F38" i="27" l="1"/>
  <c r="H38" i="27" s="1"/>
  <c r="O151" i="44"/>
  <c r="NI42" i="24"/>
  <c r="NJ41" i="24"/>
  <c r="MF42" i="24"/>
  <c r="MG41" i="24"/>
  <c r="LC42" i="24"/>
  <c r="LD41" i="24"/>
  <c r="JZ42" i="24"/>
  <c r="KA41" i="24"/>
  <c r="IW42" i="24"/>
  <c r="IX41" i="24"/>
  <c r="HT42" i="24"/>
  <c r="HU41" i="24"/>
  <c r="GQ42" i="24"/>
  <c r="GR41" i="24"/>
  <c r="FN42" i="24"/>
  <c r="FO41" i="24"/>
  <c r="EK42" i="24"/>
  <c r="EL41" i="24"/>
  <c r="DH42" i="24"/>
  <c r="DI41" i="24"/>
  <c r="CE42" i="24"/>
  <c r="CF41" i="24"/>
  <c r="BB42" i="24"/>
  <c r="BC41" i="24"/>
  <c r="O152" i="44" l="1"/>
  <c r="NI43" i="24"/>
  <c r="NJ42" i="24"/>
  <c r="MF43" i="24"/>
  <c r="MG42" i="24"/>
  <c r="LC43" i="24"/>
  <c r="LD42" i="24"/>
  <c r="JZ43" i="24"/>
  <c r="KA42" i="24"/>
  <c r="IW43" i="24"/>
  <c r="IX42" i="24"/>
  <c r="HT43" i="24"/>
  <c r="HU42" i="24"/>
  <c r="GQ43" i="24"/>
  <c r="GR42" i="24"/>
  <c r="FN43" i="24"/>
  <c r="FO42" i="24"/>
  <c r="EK43" i="24"/>
  <c r="EL42" i="24"/>
  <c r="DH43" i="24"/>
  <c r="DI42" i="24"/>
  <c r="CE43" i="24"/>
  <c r="CF42" i="24"/>
  <c r="BB43" i="24"/>
  <c r="BC42" i="24"/>
  <c r="O153" i="44" l="1"/>
  <c r="NI44" i="24"/>
  <c r="NJ44" i="24" s="1"/>
  <c r="NJ43" i="24"/>
  <c r="MF44" i="24"/>
  <c r="MG44" i="24" s="1"/>
  <c r="MG43" i="24"/>
  <c r="LC44" i="24"/>
  <c r="LD44" i="24" s="1"/>
  <c r="LD43" i="24"/>
  <c r="JZ44" i="24"/>
  <c r="KA44" i="24" s="1"/>
  <c r="KA43" i="24"/>
  <c r="IW44" i="24"/>
  <c r="IX44" i="24" s="1"/>
  <c r="IX43" i="24"/>
  <c r="HT44" i="24"/>
  <c r="HU44" i="24" s="1"/>
  <c r="HU43" i="24"/>
  <c r="GQ44" i="24"/>
  <c r="GR44" i="24" s="1"/>
  <c r="GR43" i="24"/>
  <c r="FN44" i="24"/>
  <c r="FO44" i="24" s="1"/>
  <c r="FO43" i="24"/>
  <c r="EK44" i="24"/>
  <c r="EL44" i="24" s="1"/>
  <c r="EL43" i="24"/>
  <c r="DH44" i="24"/>
  <c r="DI44" i="24" s="1"/>
  <c r="DI43" i="24"/>
  <c r="CE44" i="24"/>
  <c r="CF44" i="24" s="1"/>
  <c r="CF43" i="24"/>
  <c r="BB44" i="24"/>
  <c r="BC44" i="24" s="1"/>
  <c r="BC43" i="24"/>
  <c r="O154" i="44" l="1"/>
  <c r="H8" i="1"/>
  <c r="H9" i="1"/>
  <c r="H10" i="1"/>
  <c r="H11" i="1"/>
  <c r="H12" i="1"/>
  <c r="H13" i="1"/>
  <c r="H14" i="1"/>
  <c r="H6" i="1"/>
  <c r="E7" i="1"/>
  <c r="E8" i="1"/>
  <c r="E9" i="1"/>
  <c r="E10" i="1"/>
  <c r="E11" i="1"/>
  <c r="E12" i="1"/>
  <c r="E13" i="1"/>
  <c r="E14" i="1"/>
  <c r="O155" i="44" l="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O156" i="44" l="1"/>
  <c r="Q15" i="11"/>
  <c r="Q19" i="11"/>
  <c r="Q25" i="11"/>
  <c r="Q29" i="11"/>
  <c r="Q36" i="11"/>
  <c r="Q34" i="11"/>
  <c r="Q16" i="11"/>
  <c r="Q20" i="11"/>
  <c r="Q26" i="11"/>
  <c r="Q30" i="11"/>
  <c r="Q35" i="11"/>
  <c r="Q41" i="11"/>
  <c r="Q17" i="11"/>
  <c r="Q23" i="11"/>
  <c r="Q27" i="11"/>
  <c r="Q33" i="11"/>
  <c r="Q42" i="11"/>
  <c r="Q14" i="11"/>
  <c r="Q18" i="11"/>
  <c r="Q24" i="11"/>
  <c r="Q28" i="11"/>
  <c r="Q32" i="11"/>
  <c r="Q39" i="11"/>
  <c r="Q43" i="11"/>
  <c r="Q21" i="11"/>
  <c r="Q37" i="11"/>
  <c r="Q13" i="11"/>
  <c r="Q31" i="11"/>
  <c r="Q40" i="11"/>
  <c r="Q38" i="11"/>
  <c r="Q22" i="11"/>
  <c r="O40" i="11"/>
  <c r="O32" i="11"/>
  <c r="O22" i="11"/>
  <c r="O18" i="11"/>
  <c r="O37" i="11"/>
  <c r="O33" i="11"/>
  <c r="O25" i="11"/>
  <c r="O23" i="11"/>
  <c r="O15" i="11"/>
  <c r="O36" i="11"/>
  <c r="O30" i="11"/>
  <c r="O26" i="11"/>
  <c r="O24" i="11"/>
  <c r="O20" i="11"/>
  <c r="O19" i="11"/>
  <c r="O17" i="11"/>
  <c r="O42" i="11"/>
  <c r="O41" i="11"/>
  <c r="O35" i="11"/>
  <c r="O27" i="11"/>
  <c r="O43" i="11"/>
  <c r="O13" i="11"/>
  <c r="O31" i="11"/>
  <c r="O28" i="11"/>
  <c r="O38" i="11"/>
  <c r="O29" i="11"/>
  <c r="O34" i="11"/>
  <c r="O16" i="11"/>
  <c r="O39" i="11"/>
  <c r="O14" i="11"/>
  <c r="O21" i="11"/>
  <c r="M38" i="11"/>
  <c r="M36" i="11"/>
  <c r="M30" i="11"/>
  <c r="M28" i="11"/>
  <c r="M26" i="11"/>
  <c r="M24" i="11"/>
  <c r="M20" i="11"/>
  <c r="M19" i="11"/>
  <c r="M17" i="11"/>
  <c r="M14" i="11"/>
  <c r="M42" i="11"/>
  <c r="M41" i="11"/>
  <c r="M39" i="11"/>
  <c r="M35" i="11"/>
  <c r="M31" i="11"/>
  <c r="M43" i="11"/>
  <c r="M40" i="11"/>
  <c r="M34" i="11"/>
  <c r="M16" i="11"/>
  <c r="M33" i="11"/>
  <c r="M29" i="11"/>
  <c r="M25" i="11"/>
  <c r="M23" i="11"/>
  <c r="M22" i="11"/>
  <c r="M21" i="11"/>
  <c r="M18" i="11"/>
  <c r="M15" i="11"/>
  <c r="M32" i="11"/>
  <c r="M13" i="11"/>
  <c r="M37" i="11"/>
  <c r="M27" i="11"/>
  <c r="K40" i="11"/>
  <c r="K34" i="11"/>
  <c r="K16" i="11"/>
  <c r="K33" i="11"/>
  <c r="K29" i="11"/>
  <c r="K27" i="11"/>
  <c r="K25" i="11"/>
  <c r="K23" i="11"/>
  <c r="K38" i="11"/>
  <c r="K36" i="11"/>
  <c r="K32" i="11"/>
  <c r="K30" i="11"/>
  <c r="K28" i="11"/>
  <c r="K26" i="11"/>
  <c r="K24" i="11"/>
  <c r="K22" i="11"/>
  <c r="K20" i="11"/>
  <c r="K19" i="11"/>
  <c r="K18" i="11"/>
  <c r="K17" i="11"/>
  <c r="K14" i="11"/>
  <c r="K42" i="11"/>
  <c r="K41" i="11"/>
  <c r="K39" i="11"/>
  <c r="K37" i="11"/>
  <c r="K35" i="11"/>
  <c r="K31" i="11"/>
  <c r="K15" i="11"/>
  <c r="K43" i="11"/>
  <c r="K13" i="11"/>
  <c r="K21" i="11"/>
  <c r="P40" i="11"/>
  <c r="P38" i="11"/>
  <c r="P34" i="11"/>
  <c r="P32" i="11"/>
  <c r="P24" i="11"/>
  <c r="P22" i="11"/>
  <c r="P20" i="11"/>
  <c r="P19" i="11"/>
  <c r="P18" i="11"/>
  <c r="P14" i="11"/>
  <c r="P41" i="11"/>
  <c r="P39" i="11"/>
  <c r="P23" i="11"/>
  <c r="P15" i="11"/>
  <c r="P36" i="11"/>
  <c r="P17" i="11"/>
  <c r="P35" i="11"/>
  <c r="P31" i="11"/>
  <c r="P29" i="11"/>
  <c r="P27" i="11"/>
  <c r="P25" i="11"/>
  <c r="P43" i="11"/>
  <c r="P21" i="11"/>
  <c r="P13" i="11"/>
  <c r="P28" i="11"/>
  <c r="P33" i="11"/>
  <c r="P42" i="11"/>
  <c r="P37" i="11"/>
  <c r="P26" i="11"/>
  <c r="P16" i="11"/>
  <c r="P30" i="11"/>
  <c r="N30" i="11"/>
  <c r="N16" i="11"/>
  <c r="N42" i="11"/>
  <c r="N35" i="11"/>
  <c r="N33" i="11"/>
  <c r="N29" i="11"/>
  <c r="N27" i="11"/>
  <c r="N43" i="11"/>
  <c r="N40" i="11"/>
  <c r="N38" i="11"/>
  <c r="N34" i="11"/>
  <c r="N32" i="11"/>
  <c r="N22" i="11"/>
  <c r="N20" i="11"/>
  <c r="N19" i="11"/>
  <c r="N18" i="11"/>
  <c r="N14" i="11"/>
  <c r="N41" i="11"/>
  <c r="N39" i="11"/>
  <c r="N37" i="11"/>
  <c r="N23" i="11"/>
  <c r="N15" i="11"/>
  <c r="N21" i="11"/>
  <c r="N13" i="11"/>
  <c r="N25" i="11"/>
  <c r="N26" i="11"/>
  <c r="N17" i="11"/>
  <c r="N28" i="11"/>
  <c r="N31" i="11"/>
  <c r="N24" i="11"/>
  <c r="N36" i="11"/>
  <c r="L40" i="11"/>
  <c r="L38" i="11"/>
  <c r="L32" i="11"/>
  <c r="L28" i="11"/>
  <c r="L22" i="11"/>
  <c r="L18" i="11"/>
  <c r="L14" i="11"/>
  <c r="L39" i="11"/>
  <c r="L37" i="11"/>
  <c r="L31" i="11"/>
  <c r="L25" i="11"/>
  <c r="L23" i="11"/>
  <c r="L15" i="11"/>
  <c r="L30" i="11"/>
  <c r="L24" i="11"/>
  <c r="L16" i="11"/>
  <c r="L42" i="11"/>
  <c r="L29" i="11"/>
  <c r="L27" i="11"/>
  <c r="L43" i="11"/>
  <c r="L13" i="11"/>
  <c r="L21" i="11"/>
  <c r="L19" i="11"/>
  <c r="L36" i="11"/>
  <c r="L20" i="11"/>
  <c r="L34" i="11"/>
  <c r="L41" i="11"/>
  <c r="L17" i="11"/>
  <c r="L35" i="11"/>
  <c r="L26" i="11"/>
  <c r="L33" i="11"/>
  <c r="J36" i="11"/>
  <c r="J34" i="11"/>
  <c r="J30" i="11"/>
  <c r="J26" i="11"/>
  <c r="J24" i="11"/>
  <c r="J20" i="11"/>
  <c r="J19" i="11"/>
  <c r="J17" i="11"/>
  <c r="J16" i="11"/>
  <c r="J42" i="11"/>
  <c r="J41" i="11"/>
  <c r="J35" i="11"/>
  <c r="J29" i="11"/>
  <c r="J27" i="11"/>
  <c r="J43" i="11"/>
  <c r="J40" i="11"/>
  <c r="J38" i="11"/>
  <c r="J32" i="11"/>
  <c r="J28" i="11"/>
  <c r="J22" i="11"/>
  <c r="J18" i="11"/>
  <c r="J14" i="11"/>
  <c r="J39" i="11"/>
  <c r="J37" i="11"/>
  <c r="J33" i="11"/>
  <c r="J31" i="11"/>
  <c r="J25" i="11"/>
  <c r="J23" i="11"/>
  <c r="J15" i="11"/>
  <c r="J13" i="11"/>
  <c r="J21" i="11"/>
  <c r="I11" i="24"/>
  <c r="J25" i="24" s="1"/>
  <c r="G26" i="19"/>
  <c r="O157" i="44" l="1"/>
  <c r="E3" i="1"/>
  <c r="H3" i="1"/>
  <c r="D10" i="12" l="1"/>
  <c r="C11" i="12"/>
  <c r="O158" i="44"/>
  <c r="E68" i="17"/>
  <c r="C9" i="6"/>
  <c r="K9" i="6" s="1"/>
  <c r="T9" i="6" l="1"/>
  <c r="G9" i="6"/>
  <c r="H9" i="6" s="1"/>
  <c r="D9" i="6"/>
  <c r="D11" i="12"/>
  <c r="C12" i="12"/>
  <c r="O159" i="44"/>
  <c r="E69" i="17"/>
  <c r="E70" i="17"/>
  <c r="E73" i="17"/>
  <c r="C10" i="6"/>
  <c r="K10" i="6" s="1"/>
  <c r="T10" i="6" s="1"/>
  <c r="L9" i="6" l="1"/>
  <c r="F10" i="6"/>
  <c r="G10" i="6"/>
  <c r="D12" i="12"/>
  <c r="C13" i="12"/>
  <c r="O160" i="44"/>
  <c r="E72" i="17"/>
  <c r="E74" i="17" s="1"/>
  <c r="AJ55" i="26" s="1"/>
  <c r="AP55" i="26"/>
  <c r="AN55" i="26"/>
  <c r="AX55" i="26"/>
  <c r="AZ55" i="26"/>
  <c r="AV55" i="26"/>
  <c r="AR55" i="26"/>
  <c r="AL55" i="26"/>
  <c r="BA55" i="26"/>
  <c r="AW55" i="26"/>
  <c r="AS55" i="26"/>
  <c r="AO55" i="26"/>
  <c r="AK55" i="26"/>
  <c r="AY55" i="26"/>
  <c r="AU55" i="26"/>
  <c r="AQ55" i="26"/>
  <c r="AM55" i="26"/>
  <c r="AT55" i="26"/>
  <c r="D10" i="6"/>
  <c r="C11" i="6"/>
  <c r="D13" i="11"/>
  <c r="G11" i="6" l="1"/>
  <c r="K11" i="6"/>
  <c r="H10" i="6"/>
  <c r="D13" i="12"/>
  <c r="C14" i="12"/>
  <c r="O161" i="44"/>
  <c r="AU288" i="44" s="1"/>
  <c r="AT57" i="26"/>
  <c r="I7" i="1" s="1"/>
  <c r="AQ57" i="26"/>
  <c r="F13" i="1" s="1"/>
  <c r="AY57" i="26"/>
  <c r="I12" i="1" s="1"/>
  <c r="AO57" i="26"/>
  <c r="F11" i="1" s="1"/>
  <c r="AW57" i="26"/>
  <c r="I10" i="1" s="1"/>
  <c r="AL57" i="26"/>
  <c r="F8" i="1" s="1"/>
  <c r="AV57" i="26"/>
  <c r="I9" i="1" s="1"/>
  <c r="AX57" i="26"/>
  <c r="I11" i="1" s="1"/>
  <c r="AN57" i="26"/>
  <c r="F10" i="1" s="1"/>
  <c r="AM57" i="26"/>
  <c r="F9" i="1" s="1"/>
  <c r="AU57" i="26"/>
  <c r="I8" i="1" s="1"/>
  <c r="AK57" i="26"/>
  <c r="F7" i="1" s="1"/>
  <c r="AS57" i="26"/>
  <c r="I6" i="1" s="1"/>
  <c r="BA57" i="26"/>
  <c r="I14" i="1" s="1"/>
  <c r="AR57" i="26"/>
  <c r="F14" i="1" s="1"/>
  <c r="AZ57" i="26"/>
  <c r="I13" i="1" s="1"/>
  <c r="AJ57" i="26"/>
  <c r="F6" i="1" s="1"/>
  <c r="AP57" i="26"/>
  <c r="F12" i="1" s="1"/>
  <c r="C12" i="6"/>
  <c r="D11" i="6"/>
  <c r="C14" i="11"/>
  <c r="D14" i="11" s="1"/>
  <c r="F11" i="6" l="1"/>
  <c r="L10" i="6"/>
  <c r="T11" i="6"/>
  <c r="G12" i="6"/>
  <c r="K12" i="6"/>
  <c r="T12" i="6" s="1"/>
  <c r="D14" i="12"/>
  <c r="C15" i="12"/>
  <c r="O162" i="44"/>
  <c r="C13" i="6"/>
  <c r="D12" i="6"/>
  <c r="C15" i="11"/>
  <c r="D15" i="11" s="1"/>
  <c r="G13" i="6" l="1"/>
  <c r="K13" i="6"/>
  <c r="T13" i="6" s="1"/>
  <c r="H11" i="6"/>
  <c r="D15" i="12"/>
  <c r="C16" i="12"/>
  <c r="O163" i="44"/>
  <c r="C14" i="6"/>
  <c r="D13" i="6"/>
  <c r="C16" i="11"/>
  <c r="D16" i="11" s="1"/>
  <c r="F12" i="6" l="1"/>
  <c r="H12" i="6" s="1"/>
  <c r="L11" i="6"/>
  <c r="G14" i="6"/>
  <c r="K14" i="6"/>
  <c r="T14" i="6" s="1"/>
  <c r="D16" i="12"/>
  <c r="C17" i="12"/>
  <c r="O164" i="44"/>
  <c r="C15" i="6"/>
  <c r="D14" i="6"/>
  <c r="C17" i="11"/>
  <c r="D17" i="11" s="1"/>
  <c r="F13" i="6" l="1"/>
  <c r="H13" i="6" s="1"/>
  <c r="L12" i="6"/>
  <c r="G15" i="6"/>
  <c r="K15" i="6"/>
  <c r="T15" i="6" s="1"/>
  <c r="D17" i="12"/>
  <c r="C18" i="12"/>
  <c r="O165" i="44"/>
  <c r="C16" i="6"/>
  <c r="D15" i="6"/>
  <c r="C18" i="11"/>
  <c r="D18" i="11" s="1"/>
  <c r="F14" i="6" l="1"/>
  <c r="H14" i="6" s="1"/>
  <c r="L13" i="6"/>
  <c r="G16" i="6"/>
  <c r="K16" i="6"/>
  <c r="T16" i="6" s="1"/>
  <c r="D18" i="12"/>
  <c r="C19" i="12"/>
  <c r="O166" i="44"/>
  <c r="C17" i="6"/>
  <c r="D16" i="6"/>
  <c r="C19" i="11"/>
  <c r="D19" i="11" s="1"/>
  <c r="F15" i="6" l="1"/>
  <c r="L14" i="6"/>
  <c r="G17" i="6"/>
  <c r="K17" i="6"/>
  <c r="T17" i="6" s="1"/>
  <c r="D19" i="12"/>
  <c r="C20" i="12"/>
  <c r="O167" i="44"/>
  <c r="C18" i="6"/>
  <c r="D17" i="6"/>
  <c r="C20" i="11"/>
  <c r="D20" i="11" s="1"/>
  <c r="G18" i="6" l="1"/>
  <c r="K18" i="6"/>
  <c r="T18" i="6" s="1"/>
  <c r="H15" i="6"/>
  <c r="D20" i="12"/>
  <c r="C21" i="12"/>
  <c r="O168" i="44"/>
  <c r="C19" i="6"/>
  <c r="D18" i="6"/>
  <c r="C21" i="11"/>
  <c r="D21" i="11" s="1"/>
  <c r="F16" i="6" l="1"/>
  <c r="L15" i="6"/>
  <c r="G19" i="6"/>
  <c r="K19" i="6"/>
  <c r="T19" i="6" s="1"/>
  <c r="D21" i="12"/>
  <c r="C22" i="12"/>
  <c r="O169" i="44"/>
  <c r="C20" i="6"/>
  <c r="D19" i="6"/>
  <c r="C22" i="11"/>
  <c r="D22" i="11" s="1"/>
  <c r="G20" i="6" l="1"/>
  <c r="K20" i="6"/>
  <c r="T20" i="6" s="1"/>
  <c r="H16" i="6"/>
  <c r="D22" i="12"/>
  <c r="C23" i="12"/>
  <c r="O170" i="44"/>
  <c r="C21" i="6"/>
  <c r="D20" i="6"/>
  <c r="C23" i="11"/>
  <c r="D23" i="11" s="1"/>
  <c r="F17" i="6" l="1"/>
  <c r="H17" i="6" s="1"/>
  <c r="L16" i="6"/>
  <c r="G21" i="6"/>
  <c r="K21" i="6"/>
  <c r="T21" i="6" s="1"/>
  <c r="D23" i="12"/>
  <c r="C24" i="12"/>
  <c r="O171" i="44"/>
  <c r="C22" i="6"/>
  <c r="D21" i="6"/>
  <c r="C24" i="11"/>
  <c r="D24" i="11" s="1"/>
  <c r="F18" i="6" l="1"/>
  <c r="H18" i="6" s="1"/>
  <c r="L18" i="6" s="1"/>
  <c r="L17" i="6"/>
  <c r="G22" i="6"/>
  <c r="K22" i="6"/>
  <c r="T22" i="6" s="1"/>
  <c r="D24" i="12"/>
  <c r="C25" i="12"/>
  <c r="O172" i="44"/>
  <c r="C23" i="6"/>
  <c r="D22" i="6"/>
  <c r="C25" i="11"/>
  <c r="D25" i="11" s="1"/>
  <c r="G23" i="6" l="1"/>
  <c r="K23" i="6"/>
  <c r="T23" i="6" s="1"/>
  <c r="F19" i="6"/>
  <c r="H19" i="6" s="1"/>
  <c r="D25" i="12"/>
  <c r="C26" i="12"/>
  <c r="O173" i="44"/>
  <c r="C24" i="6"/>
  <c r="D23" i="6"/>
  <c r="C26" i="11"/>
  <c r="D26" i="11" s="1"/>
  <c r="F20" i="6" l="1"/>
  <c r="H20" i="6" s="1"/>
  <c r="L19" i="6"/>
  <c r="G24" i="6"/>
  <c r="K24" i="6"/>
  <c r="T24" i="6" s="1"/>
  <c r="D26" i="12"/>
  <c r="C27" i="12"/>
  <c r="O174" i="44"/>
  <c r="C25" i="6"/>
  <c r="D24" i="6"/>
  <c r="C27" i="11"/>
  <c r="D27" i="11" s="1"/>
  <c r="G25" i="6" l="1"/>
  <c r="K25" i="6"/>
  <c r="T25" i="6" s="1"/>
  <c r="F21" i="6"/>
  <c r="H21" i="6" s="1"/>
  <c r="L20" i="6"/>
  <c r="D27" i="12"/>
  <c r="C28" i="12"/>
  <c r="O175" i="44"/>
  <c r="C26" i="6"/>
  <c r="D25" i="6"/>
  <c r="C28" i="11"/>
  <c r="D28" i="11" s="1"/>
  <c r="G26" i="6" l="1"/>
  <c r="K26" i="6"/>
  <c r="T26" i="6" s="1"/>
  <c r="F22" i="6"/>
  <c r="H22" i="6" s="1"/>
  <c r="L21" i="6"/>
  <c r="D28" i="12"/>
  <c r="C29" i="12"/>
  <c r="O176" i="44"/>
  <c r="C27" i="6"/>
  <c r="D26" i="6"/>
  <c r="C29" i="11"/>
  <c r="D29" i="11" s="1"/>
  <c r="G27" i="6" l="1"/>
  <c r="K27" i="6"/>
  <c r="T27" i="6" s="1"/>
  <c r="F23" i="6"/>
  <c r="H23" i="6" s="1"/>
  <c r="L22" i="6"/>
  <c r="D29" i="12"/>
  <c r="C30" i="12"/>
  <c r="O177" i="44"/>
  <c r="C28" i="6"/>
  <c r="D27" i="6"/>
  <c r="C30" i="11"/>
  <c r="D30" i="11" s="1"/>
  <c r="G28" i="6" l="1"/>
  <c r="K28" i="6"/>
  <c r="T28" i="6" s="1"/>
  <c r="F24" i="6"/>
  <c r="H24" i="6" s="1"/>
  <c r="L23" i="6"/>
  <c r="D30" i="12"/>
  <c r="C31" i="12"/>
  <c r="O178" i="44"/>
  <c r="C29" i="6"/>
  <c r="D28" i="6"/>
  <c r="C31" i="11"/>
  <c r="D31" i="11" s="1"/>
  <c r="G29" i="6" l="1"/>
  <c r="K29" i="6"/>
  <c r="T29" i="6" s="1"/>
  <c r="F25" i="6"/>
  <c r="H25" i="6" s="1"/>
  <c r="L24" i="6"/>
  <c r="D31" i="12"/>
  <c r="C32" i="12"/>
  <c r="O179" i="44"/>
  <c r="C30" i="6"/>
  <c r="D29" i="6"/>
  <c r="C32" i="11"/>
  <c r="D32" i="11" s="1"/>
  <c r="G30" i="6" l="1"/>
  <c r="K30" i="6"/>
  <c r="T30" i="6" s="1"/>
  <c r="F26" i="6"/>
  <c r="H26" i="6" s="1"/>
  <c r="L26" i="6" s="1"/>
  <c r="L25" i="6"/>
  <c r="D32" i="12"/>
  <c r="C33" i="12"/>
  <c r="O180" i="44"/>
  <c r="C31" i="6"/>
  <c r="D30" i="6"/>
  <c r="C33" i="11"/>
  <c r="D33" i="11" s="1"/>
  <c r="G31" i="6" l="1"/>
  <c r="K31" i="6"/>
  <c r="T31" i="6" s="1"/>
  <c r="F27" i="6"/>
  <c r="H27" i="6" s="1"/>
  <c r="L27" i="6" s="1"/>
  <c r="D33" i="12"/>
  <c r="C34" i="12"/>
  <c r="O181" i="44"/>
  <c r="C32" i="6"/>
  <c r="D31" i="6"/>
  <c r="C34" i="11"/>
  <c r="D34" i="11" s="1"/>
  <c r="G32" i="6" l="1"/>
  <c r="K32" i="6"/>
  <c r="T32" i="6" s="1"/>
  <c r="F28" i="6"/>
  <c r="H28" i="6" s="1"/>
  <c r="L28" i="6" s="1"/>
  <c r="D34" i="12"/>
  <c r="C35" i="12"/>
  <c r="O182" i="44"/>
  <c r="C33" i="6"/>
  <c r="D32" i="6"/>
  <c r="C35" i="11"/>
  <c r="D35" i="11" s="1"/>
  <c r="G33" i="6" l="1"/>
  <c r="K33" i="6"/>
  <c r="T33" i="6" s="1"/>
  <c r="F29" i="6"/>
  <c r="H29" i="6" s="1"/>
  <c r="L29" i="6" s="1"/>
  <c r="D35" i="12"/>
  <c r="C36" i="12"/>
  <c r="O183" i="44"/>
  <c r="C34" i="6"/>
  <c r="D33" i="6"/>
  <c r="C36" i="11"/>
  <c r="D36" i="11" s="1"/>
  <c r="G34" i="6" l="1"/>
  <c r="K34" i="6"/>
  <c r="T34" i="6" s="1"/>
  <c r="F30" i="6"/>
  <c r="H30" i="6" s="1"/>
  <c r="D36" i="12"/>
  <c r="C37" i="12"/>
  <c r="O184" i="44"/>
  <c r="C35" i="6"/>
  <c r="D34" i="6"/>
  <c r="C37" i="11"/>
  <c r="D37" i="11" s="1"/>
  <c r="F31" i="6" l="1"/>
  <c r="H31" i="6" s="1"/>
  <c r="L30" i="6"/>
  <c r="G35" i="6"/>
  <c r="K35" i="6"/>
  <c r="T35" i="6" s="1"/>
  <c r="D37" i="12"/>
  <c r="C38" i="12"/>
  <c r="D38" i="12" s="1"/>
  <c r="O185" i="44"/>
  <c r="C36" i="6"/>
  <c r="D35" i="6"/>
  <c r="C38" i="11"/>
  <c r="D38" i="11" s="1"/>
  <c r="F32" i="6" l="1"/>
  <c r="H32" i="6" s="1"/>
  <c r="L31" i="6"/>
  <c r="G36" i="6"/>
  <c r="K36" i="6"/>
  <c r="T36" i="6" s="1"/>
  <c r="O186" i="44"/>
  <c r="C37" i="6"/>
  <c r="D36" i="6"/>
  <c r="C39" i="11"/>
  <c r="D39" i="11" s="1"/>
  <c r="L32" i="6" l="1"/>
  <c r="F33" i="6"/>
  <c r="H33" i="6" s="1"/>
  <c r="G37" i="6"/>
  <c r="K37" i="6"/>
  <c r="T37" i="6" s="1"/>
  <c r="O187" i="44"/>
  <c r="C38" i="6"/>
  <c r="D37" i="6"/>
  <c r="C40" i="11"/>
  <c r="D40" i="11" s="1"/>
  <c r="L33" i="6" l="1"/>
  <c r="F34" i="6"/>
  <c r="H34" i="6" s="1"/>
  <c r="G38" i="6"/>
  <c r="K38" i="6"/>
  <c r="D38" i="6"/>
  <c r="O188" i="44"/>
  <c r="C41" i="11"/>
  <c r="D41" i="11" s="1"/>
  <c r="L34" i="6" l="1"/>
  <c r="F35" i="6"/>
  <c r="H35" i="6" s="1"/>
  <c r="T38" i="6"/>
  <c r="K39" i="6"/>
  <c r="T39" i="6" s="1"/>
  <c r="G39" i="6"/>
  <c r="O189" i="44"/>
  <c r="C42" i="11"/>
  <c r="D42" i="11" s="1"/>
  <c r="L35" i="6" l="1"/>
  <c r="F36" i="6"/>
  <c r="H36" i="6" s="1"/>
  <c r="H39" i="6"/>
  <c r="L39" i="6" s="1"/>
  <c r="O190" i="44"/>
  <c r="C43" i="11"/>
  <c r="D43" i="11" s="1"/>
  <c r="L36" i="6" l="1"/>
  <c r="F37" i="6"/>
  <c r="H37" i="6" s="1"/>
  <c r="O191" i="44"/>
  <c r="AU289" i="44" s="1"/>
  <c r="D40" i="12"/>
  <c r="L37" i="6" l="1"/>
  <c r="F38" i="6"/>
  <c r="H38" i="6" s="1"/>
  <c r="L38" i="6" s="1"/>
  <c r="O192" i="44"/>
  <c r="C41" i="12"/>
  <c r="D41" i="12" s="1"/>
  <c r="O193" i="44" l="1"/>
  <c r="C42" i="12"/>
  <c r="D42" i="12" s="1"/>
  <c r="O194" i="44" l="1"/>
  <c r="C43" i="12"/>
  <c r="D43" i="12" s="1"/>
  <c r="O195" i="44" l="1"/>
  <c r="C44" i="12"/>
  <c r="D44" i="12" s="1"/>
  <c r="O196" i="44" l="1"/>
  <c r="C45" i="12"/>
  <c r="D45" i="12" s="1"/>
  <c r="O197" i="44" l="1"/>
  <c r="C46" i="12"/>
  <c r="D46" i="12" s="1"/>
  <c r="O198" i="44" l="1"/>
  <c r="C47" i="12"/>
  <c r="D47" i="12" s="1"/>
  <c r="O199" i="44" l="1"/>
  <c r="C48" i="12"/>
  <c r="D48" i="12" s="1"/>
  <c r="O200" i="44" l="1"/>
  <c r="C49" i="12"/>
  <c r="D49" i="12" s="1"/>
  <c r="O201" i="44" l="1"/>
  <c r="C50" i="12"/>
  <c r="D50" i="12" s="1"/>
  <c r="O202" i="44" l="1"/>
  <c r="C51" i="12"/>
  <c r="D51" i="12" s="1"/>
  <c r="O203" i="44" l="1"/>
  <c r="C52" i="12"/>
  <c r="D52" i="12" s="1"/>
  <c r="O204" i="44" l="1"/>
  <c r="C53" i="12"/>
  <c r="D53" i="12" s="1"/>
  <c r="O205" i="44" l="1"/>
  <c r="C54" i="12"/>
  <c r="D54" i="12" s="1"/>
  <c r="O206" i="44" l="1"/>
  <c r="C55" i="12"/>
  <c r="D55" i="12" s="1"/>
  <c r="C56" i="12" l="1"/>
  <c r="D56" i="12" s="1"/>
  <c r="O207" i="44"/>
  <c r="C57" i="12" l="1"/>
  <c r="D57" i="12" s="1"/>
  <c r="O208" i="44"/>
  <c r="C58" i="12" l="1"/>
  <c r="D58" i="12" s="1"/>
  <c r="O209" i="44"/>
  <c r="C59" i="12" l="1"/>
  <c r="D59" i="12" s="1"/>
  <c r="O210" i="44"/>
  <c r="C60" i="12" l="1"/>
  <c r="D60" i="12" s="1"/>
  <c r="O211" i="44"/>
  <c r="C61" i="12" l="1"/>
  <c r="D61" i="12" s="1"/>
  <c r="O212" i="44"/>
  <c r="C62" i="12" l="1"/>
  <c r="D62" i="12" s="1"/>
  <c r="O213" i="44"/>
  <c r="C63" i="12" l="1"/>
  <c r="D63" i="12" s="1"/>
  <c r="O214" i="44"/>
  <c r="C64" i="12" l="1"/>
  <c r="D64" i="12" s="1"/>
  <c r="O215" i="44"/>
  <c r="C65" i="12" l="1"/>
  <c r="D65" i="12" s="1"/>
  <c r="O216" i="44"/>
  <c r="C66" i="12" l="1"/>
  <c r="D66" i="12" s="1"/>
  <c r="O217" i="44"/>
  <c r="C67" i="12"/>
  <c r="D67" i="12" s="1"/>
  <c r="AE13" i="11"/>
  <c r="X13" i="11"/>
  <c r="X44" i="11" s="1"/>
  <c r="X45" i="11" s="1"/>
  <c r="Q44" i="11"/>
  <c r="Q45" i="11" s="1"/>
  <c r="S13" i="11"/>
  <c r="S44" i="11" s="1"/>
  <c r="S45" i="11" s="1"/>
  <c r="M44" i="11"/>
  <c r="M45" i="11" s="1"/>
  <c r="L44" i="11"/>
  <c r="L45" i="11" s="1"/>
  <c r="AB13" i="11"/>
  <c r="AB44" i="11" s="1"/>
  <c r="AC44" i="11"/>
  <c r="Z13" i="11"/>
  <c r="Z44" i="11" s="1"/>
  <c r="Z45" i="11" s="1"/>
  <c r="U13" i="11"/>
  <c r="U44" i="11" s="1"/>
  <c r="U45" i="11" s="1"/>
  <c r="P44" i="11"/>
  <c r="P45" i="11" s="1"/>
  <c r="I44" i="11"/>
  <c r="I45" i="11" s="1"/>
  <c r="T13" i="11"/>
  <c r="T44" i="11" s="1"/>
  <c r="T45" i="11" s="1"/>
  <c r="R13" i="11"/>
  <c r="R44" i="11" s="1"/>
  <c r="R45" i="11" s="1"/>
  <c r="J44" i="11"/>
  <c r="J45" i="11" s="1"/>
  <c r="W13" i="11"/>
  <c r="W44" i="11" s="1"/>
  <c r="W45" i="11" s="1"/>
  <c r="N44" i="11"/>
  <c r="N45" i="11" s="1"/>
  <c r="O44" i="11"/>
  <c r="O45" i="11" s="1"/>
  <c r="V13" i="11"/>
  <c r="V44" i="11" s="1"/>
  <c r="V45" i="11" s="1"/>
  <c r="K44" i="11"/>
  <c r="K45" i="11" s="1"/>
  <c r="AA13" i="11"/>
  <c r="AA44" i="11" s="1"/>
  <c r="Y13" i="11"/>
  <c r="Y44" i="11" s="1"/>
  <c r="Y45" i="11" s="1"/>
  <c r="AE44" i="11" l="1"/>
  <c r="AC45" i="11" s="1"/>
  <c r="O218" i="44"/>
  <c r="C68" i="12"/>
  <c r="D68" i="12" s="1"/>
  <c r="O219" i="44" l="1"/>
  <c r="C69" i="12"/>
  <c r="D69" i="12" s="1"/>
  <c r="O220" i="44" l="1"/>
  <c r="C70" i="12"/>
  <c r="BO9" i="12"/>
  <c r="AI472" i="12"/>
  <c r="AK472" i="12" s="1"/>
  <c r="LF14" i="24"/>
  <c r="LF45" i="24" l="1"/>
  <c r="CU60" i="24" s="1"/>
  <c r="LE45" i="24"/>
  <c r="CT60" i="24" s="1"/>
  <c r="D70" i="12"/>
  <c r="D72" i="12"/>
  <c r="O221" i="44"/>
  <c r="AI503" i="12"/>
  <c r="AK503" i="12" s="1"/>
  <c r="BO40" i="12"/>
  <c r="CU63" i="24"/>
  <c r="L15" i="31" l="1"/>
  <c r="L49" i="31" s="1"/>
  <c r="CT63" i="24"/>
  <c r="L18" i="31" s="1"/>
  <c r="L52" i="31" s="1"/>
  <c r="CS60" i="24"/>
  <c r="K15" i="31" s="1"/>
  <c r="O222" i="44"/>
  <c r="AU290" i="44" s="1"/>
  <c r="E15" i="31" l="1"/>
  <c r="E49" i="31" s="1"/>
  <c r="H49" i="31" s="1"/>
  <c r="H52" i="31" s="1"/>
  <c r="D15" i="31"/>
  <c r="D49" i="31" s="1"/>
  <c r="CS63" i="24"/>
  <c r="D18" i="31" s="1"/>
  <c r="D52" i="31" s="1"/>
  <c r="H15" i="31"/>
  <c r="K49" i="31" s="1"/>
  <c r="O223" i="44"/>
  <c r="O224" i="44" l="1"/>
  <c r="O225" i="44" l="1"/>
  <c r="O226" i="44" l="1"/>
  <c r="O227" i="44" l="1"/>
  <c r="O228" i="44" l="1"/>
  <c r="O229" i="44" l="1"/>
  <c r="O230" i="44" l="1"/>
  <c r="O231" i="44" l="1"/>
  <c r="O232" i="44" l="1"/>
  <c r="O233" i="44" l="1"/>
  <c r="O234" i="44" l="1"/>
  <c r="O235" i="44" l="1"/>
  <c r="O236" i="44" l="1"/>
  <c r="O237" i="44" l="1"/>
  <c r="O238" i="44" l="1"/>
  <c r="O239" i="44" l="1"/>
  <c r="O240" i="44" l="1"/>
  <c r="O241" i="44" l="1"/>
  <c r="O242" i="44" l="1"/>
  <c r="O243" i="44" l="1"/>
  <c r="O244" i="44" l="1"/>
  <c r="O245" i="44" l="1"/>
  <c r="O246" i="44" l="1"/>
  <c r="O247" i="44" l="1"/>
  <c r="O248" i="44" l="1"/>
  <c r="O249" i="44" l="1"/>
  <c r="O250" i="44" l="1"/>
  <c r="O251" i="44" l="1"/>
  <c r="O252" i="44" l="1"/>
  <c r="AU291" i="44" s="1"/>
  <c r="O253" i="44" l="1"/>
  <c r="O254" i="44" l="1"/>
  <c r="O255" i="44" l="1"/>
  <c r="O256" i="44" l="1"/>
  <c r="O257" i="44" l="1"/>
  <c r="O258" i="44" l="1"/>
  <c r="O259" i="44" l="1"/>
  <c r="O260" i="44" l="1"/>
  <c r="O261" i="44" l="1"/>
  <c r="O262" i="44" l="1"/>
  <c r="O263" i="44" l="1"/>
  <c r="O264" i="44" l="1"/>
  <c r="O265" i="44" l="1"/>
  <c r="O266" i="44" l="1"/>
  <c r="O267" i="44" l="1"/>
  <c r="O268" i="44" l="1"/>
  <c r="O269" i="44" l="1"/>
  <c r="O270" i="44" l="1"/>
  <c r="O271" i="44" l="1"/>
  <c r="O272" i="44" l="1"/>
  <c r="O273" i="44" l="1"/>
  <c r="O274" i="44" l="1"/>
  <c r="O275" i="44" l="1"/>
  <c r="O276" i="44" l="1"/>
  <c r="O277" i="44" l="1"/>
  <c r="O278" i="44" l="1"/>
  <c r="O279" i="44" l="1"/>
  <c r="O280" i="44" l="1"/>
  <c r="O281" i="44" l="1"/>
  <c r="O282" i="44" l="1"/>
  <c r="O283" i="44" l="1"/>
  <c r="AU292" i="44" s="1"/>
  <c r="O284" i="44" l="1"/>
  <c r="O285" i="44" l="1"/>
  <c r="O286" i="44" l="1"/>
  <c r="O287" i="44" l="1"/>
  <c r="O288" i="44" l="1"/>
  <c r="O289" i="44" l="1"/>
  <c r="O290" i="44" l="1"/>
  <c r="O291" i="44" l="1"/>
  <c r="O292" i="44" l="1"/>
  <c r="O293" i="44" l="1"/>
  <c r="O294" i="44" l="1"/>
  <c r="O295" i="44" l="1"/>
  <c r="O296" i="44" l="1"/>
  <c r="O297" i="44" l="1"/>
  <c r="O298" i="44" l="1"/>
  <c r="O299" i="44" l="1"/>
  <c r="O300" i="44" l="1"/>
  <c r="O301" i="44" l="1"/>
  <c r="O302" i="44" l="1"/>
  <c r="O303" i="44" l="1"/>
  <c r="O304" i="44" l="1"/>
  <c r="O305" i="44" l="1"/>
  <c r="O306" i="44" l="1"/>
  <c r="O307" i="44" l="1"/>
  <c r="O308" i="44" l="1"/>
  <c r="O309" i="44" l="1"/>
  <c r="O310" i="44" l="1"/>
  <c r="O311" i="44" l="1"/>
  <c r="O312" i="44" l="1"/>
  <c r="O313" i="44" l="1"/>
  <c r="O314" i="44" l="1"/>
  <c r="AU293" i="44" s="1"/>
  <c r="O315" i="44" l="1"/>
  <c r="O316" i="44" l="1"/>
  <c r="O317" i="44" l="1"/>
  <c r="O318" i="44" l="1"/>
  <c r="O319" i="44" l="1"/>
  <c r="O320" i="44" l="1"/>
  <c r="O321" i="44" l="1"/>
  <c r="O322" i="44" l="1"/>
  <c r="O323" i="44" l="1"/>
  <c r="O324" i="44" l="1"/>
  <c r="O325" i="44" l="1"/>
  <c r="O326" i="44" l="1"/>
  <c r="O327" i="44" l="1"/>
  <c r="O328" i="44" l="1"/>
  <c r="O329" i="44" l="1"/>
  <c r="O330" i="44" l="1"/>
  <c r="O331" i="44" l="1"/>
  <c r="O332" i="44" l="1"/>
  <c r="O333" i="44" l="1"/>
  <c r="O334" i="44" l="1"/>
  <c r="O335" i="44" l="1"/>
  <c r="O336" i="44" l="1"/>
  <c r="O337" i="44" l="1"/>
  <c r="J31" i="48" l="1"/>
  <c r="S30" i="48" s="1"/>
  <c r="I31" i="48"/>
  <c r="O338" i="44"/>
  <c r="R30" i="48" l="1"/>
  <c r="I33" i="48"/>
  <c r="S31" i="48"/>
  <c r="Q33" i="48"/>
  <c r="O339" i="44"/>
  <c r="R31" i="48" l="1"/>
  <c r="S33" i="48"/>
  <c r="N33" i="48"/>
  <c r="O340" i="44"/>
  <c r="O341" i="44" l="1"/>
  <c r="O342" i="44" l="1"/>
  <c r="O343" i="44" l="1"/>
  <c r="AU294" i="44" s="1"/>
  <c r="O344" i="44" l="1"/>
  <c r="O345" i="44" l="1"/>
  <c r="O346" i="44" l="1"/>
  <c r="O347" i="44" l="1"/>
  <c r="O348" i="44" l="1"/>
  <c r="O349" i="44" l="1"/>
  <c r="O350" i="44" l="1"/>
  <c r="O351" i="44" l="1"/>
  <c r="O352" i="44" l="1"/>
  <c r="O353" i="44" l="1"/>
  <c r="O354" i="44" l="1"/>
  <c r="O355" i="44" l="1"/>
  <c r="O356" i="44" l="1"/>
  <c r="O357" i="44" l="1"/>
  <c r="O358" i="44" l="1"/>
  <c r="O359" i="44" l="1"/>
  <c r="O360" i="44" l="1"/>
  <c r="O361" i="44" l="1"/>
  <c r="O362" i="44" l="1"/>
  <c r="O363" i="44" l="1"/>
  <c r="O364" i="44" l="1"/>
  <c r="O365" i="44" l="1"/>
  <c r="O366" i="44" l="1"/>
  <c r="O367" i="44" l="1"/>
  <c r="O368" i="44" l="1"/>
  <c r="O369" i="44" l="1"/>
  <c r="O370" i="44" l="1"/>
  <c r="O371" i="44" l="1"/>
  <c r="O372" i="44" l="1"/>
  <c r="O373" i="44" l="1"/>
  <c r="O374" i="44" l="1"/>
  <c r="Q8" i="44"/>
  <c r="J111" i="42" l="1"/>
  <c r="AT283" i="44"/>
  <c r="J375" i="44"/>
  <c r="N375" i="44" s="1"/>
  <c r="P375" i="44" s="1"/>
  <c r="N9" i="44"/>
  <c r="CA111" i="42"/>
  <c r="CA8" i="42"/>
  <c r="Q9" i="42"/>
  <c r="Q10" i="42" s="1"/>
  <c r="S10" i="42" s="1"/>
  <c r="Q11" i="42" l="1"/>
  <c r="S11" i="42" s="1"/>
  <c r="Q111" i="42"/>
  <c r="S111" i="42" s="1"/>
  <c r="P9" i="44"/>
  <c r="N10" i="44"/>
  <c r="S9" i="42"/>
  <c r="Q12" i="42" l="1"/>
  <c r="P10" i="44"/>
  <c r="N11" i="44"/>
  <c r="S12" i="42" l="1"/>
  <c r="Q13" i="42"/>
  <c r="P11" i="44"/>
  <c r="N12" i="44"/>
  <c r="Q14" i="42" l="1"/>
  <c r="S14" i="42" s="1"/>
  <c r="S13" i="42"/>
  <c r="P12" i="44"/>
  <c r="N13" i="44"/>
  <c r="P13" i="44" l="1"/>
  <c r="N14" i="44"/>
  <c r="P14" i="44" l="1"/>
  <c r="N15" i="44"/>
  <c r="P15" i="44" l="1"/>
  <c r="N16" i="44"/>
  <c r="P16" i="44" l="1"/>
  <c r="N17" i="44"/>
  <c r="P17" i="44" l="1"/>
  <c r="N18" i="44"/>
  <c r="P18" i="44" l="1"/>
  <c r="N19" i="44"/>
  <c r="P19" i="44" l="1"/>
  <c r="N20" i="44"/>
  <c r="N21" i="44" l="1"/>
  <c r="P20" i="44"/>
  <c r="P21" i="44" l="1"/>
  <c r="N22" i="44"/>
  <c r="P22" i="44" l="1"/>
  <c r="N23" i="44"/>
  <c r="P23" i="44" l="1"/>
  <c r="N24" i="44"/>
  <c r="P24" i="44" l="1"/>
  <c r="N25" i="44"/>
  <c r="P25" i="44" l="1"/>
  <c r="N26" i="44"/>
  <c r="P26" i="44" l="1"/>
  <c r="N27" i="44"/>
  <c r="P27" i="44" l="1"/>
  <c r="N28" i="44"/>
  <c r="P28" i="44" l="1"/>
  <c r="N29" i="44"/>
  <c r="P29" i="44" l="1"/>
  <c r="N30" i="44"/>
  <c r="P30" i="44" l="1"/>
  <c r="N31" i="44"/>
  <c r="P31" i="44" l="1"/>
  <c r="N32" i="44"/>
  <c r="P32" i="44" l="1"/>
  <c r="N33" i="44"/>
  <c r="P33" i="44" l="1"/>
  <c r="N34" i="44"/>
  <c r="P34" i="44" l="1"/>
  <c r="N35" i="44"/>
  <c r="P35" i="44" l="1"/>
  <c r="N36" i="44"/>
  <c r="N37" i="44" l="1"/>
  <c r="P36" i="44"/>
  <c r="P37" i="44" l="1"/>
  <c r="N38" i="44"/>
  <c r="P38" i="44" l="1"/>
  <c r="AT284" i="44"/>
  <c r="N39" i="44"/>
  <c r="P39" i="44" l="1"/>
  <c r="N40" i="44"/>
  <c r="P40" i="44" l="1"/>
  <c r="N41" i="44"/>
  <c r="P41" i="44" l="1"/>
  <c r="N42" i="44"/>
  <c r="P42" i="44" l="1"/>
  <c r="N43" i="44"/>
  <c r="P43" i="44" l="1"/>
  <c r="N44" i="44"/>
  <c r="P44" i="44" l="1"/>
  <c r="N45" i="44"/>
  <c r="P45" i="44" l="1"/>
  <c r="N46" i="44"/>
  <c r="P46" i="44" l="1"/>
  <c r="N47" i="44"/>
  <c r="P47" i="44" l="1"/>
  <c r="N48" i="44"/>
  <c r="P48" i="44" l="1"/>
  <c r="N49" i="44"/>
  <c r="P49" i="44" l="1"/>
  <c r="N50" i="44"/>
  <c r="P50" i="44" l="1"/>
  <c r="N51" i="44"/>
  <c r="P51" i="44" l="1"/>
  <c r="N52" i="44"/>
  <c r="P52" i="44" l="1"/>
  <c r="N53" i="44"/>
  <c r="P53" i="44" l="1"/>
  <c r="N54" i="44"/>
  <c r="P54" i="44" l="1"/>
  <c r="N55" i="44"/>
  <c r="P55" i="44" l="1"/>
  <c r="N56" i="44"/>
  <c r="P56" i="44" l="1"/>
  <c r="N57" i="44"/>
  <c r="P57" i="44" l="1"/>
  <c r="N58" i="44"/>
  <c r="P58" i="44" l="1"/>
  <c r="N59" i="44"/>
  <c r="P59" i="44" l="1"/>
  <c r="N60" i="44"/>
  <c r="P60" i="44" l="1"/>
  <c r="N61" i="44"/>
  <c r="P61" i="44" l="1"/>
  <c r="N62" i="44"/>
  <c r="N63" i="44" l="1"/>
  <c r="P62" i="44"/>
  <c r="P63" i="44" l="1"/>
  <c r="N64" i="44"/>
  <c r="P64" i="44" l="1"/>
  <c r="N65" i="44"/>
  <c r="P65" i="44" l="1"/>
  <c r="N66" i="44"/>
  <c r="P66" i="44" l="1"/>
  <c r="N67" i="44"/>
  <c r="P67" i="44" l="1"/>
  <c r="N68" i="44"/>
  <c r="P68" i="44" l="1"/>
  <c r="N69" i="44"/>
  <c r="AT285" i="44" l="1"/>
  <c r="P69" i="44"/>
  <c r="N70" i="44"/>
  <c r="N71" i="44" l="1"/>
  <c r="P70" i="44"/>
  <c r="P71" i="44" l="1"/>
  <c r="N72" i="44"/>
  <c r="P72" i="44" l="1"/>
  <c r="N73" i="44"/>
  <c r="P73" i="44" l="1"/>
  <c r="N74" i="44"/>
  <c r="P74" i="44" l="1"/>
  <c r="N75" i="44"/>
  <c r="P75" i="44" l="1"/>
  <c r="N76" i="44"/>
  <c r="P76" i="44" l="1"/>
  <c r="N77" i="44"/>
  <c r="P77" i="44" l="1"/>
  <c r="N78" i="44"/>
  <c r="P78" i="44" l="1"/>
  <c r="N79" i="44"/>
  <c r="P79" i="44" l="1"/>
  <c r="N80" i="44"/>
  <c r="P80" i="44" l="1"/>
  <c r="N81" i="44"/>
  <c r="P81" i="44" l="1"/>
  <c r="N82" i="44"/>
  <c r="P82" i="44" l="1"/>
  <c r="N83" i="44"/>
  <c r="P83" i="44" l="1"/>
  <c r="N84" i="44"/>
  <c r="P84" i="44" l="1"/>
  <c r="N85" i="44"/>
  <c r="P85" i="44" l="1"/>
  <c r="N86" i="44"/>
  <c r="P86" i="44" l="1"/>
  <c r="N87" i="44"/>
  <c r="P87" i="44" l="1"/>
  <c r="N88" i="44"/>
  <c r="P88" i="44" l="1"/>
  <c r="N89" i="44"/>
  <c r="P89" i="44" l="1"/>
  <c r="N90" i="44"/>
  <c r="P90" i="44" l="1"/>
  <c r="N91" i="44"/>
  <c r="P91" i="44" l="1"/>
  <c r="N92" i="44"/>
  <c r="P92" i="44" l="1"/>
  <c r="N93" i="44"/>
  <c r="P93" i="44" l="1"/>
  <c r="N94" i="44"/>
  <c r="P94" i="44" l="1"/>
  <c r="N95" i="44"/>
  <c r="P95" i="44" l="1"/>
  <c r="N96" i="44"/>
  <c r="P96" i="44" l="1"/>
  <c r="N97" i="44"/>
  <c r="P97" i="44" l="1"/>
  <c r="N98" i="44"/>
  <c r="P98" i="44" l="1"/>
  <c r="N99" i="44"/>
  <c r="AT286" i="44" l="1"/>
  <c r="P99" i="44"/>
  <c r="N100" i="44"/>
  <c r="P100" i="44" l="1"/>
  <c r="N101" i="44"/>
  <c r="P101" i="44" l="1"/>
  <c r="N102" i="44"/>
  <c r="P102" i="44" l="1"/>
  <c r="N103" i="44"/>
  <c r="P103" i="44" l="1"/>
  <c r="N104" i="44"/>
  <c r="P104" i="44" l="1"/>
  <c r="N105" i="44"/>
  <c r="P105" i="44" l="1"/>
  <c r="N106" i="44"/>
  <c r="P106" i="44" l="1"/>
  <c r="N107" i="44"/>
  <c r="P107" i="44" l="1"/>
  <c r="N108" i="44"/>
  <c r="P108" i="44" l="1"/>
  <c r="N109" i="44"/>
  <c r="P109" i="44" l="1"/>
  <c r="N110" i="44"/>
  <c r="P110" i="44" l="1"/>
  <c r="N111" i="44"/>
  <c r="P111" i="44" l="1"/>
  <c r="N112" i="44"/>
  <c r="P112" i="44" l="1"/>
  <c r="N113" i="44"/>
  <c r="P113" i="44" l="1"/>
  <c r="N114" i="44"/>
  <c r="P114" i="44" l="1"/>
  <c r="N115" i="44"/>
  <c r="P115" i="44" l="1"/>
  <c r="N116" i="44"/>
  <c r="P116" i="44" l="1"/>
  <c r="N117" i="44"/>
  <c r="P117" i="44" l="1"/>
  <c r="N118" i="44"/>
  <c r="P118" i="44" l="1"/>
  <c r="N119" i="44"/>
  <c r="P119" i="44" l="1"/>
  <c r="N120" i="44"/>
  <c r="P120" i="44" l="1"/>
  <c r="N121" i="44"/>
  <c r="P121" i="44" l="1"/>
  <c r="N122" i="44"/>
  <c r="P122" i="44" l="1"/>
  <c r="N123" i="44"/>
  <c r="P123" i="44" l="1"/>
  <c r="N124" i="44"/>
  <c r="P124" i="44" l="1"/>
  <c r="N125" i="44"/>
  <c r="P125" i="44" l="1"/>
  <c r="N126" i="44"/>
  <c r="P126" i="44" l="1"/>
  <c r="N127" i="44"/>
  <c r="P127" i="44" l="1"/>
  <c r="N128" i="44"/>
  <c r="P128" i="44" l="1"/>
  <c r="N129" i="44"/>
  <c r="P129" i="44" l="1"/>
  <c r="N130" i="44"/>
  <c r="P130" i="44" l="1"/>
  <c r="AT287" i="44"/>
  <c r="N131" i="44"/>
  <c r="P131" i="44" l="1"/>
  <c r="N132" i="44"/>
  <c r="P132" i="44" l="1"/>
  <c r="N133" i="44"/>
  <c r="P133" i="44" l="1"/>
  <c r="N134" i="44"/>
  <c r="P134" i="44" l="1"/>
  <c r="N135" i="44"/>
  <c r="P135" i="44" l="1"/>
  <c r="N136" i="44"/>
  <c r="P136" i="44" l="1"/>
  <c r="N137" i="44"/>
  <c r="P137" i="44" l="1"/>
  <c r="N138" i="44"/>
  <c r="P138" i="44" l="1"/>
  <c r="N139" i="44"/>
  <c r="P139" i="44" l="1"/>
  <c r="N140" i="44"/>
  <c r="P140" i="44" l="1"/>
  <c r="N141" i="44"/>
  <c r="P141" i="44" l="1"/>
  <c r="N142" i="44"/>
  <c r="P142" i="44" l="1"/>
  <c r="N143" i="44"/>
  <c r="P143" i="44" l="1"/>
  <c r="N144" i="44"/>
  <c r="P144" i="44" l="1"/>
  <c r="N145" i="44"/>
  <c r="P145" i="44" l="1"/>
  <c r="N146" i="44"/>
  <c r="P146" i="44" l="1"/>
  <c r="N147" i="44"/>
  <c r="P147" i="44" l="1"/>
  <c r="N148" i="44"/>
  <c r="P148" i="44" l="1"/>
  <c r="N149" i="44"/>
  <c r="P149" i="44" l="1"/>
  <c r="N150" i="44"/>
  <c r="P150" i="44" l="1"/>
  <c r="N151" i="44"/>
  <c r="P151" i="44" l="1"/>
  <c r="N152" i="44"/>
  <c r="N153" i="44" l="1"/>
  <c r="P152" i="44"/>
  <c r="P153" i="44" l="1"/>
  <c r="N154" i="44"/>
  <c r="N155" i="44" l="1"/>
  <c r="P154" i="44"/>
  <c r="P155" i="44" l="1"/>
  <c r="N156" i="44"/>
  <c r="P156" i="44" l="1"/>
  <c r="N157" i="44"/>
  <c r="P157" i="44" l="1"/>
  <c r="N158" i="44"/>
  <c r="P158" i="44" l="1"/>
  <c r="N159" i="44"/>
  <c r="P159" i="44" l="1"/>
  <c r="N160" i="44"/>
  <c r="P160" i="44" l="1"/>
  <c r="N161" i="44"/>
  <c r="AT288" i="44" l="1"/>
  <c r="P161" i="44"/>
  <c r="N162" i="44"/>
  <c r="P162" i="44" l="1"/>
  <c r="N163" i="44"/>
  <c r="P163" i="44" l="1"/>
  <c r="N164" i="44"/>
  <c r="P164" i="44" l="1"/>
  <c r="N165" i="44"/>
  <c r="P165" i="44" l="1"/>
  <c r="N166" i="44"/>
  <c r="P166" i="44" l="1"/>
  <c r="N167" i="44"/>
  <c r="P167" i="44" l="1"/>
  <c r="N168" i="44"/>
  <c r="P168" i="44" l="1"/>
  <c r="N169" i="44"/>
  <c r="P169" i="44" l="1"/>
  <c r="N170" i="44"/>
  <c r="P170" i="44" l="1"/>
  <c r="N171" i="44"/>
  <c r="P171" i="44" l="1"/>
  <c r="N172" i="44"/>
  <c r="P172" i="44" l="1"/>
  <c r="N173" i="44"/>
  <c r="P173" i="44" l="1"/>
  <c r="N174" i="44"/>
  <c r="P174" i="44" l="1"/>
  <c r="N175" i="44"/>
  <c r="P175" i="44" l="1"/>
  <c r="N176" i="44"/>
  <c r="P176" i="44" l="1"/>
  <c r="N177" i="44"/>
  <c r="P177" i="44" l="1"/>
  <c r="N178" i="44"/>
  <c r="P178" i="44" l="1"/>
  <c r="N179" i="44"/>
  <c r="P179" i="44" l="1"/>
  <c r="N180" i="44"/>
  <c r="P180" i="44" l="1"/>
  <c r="N181" i="44"/>
  <c r="P181" i="44" l="1"/>
  <c r="N182" i="44"/>
  <c r="P182" i="44" l="1"/>
  <c r="N183" i="44"/>
  <c r="P183" i="44" l="1"/>
  <c r="N184" i="44"/>
  <c r="P184" i="44" l="1"/>
  <c r="N185" i="44"/>
  <c r="P185" i="44" l="1"/>
  <c r="N186" i="44"/>
  <c r="P186" i="44" l="1"/>
  <c r="N187" i="44"/>
  <c r="P187" i="44" l="1"/>
  <c r="N188" i="44"/>
  <c r="P188" i="44" l="1"/>
  <c r="N189" i="44"/>
  <c r="P189" i="44" l="1"/>
  <c r="N190" i="44"/>
  <c r="P190" i="44" l="1"/>
  <c r="N191" i="44"/>
  <c r="AT289" i="44" l="1"/>
  <c r="P191" i="44"/>
  <c r="N192" i="44"/>
  <c r="P192" i="44" l="1"/>
  <c r="N193" i="44"/>
  <c r="P193" i="44" l="1"/>
  <c r="N194" i="44"/>
  <c r="P194" i="44" l="1"/>
  <c r="N195" i="44"/>
  <c r="P195" i="44" l="1"/>
  <c r="N196" i="44"/>
  <c r="P196" i="44" l="1"/>
  <c r="N197" i="44"/>
  <c r="P197" i="44" l="1"/>
  <c r="N198" i="44"/>
  <c r="P198" i="44" l="1"/>
  <c r="N199" i="44"/>
  <c r="P199" i="44" l="1"/>
  <c r="N200" i="44"/>
  <c r="P200" i="44" l="1"/>
  <c r="N201" i="44"/>
  <c r="P201" i="44" l="1"/>
  <c r="N202" i="44"/>
  <c r="N203" i="44" l="1"/>
  <c r="P202" i="44"/>
  <c r="P203" i="44" l="1"/>
  <c r="N204" i="44"/>
  <c r="P204" i="44" l="1"/>
  <c r="N205" i="44"/>
  <c r="P205" i="44" l="1"/>
  <c r="N206" i="44"/>
  <c r="P206" i="44" l="1"/>
  <c r="N207" i="44"/>
  <c r="P207" i="44" l="1"/>
  <c r="N208" i="44"/>
  <c r="P208" i="44" l="1"/>
  <c r="N209" i="44"/>
  <c r="P209" i="44" l="1"/>
  <c r="N210" i="44"/>
  <c r="P210" i="44" l="1"/>
  <c r="N211" i="44"/>
  <c r="P211" i="44" l="1"/>
  <c r="N212" i="44"/>
  <c r="P212" i="44" l="1"/>
  <c r="N213" i="44"/>
  <c r="P213" i="44" l="1"/>
  <c r="N214" i="44"/>
  <c r="P214" i="44" l="1"/>
  <c r="N215" i="44"/>
  <c r="P215" i="44" l="1"/>
  <c r="N216" i="44"/>
  <c r="P216" i="44" l="1"/>
  <c r="N217" i="44"/>
  <c r="P217" i="44" l="1"/>
  <c r="N218" i="44"/>
  <c r="P218" i="44" l="1"/>
  <c r="N219" i="44"/>
  <c r="P219" i="44" l="1"/>
  <c r="N220" i="44"/>
  <c r="P220" i="44" l="1"/>
  <c r="N221" i="44"/>
  <c r="P221" i="44" l="1"/>
  <c r="N222" i="44"/>
  <c r="P222" i="44" l="1"/>
  <c r="AT290" i="44"/>
  <c r="N223" i="44"/>
  <c r="P223" i="44" l="1"/>
  <c r="N224" i="44"/>
  <c r="P224" i="44" l="1"/>
  <c r="N225" i="44"/>
  <c r="P225" i="44" l="1"/>
  <c r="N226" i="44"/>
  <c r="N227" i="44" l="1"/>
  <c r="P226" i="44"/>
  <c r="P227" i="44" l="1"/>
  <c r="N228" i="44"/>
  <c r="P228" i="44" l="1"/>
  <c r="N229" i="44"/>
  <c r="P229" i="44" l="1"/>
  <c r="N230" i="44"/>
  <c r="P230" i="44" l="1"/>
  <c r="N231" i="44"/>
  <c r="P231" i="44" l="1"/>
  <c r="N232" i="44"/>
  <c r="P232" i="44" l="1"/>
  <c r="N233" i="44"/>
  <c r="P233" i="44" l="1"/>
  <c r="N234" i="44"/>
  <c r="N235" i="44" l="1"/>
  <c r="P234" i="44"/>
  <c r="P235" i="44" l="1"/>
  <c r="N236" i="44"/>
  <c r="P236" i="44" l="1"/>
  <c r="N237" i="44"/>
  <c r="P237" i="44" l="1"/>
  <c r="N238" i="44"/>
  <c r="P238" i="44" l="1"/>
  <c r="N239" i="44"/>
  <c r="P239" i="44" l="1"/>
  <c r="N240" i="44"/>
  <c r="P240" i="44" l="1"/>
  <c r="N241" i="44"/>
  <c r="P241" i="44" l="1"/>
  <c r="N242" i="44"/>
  <c r="P242" i="44" l="1"/>
  <c r="N243" i="44"/>
  <c r="P243" i="44" l="1"/>
  <c r="N244" i="44"/>
  <c r="P244" i="44" l="1"/>
  <c r="N245" i="44"/>
  <c r="P245" i="44" l="1"/>
  <c r="N246" i="44"/>
  <c r="P246" i="44" l="1"/>
  <c r="N247" i="44"/>
  <c r="P247" i="44" l="1"/>
  <c r="N248" i="44"/>
  <c r="P248" i="44" l="1"/>
  <c r="N249" i="44"/>
  <c r="P249" i="44" l="1"/>
  <c r="N250" i="44"/>
  <c r="N251" i="44" l="1"/>
  <c r="P250" i="44"/>
  <c r="P251" i="44" l="1"/>
  <c r="N252" i="44"/>
  <c r="AT291" i="44" l="1"/>
  <c r="P252" i="44"/>
  <c r="N253" i="44"/>
  <c r="P253" i="44" l="1"/>
  <c r="N254" i="44"/>
  <c r="P254" i="44" l="1"/>
  <c r="N255" i="44"/>
  <c r="P255" i="44" l="1"/>
  <c r="N256" i="44"/>
  <c r="P256" i="44" l="1"/>
  <c r="N257" i="44"/>
  <c r="P257" i="44" l="1"/>
  <c r="N258" i="44"/>
  <c r="P258" i="44" l="1"/>
  <c r="N259" i="44"/>
  <c r="P259" i="44" l="1"/>
  <c r="N260" i="44"/>
  <c r="P260" i="44" l="1"/>
  <c r="N261" i="44"/>
  <c r="N262" i="44" l="1"/>
  <c r="P261" i="44"/>
  <c r="P262" i="44" l="1"/>
  <c r="N263" i="44"/>
  <c r="P263" i="44" l="1"/>
  <c r="N264" i="44"/>
  <c r="P264" i="44" l="1"/>
  <c r="N265" i="44"/>
  <c r="P265" i="44" l="1"/>
  <c r="N266" i="44"/>
  <c r="P266" i="44" l="1"/>
  <c r="N267" i="44"/>
  <c r="N268" i="44" l="1"/>
  <c r="P267" i="44"/>
  <c r="P268" i="44" l="1"/>
  <c r="N269" i="44"/>
  <c r="P269" i="44" l="1"/>
  <c r="N270" i="44"/>
  <c r="P270" i="44" l="1"/>
  <c r="N271" i="44"/>
  <c r="N272" i="44" l="1"/>
  <c r="P271" i="44"/>
  <c r="P272" i="44" l="1"/>
  <c r="N273" i="44"/>
  <c r="P273" i="44" l="1"/>
  <c r="N274" i="44"/>
  <c r="N275" i="44" l="1"/>
  <c r="P274" i="44"/>
  <c r="P275" i="44" l="1"/>
  <c r="N276" i="44"/>
  <c r="P276" i="44" l="1"/>
  <c r="N277" i="44"/>
  <c r="P277" i="44" l="1"/>
  <c r="N278" i="44"/>
  <c r="P278" i="44" l="1"/>
  <c r="N279" i="44"/>
  <c r="P279" i="44" l="1"/>
  <c r="N280" i="44"/>
  <c r="P280" i="44" l="1"/>
  <c r="N281" i="44"/>
  <c r="N282" i="44" l="1"/>
  <c r="P281" i="44"/>
  <c r="N283" i="44" l="1"/>
  <c r="P282" i="44"/>
  <c r="P283" i="44" l="1"/>
  <c r="AT292" i="44"/>
  <c r="N284" i="44"/>
  <c r="P284" i="44" l="1"/>
  <c r="N285" i="44"/>
  <c r="P285" i="44" l="1"/>
  <c r="N286" i="44"/>
  <c r="P286" i="44" l="1"/>
  <c r="N287" i="44"/>
  <c r="N288" i="44" l="1"/>
  <c r="P287" i="44"/>
  <c r="P288" i="44" l="1"/>
  <c r="N289" i="44"/>
  <c r="P289" i="44" l="1"/>
  <c r="N290" i="44"/>
  <c r="N291" i="44" l="1"/>
  <c r="P290" i="44"/>
  <c r="P291" i="44" l="1"/>
  <c r="N292" i="44"/>
  <c r="P292" i="44" l="1"/>
  <c r="N293" i="44"/>
  <c r="P293" i="44" l="1"/>
  <c r="N294" i="44"/>
  <c r="P294" i="44" l="1"/>
  <c r="N295" i="44"/>
  <c r="P295" i="44" l="1"/>
  <c r="N296" i="44"/>
  <c r="P296" i="44" l="1"/>
  <c r="N297" i="44"/>
  <c r="P297" i="44" l="1"/>
  <c r="N298" i="44"/>
  <c r="P298" i="44" l="1"/>
  <c r="N299" i="44"/>
  <c r="P299" i="44" l="1"/>
  <c r="N300" i="44"/>
  <c r="P300" i="44" l="1"/>
  <c r="N301" i="44"/>
  <c r="P301" i="44" l="1"/>
  <c r="N302" i="44"/>
  <c r="P302" i="44" l="1"/>
  <c r="N303" i="44"/>
  <c r="P303" i="44" l="1"/>
  <c r="N304" i="44"/>
  <c r="P304" i="44" l="1"/>
  <c r="N305" i="44"/>
  <c r="P305" i="44" l="1"/>
  <c r="N306" i="44"/>
  <c r="P306" i="44" l="1"/>
  <c r="N307" i="44"/>
  <c r="P307" i="44" l="1"/>
  <c r="N308" i="44"/>
  <c r="P308" i="44" l="1"/>
  <c r="N309" i="44"/>
  <c r="P309" i="44" l="1"/>
  <c r="N310" i="44"/>
  <c r="P310" i="44" l="1"/>
  <c r="N311" i="44"/>
  <c r="P311" i="44" l="1"/>
  <c r="N312" i="44"/>
  <c r="P312" i="44" l="1"/>
  <c r="N313" i="44"/>
  <c r="P313" i="44" l="1"/>
  <c r="N314" i="44"/>
  <c r="P314" i="44" l="1"/>
  <c r="N315" i="44"/>
  <c r="AT293" i="44"/>
  <c r="P315" i="44" l="1"/>
  <c r="N316" i="44"/>
  <c r="P316" i="44" l="1"/>
  <c r="N317" i="44"/>
  <c r="P317" i="44" l="1"/>
  <c r="N318" i="44"/>
  <c r="P318" i="44" l="1"/>
  <c r="N319" i="44"/>
  <c r="P319" i="44" l="1"/>
  <c r="N320" i="44"/>
  <c r="P320" i="44" l="1"/>
  <c r="N321" i="44"/>
  <c r="P321" i="44" l="1"/>
  <c r="N322" i="44"/>
  <c r="P322" i="44" l="1"/>
  <c r="N323" i="44"/>
  <c r="N324" i="44" l="1"/>
  <c r="P323" i="44"/>
  <c r="P324" i="44" l="1"/>
  <c r="N325" i="44"/>
  <c r="N326" i="44" l="1"/>
  <c r="P325" i="44"/>
  <c r="P326" i="44" l="1"/>
  <c r="N327" i="44"/>
  <c r="P327" i="44" l="1"/>
  <c r="N328" i="44"/>
  <c r="P328" i="44" l="1"/>
  <c r="N329" i="44"/>
  <c r="N330" i="44" l="1"/>
  <c r="P329" i="44"/>
  <c r="P330" i="44" l="1"/>
  <c r="N331" i="44"/>
  <c r="P331" i="44" l="1"/>
  <c r="N332" i="44"/>
  <c r="P332" i="44" l="1"/>
  <c r="N333" i="44"/>
  <c r="P333" i="44" l="1"/>
  <c r="N334" i="44"/>
  <c r="P334" i="44" l="1"/>
  <c r="N335" i="44"/>
  <c r="P335" i="44" l="1"/>
  <c r="N336" i="44"/>
  <c r="P336" i="44" l="1"/>
  <c r="N337" i="44"/>
  <c r="P337" i="44" l="1"/>
  <c r="N338" i="44"/>
  <c r="P338" i="44" l="1"/>
  <c r="N339" i="44"/>
  <c r="P339" i="44" l="1"/>
  <c r="N340" i="44"/>
  <c r="P340" i="44" l="1"/>
  <c r="N341" i="44"/>
  <c r="P341" i="44" l="1"/>
  <c r="N342" i="44"/>
  <c r="P342" i="44" l="1"/>
  <c r="N343" i="44"/>
  <c r="P343" i="44" l="1"/>
  <c r="AT294" i="44"/>
  <c r="N344" i="44"/>
  <c r="P344" i="44" l="1"/>
  <c r="N345" i="44"/>
  <c r="P345" i="44" l="1"/>
  <c r="N346" i="44"/>
  <c r="P346" i="44" l="1"/>
  <c r="N347" i="44"/>
  <c r="P347" i="44" l="1"/>
  <c r="N348" i="44"/>
  <c r="P348" i="44" l="1"/>
  <c r="N349" i="44"/>
  <c r="P349" i="44" l="1"/>
  <c r="N350" i="44"/>
  <c r="P350" i="44" l="1"/>
  <c r="N351" i="44"/>
  <c r="P351" i="44" l="1"/>
  <c r="N352" i="44"/>
  <c r="P352" i="44" l="1"/>
  <c r="N353" i="44"/>
  <c r="P353" i="44" l="1"/>
  <c r="N354" i="44"/>
  <c r="P354" i="44" l="1"/>
  <c r="N355" i="44"/>
  <c r="P355" i="44" l="1"/>
  <c r="N356" i="44"/>
  <c r="P356" i="44" l="1"/>
  <c r="N357" i="44"/>
  <c r="P357" i="44" l="1"/>
  <c r="N358" i="44"/>
  <c r="P358" i="44" l="1"/>
  <c r="N359" i="44"/>
  <c r="P359" i="44" l="1"/>
  <c r="N360" i="44"/>
  <c r="N361" i="44" l="1"/>
  <c r="P360" i="44"/>
  <c r="P361" i="44" l="1"/>
  <c r="N362" i="44"/>
  <c r="N363" i="44" l="1"/>
  <c r="P362" i="44"/>
  <c r="N364" i="44" l="1"/>
  <c r="P363" i="44"/>
  <c r="P364" i="44" l="1"/>
  <c r="N365" i="44"/>
  <c r="P365" i="44" l="1"/>
  <c r="N366" i="44"/>
  <c r="P366" i="44" l="1"/>
  <c r="N367" i="44"/>
  <c r="N368" i="44" l="1"/>
  <c r="P367" i="44"/>
  <c r="P368" i="44" l="1"/>
  <c r="N369" i="44"/>
  <c r="P369" i="44" l="1"/>
  <c r="N370" i="44"/>
  <c r="N371" i="44" l="1"/>
  <c r="P370" i="44"/>
  <c r="P371" i="44" l="1"/>
  <c r="N372" i="44"/>
  <c r="N373" i="44" l="1"/>
  <c r="P372" i="44"/>
  <c r="P373" i="44" l="1"/>
  <c r="N374" i="44"/>
  <c r="P374" i="44" s="1"/>
  <c r="CC34" i="29"/>
  <c r="CF34" i="29" s="1"/>
  <c r="CB38" i="29"/>
  <c r="Q15" i="19" s="1"/>
  <c r="Q21" i="19" l="1"/>
  <c r="S21" i="19" s="1"/>
  <c r="M22" i="19" s="1"/>
  <c r="CC38" i="29"/>
</calcChain>
</file>

<file path=xl/sharedStrings.xml><?xml version="1.0" encoding="utf-8"?>
<sst xmlns="http://schemas.openxmlformats.org/spreadsheetml/2006/main" count="6216" uniqueCount="787">
  <si>
    <t>शाळा व्यवस्थापन समिती अध्यक्ष नाव-</t>
  </si>
  <si>
    <t>गाव-</t>
  </si>
  <si>
    <t>इंधन पुरवठादाराचे नाव-</t>
  </si>
  <si>
    <t xml:space="preserve">भाजीपाला पुरवठादाराचे नाव </t>
  </si>
  <si>
    <t xml:space="preserve">पूरक आहार(किराणा) पुरवठादाराचे नाव </t>
  </si>
  <si>
    <t>व्यवस्थापनाचे नाव</t>
  </si>
  <si>
    <t xml:space="preserve">शाळेचे नाव </t>
  </si>
  <si>
    <t>केंद्र</t>
  </si>
  <si>
    <t>तालुका</t>
  </si>
  <si>
    <t>जिल्हा</t>
  </si>
  <si>
    <t>पत्ता</t>
  </si>
  <si>
    <t>शाळेचा यु-डायस क्र.</t>
  </si>
  <si>
    <t>शाळा माध्यम</t>
  </si>
  <si>
    <t>शाळेची स्थापना</t>
  </si>
  <si>
    <t>मुख्याध्यापकाचे नाव</t>
  </si>
  <si>
    <t>मोबाईल क्र.</t>
  </si>
  <si>
    <t>शाळेचा मेल-आयडी</t>
  </si>
  <si>
    <t>दिनांक</t>
  </si>
  <si>
    <t>वार</t>
  </si>
  <si>
    <t>उपस्थिती</t>
  </si>
  <si>
    <t xml:space="preserve">सुट्टी </t>
  </si>
  <si>
    <t xml:space="preserve">मुगडाळ </t>
  </si>
  <si>
    <t xml:space="preserve">तुरडाळ </t>
  </si>
  <si>
    <t xml:space="preserve">मसूरडाळ  </t>
  </si>
  <si>
    <t xml:space="preserve">मटकी </t>
  </si>
  <si>
    <t xml:space="preserve">मुग </t>
  </si>
  <si>
    <t xml:space="preserve">चवळी </t>
  </si>
  <si>
    <t xml:space="preserve">हरभरा </t>
  </si>
  <si>
    <t xml:space="preserve">वाटाणा </t>
  </si>
  <si>
    <t xml:space="preserve">एकूण </t>
  </si>
  <si>
    <t>6 ते 8</t>
  </si>
  <si>
    <t>1 ते 5</t>
  </si>
  <si>
    <t>मेनू</t>
  </si>
  <si>
    <t>जानेवारी</t>
  </si>
  <si>
    <t>ऑगस्ट</t>
  </si>
  <si>
    <t>एकूण</t>
  </si>
  <si>
    <t>सन:-</t>
  </si>
  <si>
    <t>सप्टेंबर</t>
  </si>
  <si>
    <t>नोव्हेंबर</t>
  </si>
  <si>
    <t>डिसेंबर</t>
  </si>
  <si>
    <t>फेब्रुवारी</t>
  </si>
  <si>
    <t>मार्च</t>
  </si>
  <si>
    <t>एप्रिल</t>
  </si>
  <si>
    <t xml:space="preserve">महिना </t>
  </si>
  <si>
    <t>मे</t>
  </si>
  <si>
    <t>जुन</t>
  </si>
  <si>
    <t>जुलै</t>
  </si>
  <si>
    <t>ऑक्टोबर</t>
  </si>
  <si>
    <t xml:space="preserve">इतर पूरक आहार </t>
  </si>
  <si>
    <t xml:space="preserve">बटाटा </t>
  </si>
  <si>
    <t xml:space="preserve">टमाटर </t>
  </si>
  <si>
    <t xml:space="preserve">कोथिंबीर </t>
  </si>
  <si>
    <t xml:space="preserve">हिरवी मिरची </t>
  </si>
  <si>
    <t xml:space="preserve">फ्लावर </t>
  </si>
  <si>
    <t xml:space="preserve">कढीपत्ता </t>
  </si>
  <si>
    <t xml:space="preserve">कांदा </t>
  </si>
  <si>
    <t>केळी</t>
  </si>
  <si>
    <t>खारीक</t>
  </si>
  <si>
    <t>बिस्कीट पुडा</t>
  </si>
  <si>
    <t>राजगिरा लाडू</t>
  </si>
  <si>
    <t>इंधन</t>
  </si>
  <si>
    <t xml:space="preserve">भाजीपाला </t>
  </si>
  <si>
    <t xml:space="preserve"> </t>
  </si>
  <si>
    <t>मसूरडाळ</t>
  </si>
  <si>
    <t>मटकी</t>
  </si>
  <si>
    <t>मूग</t>
  </si>
  <si>
    <t>चवळी</t>
  </si>
  <si>
    <t>हरभरा</t>
  </si>
  <si>
    <t>जिरे</t>
  </si>
  <si>
    <t>मोहरी</t>
  </si>
  <si>
    <t>हळद</t>
  </si>
  <si>
    <t>मिरची पावडर</t>
  </si>
  <si>
    <t>सोयाबीन तेल</t>
  </si>
  <si>
    <t>मीठ</t>
  </si>
  <si>
    <t>मुगडाळ</t>
  </si>
  <si>
    <t>तुरडाळ</t>
  </si>
  <si>
    <t>वाटणा</t>
  </si>
  <si>
    <t>गरम मसाला</t>
  </si>
  <si>
    <t xml:space="preserve">दैनिक प्रति विद्यार्थी दर </t>
  </si>
  <si>
    <t xml:space="preserve">दैनिक भाजीपाला प्रति विद्यार्थी दर </t>
  </si>
  <si>
    <t xml:space="preserve">दैनिक प्रति विदयार्थी प्रमाण - कडधान्ये </t>
  </si>
  <si>
    <t>kg</t>
  </si>
  <si>
    <t>liter</t>
  </si>
  <si>
    <t>Rupes</t>
  </si>
  <si>
    <t xml:space="preserve">धान्यादी माल </t>
  </si>
  <si>
    <t xml:space="preserve">पावती क्रमांक </t>
  </si>
  <si>
    <t>अ.क्र.</t>
  </si>
  <si>
    <t>मागील शिल्लक</t>
  </si>
  <si>
    <t>प्राप्त तांदूळ</t>
  </si>
  <si>
    <t xml:space="preserve">प्राप्त धान्यादी माल </t>
  </si>
  <si>
    <t xml:space="preserve">  पुरवठादाराकडून  प्राप्त धान्यादी माल येथे भरा.</t>
  </si>
  <si>
    <t>लोकसहभागातून/खरेदीकरून  प्राप्त धान्यादी माल येथे भरा.</t>
  </si>
  <si>
    <t>पट</t>
  </si>
  <si>
    <t>ताटांची संख्या</t>
  </si>
  <si>
    <t>जून</t>
  </si>
  <si>
    <t xml:space="preserve">दैनिक प्रति विदयार्थी प्रमाण- मसाल्याचे पदार्थ </t>
  </si>
  <si>
    <t>माहे :</t>
  </si>
  <si>
    <t>तांदूळ</t>
  </si>
  <si>
    <t>भाजीपाला</t>
  </si>
  <si>
    <t>पूरक आहार</t>
  </si>
  <si>
    <t>एकूण रक्कम</t>
  </si>
  <si>
    <t>मागील महिना शिल्लक</t>
  </si>
  <si>
    <t>चालू महिना प्राप्त वस्तू</t>
  </si>
  <si>
    <t>एकूण वस्तू</t>
  </si>
  <si>
    <t>शिल्लक वस्तू</t>
  </si>
  <si>
    <t>शालेय पोषण आहार दैनंदिन खर्च - इ.1 ते 5</t>
  </si>
  <si>
    <t>माहे</t>
  </si>
  <si>
    <t>शाळेचा पट</t>
  </si>
  <si>
    <t>उप स्थिती</t>
  </si>
  <si>
    <t xml:space="preserve">शालेय पोषण आहार </t>
  </si>
  <si>
    <t xml:space="preserve">     शाळा स्तरावर ठेवण्याची दैनंदिन खर्च नोंदवही भाग -1 (तांदूळ साठा नोंदवही  )</t>
  </si>
  <si>
    <t xml:space="preserve">प्रती विद्यार्थी तांदूळ = </t>
  </si>
  <si>
    <t xml:space="preserve">इयत्ता </t>
  </si>
  <si>
    <t>शाळा-</t>
  </si>
  <si>
    <t>केंद्र-</t>
  </si>
  <si>
    <t>तालुका-</t>
  </si>
  <si>
    <t>महिना-</t>
  </si>
  <si>
    <t xml:space="preserve">पट संख्या </t>
  </si>
  <si>
    <t xml:space="preserve">धान्यादी माल वार्षिक उपयोगिता प्रमाणपत्र </t>
  </si>
  <si>
    <t xml:space="preserve">शाळा </t>
  </si>
  <si>
    <t>ता.</t>
  </si>
  <si>
    <t>जिल्हा-</t>
  </si>
  <si>
    <t>वर्ष-</t>
  </si>
  <si>
    <t>इयत्ता -</t>
  </si>
  <si>
    <t xml:space="preserve">अ.न. </t>
  </si>
  <si>
    <t xml:space="preserve">वर्ष </t>
  </si>
  <si>
    <t xml:space="preserve">तपशील </t>
  </si>
  <si>
    <t xml:space="preserve">मागील वर्ष अखेर शिल्लक </t>
  </si>
  <si>
    <t xml:space="preserve">पुरवठादाराकडून प्राप्त </t>
  </si>
  <si>
    <t xml:space="preserve">लोकसहभाग/खरेदी </t>
  </si>
  <si>
    <t xml:space="preserve">शिजवलेला </t>
  </si>
  <si>
    <t xml:space="preserve">मे </t>
  </si>
  <si>
    <t xml:space="preserve">जून </t>
  </si>
  <si>
    <t xml:space="preserve">जुलै </t>
  </si>
  <si>
    <t xml:space="preserve">ऑगस्ट </t>
  </si>
  <si>
    <t xml:space="preserve">सप्टेंबर </t>
  </si>
  <si>
    <t xml:space="preserve">ऑक्टोंबर </t>
  </si>
  <si>
    <t xml:space="preserve">नोव्हेंबर </t>
  </si>
  <si>
    <t xml:space="preserve">डिसेंबर </t>
  </si>
  <si>
    <t xml:space="preserve">जानेवारी </t>
  </si>
  <si>
    <t xml:space="preserve">फेब्रुवारी </t>
  </si>
  <si>
    <t xml:space="preserve">मार्च </t>
  </si>
  <si>
    <t xml:space="preserve">मागील शिल्लक </t>
  </si>
  <si>
    <t xml:space="preserve">पुढील शिल्लक </t>
  </si>
  <si>
    <t xml:space="preserve">शालेय पोषण आहार योजना - प्रपत्र ब </t>
  </si>
  <si>
    <t>शाळेने केंद्रप्रमुखांना दरमहा १ तारखेपर्यंत द्यावयाचा अहवाल ( २ प्रतीत )</t>
  </si>
  <si>
    <t>इयत्ता-</t>
  </si>
  <si>
    <t>केंद्र -</t>
  </si>
  <si>
    <t>तालुका -</t>
  </si>
  <si>
    <t>जिल्हा -</t>
  </si>
  <si>
    <t xml:space="preserve">पटसंख्या - </t>
  </si>
  <si>
    <t>महिन्यातील एकूण उपस्थित विद्यार्थी -</t>
  </si>
  <si>
    <t>एकूण कार्य दिवस -</t>
  </si>
  <si>
    <t>तांदूळ प्राप्त दिनांक व पावती क्रमांक -</t>
  </si>
  <si>
    <t xml:space="preserve">धन्यादी वस्तू प्राप्त दिनांक व पावती क्रमांक </t>
  </si>
  <si>
    <t>अन्न शिजवलेले दिवस -</t>
  </si>
  <si>
    <t xml:space="preserve">अ क्र </t>
  </si>
  <si>
    <t xml:space="preserve">वस्तूचे नाव </t>
  </si>
  <si>
    <t>मागील शिल्लक वस्तू (Kg )</t>
  </si>
  <si>
    <t>चालू महिन्यात प्राप्त वस्तू (Kg )</t>
  </si>
  <si>
    <t>अन्न शिजवण्यासाठी वापरलेल्या वस्तू (Kg )</t>
  </si>
  <si>
    <t>पुढील महिन्यासाठी मागणी वस्तू (Kg )</t>
  </si>
  <si>
    <t xml:space="preserve">शेरा </t>
  </si>
  <si>
    <t>मूगडाळ</t>
  </si>
  <si>
    <t>तूरडाळ</t>
  </si>
  <si>
    <t>वाटाणा़</t>
  </si>
  <si>
    <t xml:space="preserve">गरम मसाला </t>
  </si>
  <si>
    <t>1 )</t>
  </si>
  <si>
    <t>महिन्यातील ताटांची संख्या :-</t>
  </si>
  <si>
    <t>२ )</t>
  </si>
  <si>
    <t>३ )</t>
  </si>
  <si>
    <t>स्वयंपाकी तथा मदतनीस मानधन रुपये :-</t>
  </si>
  <si>
    <t>प्रमाणित करण्यात येते कि वर नमूद केलेली माहिती दैनंदिन नोंदवहीवरून घेतलेली आहे.ती तपासली आहे व बरोबर आहे.</t>
  </si>
  <si>
    <t>दिनांक :-</t>
  </si>
  <si>
    <t>आज अखेर शिल्लक माल येथे तपासून पहा.</t>
  </si>
  <si>
    <t xml:space="preserve">चव रजिस्टर </t>
  </si>
  <si>
    <t xml:space="preserve">दिनांक </t>
  </si>
  <si>
    <t xml:space="preserve">वार </t>
  </si>
  <si>
    <t xml:space="preserve">मेनू </t>
  </si>
  <si>
    <t xml:space="preserve">चव घेणाऱ्याचे नाव </t>
  </si>
  <si>
    <t xml:space="preserve">चव </t>
  </si>
  <si>
    <t xml:space="preserve">स्वाक्षरी </t>
  </si>
  <si>
    <t xml:space="preserve">शालेय पोषण आहार योजना -खर्च पावती </t>
  </si>
  <si>
    <t>व्हाऊचर नंबर -</t>
  </si>
  <si>
    <t>अन्न शिजवून देणाऱ्याचा तपशील -</t>
  </si>
  <si>
    <t>नाव-</t>
  </si>
  <si>
    <t xml:space="preserve">तालुका- </t>
  </si>
  <si>
    <t xml:space="preserve">खाते </t>
  </si>
  <si>
    <t xml:space="preserve">रक्कम  </t>
  </si>
  <si>
    <t xml:space="preserve">अक्षरी रुपये </t>
  </si>
  <si>
    <t>मात्र रोख मिळाले.</t>
  </si>
  <si>
    <t xml:space="preserve">माझी कोणतीही तक्रार नाही </t>
  </si>
  <si>
    <t>PAID AND CANCELLED</t>
  </si>
  <si>
    <t xml:space="preserve">मुख्याध्यापक/सचिव </t>
  </si>
  <si>
    <t xml:space="preserve">अध्यक्ष </t>
  </si>
  <si>
    <t xml:space="preserve">अन्न शिजवून देणारी व्यक्तीची स्वाक्षरी </t>
  </si>
  <si>
    <t xml:space="preserve">शाळा व्यवस्थापन समिती </t>
  </si>
  <si>
    <t>दिनांक-</t>
  </si>
  <si>
    <t>पूरक आहार पुरवठा करणाराचा तपशील -</t>
  </si>
  <si>
    <t xml:space="preserve">मुख्याध्यापक </t>
  </si>
  <si>
    <t xml:space="preserve">शालेय पोषण आहार योजना </t>
  </si>
  <si>
    <t xml:space="preserve">शिक्षक मानधन वाटप पावती </t>
  </si>
  <si>
    <t xml:space="preserve">शालेय पोषण आहार योजने अंतर्गत माहे जून </t>
  </si>
  <si>
    <t xml:space="preserve">ते माहे मार्च  </t>
  </si>
  <si>
    <t xml:space="preserve">या शैक्षणिक वर्षातील दहा महिन्यांचे प्रतिमाह रु.100/- प्रमाणे </t>
  </si>
  <si>
    <t>दिनांक -</t>
  </si>
  <si>
    <t>रोजी रोख रु.</t>
  </si>
  <si>
    <t>शालेय पोषण आहार योजनेचे मानधन वाटप पत्रक</t>
  </si>
  <si>
    <t xml:space="preserve">शा.पो.आ.योजनेचे काम केलेल्या व्यक्तीचे नाव </t>
  </si>
  <si>
    <t xml:space="preserve">पद </t>
  </si>
  <si>
    <t xml:space="preserve">कालावधी </t>
  </si>
  <si>
    <t>500/-</t>
  </si>
  <si>
    <t xml:space="preserve">ते मार्च </t>
  </si>
  <si>
    <t>प्रमाणित करण्यात येते की,शालेय पोषण आहार योजनेचे मानधन रकमेचे वरीलप्रमाणे वितरण झाले आहे .कोणाचीही तक्रार नाही.</t>
  </si>
  <si>
    <t>रुपये</t>
  </si>
  <si>
    <t>Liter</t>
  </si>
  <si>
    <t xml:space="preserve">प्रति विद्यार्थी प्रति दिन प्रमाण </t>
  </si>
  <si>
    <t>एकूण खर्च:-</t>
  </si>
  <si>
    <t>एकूण खर्च वस्तू/ लाभार्थी/ रुपये</t>
  </si>
  <si>
    <t>माहे :जून</t>
  </si>
  <si>
    <t>माहे : जुलै</t>
  </si>
  <si>
    <t>माहे :ऑगस्ट</t>
  </si>
  <si>
    <t>माहे : सप्टेंबर</t>
  </si>
  <si>
    <t>माहे : ऑक्टोबर</t>
  </si>
  <si>
    <t>माहे : नोव्हेंबर</t>
  </si>
  <si>
    <t>माहे : डिसेंबर</t>
  </si>
  <si>
    <t>माहे : जानेवारी</t>
  </si>
  <si>
    <t>माहे : फेब्रुवारी</t>
  </si>
  <si>
    <t>माहे : मार्च</t>
  </si>
  <si>
    <t>इ. 1 ली  ते 5 वी</t>
  </si>
  <si>
    <t>इ. 6 वी  ते 8 वी</t>
  </si>
  <si>
    <t>शिल्लक साहित्य</t>
  </si>
  <si>
    <t>पट 1 ते 5</t>
  </si>
  <si>
    <t>उपस्थिती  1 ते 5</t>
  </si>
  <si>
    <t>ताटांची संख्या 1 ते 5</t>
  </si>
  <si>
    <t>मेन्यू 1 ते 5</t>
  </si>
  <si>
    <t>मुग</t>
  </si>
  <si>
    <t>सुट्टी</t>
  </si>
  <si>
    <t>T1</t>
  </si>
  <si>
    <t xml:space="preserve">T2 </t>
  </si>
  <si>
    <t>TT</t>
  </si>
  <si>
    <t>पुरवठा</t>
  </si>
  <si>
    <t>लोकसहभाग</t>
  </si>
  <si>
    <t>प्राप्त माल</t>
  </si>
  <si>
    <t>Total</t>
  </si>
  <si>
    <t>शिजवलेला माल  1 ते 5</t>
  </si>
  <si>
    <t>माहे :    एप्रिल</t>
  </si>
  <si>
    <t>माहे :    मे</t>
  </si>
  <si>
    <t>एकूण पट</t>
  </si>
  <si>
    <t>अभिप्राय</t>
  </si>
  <si>
    <t>शा.पो.आहार स्वयंपाकी व्यक्तीचे नाव-</t>
  </si>
  <si>
    <t>खाते क्रमांक -</t>
  </si>
  <si>
    <t>बँक IFSC कोड नं.-</t>
  </si>
  <si>
    <t>शा.पो.आहार मदतनीस व्यक्तीचे नाव-1)</t>
  </si>
  <si>
    <t>शा.पो.आहार मदतनीस व्यक्तीचे नाव-2)</t>
  </si>
  <si>
    <t>शैक्षणिक वर्ष :-</t>
  </si>
  <si>
    <t>केंद्र:-</t>
  </si>
  <si>
    <t>माहे:-</t>
  </si>
  <si>
    <t>तालुका:</t>
  </si>
  <si>
    <t>जिल्हा:</t>
  </si>
  <si>
    <t>शैक्षणिक वर्ष :</t>
  </si>
  <si>
    <t>कार्य दिन</t>
  </si>
  <si>
    <t>एकूण उपस्थिती</t>
  </si>
  <si>
    <t>सरासरी पट</t>
  </si>
  <si>
    <t>दर 1ते 5</t>
  </si>
  <si>
    <t>दर  6 ते 8</t>
  </si>
  <si>
    <t xml:space="preserve">विदयार्थी उपस्थिती/ लाभार्थी </t>
  </si>
  <si>
    <t xml:space="preserve">शा.पो.आ. काम पाहणारे शिक्षक- </t>
  </si>
  <si>
    <t>शा.पो.आ. काम पाहणारे शिक्षक-</t>
  </si>
  <si>
    <t>1 ते 8</t>
  </si>
  <si>
    <t>2 )</t>
  </si>
  <si>
    <t>3 )</t>
  </si>
  <si>
    <t>स्वयंपाकी व मदतनीस एकूण संख्या</t>
  </si>
  <si>
    <t xml:space="preserve">स्वयंपाकी/मदतनीस मानधन </t>
  </si>
  <si>
    <t>प्रति माहे दर</t>
  </si>
  <si>
    <t>स्वयंपाकी तथा मदतनीस  संख्या:-</t>
  </si>
  <si>
    <t>खर्च रुपये:-</t>
  </si>
  <si>
    <t>खर्च दर:- (रुपये)</t>
  </si>
  <si>
    <t>धन्यादी वस्तू प्राप्त दिनांक व पावती क्र.:-</t>
  </si>
  <si>
    <t>तांदूळ प्राप्त दिनांक व पावती क्र. :-</t>
  </si>
  <si>
    <t>महिन्यातील एकूण उपस्थित विद्यार्थी :-</t>
  </si>
  <si>
    <t xml:space="preserve">पटसंख्या :- </t>
  </si>
  <si>
    <t>मानधन दर:-(रुपये)</t>
  </si>
  <si>
    <t>मानधन दर</t>
  </si>
  <si>
    <t>इयत्ता</t>
  </si>
  <si>
    <t xml:space="preserve">शालेय पोषण आहार दैनंदिन खर्च </t>
  </si>
  <si>
    <t>इयत्ता:</t>
  </si>
  <si>
    <t>शिजवलेला माल  6 ते 8</t>
  </si>
  <si>
    <t>6 to 8</t>
  </si>
  <si>
    <t>पट 6 ते 8</t>
  </si>
  <si>
    <t>उपस्थिती  6 ते 8</t>
  </si>
  <si>
    <t>ताटांची संख्या 6 ते 8</t>
  </si>
  <si>
    <t>मेन्यू 6 ते 8</t>
  </si>
  <si>
    <t>उपशिक्षक/उपशिक्षिका</t>
  </si>
  <si>
    <t>प्राप्त मानधन</t>
  </si>
  <si>
    <t>साठी</t>
  </si>
  <si>
    <t>अक्षरी रुपये-</t>
  </si>
  <si>
    <t>पद</t>
  </si>
  <si>
    <t xml:space="preserve"> स्वयंपाकी / मदतनीस </t>
  </si>
  <si>
    <t>शाळेची माहिती फक्त एकदाच भरा.</t>
  </si>
  <si>
    <t>Kokila  font इंटरनेट सुरु करून Download करा</t>
  </si>
  <si>
    <t>खर्च दर:-(रुपये)</t>
  </si>
  <si>
    <t xml:space="preserve">दैनिक भाजीपाला व पूरक आहार खर्च अहवाल </t>
  </si>
  <si>
    <t>शाळेचे नाव:-</t>
  </si>
  <si>
    <t xml:space="preserve">पूरक आहार </t>
  </si>
  <si>
    <t>तपशिल</t>
  </si>
  <si>
    <t xml:space="preserve">एकूण पूरक आहार खर्च </t>
  </si>
  <si>
    <t>माहे:</t>
  </si>
  <si>
    <t xml:space="preserve">जि.प.प्राथमिक शाळा ब्राह्मणवाडी  ता.मावळ  जि.पुणे </t>
  </si>
  <si>
    <t xml:space="preserve">स्वयंपाकी/मदतनीस </t>
  </si>
  <si>
    <t>पद -</t>
  </si>
  <si>
    <t xml:space="preserve">पद- </t>
  </si>
  <si>
    <t>शैक्षणिक वर्ष:-</t>
  </si>
  <si>
    <t>कांदा लसून मसाला</t>
  </si>
  <si>
    <t>मागील दिवस शिल्लक तांदुळ(kg)</t>
  </si>
  <si>
    <t>चालू महिना प्राप्त तांदुळ(kg)</t>
  </si>
  <si>
    <t>एकूण तांदूळ(kg)</t>
  </si>
  <si>
    <t>शिजवलेला तांदूळ(kg)</t>
  </si>
  <si>
    <t xml:space="preserve"> शिल्लक तांदूळ(kg)</t>
  </si>
  <si>
    <t>एकूण वस्तू  (Kg )</t>
  </si>
  <si>
    <t>एकूण वस्तू (Kg )</t>
  </si>
  <si>
    <t>शिल्लक वस्तू (Kg )</t>
  </si>
  <si>
    <t>शिल्लक वस्तू  (Kg )</t>
  </si>
  <si>
    <t>4 )</t>
  </si>
  <si>
    <t>एकूण रुपये:-</t>
  </si>
  <si>
    <t>इंधन व भाजीपाल्यासाठी एकूण खर्च रक्कम  :-</t>
  </si>
  <si>
    <t>एकूण खर्च रक्कम:-</t>
  </si>
  <si>
    <t>इंधन व भाजीपाल्यासाठी एकूण खर्च रक्कम :-</t>
  </si>
  <si>
    <t>वाटप/खराब/शिजवण्यासाठी अयोग्य वस्तू</t>
  </si>
  <si>
    <t>विद्यार्थ्यांना वाटप केलेला व खराब धान्यादी माल येथे भरा.</t>
  </si>
  <si>
    <t>विद्यार्थ्यांना वाटप केलेला व खराब  धान्यादी माल येथे भरा.</t>
  </si>
  <si>
    <t xml:space="preserve">एकूण शिजवण्यासाठी प्राप्त </t>
  </si>
  <si>
    <t>इयत्ता 1 ली ते 5 वी</t>
  </si>
  <si>
    <t>इयत्ता 6 वी ते 8 वी</t>
  </si>
  <si>
    <t>शाळा:-</t>
  </si>
  <si>
    <t>वाटप/खराब वस्तू</t>
  </si>
  <si>
    <t>चालू महिन्यातील वाटप / खराब वस्तू (kg)</t>
  </si>
  <si>
    <t>महिना :-</t>
  </si>
  <si>
    <t xml:space="preserve"> प्रत्यक्ष लाभार्थी संख्या</t>
  </si>
  <si>
    <t>इतर</t>
  </si>
  <si>
    <t>गाजर</t>
  </si>
  <si>
    <t>एकूण भाजीपाला खर्च</t>
  </si>
  <si>
    <t>एकूण लाभार्थीं नुसार होणारा खर्च</t>
  </si>
  <si>
    <t>एकूण इंधन खर्च</t>
  </si>
  <si>
    <t>प्रति विदयार्थी खर्च(रुपये)</t>
  </si>
  <si>
    <t>अनुदान</t>
  </si>
  <si>
    <t>एकूण खर्च (100%)</t>
  </si>
  <si>
    <t>केंद्र हिस्सा (60%)</t>
  </si>
  <si>
    <t>राज्य हिस्सा (40%)</t>
  </si>
  <si>
    <t>सोमवार</t>
  </si>
  <si>
    <t>मंगळवार</t>
  </si>
  <si>
    <t>बुधवार</t>
  </si>
  <si>
    <t>गुरूवार</t>
  </si>
  <si>
    <t>शुक्रवार</t>
  </si>
  <si>
    <t>शनिवार</t>
  </si>
  <si>
    <t>वाटप</t>
  </si>
  <si>
    <t>वरण भात</t>
  </si>
  <si>
    <t>सांबर भात</t>
  </si>
  <si>
    <t>आमटी भात</t>
  </si>
  <si>
    <t>खिचडी</t>
  </si>
  <si>
    <t>पाककृती</t>
  </si>
  <si>
    <t>मसाले भात</t>
  </si>
  <si>
    <t>इयत्ता:-</t>
  </si>
  <si>
    <t>महिना</t>
  </si>
  <si>
    <t>एकूण सरासरी पट</t>
  </si>
  <si>
    <t>एकूण लाभार्थी</t>
  </si>
  <si>
    <t>एकूण मागणी बिल</t>
  </si>
  <si>
    <t>अन्न शिजविलेले दिवस</t>
  </si>
  <si>
    <t>मागील शिल्लक तांदूळ (kg)</t>
  </si>
  <si>
    <t>प्राप्त तांदूळ (kg)</t>
  </si>
  <si>
    <t>वाटप/खराब तांदूळ (kg)</t>
  </si>
  <si>
    <t>एकूण अन्न शिजवण्यासाठी प्राप्त तांदूळ (kg)</t>
  </si>
  <si>
    <t>शिजवलेला तांदूळ (kg)</t>
  </si>
  <si>
    <t>पुढील महिन्यासाठी शिल्लक तांदूळ (kg)</t>
  </si>
  <si>
    <t>इंधन खर्च (रु.)</t>
  </si>
  <si>
    <t>भाजीपाला खर्च (रु.)</t>
  </si>
  <si>
    <t>पूरक आहार खर्च (रु.)</t>
  </si>
  <si>
    <t>तालुका:-</t>
  </si>
  <si>
    <t>जिल्हा:-</t>
  </si>
  <si>
    <t xml:space="preserve"> वर्ष</t>
  </si>
  <si>
    <t>केंद्र हिस्सा (रुपये)</t>
  </si>
  <si>
    <t>राज्य हिस्सा (रुपये)</t>
  </si>
  <si>
    <t>वार्षिक</t>
  </si>
  <si>
    <t xml:space="preserve"> आमटी</t>
  </si>
  <si>
    <t>उसळ</t>
  </si>
  <si>
    <t>भाजी</t>
  </si>
  <si>
    <t>इयत्ता 1 ली ते 8 वी</t>
  </si>
  <si>
    <t xml:space="preserve">शालेय पोषण आहार शिजवून देण्याचे इंधनाचा तपशील खालीलप्रमाणे </t>
  </si>
  <si>
    <t xml:space="preserve">शालेय पोषण आहार शिजवून देण्याचे भाजीपाल्याचा तपशील खालीलप्रमाणे  </t>
  </si>
  <si>
    <t>शालेय पोषण आहार शिजवून देण्याचे पूरक आहाराचा तपशील खालीलप्रमाणे</t>
  </si>
  <si>
    <t xml:space="preserve">शालेय पोषण आहार योजना -इंधन -खर्च पावती </t>
  </si>
  <si>
    <t xml:space="preserve">शालेय पोषण आहार योजना-भाजीपाला -खर्च पावती </t>
  </si>
  <si>
    <t xml:space="preserve">शालेय पोषण आहार योजना-पूरक आहार -खर्च पावती </t>
  </si>
  <si>
    <t>इंधन बील</t>
  </si>
  <si>
    <t>ते</t>
  </si>
  <si>
    <t>पाककृती 6 ते 8</t>
  </si>
  <si>
    <t xml:space="preserve"> पाककृती 1 ते 5</t>
  </si>
  <si>
    <t>शालेय पोषण आहार शिजवून देण्याचे स्वयंपाकी मानधन पुढीलप्रमाणे</t>
  </si>
  <si>
    <t>स्वयंपाकी</t>
  </si>
  <si>
    <t>स्वयंपाकी मानधन</t>
  </si>
  <si>
    <t>मदतनीस 1</t>
  </si>
  <si>
    <t>शालेय पोषण आहार शिजवून देण्याचे मदतनीस मानधन पुढीलप्रमाणे</t>
  </si>
  <si>
    <t>मदतनीस मानधन</t>
  </si>
  <si>
    <t>माहे-</t>
  </si>
  <si>
    <t>मदतनीस 2</t>
  </si>
  <si>
    <t xml:space="preserve">रक्कम (रुपये) </t>
  </si>
  <si>
    <t>शाळेतील वर्ग</t>
  </si>
  <si>
    <t>इयत्ता 1 ली ते 4 थी</t>
  </si>
  <si>
    <t>इयता 1 ली ते 5 वी</t>
  </si>
  <si>
    <t>इयत्ता 1 ली ते 7 वी</t>
  </si>
  <si>
    <t>इयत्ता 5 वी ते 8 वी</t>
  </si>
  <si>
    <t>इयत्ता 8 वी ते 10 वी</t>
  </si>
  <si>
    <t>पुढील मागणी नोंदवताना शाळेकडे वीस दिवसांचा साठा शिल्लक राहील याची दक्षता घेऊन मागणी नोंदवावी .आवश्यकतेपेक्षा जास्त साठा करून धान्य खराब होणार नाही याची दक्षता घ्यावी .</t>
  </si>
  <si>
    <t>महिना व वर्ष बदलून फक्त प्रिंट काढा.</t>
  </si>
  <si>
    <t>महिना व वर्ष निवडून फक्त प्रिंट काढा</t>
  </si>
  <si>
    <t>सूचना</t>
  </si>
  <si>
    <t>चव घेण्याऱ्या व्यक्तीचे नाव</t>
  </si>
  <si>
    <t>आजची चव</t>
  </si>
  <si>
    <t>1 te 8 पट</t>
  </si>
  <si>
    <t>1 to 8 ताटांची संख्या</t>
  </si>
  <si>
    <t>एकत्रित मासिक चव रजिस्टर हवे असल्यास माहिती भरा.</t>
  </si>
  <si>
    <t>स्वादिष्ठ</t>
  </si>
  <si>
    <t>रुचकर</t>
  </si>
  <si>
    <t>चविष्ठ</t>
  </si>
  <si>
    <t>छान</t>
  </si>
  <si>
    <t>उत्तम</t>
  </si>
  <si>
    <t xml:space="preserve"> पूरक आहारामधील मेनू लिहा</t>
  </si>
  <si>
    <t>1 ला आठवडा</t>
  </si>
  <si>
    <t>2 रा आठवडा</t>
  </si>
  <si>
    <t>3 रा आठवडा</t>
  </si>
  <si>
    <t>4 था आठवडा</t>
  </si>
  <si>
    <t>आठवड्यातून एकदा पूरक आहाराचा वार निवडा.          ( 1 ली ते 5 वी )</t>
  </si>
  <si>
    <t>आठवड्यातून एकदा पूरक आहाराचा वार निवडा.          ( 6 वी ते 8 वी )</t>
  </si>
  <si>
    <t>1)</t>
  </si>
  <si>
    <t>फक्त home page वरील माहिती भरा.व प्रिंट विभागातील सर्व घटकाचे प्रिंट काढा.</t>
  </si>
  <si>
    <t>2)</t>
  </si>
  <si>
    <t>हे Excel Softwear इयत्ता 1 ली ते 5 वी व 6 वी ते 8 वी  तसेच 1 ली ते 8 साठी अशा  शाळेसाठी एकच वापरू शकता.</t>
  </si>
  <si>
    <t>3)</t>
  </si>
  <si>
    <t>या सोफ्टवेअर मधील सर्व sheet protect केलेली आहेत. कृपया बदल करू नयेत.</t>
  </si>
  <si>
    <t>4)</t>
  </si>
  <si>
    <t>सदर सोफ्टवेअर पुणे जिल्हासाठी तयार केलेले आहे. इतर जिल्हासाठी वापरायचे असल्यास प्रमाण बदलू शकता.</t>
  </si>
  <si>
    <t>5)</t>
  </si>
  <si>
    <t>6)</t>
  </si>
  <si>
    <t xml:space="preserve"> इयत्ता निवडा.</t>
  </si>
  <si>
    <t>वाटाणा</t>
  </si>
  <si>
    <t>मासिक सरासरी पटसंख्या</t>
  </si>
  <si>
    <t>मागील शिल्लक तांदूळ(kg)</t>
  </si>
  <si>
    <t>प्राप्त तांदूळ(kg)</t>
  </si>
  <si>
    <t>मासिक शालेय पोषण आहार अनुदान मागणी</t>
  </si>
  <si>
    <t>एकूण लाभार्थी संख्या</t>
  </si>
  <si>
    <t>शाळेतील वर्ग:-</t>
  </si>
  <si>
    <t>शिजवण्यात आलेला तांदूळ(kg)</t>
  </si>
  <si>
    <t>शिल्लक तांदूळ(kg)</t>
  </si>
  <si>
    <t>अन्न शिजवलेले दिवस</t>
  </si>
  <si>
    <t>शेरा</t>
  </si>
  <si>
    <t>शिजवण्यासाठी लागलेला खर्च (रुपये)</t>
  </si>
  <si>
    <t>एकूण अनुदान मागणी खर्च(रुपये)</t>
  </si>
  <si>
    <t>मुख्याध्यापक</t>
  </si>
  <si>
    <t>UDISE:-</t>
  </si>
  <si>
    <t>दुसरा पक्ष क्र .२ -</t>
  </si>
  <si>
    <t xml:space="preserve">अ.नं </t>
  </si>
  <si>
    <t xml:space="preserve">२५ विद्यार्थी पर्यंत </t>
  </si>
  <si>
    <t xml:space="preserve">२६ ते १९९ विद्यार्थी </t>
  </si>
  <si>
    <t xml:space="preserve">२०० ते २९९ विद्यार्थी </t>
  </si>
  <si>
    <t>रु.३०००/-</t>
  </si>
  <si>
    <t xml:space="preserve">३०० ते ३९९ विद्यार्थी </t>
  </si>
  <si>
    <t>१) अन्न शिजवण्याचे काम करणे.</t>
  </si>
  <si>
    <t>२) तांदूळ व धन्यादी मालाची साफसफाई करणे.</t>
  </si>
  <si>
    <t>३) शाळेमध्ये विद्यार्थ्यांनी आहाराचे सेवन केल्यानंतर साफसफाई करणे.</t>
  </si>
  <si>
    <t>४) भांड्यांची साफसफाई करणे.व जेवल्यानंतर  ताटांची  स्वच्छता करणे.</t>
  </si>
  <si>
    <t>५) शाळा व शाळा परिसार स्वच्छ ठेवणे.</t>
  </si>
  <si>
    <t>६) अन्न शिजवणाऱ्या यंत्रणेच्या आहारविषयक नोंदी करणे.</t>
  </si>
  <si>
    <t>दिनांक २३/११/२०१० अन्वये निर्गमित करण्यात येत आहे.</t>
  </si>
  <si>
    <t>तरी पक्ष क्रमांक २ यांना वरील सर्व अटी व ब्नियाम मान्य असून शालेय पोषण आहार शिजवण्यास तयार आहे.</t>
  </si>
  <si>
    <t>त्यांच्या मध्ये  दिनांक                                                         रोजी कराराच्या स्वरूपात हा करार विलेख करण्यात आला.</t>
  </si>
  <si>
    <t xml:space="preserve">शाळा  व्यवस्थापन समिती </t>
  </si>
  <si>
    <t xml:space="preserve">     शालेय पोषण आहार (तांदूळ) शिजवून देण्यासंबंधी करारलेख</t>
  </si>
  <si>
    <t>पहिला पक्ष क्र.१-</t>
  </si>
  <si>
    <t xml:space="preserve">         शालेय पोषण आहार समिती इतिवृत्त </t>
  </si>
  <si>
    <t xml:space="preserve">आज  दिनांक-                                                 रोजी शालेय पोषण आहार समितीची बैठक </t>
  </si>
  <si>
    <t>घेण्यात आली. बैठकीत खालील विषयवार चर्चा करण्यात आली.</t>
  </si>
  <si>
    <t xml:space="preserve">   ठराव क्रमांक         अन्वये सचिवानी मागील सभेचे वाचून दाखवले व ते सर्वानुमते </t>
  </si>
  <si>
    <t xml:space="preserve">                   मंजूर करण्यात आले.</t>
  </si>
  <si>
    <t>सूचक -</t>
  </si>
  <si>
    <t>अनुमोदक -</t>
  </si>
  <si>
    <t xml:space="preserve">          शालेय पोषण आहार समिती </t>
  </si>
  <si>
    <t xml:space="preserve">सदस्याचे नाव </t>
  </si>
  <si>
    <t xml:space="preserve">                     शालेय पोषण आहार योजना </t>
  </si>
  <si>
    <t xml:space="preserve">       विद्यार्थी वजन व उंची - त्रैमासिक अहवाल </t>
  </si>
  <si>
    <t xml:space="preserve">शाळेचे नाव- </t>
  </si>
  <si>
    <t>BMI</t>
  </si>
  <si>
    <t>करारनामा/ करारपत्र</t>
  </si>
  <si>
    <t xml:space="preserve">  पुढील अटी व शर्ती  या अटीवर</t>
  </si>
  <si>
    <t>पत्ता:-</t>
  </si>
  <si>
    <t>येथील शाळेसाठी शालेय पोषण आहार (तांदूळ ) शिजवून देणे;    या वार्षिक कामकाजासाठी करारानामा</t>
  </si>
  <si>
    <t xml:space="preserve">               शाळा  व्यवस्थापन  समिती                                                                         </t>
  </si>
  <si>
    <t>नाव:-</t>
  </si>
  <si>
    <t>राहणार:-</t>
  </si>
  <si>
    <t>अध्यक्ष व सचिव</t>
  </si>
  <si>
    <t>शाळेमधील लाभार्थी संख्या प्राथमिक व उच्चप्राथमिक मिळून</t>
  </si>
  <si>
    <t xml:space="preserve">स्वयंपाकाचे तसेच मदतनीस कामासाठी अनुदान प्रती महिना वर्षातील १० महीन्यासाठी </t>
  </si>
  <si>
    <t xml:space="preserve"> त्यांनी खालील प्रमाणे काम करणे आवश्यक राहील.</t>
  </si>
  <si>
    <t xml:space="preserve"> ग्रामीण भागामध्ये महिला बचत गट किंवा स्वयंसेवी संस्था किंवा  मांडणी  तत्वावरील पदासाठी स्वतंत्रपणे अनुदान देण्यात येणार असल्याने</t>
  </si>
  <si>
    <t>रु १५००/-</t>
  </si>
  <si>
    <t>रु.४५००/-</t>
  </si>
  <si>
    <t>रु.६०००/-</t>
  </si>
  <si>
    <t xml:space="preserve">  सदरच्या  शासन निर्णय वित्त विभागाच्या  सहमतीने त्यांचा अनौपचारिक संदर्भ क्रमांक ६९२ /१०/व्यव -५ </t>
  </si>
  <si>
    <t xml:space="preserve">     पहिला  पक्ष </t>
  </si>
  <si>
    <t>दुसरा पक्ष</t>
  </si>
  <si>
    <t>अध्यक्ष/ सचिव</t>
  </si>
  <si>
    <t>१)</t>
  </si>
  <si>
    <t>२)</t>
  </si>
  <si>
    <t>३)</t>
  </si>
  <si>
    <t>४)</t>
  </si>
  <si>
    <t>५)</t>
  </si>
  <si>
    <t>UDISE :-</t>
  </si>
  <si>
    <t xml:space="preserve">           साक्षीदारांची  नावे </t>
  </si>
  <si>
    <t xml:space="preserve">   स्वाक्षऱ्या </t>
  </si>
  <si>
    <t>दिनांक:-</t>
  </si>
  <si>
    <t xml:space="preserve">वरील निकषावरून ग्रामीण भागातील शाळांमध्ये  अन्न शिजवण्याचे काम करणाऱ्या स्वयंपाकी/मदतनीस  या कामासाठी </t>
  </si>
  <si>
    <t>शै. वर्ष:-</t>
  </si>
  <si>
    <t>स्वयंपाकी हजेरीपत्रक</t>
  </si>
  <si>
    <t>स्वयंपाकी व्यक्तीचे नाव:-</t>
  </si>
  <si>
    <t>पद:-</t>
  </si>
  <si>
    <t>मदतनीस व्यक्तीचे नाव:-</t>
  </si>
  <si>
    <t>मदतनीस</t>
  </si>
  <si>
    <t>येण्याची वेळ</t>
  </si>
  <si>
    <t>जाण्याची वेळ</t>
  </si>
  <si>
    <t>शै. वर्ष :</t>
  </si>
  <si>
    <t>मदतनीस स्वाक्षरी</t>
  </si>
  <si>
    <t>स्वयंपाकी स्वाक्षरी</t>
  </si>
  <si>
    <t xml:space="preserve"> मदतनीस हजेरीपत्रक</t>
  </si>
  <si>
    <t>मासिक मिटिंग क्र.:-</t>
  </si>
  <si>
    <t>वजन</t>
  </si>
  <si>
    <t>उंची</t>
  </si>
  <si>
    <t>विद्यार्थ्याचे नाव</t>
  </si>
  <si>
    <t xml:space="preserve">विषय क्रमांक-                        शालेय पोषण आहार बाबत....       </t>
  </si>
  <si>
    <t>विषय क्रमांक-1 :-  मागील सभेचे इतिवृत्त वाचून दाखवणे बाबत-</t>
  </si>
  <si>
    <t>सर्वानुमते ठराव मंजूर झाले.</t>
  </si>
  <si>
    <t>चौथी</t>
  </si>
  <si>
    <t>बँक जमा-खर्च पासबुक</t>
  </si>
  <si>
    <t>तपशील</t>
  </si>
  <si>
    <t>चेक क्रमांक</t>
  </si>
  <si>
    <t xml:space="preserve"> रक्कम जमा</t>
  </si>
  <si>
    <t>जमा</t>
  </si>
  <si>
    <t>खर्च</t>
  </si>
  <si>
    <t>पावती क्र.</t>
  </si>
  <si>
    <t>रोख रक्कम जमा</t>
  </si>
  <si>
    <t>बँक रक्कम जमा</t>
  </si>
  <si>
    <t>प्रमाणक क्र.</t>
  </si>
  <si>
    <t xml:space="preserve"> रोख रक्कम खर्च</t>
  </si>
  <si>
    <t>बँक रक्कम खर्च</t>
  </si>
  <si>
    <t>शालेय पोषण आहार बँक पासबुक</t>
  </si>
  <si>
    <t>जमा तपशील</t>
  </si>
  <si>
    <t>खर्च तपशील</t>
  </si>
  <si>
    <t>माहे-एप्रिल</t>
  </si>
  <si>
    <t>माहे-मे</t>
  </si>
  <si>
    <t>माहे-जून</t>
  </si>
  <si>
    <t>माहे-जुलै</t>
  </si>
  <si>
    <t>माहे-ऑगस्ट</t>
  </si>
  <si>
    <t>माहे-सप्टेंबर</t>
  </si>
  <si>
    <t>माहे-ऑक्टोबर</t>
  </si>
  <si>
    <t>माहे-नोव्हेंबर</t>
  </si>
  <si>
    <t>माहे-डिसेंबर</t>
  </si>
  <si>
    <t>माहे-जानेवारी</t>
  </si>
  <si>
    <t>माहे-फेब्रुवारी</t>
  </si>
  <si>
    <t>माहे-मार्च</t>
  </si>
  <si>
    <t>स्वयंपाकी व मदतनीस मानधन</t>
  </si>
  <si>
    <t>बँक व्याज</t>
  </si>
  <si>
    <t>शिक्षक अनुदान</t>
  </si>
  <si>
    <t>गॅस अनुदान</t>
  </si>
  <si>
    <t>शा.पो.आ.भांडी अनुदान</t>
  </si>
  <si>
    <t>बँक अनामत</t>
  </si>
  <si>
    <t>जमा रक्कम</t>
  </si>
  <si>
    <t>खर्च रक्कम</t>
  </si>
  <si>
    <t>दिवसाची शिल्लक रक्कम</t>
  </si>
  <si>
    <t>एकूण शिल्लक</t>
  </si>
  <si>
    <t>शिल्लक रक्कम</t>
  </si>
  <si>
    <t>जमा व खर्च तपशील</t>
  </si>
  <si>
    <t>रक्कम बाबवार काढली</t>
  </si>
  <si>
    <t xml:space="preserve"> तपशील</t>
  </si>
  <si>
    <t>एकूण खर्च</t>
  </si>
  <si>
    <t>जमा-माहे</t>
  </si>
  <si>
    <t>जमा-तपशील</t>
  </si>
  <si>
    <t>माहे खर्च</t>
  </si>
  <si>
    <t>खर्च-तपशील</t>
  </si>
  <si>
    <t>रोख</t>
  </si>
  <si>
    <t>बँक</t>
  </si>
  <si>
    <t>चेक घेणाऱ्या व्यक्तीचे नाव</t>
  </si>
  <si>
    <t>चेक</t>
  </si>
  <si>
    <t>अध्यक्ष SMC</t>
  </si>
  <si>
    <t>मुख्याध्यापक/सचिव SMC</t>
  </si>
  <si>
    <t>रोख जमा</t>
  </si>
  <si>
    <t>बँक जमा</t>
  </si>
  <si>
    <t>रोख खर्च</t>
  </si>
  <si>
    <t>बँक खर्च</t>
  </si>
  <si>
    <t>रोख शिल्लक</t>
  </si>
  <si>
    <t>बँक शिल्लक</t>
  </si>
  <si>
    <t>मा.रोख</t>
  </si>
  <si>
    <t>मा.बँक</t>
  </si>
  <si>
    <t>इंधन,भाजीपाला,पूरक आहार अनुदान बील</t>
  </si>
  <si>
    <t>इतर अनुदान</t>
  </si>
  <si>
    <t>इंटरनेट साठी शाळा अनुदान</t>
  </si>
  <si>
    <t>शा.पो.आ.साहित्य खरेदी अनुदान</t>
  </si>
  <si>
    <t>इंधन,भाजीपाला,पूरक आहार अनुदान फरक बील</t>
  </si>
  <si>
    <t>निनावी रक्कम</t>
  </si>
  <si>
    <t>मागील फरक रक्कम</t>
  </si>
  <si>
    <t>शालेय पोषण आहार-जमा खर्च तपशील</t>
  </si>
  <si>
    <t>आर्थिक वर्ष:-</t>
  </si>
  <si>
    <t>एकूण खर्च रक्कम</t>
  </si>
  <si>
    <t>मागील जमा शिल्लक</t>
  </si>
  <si>
    <t xml:space="preserve">या वर्षी जमा रक्कम </t>
  </si>
  <si>
    <t>एकूण जमा रक्कम</t>
  </si>
  <si>
    <t>ते-सप्टेंबर</t>
  </si>
  <si>
    <t>ते-एप्रिल</t>
  </si>
  <si>
    <t>ते- मे</t>
  </si>
  <si>
    <t>ते- जून</t>
  </si>
  <si>
    <t>ते- जुलै</t>
  </si>
  <si>
    <t>ते- ऑगस्ट</t>
  </si>
  <si>
    <t>ते-ऑक्टोबर</t>
  </si>
  <si>
    <t>ते-नोव्हेंबर</t>
  </si>
  <si>
    <t>ते-डिसेंबर</t>
  </si>
  <si>
    <t>ते-जानेवारी</t>
  </si>
  <si>
    <t>ते-फेब्रुवारी</t>
  </si>
  <si>
    <t>ते-मार्च</t>
  </si>
  <si>
    <t>ते माहे जमा</t>
  </si>
  <si>
    <t>ते माहे खर्च</t>
  </si>
  <si>
    <t>शाळा</t>
  </si>
  <si>
    <t>शालेय पोषण आहार कॅशबुक / रोकड वही</t>
  </si>
  <si>
    <t>चेक क्र.</t>
  </si>
  <si>
    <t>चेक दिलेली व्यक्ती</t>
  </si>
  <si>
    <t>रक्कम</t>
  </si>
  <si>
    <t>सही</t>
  </si>
  <si>
    <t>शालेय पोषण आहार - चेक बुक डायरी</t>
  </si>
  <si>
    <t xml:space="preserve">चेक रक्कम </t>
  </si>
  <si>
    <t>चेक रक्कम</t>
  </si>
  <si>
    <t>बाबवार खतावणी(लेजर)</t>
  </si>
  <si>
    <t>शिल्लक</t>
  </si>
  <si>
    <t>लेजर नाव</t>
  </si>
  <si>
    <t>लेजर नाव:-</t>
  </si>
  <si>
    <t>13)</t>
  </si>
  <si>
    <t>12)</t>
  </si>
  <si>
    <t>11)</t>
  </si>
  <si>
    <t>10)</t>
  </si>
  <si>
    <t>9)</t>
  </si>
  <si>
    <t>8)</t>
  </si>
  <si>
    <t>7)</t>
  </si>
  <si>
    <t>मागील एकूण खिल्लक रक्कम:-</t>
  </si>
  <si>
    <t xml:space="preserve">शालेय पोषण आहार योजना  -खर्च पावती </t>
  </si>
  <si>
    <t>शैक्षणिक वर्ष</t>
  </si>
  <si>
    <t>चेक देणाऱ्या व्यक्तीचे नाव-</t>
  </si>
  <si>
    <t xml:space="preserve">रक्कम प्राप्त व्यक्तीची स्वाक्षरी </t>
  </si>
  <si>
    <t>मात्र रुपये मिळाले.</t>
  </si>
  <si>
    <t>चेक क्र.:-</t>
  </si>
  <si>
    <t>चेक नं.:-</t>
  </si>
  <si>
    <t xml:space="preserve">खर्च तपशील </t>
  </si>
  <si>
    <t>माहे/वर्ष</t>
  </si>
  <si>
    <t>शैक्षणिक वर्ष ;-</t>
  </si>
  <si>
    <t>जमा-खर्च बाबवार शिल्लक</t>
  </si>
  <si>
    <t xml:space="preserve">शालेय पोषण आहार खर्च बील तपशील खालीलप्रमाणे </t>
  </si>
  <si>
    <t>रक्कम खर्च(बँकेतून काढली)</t>
  </si>
  <si>
    <t>एकूण  शिल्लक रक्कम</t>
  </si>
  <si>
    <t>मागील शिल्लक रक्कम बाबवार भरा.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</si>
  <si>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</si>
  <si>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</si>
  <si>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</si>
  <si>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</si>
  <si>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</si>
  <si>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</si>
  <si>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</si>
  <si>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</si>
  <si>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</si>
  <si>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</si>
  <si>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</si>
  <si>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</si>
  <si>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चेक डायरी हवी असल्यास माहिती भरा.</t>
  </si>
  <si>
    <t>बँक शिल्लक रुपये</t>
  </si>
  <si>
    <t>एकूण (रोख व बँक शिल्लक)</t>
  </si>
  <si>
    <t>total</t>
  </si>
  <si>
    <t>या महिन्यातील जमा रुपये</t>
  </si>
  <si>
    <t>आरंभीची शिल्लक</t>
  </si>
  <si>
    <t xml:space="preserve"> अखेरची शिल्लक</t>
  </si>
  <si>
    <t>आरंभीची  शिल्लक</t>
  </si>
  <si>
    <t>पुढील शिल्लक</t>
  </si>
  <si>
    <t>हातची रोख शिल्लक</t>
  </si>
  <si>
    <t>एकूण जमा (रोख व बँक) रुपये</t>
  </si>
  <si>
    <t>मागील शिल्लक तपशील (31 मार्च)</t>
  </si>
  <si>
    <t>एकावेळी</t>
  </si>
  <si>
    <t>किंवा</t>
  </si>
  <si>
    <t>अशी</t>
  </si>
  <si>
    <t>ENTRY</t>
  </si>
  <si>
    <t>करा.</t>
  </si>
  <si>
    <t>एकच</t>
  </si>
  <si>
    <t>बँक पासबुक भरल्यास मासिक कॅशबुक ,बाबवार लेझर,चेक डायरी,बँक खर्च व्हाउचर पावती,balance sheet आपोपाप तयार होते.</t>
  </si>
  <si>
    <t>सदर सोफ्टवेअर मध्ये कोकिळा font वापरला आहे.डाऊनलोड करण्यासाठी शाळा माहिती शीटमध्ये लिंक दिलेली आहे.</t>
  </si>
  <si>
    <t>HOME पेज वर संपलेला धान्यादी माल लाल सेल मध्ये दाखवला आहे.सदर सोफ्टवेअर फक्त 20-21 वर्षासाठी वापरता येईल.</t>
  </si>
  <si>
    <t>शिक्षक मानधन</t>
  </si>
  <si>
    <t>बँक पासबुक भरताना एकावेळी जमा किंवा खर्च अशी एकच entry करा.एकाच दिवशी अनेक entry असल्यास स्वतंत्र करा.</t>
  </si>
  <si>
    <t>या सोफ्टवेअर मध्ये काही चुकीचे आढळून आल्यास संपर्क करा.आपल्या शाळेची माहिती भरण्यास BEST OF LUCK.......</t>
  </si>
  <si>
    <t>इतर फरक रक्कम</t>
  </si>
  <si>
    <t xml:space="preserve">लाभार्थीं संख्या </t>
  </si>
  <si>
    <t>लाभार्थीं  संख्यां</t>
  </si>
  <si>
    <t xml:space="preserve">6 ते 8 </t>
  </si>
  <si>
    <t>पहिली</t>
  </si>
  <si>
    <t>सहावी</t>
  </si>
  <si>
    <t>दुसरी</t>
  </si>
  <si>
    <t>तिसरी</t>
  </si>
  <si>
    <t>पाचवी</t>
  </si>
  <si>
    <t>सातवी</t>
  </si>
  <si>
    <t xml:space="preserve">व्हाऊचर नं.:- </t>
  </si>
  <si>
    <t>मेनूमघ्ये बदल करावयाचा असल्यास   येथे Type करा.</t>
  </si>
  <si>
    <t>मेनू वाटपाचा वार DROP DOWN मधून निवडा.</t>
  </si>
  <si>
    <t xml:space="preserve">2. EXCEL SHEET PROTECT केलेली असल्याने कोणतीही </t>
  </si>
  <si>
    <t xml:space="preserve">              माहिती DELETE करू नये.</t>
  </si>
  <si>
    <t>1. फक्त पांढऱ्या रंगातील सेलमधील माहिती भरावी.</t>
  </si>
  <si>
    <t>शिजवलेले दिवस</t>
  </si>
  <si>
    <t>एकूण शालेय कार्य दिवस -</t>
  </si>
  <si>
    <t>एकूण अन्न शिजवलेले दिवस</t>
  </si>
  <si>
    <t>शालेय कामाचे  दिवस</t>
  </si>
  <si>
    <t xml:space="preserve">     शाळेस शिक्षकांस वाटपासाठी बँकेमार्फत प्राप्त झालेले आहेत.त्याकरिता पावती लिहून देण्यात येत आहे.</t>
  </si>
  <si>
    <t>:सन:-</t>
  </si>
  <si>
    <t>BLOG:-    https://popatraochougule.blogspot.com</t>
  </si>
  <si>
    <t>GMAIL:-   popatraochougule4@gmail.com</t>
  </si>
  <si>
    <t>सूचना:</t>
  </si>
  <si>
    <t>साठ नोंद करताना दिनांकासह करा.तरच मासिक तांदूळ अहवाल मध्ये दिसेल.</t>
  </si>
  <si>
    <t>मुख्याध्यापक स्वाक्षरी</t>
  </si>
  <si>
    <t xml:space="preserve">इयत्ता- </t>
  </si>
  <si>
    <t xml:space="preserve">पंचायत समिती शिक्षण विभाग:- </t>
  </si>
  <si>
    <t>भाजीपाला खर्च (38%)</t>
  </si>
  <si>
    <t xml:space="preserve"> इंधन खर्च (34%)</t>
  </si>
  <si>
    <t>पूरक आहार  खर्च (28%)</t>
  </si>
  <si>
    <t>सोयाबीन तेल (खर्च)</t>
  </si>
  <si>
    <t>सोयाबीन तेल खर्च (रु.)</t>
  </si>
  <si>
    <t>एकूण मागणी अनुदान</t>
  </si>
  <si>
    <t xml:space="preserve">एकूण मागणी अनुदान </t>
  </si>
  <si>
    <t>शाळा :-</t>
  </si>
  <si>
    <t xml:space="preserve">प्रती विद्यार्थी तांदूळ- </t>
  </si>
  <si>
    <t>वाटप/खराब तांदूळ(kg)</t>
  </si>
  <si>
    <t xml:space="preserve">सोयाबीन तेल </t>
  </si>
  <si>
    <t xml:space="preserve">शालेय पोषण आहार योजना  सोयाबीन तेल -खर्च पावती </t>
  </si>
  <si>
    <t>सोयाबीन तेल बील</t>
  </si>
  <si>
    <t>शालेय पोषण आहार योजना-पूरक आहार -खर्च पावती</t>
  </si>
  <si>
    <t xml:space="preserve">शालेय पोषण आहार शिजवून देण्यासाठी लागणाऱ्या सोयाबीन तेलाचा तपशील खालीलप्रमाणे </t>
  </si>
  <si>
    <t xml:space="preserve">शालेय पोषण आहार शिजवून देण्याचे पूरक आहाराचा तपशील खालीलप्रमाणे  </t>
  </si>
  <si>
    <t xml:space="preserve">शालेय पोषण आहार योजना सोयाबीन तेल -खर्च पावती </t>
  </si>
  <si>
    <t>अन्न शिजवून देणाऱ्यासाठी सोयाबीन तेलाचा तपशील -</t>
  </si>
  <si>
    <t xml:space="preserve">शालेय पोषण आहार शिजवून देण्यासाठी सोयाबीन तेल खर्चाचा तपशील खालीलप्रमाणे </t>
  </si>
  <si>
    <t>अन्न शिजवून देण्यासाठी भाजीपाला तपशील -</t>
  </si>
  <si>
    <t>अन्न शिजवून देण्यासाठी इंधनाचा तपशील -</t>
  </si>
  <si>
    <t>सोयाबीन तेल खर्च  बील</t>
  </si>
  <si>
    <t>माझी कोणतीही तक्रार नाही</t>
  </si>
  <si>
    <t>एकूण शिजविण्यासाठी तांदूळ(kg)</t>
  </si>
  <si>
    <t>एकूण वाटप/खराब तांदूळ (kg)</t>
  </si>
  <si>
    <t xml:space="preserve">निर्मिती:- श्री पोपटराव रामचंद्र चौगुले- पदवीधर शिक्षक,  जि. प.प्राथ.शाळा धामणे, केंद्र-बेबडओहोळ, संपर्क:-  7378309614  </t>
  </si>
  <si>
    <t>शा.पो.आहार मदतनीस व्यक्तीचे नाव-3)</t>
  </si>
  <si>
    <t>शा.पो.आहार मदतनीस व्यक्तीचे नाव-4)</t>
  </si>
  <si>
    <t>शा.पो.आहार मदतनीस व्यक्तीचे नाव-5)</t>
  </si>
  <si>
    <t>मदतनीस 3</t>
  </si>
  <si>
    <t>मदतनीस 4</t>
  </si>
  <si>
    <t>मदतनीस 5</t>
  </si>
  <si>
    <t>बँकेचे नाव:-</t>
  </si>
  <si>
    <t>जिल्हा परिषद औरंगाबाद</t>
  </si>
  <si>
    <t>जि.प.प्रा.शा.बोरजाई वस्ती</t>
  </si>
  <si>
    <t>जामगाव</t>
  </si>
  <si>
    <t>गंगापूर</t>
  </si>
  <si>
    <t>औरंगाबाद</t>
  </si>
  <si>
    <t>मु.जामगाव ; पो.रघुनाथनगर</t>
  </si>
  <si>
    <t>मराठी</t>
  </si>
  <si>
    <t>श्री प्रवीण ज्ञानदेव कोल्हे</t>
  </si>
  <si>
    <t>zppsborjai@gmail.com</t>
  </si>
  <si>
    <t>-</t>
  </si>
  <si>
    <t>श्री.लियाकत शाबु शेख</t>
  </si>
  <si>
    <t>श्रीम.सुनंदा सुखदेव लकारे</t>
  </si>
  <si>
    <t>BANK OF MAHARASHTRA</t>
  </si>
  <si>
    <t>MAHB0000271</t>
  </si>
  <si>
    <t>संत सावता माळी भाजीपाला सप्लायर्स</t>
  </si>
  <si>
    <t>व्यंकटेश सुपर मार्केट</t>
  </si>
  <si>
    <t xml:space="preserve">श्री.प्रविण ज्ञानदेव कोल्हे </t>
  </si>
  <si>
    <t>श्रीम.वृषाली सुदाम गायकवाड</t>
  </si>
  <si>
    <t>श्री.मोहन भिकाजी तागड</t>
  </si>
  <si>
    <t>श्रीम.रुपाली गणेश तागड</t>
  </si>
  <si>
    <t>सौ.रंजना राजेंद्र मेहेरे</t>
  </si>
  <si>
    <t>1</t>
  </si>
  <si>
    <t>गूळ शेंगदाणे</t>
  </si>
  <si>
    <t>SANIKA INDANE GAS GANGAPUR</t>
  </si>
  <si>
    <t>3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</si>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</sst>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.00_-;\-* #,##0.00_-;_-* &quot;-&quot;??_-;_-@_-"/>
    <numFmt numFmtId="165" formatCode="[$-4000439]0"/>
    <numFmt numFmtId="166" formatCode="0.000"/>
    <numFmt numFmtId="167" formatCode="0.00000"/>
    <numFmt numFmtId="168" formatCode="dd/mm/yy;@"/>
    <numFmt numFmtId="169" formatCode="0.00;[Red]0.00"/>
    <numFmt numFmtId="170" formatCode="dd\-mm\-yy"/>
    <numFmt numFmtId="171" formatCode="[$-14009]dd\-mm\-yyyy;@"/>
    <numFmt numFmtId="172" formatCode="0.000;[Red]0.000"/>
    <numFmt numFmtId="173" formatCode="[$-44E]d\ mmmm\ yyyy;@"/>
    <numFmt numFmtId="174" formatCode="[$-10409]hh:mm:ss\ AM/PM;@"/>
    <numFmt numFmtId="175" formatCode="0.000_ ;[Red]\-0.000\ "/>
    <numFmt numFmtId="176" formatCode="0_ ;[Red]\-0\ "/>
    <numFmt numFmtId="177" formatCode="dd/mm/yyyy;@"/>
    <numFmt numFmtId="178" formatCode="_ [$₹-4009]\ * #,##0_ ;_ [$₹-4009]\ * \-#,##0_ ;_ [$₹-4009]\ * &quot;-&quot;_ ;_ @_ "/>
    <numFmt numFmtId="179" formatCode="_ [$₹-44E]* #,##0_ ;_ [$₹-44E]* \-#,##0_ ;_ [$₹-44E]* &quot;-&quot;_ ;_ @_ "/>
    <numFmt numFmtId="180" formatCode="_ [$₹-44E]* #,##0.00_ ;_ [$₹-44E]* \-#,##0.00_ ;_ [$₹-44E]* &quot;-&quot;??_ ;_ @_ "/>
    <numFmt numFmtId="181" formatCode="&quot;₹&quot;\ #,##0.00"/>
  </numFmts>
  <fonts count="106" x14ac:knownFonts="1">
    <font>
      <sz val="11"/>
      <color theme="1"/>
      <name val="Calibri"/>
      <family val="2"/>
      <scheme val="minor"/>
    </font>
    <font>
      <sz val="18"/>
      <color theme="1"/>
      <name val="Kokil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FF0000"/>
      <name val="Kokila"/>
      <family val="2"/>
    </font>
    <font>
      <b/>
      <sz val="16"/>
      <color theme="1"/>
      <name val="Kokila"/>
      <family val="2"/>
    </font>
    <font>
      <sz val="16"/>
      <color theme="1"/>
      <name val="Kokila"/>
      <family val="2"/>
    </font>
    <font>
      <sz val="16"/>
      <color rgb="FFFF0000"/>
      <name val="Kokila"/>
      <family val="2"/>
    </font>
    <font>
      <b/>
      <sz val="16"/>
      <color theme="0"/>
      <name val="Kokila"/>
      <family val="2"/>
    </font>
    <font>
      <sz val="16"/>
      <name val="Calibri"/>
      <family val="2"/>
      <scheme val="minor"/>
    </font>
    <font>
      <b/>
      <u/>
      <sz val="16"/>
      <name val="Kokila"/>
      <family val="2"/>
    </font>
    <font>
      <b/>
      <sz val="16"/>
      <name val="Kokila"/>
      <family val="2"/>
    </font>
    <font>
      <b/>
      <sz val="14"/>
      <name val="Kokila"/>
      <family val="2"/>
    </font>
    <font>
      <sz val="16"/>
      <name val="Kokila"/>
      <family val="2"/>
    </font>
    <font>
      <b/>
      <sz val="18"/>
      <name val="Kokila"/>
      <family val="2"/>
    </font>
    <font>
      <b/>
      <sz val="22"/>
      <color theme="1"/>
      <name val="Kokila"/>
      <family val="2"/>
    </font>
    <font>
      <b/>
      <sz val="18"/>
      <color theme="1"/>
      <name val="Kokila"/>
      <family val="2"/>
    </font>
    <font>
      <b/>
      <sz val="14"/>
      <color theme="1"/>
      <name val="Kokila"/>
      <family val="2"/>
    </font>
    <font>
      <b/>
      <sz val="17"/>
      <color theme="1"/>
      <name val="Kokila"/>
      <family val="2"/>
    </font>
    <font>
      <b/>
      <sz val="11"/>
      <color theme="1"/>
      <name val="Arial Unicode MS"/>
      <family val="2"/>
    </font>
    <font>
      <b/>
      <sz val="18"/>
      <color rgb="FF002060"/>
      <name val="Kokila"/>
      <family val="2"/>
    </font>
    <font>
      <b/>
      <sz val="20"/>
      <color theme="0"/>
      <name val="Kokila"/>
      <family val="2"/>
    </font>
    <font>
      <sz val="14"/>
      <name val="Kokila"/>
      <family val="2"/>
    </font>
    <font>
      <sz val="12"/>
      <name val="Kokila"/>
      <family val="2"/>
    </font>
    <font>
      <b/>
      <sz val="18"/>
      <color theme="0"/>
      <name val="Kokila"/>
      <family val="2"/>
    </font>
    <font>
      <b/>
      <sz val="22"/>
      <name val="Kokila"/>
      <family val="2"/>
    </font>
    <font>
      <sz val="11"/>
      <color theme="1"/>
      <name val="Kokila"/>
      <family val="2"/>
    </font>
    <font>
      <sz val="14"/>
      <color theme="1"/>
      <name val="Kokila"/>
      <family val="2"/>
    </font>
    <font>
      <b/>
      <sz val="18"/>
      <color rgb="FFFF0000"/>
      <name val="Kokila"/>
      <family val="2"/>
    </font>
    <font>
      <b/>
      <sz val="16"/>
      <color rgb="FF0000FF"/>
      <name val="Kokila"/>
      <family val="2"/>
    </font>
    <font>
      <sz val="14"/>
      <color rgb="FF002060"/>
      <name val="Kokila"/>
      <family val="2"/>
    </font>
    <font>
      <sz val="14"/>
      <color rgb="FFFF0000"/>
      <name val="Kokila"/>
      <family val="2"/>
    </font>
    <font>
      <sz val="16"/>
      <color rgb="FFC00000"/>
      <name val="Kokila"/>
      <family val="2"/>
    </font>
    <font>
      <sz val="16"/>
      <color rgb="FF0070C0"/>
      <name val="Kokila"/>
      <family val="2"/>
    </font>
    <font>
      <sz val="20"/>
      <color rgb="FF002060"/>
      <name val="Kokila"/>
      <family val="2"/>
    </font>
    <font>
      <sz val="16"/>
      <color rgb="FF002060"/>
      <name val="Kokila"/>
      <family val="2"/>
    </font>
    <font>
      <b/>
      <sz val="16"/>
      <color rgb="FFC00000"/>
      <name val="Kokila"/>
      <family val="2"/>
    </font>
    <font>
      <sz val="18"/>
      <color rgb="FF002060"/>
      <name val="Kokila"/>
      <family val="2"/>
    </font>
    <font>
      <b/>
      <sz val="10"/>
      <name val="Kokila"/>
      <family val="2"/>
    </font>
    <font>
      <b/>
      <sz val="12"/>
      <name val="Kokila"/>
      <family val="2"/>
    </font>
    <font>
      <b/>
      <sz val="24"/>
      <name val="Kokila"/>
      <family val="2"/>
    </font>
    <font>
      <b/>
      <sz val="20"/>
      <color theme="1"/>
      <name val="Kokila"/>
      <family val="2"/>
    </font>
    <font>
      <sz val="20"/>
      <color theme="1"/>
      <name val="Kokila"/>
      <family val="2"/>
    </font>
    <font>
      <sz val="22"/>
      <color theme="0"/>
      <name val="Kokila"/>
      <family val="2"/>
    </font>
    <font>
      <b/>
      <sz val="20"/>
      <color rgb="FFFF0000"/>
      <name val="Kokila"/>
      <family val="2"/>
    </font>
    <font>
      <b/>
      <sz val="22"/>
      <color rgb="FFFF0000"/>
      <name val="Kokila"/>
      <family val="2"/>
    </font>
    <font>
      <sz val="9"/>
      <color theme="1"/>
      <name val="Calibri"/>
      <family val="2"/>
      <scheme val="minor"/>
    </font>
    <font>
      <b/>
      <sz val="18"/>
      <color rgb="FF000000"/>
      <name val="Kokila"/>
      <family val="2"/>
    </font>
    <font>
      <b/>
      <sz val="24"/>
      <color rgb="FFFF0000"/>
      <name val="Kokila"/>
      <family val="2"/>
    </font>
    <font>
      <b/>
      <sz val="36"/>
      <color rgb="FFFF0000"/>
      <name val="Kokila"/>
      <family val="2"/>
    </font>
    <font>
      <b/>
      <sz val="24"/>
      <color rgb="FF0000FF"/>
      <name val="Kokila"/>
      <family val="2"/>
    </font>
    <font>
      <b/>
      <sz val="22"/>
      <color rgb="FF7030A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rgb="FF0000FF"/>
      <name val="Kokila"/>
      <family val="2"/>
    </font>
    <font>
      <sz val="11"/>
      <color theme="0"/>
      <name val="Kokila"/>
      <family val="2"/>
    </font>
    <font>
      <b/>
      <sz val="26"/>
      <name val="Kokila"/>
      <family val="2"/>
    </font>
    <font>
      <b/>
      <u/>
      <sz val="24"/>
      <color rgb="FFFF0000"/>
      <name val="Kokila"/>
      <family val="2"/>
    </font>
    <font>
      <sz val="11"/>
      <color theme="1"/>
      <name val="Calibri"/>
      <family val="2"/>
      <charset val="1"/>
      <scheme val="minor"/>
    </font>
    <font>
      <b/>
      <sz val="22"/>
      <color rgb="FF0000FF"/>
      <name val="Kokila"/>
      <family val="2"/>
    </font>
    <font>
      <sz val="14"/>
      <color rgb="FF0000FF"/>
      <name val="Kokila"/>
      <family val="2"/>
    </font>
    <font>
      <b/>
      <u/>
      <sz val="22"/>
      <color rgb="FFFF0000"/>
      <name val="Kokila"/>
      <family val="2"/>
    </font>
    <font>
      <b/>
      <sz val="14"/>
      <color rgb="FFFF0000"/>
      <name val="Kokila"/>
      <family val="2"/>
    </font>
    <font>
      <b/>
      <sz val="20"/>
      <color rgb="FF0000FF"/>
      <name val="Kokila"/>
      <family val="2"/>
    </font>
    <font>
      <b/>
      <u/>
      <sz val="20"/>
      <color rgb="FFFF0000"/>
      <name val="Kokila"/>
      <family val="2"/>
    </font>
    <font>
      <b/>
      <u/>
      <sz val="28"/>
      <color rgb="FF0000FF"/>
      <name val="Kokila"/>
      <family val="2"/>
    </font>
    <font>
      <b/>
      <sz val="22"/>
      <color theme="0"/>
      <name val="Kokila"/>
      <family val="2"/>
    </font>
    <font>
      <b/>
      <sz val="20"/>
      <color rgb="FF800000"/>
      <name val="Kokila"/>
      <family val="2"/>
    </font>
    <font>
      <b/>
      <sz val="24"/>
      <color theme="0"/>
      <name val="Kokila"/>
      <family val="2"/>
    </font>
    <font>
      <b/>
      <sz val="17"/>
      <color rgb="FF0000FF"/>
      <name val="Kokila"/>
      <family val="2"/>
    </font>
    <font>
      <b/>
      <u/>
      <sz val="18"/>
      <color rgb="FFFF0000"/>
      <name val="Kokila"/>
      <family val="2"/>
    </font>
    <font>
      <sz val="16"/>
      <color theme="0"/>
      <name val="Kokila"/>
      <family val="2"/>
    </font>
    <font>
      <sz val="18"/>
      <color theme="0"/>
      <name val="Kokila"/>
      <family val="2"/>
    </font>
    <font>
      <b/>
      <sz val="12"/>
      <color rgb="FF0000FF"/>
      <name val="Calibri"/>
      <family val="2"/>
      <scheme val="minor"/>
    </font>
    <font>
      <b/>
      <sz val="24"/>
      <color rgb="FFFFFF00"/>
      <name val="Kokila"/>
      <family val="2"/>
    </font>
    <font>
      <b/>
      <u/>
      <sz val="18"/>
      <color theme="10"/>
      <name val="Kokila"/>
      <family val="2"/>
    </font>
    <font>
      <sz val="12"/>
      <color theme="1"/>
      <name val="Kokila"/>
      <family val="2"/>
    </font>
    <font>
      <b/>
      <sz val="12"/>
      <color theme="1"/>
      <name val="Kokila"/>
      <family val="2"/>
    </font>
    <font>
      <b/>
      <sz val="24"/>
      <color theme="1"/>
      <name val="Kokila"/>
      <family val="2"/>
    </font>
    <font>
      <sz val="26"/>
      <color rgb="FF0000FF"/>
      <name val="Kokila"/>
      <family val="2"/>
    </font>
    <font>
      <sz val="11"/>
      <color theme="0"/>
      <name val="Calibri"/>
      <family val="2"/>
      <scheme val="minor"/>
    </font>
    <font>
      <b/>
      <sz val="26"/>
      <color theme="1"/>
      <name val="Kokila"/>
      <family val="2"/>
    </font>
    <font>
      <sz val="18"/>
      <color theme="1"/>
      <name val="Calibri"/>
      <family val="2"/>
      <scheme val="minor"/>
    </font>
    <font>
      <b/>
      <u/>
      <sz val="24"/>
      <color rgb="FF0000FF"/>
      <name val="Kokila"/>
      <family val="2"/>
    </font>
    <font>
      <b/>
      <sz val="20"/>
      <name val="Kokila"/>
      <family val="2"/>
    </font>
    <font>
      <sz val="20"/>
      <color theme="1"/>
      <name val="Calibri"/>
      <family val="2"/>
      <scheme val="minor"/>
    </font>
    <font>
      <b/>
      <sz val="28"/>
      <color rgb="FFFF0000"/>
      <name val="Kokila"/>
      <family val="2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Kokila"/>
      <family val="2"/>
    </font>
    <font>
      <b/>
      <sz val="26"/>
      <color rgb="FF7030A0"/>
      <name val="Kokila"/>
      <family val="2"/>
    </font>
    <font>
      <sz val="18"/>
      <color rgb="FF0000FF"/>
      <name val="Kokila"/>
      <family val="2"/>
    </font>
    <font>
      <sz val="11"/>
      <color rgb="FF0000FF"/>
      <name val="Kokila"/>
      <family val="2"/>
    </font>
    <font>
      <sz val="20"/>
      <color theme="0"/>
      <name val="Kokila"/>
      <family val="2"/>
    </font>
    <font>
      <sz val="20"/>
      <color theme="0" tint="-0.34998626667073579"/>
      <name val="Kokila"/>
      <family val="2"/>
    </font>
    <font>
      <b/>
      <sz val="28"/>
      <color theme="1"/>
      <name val="Kokila"/>
      <family val="2"/>
    </font>
    <font>
      <b/>
      <u/>
      <sz val="18"/>
      <name val="Kokila"/>
      <family val="2"/>
    </font>
    <font>
      <sz val="18"/>
      <name val="Kokila"/>
      <family val="2"/>
    </font>
    <font>
      <b/>
      <sz val="17"/>
      <name val="Kokila"/>
      <family val="2"/>
    </font>
    <font>
      <b/>
      <u/>
      <sz val="20"/>
      <color rgb="FF002060"/>
      <name val="Kokila"/>
      <family val="2"/>
    </font>
    <font>
      <b/>
      <u/>
      <sz val="22"/>
      <color theme="1"/>
      <name val="Kokila"/>
      <family val="2"/>
    </font>
    <font>
      <b/>
      <u/>
      <sz val="28"/>
      <color theme="1"/>
      <name val="Kokila"/>
      <family val="2"/>
    </font>
    <font>
      <b/>
      <u/>
      <sz val="20"/>
      <color theme="1"/>
      <name val="Kokila"/>
      <family val="2"/>
    </font>
    <font>
      <b/>
      <sz val="10"/>
      <color theme="1"/>
      <name val="Kokila"/>
      <family val="2"/>
    </font>
  </fonts>
  <fills count="5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464E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7DED"/>
        <bgColor indexed="64"/>
      </patternFill>
    </fill>
    <fill>
      <patternFill patternType="solid">
        <fgColor rgb="FFF9BDF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9A9E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070A7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DB5045"/>
        <bgColor indexed="64"/>
      </patternFill>
    </fill>
    <fill>
      <patternFill patternType="solid">
        <fgColor rgb="FFFCB2E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A86D9"/>
        <bgColor indexed="64"/>
      </patternFill>
    </fill>
    <fill>
      <patternFill patternType="solid">
        <fgColor rgb="FF5DE64A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49B92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thin">
        <color indexed="64"/>
      </right>
      <top style="medium">
        <color rgb="FF0000FF"/>
      </top>
      <bottom style="medium">
        <color rgb="FF0000FF"/>
      </bottom>
      <diagonal/>
    </border>
    <border>
      <left style="thin">
        <color indexed="64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rgb="FF0000FF"/>
      </top>
      <bottom/>
      <diagonal/>
    </border>
    <border>
      <left style="thin">
        <color theme="1"/>
      </left>
      <right style="thin">
        <color theme="1"/>
      </right>
      <top style="medium">
        <color rgb="FF0000FF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7" fillId="0" borderId="0"/>
  </cellStyleXfs>
  <cellXfs count="2227">
    <xf numFmtId="0" fontId="0" fillId="0" borderId="0" xfId="0"/>
    <xf numFmtId="0" fontId="6" fillId="0" borderId="0" xfId="0" applyFont="1"/>
    <xf numFmtId="0" fontId="6" fillId="26" borderId="1" xfId="0" applyFont="1" applyFill="1" applyBorder="1"/>
    <xf numFmtId="0" fontId="6" fillId="0" borderId="0" xfId="0" applyFont="1" applyAlignment="1">
      <alignment horizontal="center"/>
    </xf>
    <xf numFmtId="0" fontId="16" fillId="17" borderId="0" xfId="0" applyFont="1" applyFill="1"/>
    <xf numFmtId="0" fontId="9" fillId="0" borderId="0" xfId="0" applyFont="1" applyAlignment="1">
      <alignment horizontal="center" vertical="center" wrapText="1"/>
    </xf>
    <xf numFmtId="0" fontId="6" fillId="37" borderId="0" xfId="0" applyFont="1" applyFill="1"/>
    <xf numFmtId="0" fontId="14" fillId="4" borderId="25" xfId="0" applyFont="1" applyFill="1" applyBorder="1" applyAlignment="1" applyProtection="1">
      <alignment horizontal="center" vertical="center"/>
      <protection locked="0"/>
    </xf>
    <xf numFmtId="0" fontId="12" fillId="17" borderId="26" xfId="0" applyFont="1" applyFill="1" applyBorder="1" applyAlignment="1">
      <alignment horizontal="center" vertical="center"/>
    </xf>
    <xf numFmtId="0" fontId="12" fillId="17" borderId="0" xfId="0" applyFont="1" applyFill="1" applyAlignment="1">
      <alignment horizontal="center" vertical="center"/>
    </xf>
    <xf numFmtId="0" fontId="12" fillId="17" borderId="27" xfId="0" applyFont="1" applyFill="1" applyBorder="1" applyAlignment="1">
      <alignment horizontal="center" vertical="center" wrapText="1"/>
    </xf>
    <xf numFmtId="0" fontId="12" fillId="17" borderId="26" xfId="0" applyFont="1" applyFill="1" applyBorder="1" applyAlignment="1">
      <alignment vertical="center" textRotation="45"/>
    </xf>
    <xf numFmtId="0" fontId="8" fillId="38" borderId="14" xfId="0" applyFont="1" applyFill="1" applyBorder="1"/>
    <xf numFmtId="0" fontId="7" fillId="38" borderId="14" xfId="0" applyFont="1" applyFill="1" applyBorder="1" applyAlignment="1">
      <alignment horizontal="center"/>
    </xf>
    <xf numFmtId="0" fontId="7" fillId="37" borderId="14" xfId="0" applyFont="1" applyFill="1" applyBorder="1" applyAlignment="1">
      <alignment horizontal="center"/>
    </xf>
    <xf numFmtId="0" fontId="26" fillId="0" borderId="0" xfId="0" applyFont="1"/>
    <xf numFmtId="0" fontId="1" fillId="19" borderId="1" xfId="0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17" borderId="35" xfId="0" applyFont="1" applyFill="1" applyBorder="1" applyAlignment="1">
      <alignment horizontal="center" vertical="center" wrapText="1"/>
    </xf>
    <xf numFmtId="0" fontId="11" fillId="29" borderId="7" xfId="0" applyFont="1" applyFill="1" applyBorder="1" applyAlignment="1">
      <alignment horizontal="center" vertical="center" wrapText="1"/>
    </xf>
    <xf numFmtId="2" fontId="11" fillId="4" borderId="17" xfId="0" applyNumberFormat="1" applyFont="1" applyFill="1" applyBorder="1" applyAlignment="1">
      <alignment vertical="center" wrapText="1"/>
    </xf>
    <xf numFmtId="0" fontId="11" fillId="17" borderId="67" xfId="0" applyFont="1" applyFill="1" applyBorder="1" applyAlignment="1">
      <alignment horizontal="center" vertical="center" wrapText="1"/>
    </xf>
    <xf numFmtId="0" fontId="1" fillId="26" borderId="18" xfId="0" applyFont="1" applyFill="1" applyBorder="1" applyAlignment="1">
      <alignment vertical="center"/>
    </xf>
    <xf numFmtId="1" fontId="14" fillId="4" borderId="25" xfId="0" applyNumberFormat="1" applyFont="1" applyFill="1" applyBorder="1" applyAlignment="1" applyProtection="1">
      <alignment horizontal="center" vertical="center"/>
      <protection locked="0"/>
    </xf>
    <xf numFmtId="0" fontId="11" fillId="2" borderId="39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1" borderId="1" xfId="0" applyFont="1" applyFill="1" applyBorder="1" applyAlignment="1">
      <alignment horizontal="center" vertical="center"/>
    </xf>
    <xf numFmtId="0" fontId="24" fillId="42" borderId="16" xfId="0" applyFont="1" applyFill="1" applyBorder="1" applyAlignment="1">
      <alignment horizontal="right" wrapText="1"/>
    </xf>
    <xf numFmtId="0" fontId="40" fillId="4" borderId="25" xfId="0" applyFont="1" applyFill="1" applyBorder="1" applyAlignment="1" applyProtection="1">
      <alignment horizontal="center" vertical="center"/>
      <protection locked="0"/>
    </xf>
    <xf numFmtId="0" fontId="55" fillId="4" borderId="25" xfId="0" applyFont="1" applyFill="1" applyBorder="1" applyAlignment="1" applyProtection="1">
      <alignment horizontal="center" vertical="center"/>
      <protection locked="0"/>
    </xf>
    <xf numFmtId="0" fontId="1" fillId="17" borderId="14" xfId="0" applyFont="1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41" borderId="2" xfId="0" applyFont="1" applyFill="1" applyBorder="1" applyAlignment="1">
      <alignment horizontal="center" vertical="center"/>
    </xf>
    <xf numFmtId="0" fontId="1" fillId="17" borderId="0" xfId="0" applyFont="1" applyFill="1" applyAlignment="1">
      <alignment horizontal="center"/>
    </xf>
    <xf numFmtId="0" fontId="1" fillId="17" borderId="55" xfId="0" applyFont="1" applyFill="1" applyBorder="1" applyAlignment="1">
      <alignment horizontal="center"/>
    </xf>
    <xf numFmtId="0" fontId="8" fillId="39" borderId="14" xfId="0" applyFont="1" applyFill="1" applyBorder="1"/>
    <xf numFmtId="0" fontId="7" fillId="39" borderId="14" xfId="0" applyFont="1" applyFill="1" applyBorder="1" applyAlignment="1">
      <alignment horizontal="center"/>
    </xf>
    <xf numFmtId="14" fontId="12" fillId="18" borderId="5" xfId="0" applyNumberFormat="1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/>
    </xf>
    <xf numFmtId="0" fontId="11" fillId="3" borderId="61" xfId="0" applyFont="1" applyFill="1" applyBorder="1" applyAlignment="1" applyProtection="1">
      <alignment horizontal="center" vertical="center" wrapText="1"/>
      <protection hidden="1"/>
    </xf>
    <xf numFmtId="0" fontId="11" fillId="3" borderId="15" xfId="0" applyFont="1" applyFill="1" applyBorder="1" applyAlignment="1" applyProtection="1">
      <alignment horizontal="center" vertical="center" wrapText="1"/>
      <protection hidden="1"/>
    </xf>
    <xf numFmtId="0" fontId="11" fillId="3" borderId="59" xfId="0" applyFont="1" applyFill="1" applyBorder="1" applyAlignment="1" applyProtection="1">
      <alignment horizontal="center" vertical="center" wrapText="1"/>
      <protection hidden="1"/>
    </xf>
    <xf numFmtId="0" fontId="11" fillId="3" borderId="68" xfId="0" applyFont="1" applyFill="1" applyBorder="1" applyAlignment="1" applyProtection="1">
      <alignment horizontal="center" vertical="center" wrapText="1"/>
      <protection hidden="1"/>
    </xf>
    <xf numFmtId="166" fontId="27" fillId="17" borderId="18" xfId="0" applyNumberFormat="1" applyFont="1" applyFill="1" applyBorder="1" applyAlignment="1" applyProtection="1">
      <alignment horizontal="center" vertical="center"/>
      <protection hidden="1"/>
    </xf>
    <xf numFmtId="166" fontId="27" fillId="17" borderId="19" xfId="0" applyNumberFormat="1" applyFont="1" applyFill="1" applyBorder="1" applyAlignment="1" applyProtection="1">
      <alignment horizontal="center" vertical="center"/>
      <protection hidden="1"/>
    </xf>
    <xf numFmtId="166" fontId="27" fillId="17" borderId="40" xfId="0" applyNumberFormat="1" applyFont="1" applyFill="1" applyBorder="1" applyAlignment="1" applyProtection="1">
      <alignment horizontal="center" vertical="center"/>
      <protection hidden="1"/>
    </xf>
    <xf numFmtId="166" fontId="27" fillId="17" borderId="66" xfId="0" applyNumberFormat="1" applyFont="1" applyFill="1" applyBorder="1" applyAlignment="1" applyProtection="1">
      <alignment horizontal="center" vertical="center"/>
      <protection hidden="1"/>
    </xf>
    <xf numFmtId="166" fontId="27" fillId="17" borderId="23" xfId="0" applyNumberFormat="1" applyFont="1" applyFill="1" applyBorder="1" applyAlignment="1" applyProtection="1">
      <alignment horizontal="center" vertical="center"/>
      <protection hidden="1"/>
    </xf>
    <xf numFmtId="166" fontId="27" fillId="17" borderId="69" xfId="0" applyNumberFormat="1" applyFont="1" applyFill="1" applyBorder="1" applyAlignment="1" applyProtection="1">
      <alignment horizontal="center" vertical="center"/>
      <protection hidden="1"/>
    </xf>
    <xf numFmtId="2" fontId="27" fillId="17" borderId="4" xfId="0" applyNumberFormat="1" applyFont="1" applyFill="1" applyBorder="1" applyAlignment="1" applyProtection="1">
      <alignment horizontal="center" vertical="center"/>
      <protection hidden="1"/>
    </xf>
    <xf numFmtId="2" fontId="27" fillId="17" borderId="1" xfId="0" applyNumberFormat="1" applyFont="1" applyFill="1" applyBorder="1" applyAlignment="1" applyProtection="1">
      <alignment horizontal="center" vertical="center"/>
      <protection hidden="1"/>
    </xf>
    <xf numFmtId="2" fontId="12" fillId="29" borderId="47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25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12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13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59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68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80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19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76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34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40" xfId="0" applyNumberFormat="1" applyFont="1" applyFill="1" applyBorder="1" applyAlignment="1" applyProtection="1">
      <alignment horizontal="center" vertical="center" wrapText="1"/>
      <protection hidden="1"/>
    </xf>
    <xf numFmtId="166" fontId="27" fillId="10" borderId="13" xfId="0" applyNumberFormat="1" applyFont="1" applyFill="1" applyBorder="1" applyAlignment="1" applyProtection="1">
      <alignment horizontal="center" vertical="center"/>
      <protection hidden="1"/>
    </xf>
    <xf numFmtId="166" fontId="27" fillId="10" borderId="68" xfId="0" applyNumberFormat="1" applyFont="1" applyFill="1" applyBorder="1" applyAlignment="1" applyProtection="1">
      <alignment horizontal="center" vertical="center"/>
      <protection hidden="1"/>
    </xf>
    <xf numFmtId="166" fontId="13" fillId="3" borderId="81" xfId="0" applyNumberFormat="1" applyFont="1" applyFill="1" applyBorder="1" applyAlignment="1" applyProtection="1">
      <alignment horizontal="center" vertical="center" wrapText="1"/>
      <protection hidden="1"/>
    </xf>
    <xf numFmtId="170" fontId="22" fillId="15" borderId="1" xfId="0" applyNumberFormat="1" applyFont="1" applyFill="1" applyBorder="1" applyAlignment="1" applyProtection="1">
      <alignment horizontal="center" vertical="center"/>
      <protection hidden="1"/>
    </xf>
    <xf numFmtId="14" fontId="27" fillId="15" borderId="1" xfId="0" applyNumberFormat="1" applyFont="1" applyFill="1" applyBorder="1" applyAlignment="1" applyProtection="1">
      <alignment horizontal="center" vertical="center"/>
      <protection hidden="1"/>
    </xf>
    <xf numFmtId="0" fontId="22" fillId="12" borderId="28" xfId="0" applyFont="1" applyFill="1" applyBorder="1" applyAlignment="1" applyProtection="1">
      <alignment horizontal="center" vertical="center" wrapText="1"/>
      <protection hidden="1"/>
    </xf>
    <xf numFmtId="0" fontId="22" fillId="32" borderId="29" xfId="0" applyFont="1" applyFill="1" applyBorder="1" applyAlignment="1" applyProtection="1">
      <alignment horizontal="center" vertical="center" wrapText="1"/>
      <protection hidden="1"/>
    </xf>
    <xf numFmtId="0" fontId="22" fillId="32" borderId="30" xfId="0" applyFont="1" applyFill="1" applyBorder="1" applyAlignment="1" applyProtection="1">
      <alignment horizontal="center" vertical="center" wrapText="1"/>
      <protection hidden="1"/>
    </xf>
    <xf numFmtId="175" fontId="22" fillId="33" borderId="43" xfId="0" applyNumberFormat="1" applyFont="1" applyFill="1" applyBorder="1" applyAlignment="1" applyProtection="1">
      <alignment horizontal="center" vertical="center" wrapText="1"/>
      <protection hidden="1"/>
    </xf>
    <xf numFmtId="175" fontId="22" fillId="14" borderId="10" xfId="0" applyNumberFormat="1" applyFont="1" applyFill="1" applyBorder="1" applyAlignment="1" applyProtection="1">
      <alignment horizontal="center" vertical="center" wrapText="1"/>
      <protection hidden="1"/>
    </xf>
    <xf numFmtId="175" fontId="22" fillId="15" borderId="9" xfId="0" applyNumberFormat="1" applyFont="1" applyFill="1" applyBorder="1" applyAlignment="1" applyProtection="1">
      <alignment horizontal="center" vertical="center" wrapText="1"/>
      <protection hidden="1"/>
    </xf>
    <xf numFmtId="175" fontId="22" fillId="15" borderId="10" xfId="0" applyNumberFormat="1" applyFont="1" applyFill="1" applyBorder="1" applyAlignment="1" applyProtection="1">
      <alignment horizontal="center" vertical="center" wrapText="1"/>
      <protection hidden="1"/>
    </xf>
    <xf numFmtId="175" fontId="22" fillId="8" borderId="11" xfId="0" applyNumberFormat="1" applyFont="1" applyFill="1" applyBorder="1" applyAlignment="1" applyProtection="1">
      <alignment horizontal="center" vertical="center" wrapText="1"/>
      <protection hidden="1"/>
    </xf>
    <xf numFmtId="2" fontId="22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22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22" fillId="12" borderId="18" xfId="0" applyFont="1" applyFill="1" applyBorder="1" applyAlignment="1" applyProtection="1">
      <alignment horizontal="center" vertical="center" wrapText="1"/>
      <protection hidden="1"/>
    </xf>
    <xf numFmtId="0" fontId="22" fillId="32" borderId="64" xfId="0" applyFont="1" applyFill="1" applyBorder="1" applyAlignment="1" applyProtection="1">
      <alignment horizontal="center" vertical="center" wrapText="1"/>
      <protection hidden="1"/>
    </xf>
    <xf numFmtId="0" fontId="22" fillId="32" borderId="53" xfId="0" applyFont="1" applyFill="1" applyBorder="1" applyAlignment="1" applyProtection="1">
      <alignment horizontal="center" vertical="center" wrapText="1"/>
      <protection hidden="1"/>
    </xf>
    <xf numFmtId="175" fontId="12" fillId="9" borderId="30" xfId="0" applyNumberFormat="1" applyFont="1" applyFill="1" applyBorder="1" applyAlignment="1" applyProtection="1">
      <alignment horizontal="center" vertical="center" wrapText="1"/>
      <protection hidden="1"/>
    </xf>
    <xf numFmtId="2" fontId="12" fillId="9" borderId="30" xfId="0" applyNumberFormat="1" applyFont="1" applyFill="1" applyBorder="1" applyAlignment="1" applyProtection="1">
      <alignment horizontal="center" vertical="center" wrapText="1"/>
      <protection hidden="1"/>
    </xf>
    <xf numFmtId="0" fontId="22" fillId="2" borderId="22" xfId="0" applyFont="1" applyFill="1" applyBorder="1" applyAlignment="1" applyProtection="1">
      <alignment horizontal="center" vertical="center"/>
      <protection hidden="1"/>
    </xf>
    <xf numFmtId="0" fontId="22" fillId="2" borderId="52" xfId="0" applyFont="1" applyFill="1" applyBorder="1" applyAlignment="1" applyProtection="1">
      <alignment horizontal="center" vertical="center"/>
      <protection hidden="1"/>
    </xf>
    <xf numFmtId="2" fontId="12" fillId="7" borderId="11" xfId="0" applyNumberFormat="1" applyFont="1" applyFill="1" applyBorder="1" applyAlignment="1" applyProtection="1">
      <alignment horizontal="center" vertical="center" wrapText="1"/>
      <protection hidden="1"/>
    </xf>
    <xf numFmtId="2" fontId="12" fillId="7" borderId="25" xfId="0" applyNumberFormat="1" applyFont="1" applyFill="1" applyBorder="1" applyAlignment="1" applyProtection="1">
      <alignment horizontal="center" vertical="center" wrapText="1"/>
      <protection hidden="1"/>
    </xf>
    <xf numFmtId="175" fontId="12" fillId="23" borderId="46" xfId="2" applyNumberFormat="1" applyFont="1" applyFill="1" applyBorder="1" applyAlignment="1" applyProtection="1">
      <alignment horizontal="center" vertical="center" wrapText="1"/>
      <protection hidden="1"/>
    </xf>
    <xf numFmtId="175" fontId="12" fillId="23" borderId="38" xfId="2" applyNumberFormat="1" applyFont="1" applyFill="1" applyBorder="1" applyAlignment="1" applyProtection="1">
      <alignment horizontal="center" vertical="center" wrapText="1"/>
      <protection hidden="1"/>
    </xf>
    <xf numFmtId="2" fontId="11" fillId="4" borderId="16" xfId="0" applyNumberFormat="1" applyFont="1" applyFill="1" applyBorder="1" applyAlignment="1" applyProtection="1">
      <alignment vertical="center" wrapText="1"/>
      <protection hidden="1"/>
    </xf>
    <xf numFmtId="49" fontId="6" fillId="17" borderId="1" xfId="0" applyNumberFormat="1" applyFont="1" applyFill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hidden="1"/>
    </xf>
    <xf numFmtId="14" fontId="5" fillId="0" borderId="18" xfId="0" applyNumberFormat="1" applyFont="1" applyBorder="1" applyAlignment="1" applyProtection="1">
      <alignment horizontal="center" vertical="center"/>
      <protection hidden="1"/>
    </xf>
    <xf numFmtId="0" fontId="11" fillId="17" borderId="1" xfId="0" applyFont="1" applyFill="1" applyBorder="1" applyAlignment="1" applyProtection="1">
      <alignment horizontal="center" vertical="center" wrapText="1"/>
      <protection hidden="1"/>
    </xf>
    <xf numFmtId="164" fontId="11" fillId="17" borderId="1" xfId="0" applyNumberFormat="1" applyFont="1" applyFill="1" applyBorder="1" applyAlignment="1" applyProtection="1">
      <alignment horizontal="center" vertical="center"/>
      <protection hidden="1"/>
    </xf>
    <xf numFmtId="0" fontId="5" fillId="17" borderId="1" xfId="0" applyFont="1" applyFill="1" applyBorder="1" applyAlignment="1" applyProtection="1">
      <alignment horizontal="center" vertical="center" wrapText="1"/>
      <protection hidden="1"/>
    </xf>
    <xf numFmtId="1" fontId="16" fillId="0" borderId="1" xfId="0" applyNumberFormat="1" applyFont="1" applyBorder="1" applyAlignment="1" applyProtection="1">
      <alignment horizontal="center"/>
      <protection hidden="1"/>
    </xf>
    <xf numFmtId="0" fontId="16" fillId="17" borderId="1" xfId="0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9" fillId="0" borderId="10" xfId="0" applyFont="1" applyBorder="1" applyAlignment="1" applyProtection="1">
      <alignment horizontal="center"/>
      <protection hidden="1"/>
    </xf>
    <xf numFmtId="0" fontId="16" fillId="0" borderId="25" xfId="0" applyFont="1" applyBorder="1" applyAlignment="1" applyProtection="1">
      <alignment horizontal="center"/>
      <protection hidden="1"/>
    </xf>
    <xf numFmtId="0" fontId="16" fillId="0" borderId="25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6" fontId="12" fillId="0" borderId="1" xfId="0" applyNumberFormat="1" applyFont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54" fillId="17" borderId="0" xfId="0" applyFont="1" applyFill="1" applyAlignment="1" applyProtection="1">
      <alignment horizontal="center" vertical="center"/>
      <protection hidden="1"/>
    </xf>
    <xf numFmtId="0" fontId="48" fillId="36" borderId="28" xfId="0" applyFont="1" applyFill="1" applyBorder="1" applyAlignment="1" applyProtection="1">
      <alignment horizontal="center" vertical="center" wrapText="1"/>
      <protection hidden="1"/>
    </xf>
    <xf numFmtId="0" fontId="11" fillId="20" borderId="1" xfId="0" applyFont="1" applyFill="1" applyBorder="1" applyAlignment="1" applyProtection="1">
      <alignment horizontal="center" vertical="center"/>
      <protection hidden="1"/>
    </xf>
    <xf numFmtId="0" fontId="11" fillId="20" borderId="1" xfId="0" applyFont="1" applyFill="1" applyBorder="1" applyAlignment="1" applyProtection="1">
      <alignment horizontal="center" vertical="center" wrapText="1"/>
      <protection hidden="1"/>
    </xf>
    <xf numFmtId="0" fontId="11" fillId="12" borderId="1" xfId="0" applyFont="1" applyFill="1" applyBorder="1" applyAlignment="1" applyProtection="1">
      <alignment horizontal="center" vertical="center" wrapText="1"/>
      <protection hidden="1"/>
    </xf>
    <xf numFmtId="2" fontId="12" fillId="20" borderId="1" xfId="0" applyNumberFormat="1" applyFont="1" applyFill="1" applyBorder="1" applyAlignment="1" applyProtection="1">
      <alignment horizontal="center"/>
      <protection hidden="1"/>
    </xf>
    <xf numFmtId="2" fontId="12" fillId="12" borderId="1" xfId="0" applyNumberFormat="1" applyFont="1" applyFill="1" applyBorder="1" applyAlignment="1" applyProtection="1">
      <alignment horizontal="center" vertical="center"/>
      <protection hidden="1"/>
    </xf>
    <xf numFmtId="2" fontId="12" fillId="5" borderId="1" xfId="0" applyNumberFormat="1" applyFont="1" applyFill="1" applyBorder="1" applyAlignment="1" applyProtection="1">
      <alignment horizontal="center" vertical="center"/>
      <protection hidden="1"/>
    </xf>
    <xf numFmtId="2" fontId="12" fillId="4" borderId="6" xfId="0" applyNumberFormat="1" applyFont="1" applyFill="1" applyBorder="1" applyAlignment="1" applyProtection="1">
      <alignment horizontal="center" vertical="center"/>
      <protection hidden="1"/>
    </xf>
    <xf numFmtId="2" fontId="12" fillId="12" borderId="1" xfId="4" applyNumberFormat="1" applyFont="1" applyFill="1" applyBorder="1" applyAlignment="1" applyProtection="1">
      <alignment horizontal="center" vertical="center"/>
      <protection hidden="1"/>
    </xf>
    <xf numFmtId="2" fontId="12" fillId="5" borderId="1" xfId="4" applyNumberFormat="1" applyFont="1" applyFill="1" applyBorder="1" applyAlignment="1" applyProtection="1">
      <alignment horizontal="center" vertical="center"/>
      <protection hidden="1"/>
    </xf>
    <xf numFmtId="2" fontId="12" fillId="4" borderId="6" xfId="4" applyNumberFormat="1" applyFont="1" applyFill="1" applyBorder="1" applyAlignment="1" applyProtection="1">
      <alignment horizontal="center" vertical="center"/>
      <protection hidden="1"/>
    </xf>
    <xf numFmtId="171" fontId="12" fillId="17" borderId="9" xfId="0" applyNumberFormat="1" applyFont="1" applyFill="1" applyBorder="1" applyAlignment="1" applyProtection="1">
      <alignment horizontal="center" vertical="center"/>
      <protection hidden="1"/>
    </xf>
    <xf numFmtId="14" fontId="12" fillId="36" borderId="10" xfId="0" applyNumberFormat="1" applyFont="1" applyFill="1" applyBorder="1" applyAlignment="1" applyProtection="1">
      <alignment horizontal="center" vertical="center"/>
      <protection hidden="1"/>
    </xf>
    <xf numFmtId="0" fontId="12" fillId="36" borderId="10" xfId="0" applyFont="1" applyFill="1" applyBorder="1" applyAlignment="1" applyProtection="1">
      <alignment horizontal="center" vertical="center"/>
      <protection hidden="1"/>
    </xf>
    <xf numFmtId="1" fontId="12" fillId="17" borderId="10" xfId="0" applyNumberFormat="1" applyFont="1" applyFill="1" applyBorder="1" applyAlignment="1" applyProtection="1">
      <alignment horizontal="center" vertical="center" wrapText="1"/>
      <protection hidden="1"/>
    </xf>
    <xf numFmtId="2" fontId="12" fillId="15" borderId="10" xfId="0" applyNumberFormat="1" applyFont="1" applyFill="1" applyBorder="1" applyAlignment="1" applyProtection="1">
      <alignment horizontal="center" vertical="center" wrapText="1"/>
      <protection hidden="1"/>
    </xf>
    <xf numFmtId="2" fontId="12" fillId="15" borderId="1" xfId="4" applyNumberFormat="1" applyFont="1" applyFill="1" applyBorder="1" applyAlignment="1" applyProtection="1">
      <alignment horizontal="center" vertical="center"/>
      <protection hidden="1"/>
    </xf>
    <xf numFmtId="2" fontId="12" fillId="20" borderId="1" xfId="4" applyNumberFormat="1" applyFont="1" applyFill="1" applyBorder="1" applyAlignment="1" applyProtection="1">
      <alignment horizontal="center" vertical="center"/>
      <protection hidden="1"/>
    </xf>
    <xf numFmtId="2" fontId="12" fillId="33" borderId="1" xfId="4" applyNumberFormat="1" applyFont="1" applyFill="1" applyBorder="1" applyAlignment="1" applyProtection="1">
      <alignment horizontal="center" vertical="center"/>
      <protection hidden="1"/>
    </xf>
    <xf numFmtId="1" fontId="12" fillId="17" borderId="1" xfId="0" applyNumberFormat="1" applyFont="1" applyFill="1" applyBorder="1" applyAlignment="1" applyProtection="1">
      <alignment horizontal="center" vertical="center" wrapText="1"/>
      <protection hidden="1"/>
    </xf>
    <xf numFmtId="1" fontId="12" fillId="4" borderId="7" xfId="0" applyNumberFormat="1" applyFont="1" applyFill="1" applyBorder="1" applyAlignment="1" applyProtection="1">
      <alignment horizontal="center" vertical="center"/>
      <protection hidden="1"/>
    </xf>
    <xf numFmtId="1" fontId="12" fillId="4" borderId="7" xfId="0" applyNumberFormat="1" applyFont="1" applyFill="1" applyBorder="1" applyAlignment="1" applyProtection="1">
      <alignment horizontal="center" vertical="center" wrapText="1"/>
      <protection hidden="1"/>
    </xf>
    <xf numFmtId="2" fontId="12" fillId="4" borderId="7" xfId="0" applyNumberFormat="1" applyFont="1" applyFill="1" applyBorder="1" applyAlignment="1" applyProtection="1">
      <alignment horizontal="center" vertical="center"/>
      <protection hidden="1"/>
    </xf>
    <xf numFmtId="2" fontId="12" fillId="20" borderId="7" xfId="0" applyNumberFormat="1" applyFont="1" applyFill="1" applyBorder="1" applyAlignment="1" applyProtection="1">
      <alignment horizontal="center" vertical="center"/>
      <protection hidden="1"/>
    </xf>
    <xf numFmtId="2" fontId="12" fillId="12" borderId="7" xfId="4" applyNumberFormat="1" applyFont="1" applyFill="1" applyBorder="1" applyAlignment="1" applyProtection="1">
      <alignment horizontal="center" vertical="center"/>
      <protection hidden="1"/>
    </xf>
    <xf numFmtId="2" fontId="12" fillId="5" borderId="7" xfId="0" applyNumberFormat="1" applyFont="1" applyFill="1" applyBorder="1" applyAlignment="1" applyProtection="1">
      <alignment horizontal="center" vertical="center" wrapText="1"/>
      <protection hidden="1"/>
    </xf>
    <xf numFmtId="2" fontId="6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54" fillId="0" borderId="0" xfId="0" applyFont="1" applyProtection="1">
      <protection hidden="1"/>
    </xf>
    <xf numFmtId="0" fontId="54" fillId="17" borderId="0" xfId="0" applyFont="1" applyFill="1" applyProtection="1"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4" fillId="0" borderId="1" xfId="0" applyFont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5" fillId="4" borderId="6" xfId="0" applyFont="1" applyFill="1" applyBorder="1" applyAlignment="1" applyProtection="1">
      <alignment horizontal="center" vertical="center"/>
      <protection hidden="1"/>
    </xf>
    <xf numFmtId="0" fontId="44" fillId="0" borderId="18" xfId="0" applyFont="1" applyBorder="1" applyAlignment="1" applyProtection="1">
      <alignment horizontal="center" vertical="center"/>
      <protection hidden="1"/>
    </xf>
    <xf numFmtId="166" fontId="13" fillId="11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center"/>
      <protection hidden="1"/>
    </xf>
    <xf numFmtId="164" fontId="11" fillId="17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0" xfId="0" applyFont="1" applyBorder="1" applyAlignment="1" applyProtection="1">
      <alignment horizontal="center"/>
      <protection hidden="1"/>
    </xf>
    <xf numFmtId="0" fontId="14" fillId="36" borderId="0" xfId="0" applyFont="1" applyFill="1" applyAlignment="1" applyProtection="1">
      <alignment horizontal="center" vertical="center"/>
      <protection hidden="1"/>
    </xf>
    <xf numFmtId="0" fontId="14" fillId="36" borderId="10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166" fontId="17" fillId="0" borderId="1" xfId="0" applyNumberFormat="1" applyFont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hidden="1"/>
    </xf>
    <xf numFmtId="0" fontId="50" fillId="36" borderId="28" xfId="0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11" fillId="4" borderId="10" xfId="0" applyFont="1" applyFill="1" applyBorder="1" applyAlignment="1" applyProtection="1">
      <alignment horizontal="center" vertical="center"/>
      <protection hidden="1"/>
    </xf>
    <xf numFmtId="0" fontId="11" fillId="4" borderId="11" xfId="0" applyFont="1" applyFill="1" applyBorder="1" applyAlignment="1" applyProtection="1">
      <alignment horizontal="center" vertical="center"/>
      <protection hidden="1"/>
    </xf>
    <xf numFmtId="0" fontId="5" fillId="4" borderId="10" xfId="0" applyFont="1" applyFill="1" applyBorder="1" applyAlignment="1" applyProtection="1">
      <alignment horizontal="center" vertical="center"/>
      <protection hidden="1"/>
    </xf>
    <xf numFmtId="0" fontId="5" fillId="4" borderId="11" xfId="0" applyFont="1" applyFill="1" applyBorder="1" applyAlignment="1" applyProtection="1">
      <alignment horizontal="center" vertical="center"/>
      <protection hidden="1"/>
    </xf>
    <xf numFmtId="14" fontId="6" fillId="0" borderId="75" xfId="0" applyNumberFormat="1" applyFont="1" applyBorder="1" applyAlignment="1" applyProtection="1">
      <alignment horizontal="center" vertical="center"/>
      <protection hidden="1"/>
    </xf>
    <xf numFmtId="14" fontId="6" fillId="0" borderId="34" xfId="0" applyNumberFormat="1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56" xfId="0" applyFont="1" applyBorder="1" applyAlignment="1" applyProtection="1">
      <alignment horizontal="left" vertical="center"/>
      <protection hidden="1"/>
    </xf>
    <xf numFmtId="0" fontId="71" fillId="17" borderId="0" xfId="0" applyFont="1" applyFill="1" applyAlignment="1">
      <alignment horizontal="center"/>
    </xf>
    <xf numFmtId="0" fontId="44" fillId="15" borderId="16" xfId="0" applyFont="1" applyFill="1" applyBorder="1" applyAlignment="1" applyProtection="1">
      <alignment horizontal="center" vertical="center"/>
      <protection hidden="1"/>
    </xf>
    <xf numFmtId="0" fontId="44" fillId="15" borderId="17" xfId="0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Protection="1">
      <protection hidden="1"/>
    </xf>
    <xf numFmtId="0" fontId="73" fillId="17" borderId="0" xfId="0" applyFont="1" applyFill="1" applyAlignment="1" applyProtection="1">
      <alignment horizontal="center" vertical="center"/>
      <protection hidden="1"/>
    </xf>
    <xf numFmtId="0" fontId="73" fillId="38" borderId="33" xfId="0" applyFont="1" applyFill="1" applyBorder="1" applyAlignment="1" applyProtection="1">
      <alignment vertical="center"/>
      <protection hidden="1"/>
    </xf>
    <xf numFmtId="0" fontId="6" fillId="0" borderId="1" xfId="0" applyFont="1" applyBorder="1" applyAlignment="1">
      <alignment horizontal="center" vertical="center"/>
    </xf>
    <xf numFmtId="0" fontId="28" fillId="17" borderId="0" xfId="0" applyFont="1" applyFill="1" applyAlignment="1" applyProtection="1">
      <alignment horizontal="center" vertical="center"/>
      <protection hidden="1"/>
    </xf>
    <xf numFmtId="14" fontId="11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1" fontId="11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48" fillId="20" borderId="16" xfId="0" applyFont="1" applyFill="1" applyBorder="1" applyAlignment="1" applyProtection="1">
      <alignment vertical="center"/>
      <protection hidden="1"/>
    </xf>
    <xf numFmtId="1" fontId="5" fillId="20" borderId="7" xfId="0" applyNumberFormat="1" applyFont="1" applyFill="1" applyBorder="1" applyAlignment="1" applyProtection="1">
      <alignment horizontal="center" vertical="center"/>
      <protection hidden="1"/>
    </xf>
    <xf numFmtId="0" fontId="27" fillId="0" borderId="1" xfId="0" applyFont="1" applyBorder="1" applyProtection="1">
      <protection locked="0"/>
    </xf>
    <xf numFmtId="0" fontId="75" fillId="0" borderId="0" xfId="0" applyFont="1"/>
    <xf numFmtId="0" fontId="76" fillId="0" borderId="0" xfId="0" applyFont="1"/>
    <xf numFmtId="0" fontId="26" fillId="17" borderId="31" xfId="0" applyFont="1" applyFill="1" applyBorder="1"/>
    <xf numFmtId="0" fontId="75" fillId="17" borderId="32" xfId="0" applyFont="1" applyFill="1" applyBorder="1"/>
    <xf numFmtId="0" fontId="26" fillId="17" borderId="32" xfId="0" applyFont="1" applyFill="1" applyBorder="1"/>
    <xf numFmtId="0" fontId="26" fillId="17" borderId="33" xfId="0" applyFont="1" applyFill="1" applyBorder="1"/>
    <xf numFmtId="0" fontId="26" fillId="17" borderId="26" xfId="0" applyFont="1" applyFill="1" applyBorder="1"/>
    <xf numFmtId="0" fontId="1" fillId="17" borderId="0" xfId="0" applyFont="1" applyFill="1"/>
    <xf numFmtId="0" fontId="1" fillId="17" borderId="27" xfId="0" applyFont="1" applyFill="1" applyBorder="1"/>
    <xf numFmtId="0" fontId="26" fillId="17" borderId="0" xfId="0" applyFont="1" applyFill="1"/>
    <xf numFmtId="0" fontId="6" fillId="17" borderId="0" xfId="0" applyFont="1" applyFill="1" applyAlignment="1">
      <alignment horizontal="center" vertical="center"/>
    </xf>
    <xf numFmtId="0" fontId="75" fillId="17" borderId="0" xfId="0" applyFont="1" applyFill="1"/>
    <xf numFmtId="0" fontId="26" fillId="17" borderId="27" xfId="0" applyFont="1" applyFill="1" applyBorder="1"/>
    <xf numFmtId="0" fontId="26" fillId="17" borderId="35" xfId="0" applyFont="1" applyFill="1" applyBorder="1"/>
    <xf numFmtId="0" fontId="26" fillId="17" borderId="36" xfId="0" applyFont="1" applyFill="1" applyBorder="1"/>
    <xf numFmtId="0" fontId="26" fillId="17" borderId="37" xfId="0" applyFont="1" applyFill="1" applyBorder="1"/>
    <xf numFmtId="0" fontId="76" fillId="17" borderId="0" xfId="0" applyFont="1" applyFill="1"/>
    <xf numFmtId="0" fontId="76" fillId="17" borderId="27" xfId="0" applyFont="1" applyFill="1" applyBorder="1"/>
    <xf numFmtId="0" fontId="75" fillId="17" borderId="27" xfId="0" applyFont="1" applyFill="1" applyBorder="1"/>
    <xf numFmtId="0" fontId="16" fillId="0" borderId="7" xfId="0" applyFont="1" applyBorder="1" applyAlignment="1" applyProtection="1">
      <alignment horizontal="center" vertical="center" wrapText="1"/>
      <protection hidden="1"/>
    </xf>
    <xf numFmtId="0" fontId="16" fillId="0" borderId="7" xfId="0" applyFont="1" applyBorder="1" applyAlignment="1" applyProtection="1">
      <alignment horizontal="center" vertical="center"/>
      <protection hidden="1"/>
    </xf>
    <xf numFmtId="0" fontId="77" fillId="17" borderId="0" xfId="0" applyFont="1" applyFill="1" applyAlignment="1">
      <alignment horizontal="center" vertical="center"/>
    </xf>
    <xf numFmtId="0" fontId="41" fillId="17" borderId="0" xfId="0" applyFont="1" applyFill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53" fillId="17" borderId="0" xfId="0" applyFont="1" applyFill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1" fontId="5" fillId="0" borderId="2" xfId="0" applyNumberFormat="1" applyFont="1" applyBorder="1" applyAlignment="1" applyProtection="1">
      <alignment vertical="center"/>
      <protection hidden="1"/>
    </xf>
    <xf numFmtId="1" fontId="5" fillId="0" borderId="4" xfId="0" applyNumberFormat="1" applyFont="1" applyBorder="1" applyAlignment="1" applyProtection="1">
      <alignment vertical="center"/>
      <protection hidden="1"/>
    </xf>
    <xf numFmtId="1" fontId="5" fillId="0" borderId="2" xfId="0" applyNumberFormat="1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/>
      <protection hidden="1"/>
    </xf>
    <xf numFmtId="1" fontId="11" fillId="0" borderId="3" xfId="0" applyNumberFormat="1" applyFont="1" applyBorder="1" applyAlignment="1" applyProtection="1">
      <alignment horizontal="center"/>
      <protection hidden="1"/>
    </xf>
    <xf numFmtId="1" fontId="11" fillId="0" borderId="2" xfId="0" applyNumberFormat="1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/>
      <protection hidden="1"/>
    </xf>
    <xf numFmtId="1" fontId="5" fillId="20" borderId="47" xfId="0" applyNumberFormat="1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27" fillId="0" borderId="36" xfId="0" applyFont="1" applyBorder="1" applyProtection="1">
      <protection locked="0"/>
    </xf>
    <xf numFmtId="0" fontId="27" fillId="0" borderId="37" xfId="0" applyFont="1" applyBorder="1" applyProtection="1">
      <protection locked="0"/>
    </xf>
    <xf numFmtId="0" fontId="28" fillId="4" borderId="25" xfId="0" applyFont="1" applyFill="1" applyBorder="1" applyAlignment="1" applyProtection="1">
      <alignment horizontal="center" vertical="center"/>
      <protection locked="0"/>
    </xf>
    <xf numFmtId="0" fontId="28" fillId="4" borderId="17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70" fillId="17" borderId="0" xfId="0" applyFont="1" applyFill="1" applyAlignment="1" applyProtection="1">
      <alignment horizontal="center" vertical="center" wrapText="1"/>
      <protection hidden="1"/>
    </xf>
    <xf numFmtId="0" fontId="70" fillId="17" borderId="0" xfId="0" applyFont="1" applyFill="1" applyProtection="1">
      <protection hidden="1"/>
    </xf>
    <xf numFmtId="14" fontId="70" fillId="17" borderId="0" xfId="0" applyNumberFormat="1" applyFont="1" applyFill="1" applyAlignment="1" applyProtection="1">
      <alignment horizontal="center" vertical="center" wrapText="1"/>
      <protection hidden="1"/>
    </xf>
    <xf numFmtId="14" fontId="70" fillId="17" borderId="0" xfId="0" applyNumberFormat="1" applyFont="1" applyFill="1" applyProtection="1">
      <protection hidden="1"/>
    </xf>
    <xf numFmtId="179" fontId="70" fillId="17" borderId="0" xfId="0" applyNumberFormat="1" applyFont="1" applyFill="1" applyProtection="1">
      <protection hidden="1"/>
    </xf>
    <xf numFmtId="0" fontId="70" fillId="17" borderId="0" xfId="0" applyFont="1" applyFill="1" applyAlignment="1" applyProtection="1">
      <alignment horizontal="center" vertical="center"/>
      <protection hidden="1"/>
    </xf>
    <xf numFmtId="0" fontId="70" fillId="17" borderId="0" xfId="0" applyFont="1" applyFill="1" applyAlignment="1" applyProtection="1">
      <alignment horizontal="left" vertical="center"/>
      <protection hidden="1"/>
    </xf>
    <xf numFmtId="0" fontId="6" fillId="32" borderId="5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179" fontId="70" fillId="17" borderId="0" xfId="0" applyNumberFormat="1" applyFont="1" applyFill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5" fillId="6" borderId="16" xfId="0" applyFont="1" applyFill="1" applyBorder="1" applyAlignment="1" applyProtection="1">
      <alignment horizontal="center" vertical="center"/>
      <protection hidden="1"/>
    </xf>
    <xf numFmtId="0" fontId="5" fillId="6" borderId="16" xfId="0" applyFont="1" applyFill="1" applyBorder="1" applyAlignment="1" applyProtection="1">
      <alignment horizontal="left" vertical="center"/>
      <protection hidden="1"/>
    </xf>
    <xf numFmtId="0" fontId="6" fillId="0" borderId="3" xfId="0" applyFont="1" applyBorder="1" applyAlignment="1" applyProtection="1">
      <alignment horizontal="right" vertical="center"/>
      <protection hidden="1"/>
    </xf>
    <xf numFmtId="0" fontId="6" fillId="0" borderId="4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55" xfId="0" applyFont="1" applyBorder="1" applyAlignment="1" applyProtection="1">
      <alignment horizontal="right" vertical="center"/>
      <protection hidden="1"/>
    </xf>
    <xf numFmtId="0" fontId="6" fillId="0" borderId="44" xfId="0" applyFont="1" applyBorder="1" applyAlignment="1" applyProtection="1">
      <alignment horizontal="center" vertical="center"/>
      <protection hidden="1"/>
    </xf>
    <xf numFmtId="14" fontId="6" fillId="0" borderId="10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righ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14" fontId="6" fillId="0" borderId="18" xfId="0" applyNumberFormat="1" applyFont="1" applyBorder="1" applyAlignment="1" applyProtection="1">
      <alignment horizontal="center" vertical="center"/>
      <protection hidden="1"/>
    </xf>
    <xf numFmtId="0" fontId="44" fillId="0" borderId="16" xfId="0" applyFont="1" applyBorder="1" applyAlignment="1" applyProtection="1">
      <alignment horizontal="center" vertical="center"/>
      <protection hidden="1"/>
    </xf>
    <xf numFmtId="0" fontId="6" fillId="16" borderId="78" xfId="0" applyFont="1" applyFill="1" applyBorder="1" applyAlignment="1" applyProtection="1">
      <alignment horizontal="center" vertical="center"/>
      <protection hidden="1"/>
    </xf>
    <xf numFmtId="0" fontId="6" fillId="16" borderId="61" xfId="0" applyFont="1" applyFill="1" applyBorder="1" applyAlignment="1" applyProtection="1">
      <alignment horizontal="center" vertical="center"/>
      <protection hidden="1"/>
    </xf>
    <xf numFmtId="0" fontId="5" fillId="16" borderId="7" xfId="0" applyFont="1" applyFill="1" applyBorder="1" applyAlignment="1" applyProtection="1">
      <alignment horizontal="center" vertical="center"/>
      <protection hidden="1"/>
    </xf>
    <xf numFmtId="0" fontId="5" fillId="16" borderId="78" xfId="0" applyFont="1" applyFill="1" applyBorder="1" applyAlignment="1" applyProtection="1">
      <alignment horizontal="left" vertical="center"/>
      <protection hidden="1"/>
    </xf>
    <xf numFmtId="180" fontId="6" fillId="50" borderId="2" xfId="0" applyNumberFormat="1" applyFont="1" applyFill="1" applyBorder="1" applyAlignment="1" applyProtection="1">
      <alignment horizontal="center" vertical="center"/>
      <protection hidden="1"/>
    </xf>
    <xf numFmtId="180" fontId="6" fillId="32" borderId="57" xfId="0" applyNumberFormat="1" applyFont="1" applyFill="1" applyBorder="1" applyAlignment="1" applyProtection="1">
      <alignment horizontal="center" vertical="center"/>
      <protection hidden="1"/>
    </xf>
    <xf numFmtId="180" fontId="6" fillId="32" borderId="7" xfId="0" applyNumberFormat="1" applyFont="1" applyFill="1" applyBorder="1" applyAlignment="1" applyProtection="1">
      <alignment horizontal="center" vertical="center"/>
      <protection hidden="1"/>
    </xf>
    <xf numFmtId="180" fontId="6" fillId="32" borderId="78" xfId="0" applyNumberFormat="1" applyFont="1" applyFill="1" applyBorder="1" applyAlignment="1" applyProtection="1">
      <alignment horizontal="center" vertical="center"/>
      <protection hidden="1"/>
    </xf>
    <xf numFmtId="180" fontId="6" fillId="50" borderId="1" xfId="0" applyNumberFormat="1" applyFont="1" applyFill="1" applyBorder="1" applyProtection="1">
      <protection hidden="1"/>
    </xf>
    <xf numFmtId="180" fontId="6" fillId="32" borderId="25" xfId="0" applyNumberFormat="1" applyFont="1" applyFill="1" applyBorder="1" applyAlignment="1" applyProtection="1">
      <alignment horizontal="center" vertical="center"/>
      <protection hidden="1"/>
    </xf>
    <xf numFmtId="0" fontId="6" fillId="17" borderId="0" xfId="0" applyFont="1" applyFill="1" applyProtection="1">
      <protection hidden="1"/>
    </xf>
    <xf numFmtId="179" fontId="6" fillId="17" borderId="0" xfId="0" applyNumberFormat="1" applyFont="1" applyFill="1" applyProtection="1">
      <protection hidden="1"/>
    </xf>
    <xf numFmtId="180" fontId="6" fillId="0" borderId="1" xfId="0" applyNumberFormat="1" applyFont="1" applyBorder="1" applyAlignment="1" applyProtection="1">
      <alignment horizontal="center" vertical="center"/>
      <protection hidden="1"/>
    </xf>
    <xf numFmtId="180" fontId="6" fillId="0" borderId="18" xfId="0" applyNumberFormat="1" applyFont="1" applyBorder="1" applyAlignment="1" applyProtection="1">
      <alignment horizontal="center" vertical="center"/>
      <protection hidden="1"/>
    </xf>
    <xf numFmtId="180" fontId="6" fillId="0" borderId="10" xfId="0" applyNumberFormat="1" applyFont="1" applyBorder="1" applyAlignment="1" applyProtection="1">
      <alignment horizontal="center" vertical="center"/>
      <protection hidden="1"/>
    </xf>
    <xf numFmtId="180" fontId="6" fillId="2" borderId="1" xfId="0" applyNumberFormat="1" applyFont="1" applyFill="1" applyBorder="1" applyAlignment="1" applyProtection="1">
      <alignment horizontal="center" vertical="center"/>
      <protection hidden="1"/>
    </xf>
    <xf numFmtId="180" fontId="6" fillId="0" borderId="1" xfId="0" applyNumberFormat="1" applyFont="1" applyBorder="1" applyProtection="1">
      <protection hidden="1"/>
    </xf>
    <xf numFmtId="0" fontId="28" fillId="0" borderId="18" xfId="0" applyFont="1" applyBorder="1" applyAlignment="1" applyProtection="1">
      <alignment horizontal="center" vertical="center"/>
      <protection hidden="1"/>
    </xf>
    <xf numFmtId="0" fontId="44" fillId="0" borderId="16" xfId="0" applyFont="1" applyBorder="1" applyAlignment="1" applyProtection="1">
      <alignment horizontal="left" vertical="center"/>
      <protection hidden="1"/>
    </xf>
    <xf numFmtId="0" fontId="5" fillId="8" borderId="5" xfId="0" applyFont="1" applyFill="1" applyBorder="1" applyAlignment="1" applyProtection="1">
      <alignment horizontal="center" vertical="center" wrapText="1"/>
      <protection hidden="1"/>
    </xf>
    <xf numFmtId="0" fontId="5" fillId="8" borderId="1" xfId="0" applyFont="1" applyFill="1" applyBorder="1" applyAlignment="1" applyProtection="1">
      <alignment horizontal="center" vertical="center" wrapText="1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5" fillId="8" borderId="6" xfId="0" applyFont="1" applyFill="1" applyBorder="1" applyAlignment="1" applyProtection="1">
      <alignment horizontal="center" vertical="center"/>
      <protection hidden="1"/>
    </xf>
    <xf numFmtId="2" fontId="70" fillId="17" borderId="0" xfId="0" applyNumberFormat="1" applyFont="1" applyFill="1" applyAlignment="1" applyProtection="1">
      <alignment horizontal="center" vertical="center"/>
      <protection hidden="1"/>
    </xf>
    <xf numFmtId="1" fontId="70" fillId="17" borderId="0" xfId="0" applyNumberFormat="1" applyFont="1" applyFill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32" borderId="9" xfId="0" applyFont="1" applyFill="1" applyBorder="1" applyAlignment="1" applyProtection="1">
      <alignment horizontal="center" vertical="center"/>
      <protection hidden="1"/>
    </xf>
    <xf numFmtId="180" fontId="6" fillId="50" borderId="44" xfId="0" applyNumberFormat="1" applyFont="1" applyFill="1" applyBorder="1" applyAlignment="1" applyProtection="1">
      <alignment horizontal="center" vertical="center"/>
      <protection hidden="1"/>
    </xf>
    <xf numFmtId="180" fontId="6" fillId="50" borderId="10" xfId="0" applyNumberFormat="1" applyFont="1" applyFill="1" applyBorder="1" applyProtection="1">
      <protection hidden="1"/>
    </xf>
    <xf numFmtId="180" fontId="6" fillId="32" borderId="95" xfId="0" applyNumberFormat="1" applyFont="1" applyFill="1" applyBorder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center" vertical="center" wrapText="1"/>
      <protection hidden="1"/>
    </xf>
    <xf numFmtId="166" fontId="27" fillId="17" borderId="0" xfId="0" applyNumberFormat="1" applyFont="1" applyFill="1" applyAlignment="1" applyProtection="1">
      <alignment horizontal="center" vertical="center"/>
      <protection hidden="1"/>
    </xf>
    <xf numFmtId="2" fontId="27" fillId="17" borderId="0" xfId="0" applyNumberFormat="1" applyFont="1" applyFill="1" applyAlignment="1" applyProtection="1">
      <alignment horizontal="center" vertical="center"/>
      <protection hidden="1"/>
    </xf>
    <xf numFmtId="2" fontId="17" fillId="17" borderId="0" xfId="0" applyNumberFormat="1" applyFont="1" applyFill="1" applyAlignment="1" applyProtection="1">
      <alignment horizontal="center" vertical="center"/>
      <protection hidden="1"/>
    </xf>
    <xf numFmtId="166" fontId="6" fillId="17" borderId="0" xfId="0" applyNumberFormat="1" applyFont="1" applyFill="1" applyAlignment="1" applyProtection="1">
      <alignment horizontal="center" vertical="center" wrapText="1"/>
      <protection hidden="1"/>
    </xf>
    <xf numFmtId="170" fontId="27" fillId="17" borderId="0" xfId="0" applyNumberFormat="1" applyFont="1" applyFill="1" applyAlignment="1" applyProtection="1">
      <alignment horizontal="center" vertical="center"/>
      <protection hidden="1"/>
    </xf>
    <xf numFmtId="14" fontId="27" fillId="17" borderId="0" xfId="0" applyNumberFormat="1" applyFont="1" applyFill="1" applyAlignment="1" applyProtection="1">
      <alignment horizontal="center" vertical="center"/>
      <protection hidden="1"/>
    </xf>
    <xf numFmtId="0" fontId="27" fillId="17" borderId="0" xfId="0" applyFont="1" applyFill="1" applyAlignment="1" applyProtection="1">
      <alignment horizontal="center" vertical="center"/>
      <protection hidden="1"/>
    </xf>
    <xf numFmtId="0" fontId="27" fillId="17" borderId="0" xfId="0" applyFont="1" applyFill="1" applyAlignment="1" applyProtection="1">
      <alignment horizontal="center" vertical="center" wrapText="1"/>
      <protection hidden="1"/>
    </xf>
    <xf numFmtId="166" fontId="27" fillId="17" borderId="0" xfId="0" applyNumberFormat="1" applyFont="1" applyFill="1" applyAlignment="1" applyProtection="1">
      <alignment horizontal="center" vertical="center" wrapText="1"/>
      <protection hidden="1"/>
    </xf>
    <xf numFmtId="2" fontId="27" fillId="17" borderId="0" xfId="0" applyNumberFormat="1" applyFont="1" applyFill="1" applyAlignment="1" applyProtection="1">
      <alignment horizontal="center" vertical="center" wrapText="1"/>
      <protection hidden="1"/>
    </xf>
    <xf numFmtId="2" fontId="17" fillId="17" borderId="0" xfId="0" applyNumberFormat="1" applyFont="1" applyFill="1" applyAlignment="1" applyProtection="1">
      <alignment horizontal="center" vertical="center" wrapText="1"/>
      <protection hidden="1"/>
    </xf>
    <xf numFmtId="168" fontId="27" fillId="17" borderId="0" xfId="0" applyNumberFormat="1" applyFont="1" applyFill="1" applyAlignment="1" applyProtection="1">
      <alignment horizontal="center" vertical="center"/>
      <protection hidden="1"/>
    </xf>
    <xf numFmtId="0" fontId="5" fillId="17" borderId="0" xfId="0" applyFont="1" applyFill="1" applyAlignment="1" applyProtection="1">
      <alignment horizontal="center" vertical="center" wrapText="1"/>
      <protection hidden="1"/>
    </xf>
    <xf numFmtId="0" fontId="17" fillId="17" borderId="0" xfId="0" applyFont="1" applyFill="1" applyAlignment="1" applyProtection="1">
      <alignment horizontal="center" vertical="center" wrapText="1"/>
      <protection hidden="1"/>
    </xf>
    <xf numFmtId="166" fontId="17" fillId="17" borderId="0" xfId="0" applyNumberFormat="1" applyFont="1" applyFill="1" applyAlignment="1" applyProtection="1">
      <alignment horizontal="center" vertical="center" wrapText="1"/>
      <protection hidden="1"/>
    </xf>
    <xf numFmtId="0" fontId="5" fillId="17" borderId="0" xfId="0" applyFont="1" applyFill="1" applyAlignment="1" applyProtection="1">
      <alignment vertical="center" wrapText="1"/>
      <protection hidden="1"/>
    </xf>
    <xf numFmtId="166" fontId="17" fillId="17" borderId="0" xfId="2" applyNumberFormat="1" applyFont="1" applyFill="1" applyBorder="1" applyAlignment="1" applyProtection="1">
      <alignment horizontal="center" vertical="center" wrapText="1"/>
      <protection hidden="1"/>
    </xf>
    <xf numFmtId="2" fontId="5" fillId="17" borderId="0" xfId="0" applyNumberFormat="1" applyFont="1" applyFill="1" applyAlignment="1" applyProtection="1">
      <alignment vertical="center" wrapText="1"/>
      <protection hidden="1"/>
    </xf>
    <xf numFmtId="166" fontId="26" fillId="17" borderId="0" xfId="0" applyNumberFormat="1" applyFont="1" applyFill="1" applyAlignment="1" applyProtection="1">
      <alignment horizontal="center" vertical="center"/>
      <protection hidden="1"/>
    </xf>
    <xf numFmtId="0" fontId="26" fillId="17" borderId="0" xfId="0" applyFont="1" applyFill="1" applyAlignment="1" applyProtection="1">
      <alignment horizontal="center" vertical="center"/>
      <protection hidden="1"/>
    </xf>
    <xf numFmtId="0" fontId="75" fillId="17" borderId="0" xfId="0" applyFont="1" applyFill="1" applyAlignment="1" applyProtection="1">
      <alignment horizontal="center" vertical="center"/>
      <protection hidden="1"/>
    </xf>
    <xf numFmtId="166" fontId="26" fillId="17" borderId="0" xfId="0" applyNumberFormat="1" applyFont="1" applyFill="1" applyProtection="1">
      <protection hidden="1"/>
    </xf>
    <xf numFmtId="0" fontId="1" fillId="17" borderId="0" xfId="0" applyFont="1" applyFill="1" applyAlignment="1" applyProtection="1">
      <alignment horizontal="center" vertical="center"/>
      <protection hidden="1"/>
    </xf>
    <xf numFmtId="0" fontId="6" fillId="17" borderId="52" xfId="0" applyFont="1" applyFill="1" applyBorder="1" applyAlignment="1" applyProtection="1">
      <alignment horizontal="left" vertical="center"/>
      <protection hidden="1"/>
    </xf>
    <xf numFmtId="0" fontId="6" fillId="17" borderId="18" xfId="0" applyFont="1" applyFill="1" applyBorder="1" applyAlignment="1" applyProtection="1">
      <alignment horizontal="center" vertical="center"/>
      <protection hidden="1"/>
    </xf>
    <xf numFmtId="0" fontId="6" fillId="17" borderId="56" xfId="0" applyFont="1" applyFill="1" applyBorder="1" applyAlignment="1" applyProtection="1">
      <alignment horizontal="left" vertical="center"/>
      <protection hidden="1"/>
    </xf>
    <xf numFmtId="0" fontId="16" fillId="17" borderId="0" xfId="0" applyFont="1" applyFill="1" applyAlignment="1">
      <alignment vertical="center"/>
    </xf>
    <xf numFmtId="14" fontId="71" fillId="17" borderId="0" xfId="0" applyNumberFormat="1" applyFont="1" applyFill="1" applyAlignment="1">
      <alignment horizontal="center"/>
    </xf>
    <xf numFmtId="14" fontId="70" fillId="17" borderId="0" xfId="0" applyNumberFormat="1" applyFont="1" applyFill="1" applyAlignment="1">
      <alignment horizontal="center" vertical="center"/>
    </xf>
    <xf numFmtId="0" fontId="80" fillId="50" borderId="16" xfId="0" applyFont="1" applyFill="1" applyBorder="1" applyAlignment="1" applyProtection="1">
      <alignment vertical="center"/>
      <protection hidden="1"/>
    </xf>
    <xf numFmtId="166" fontId="11" fillId="36" borderId="1" xfId="0" applyNumberFormat="1" applyFont="1" applyFill="1" applyBorder="1" applyAlignment="1" applyProtection="1">
      <alignment horizontal="center" vertical="center"/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166" fontId="11" fillId="0" borderId="1" xfId="0" applyNumberFormat="1" applyFont="1" applyBorder="1" applyAlignment="1" applyProtection="1">
      <alignment horizontal="center" vertical="center"/>
      <protection hidden="1"/>
    </xf>
    <xf numFmtId="166" fontId="14" fillId="36" borderId="1" xfId="0" applyNumberFormat="1" applyFont="1" applyFill="1" applyBorder="1" applyAlignment="1" applyProtection="1">
      <alignment horizontal="center" vertical="center"/>
      <protection hidden="1"/>
    </xf>
    <xf numFmtId="166" fontId="14" fillId="0" borderId="1" xfId="0" applyNumberFormat="1" applyFont="1" applyBorder="1" applyAlignment="1" applyProtection="1">
      <alignment horizontal="center" vertical="center"/>
      <protection hidden="1"/>
    </xf>
    <xf numFmtId="0" fontId="44" fillId="36" borderId="10" xfId="0" applyFont="1" applyFill="1" applyBorder="1" applyAlignment="1" applyProtection="1">
      <alignment horizontal="center" vertical="center" wrapText="1"/>
      <protection hidden="1"/>
    </xf>
    <xf numFmtId="0" fontId="44" fillId="36" borderId="10" xfId="0" applyFont="1" applyFill="1" applyBorder="1" applyAlignment="1" applyProtection="1">
      <alignment horizontal="center" vertical="center"/>
      <protection hidden="1"/>
    </xf>
    <xf numFmtId="166" fontId="28" fillId="23" borderId="1" xfId="0" applyNumberFormat="1" applyFont="1" applyFill="1" applyBorder="1" applyAlignment="1" applyProtection="1">
      <alignment horizontal="center" vertical="center"/>
      <protection hidden="1"/>
    </xf>
    <xf numFmtId="166" fontId="28" fillId="23" borderId="7" xfId="0" applyNumberFormat="1" applyFont="1" applyFill="1" applyBorder="1" applyAlignment="1" applyProtection="1">
      <alignment horizontal="center" vertical="center"/>
      <protection hidden="1"/>
    </xf>
    <xf numFmtId="0" fontId="14" fillId="18" borderId="1" xfId="0" applyFont="1" applyFill="1" applyBorder="1" applyAlignment="1" applyProtection="1">
      <alignment horizontal="center" vertical="center" wrapText="1"/>
      <protection hidden="1"/>
    </xf>
    <xf numFmtId="0" fontId="14" fillId="18" borderId="6" xfId="0" applyFont="1" applyFill="1" applyBorder="1" applyAlignment="1" applyProtection="1">
      <alignment horizontal="center" vertical="center" wrapText="1"/>
      <protection hidden="1"/>
    </xf>
    <xf numFmtId="166" fontId="11" fillId="0" borderId="7" xfId="0" applyNumberFormat="1" applyFont="1" applyBorder="1" applyAlignment="1" applyProtection="1">
      <alignment horizontal="center" vertical="center"/>
      <protection hidden="1"/>
    </xf>
    <xf numFmtId="0" fontId="48" fillId="20" borderId="16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locked="0"/>
    </xf>
    <xf numFmtId="0" fontId="5" fillId="17" borderId="0" xfId="0" applyFont="1" applyFill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16" fillId="17" borderId="0" xfId="0" applyFont="1" applyFill="1" applyProtection="1">
      <protection hidden="1"/>
    </xf>
    <xf numFmtId="0" fontId="16" fillId="17" borderId="0" xfId="0" applyFont="1" applyFill="1" applyAlignment="1">
      <alignment horizontal="center" vertical="center"/>
    </xf>
    <xf numFmtId="0" fontId="16" fillId="17" borderId="0" xfId="0" applyFont="1" applyFill="1" applyAlignment="1">
      <alignment horizontal="right"/>
    </xf>
    <xf numFmtId="0" fontId="6" fillId="17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locked="0"/>
    </xf>
    <xf numFmtId="0" fontId="27" fillId="0" borderId="7" xfId="0" applyFont="1" applyBorder="1" applyProtection="1">
      <protection locked="0"/>
    </xf>
    <xf numFmtId="0" fontId="27" fillId="0" borderId="78" xfId="0" applyFont="1" applyBorder="1" applyProtection="1">
      <protection locked="0"/>
    </xf>
    <xf numFmtId="0" fontId="91" fillId="17" borderId="26" xfId="0" applyFont="1" applyFill="1" applyBorder="1"/>
    <xf numFmtId="0" fontId="1" fillId="17" borderId="0" xfId="0" applyFont="1" applyFill="1" applyAlignment="1">
      <alignment vertical="center"/>
    </xf>
    <xf numFmtId="0" fontId="16" fillId="17" borderId="0" xfId="0" applyFont="1" applyFill="1" applyAlignment="1" applyProtection="1">
      <alignment horizontal="center" vertical="center"/>
      <protection hidden="1"/>
    </xf>
    <xf numFmtId="0" fontId="16" fillId="17" borderId="27" xfId="0" applyFont="1" applyFill="1" applyBorder="1" applyAlignment="1" applyProtection="1">
      <alignment horizontal="left" vertical="center"/>
      <protection hidden="1"/>
    </xf>
    <xf numFmtId="0" fontId="16" fillId="17" borderId="27" xfId="0" applyFont="1" applyFill="1" applyBorder="1"/>
    <xf numFmtId="0" fontId="1" fillId="17" borderId="32" xfId="0" applyFont="1" applyFill="1" applyBorder="1"/>
    <xf numFmtId="0" fontId="1" fillId="17" borderId="33" xfId="0" applyFont="1" applyFill="1" applyBorder="1"/>
    <xf numFmtId="165" fontId="1" fillId="17" borderId="39" xfId="0" applyNumberFormat="1" applyFont="1" applyFill="1" applyBorder="1" applyAlignment="1">
      <alignment horizontal="center" vertical="center"/>
    </xf>
    <xf numFmtId="0" fontId="1" fillId="17" borderId="28" xfId="0" applyFont="1" applyFill="1" applyBorder="1" applyAlignment="1">
      <alignment horizontal="center" vertical="center"/>
    </xf>
    <xf numFmtId="165" fontId="1" fillId="17" borderId="5" xfId="0" applyNumberFormat="1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165" fontId="1" fillId="17" borderId="77" xfId="0" applyNumberFormat="1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 vertical="center"/>
    </xf>
    <xf numFmtId="0" fontId="16" fillId="18" borderId="0" xfId="0" applyFont="1" applyFill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0" fontId="29" fillId="6" borderId="16" xfId="0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6" fillId="0" borderId="58" xfId="0" applyFont="1" applyBorder="1" applyAlignment="1" applyProtection="1">
      <alignment horizontal="center" vertical="center"/>
      <protection hidden="1"/>
    </xf>
    <xf numFmtId="0" fontId="1" fillId="27" borderId="1" xfId="0" applyFont="1" applyFill="1" applyBorder="1" applyAlignment="1">
      <alignment horizontal="center"/>
    </xf>
    <xf numFmtId="0" fontId="1" fillId="26" borderId="18" xfId="0" applyFont="1" applyFill="1" applyBorder="1" applyAlignment="1">
      <alignment horizontal="center" vertical="center"/>
    </xf>
    <xf numFmtId="0" fontId="44" fillId="36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>
      <alignment horizontal="center" wrapText="1"/>
    </xf>
    <xf numFmtId="0" fontId="4" fillId="0" borderId="0" xfId="0" applyFont="1" applyAlignment="1" applyProtection="1">
      <alignment horizontal="center"/>
      <protection hidden="1"/>
    </xf>
    <xf numFmtId="0" fontId="14" fillId="36" borderId="10" xfId="0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6" fillId="17" borderId="1" xfId="0" applyFont="1" applyFill="1" applyBorder="1" applyAlignment="1" applyProtection="1">
      <alignment horizontal="center" vertical="center"/>
      <protection hidden="1"/>
    </xf>
    <xf numFmtId="0" fontId="28" fillId="17" borderId="0" xfId="0" applyFont="1" applyFill="1" applyAlignment="1" applyProtection="1">
      <alignment horizontal="left" vertical="center"/>
      <protection hidden="1"/>
    </xf>
    <xf numFmtId="0" fontId="27" fillId="0" borderId="1" xfId="0" applyFont="1" applyBorder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44" fillId="15" borderId="2" xfId="0" applyFont="1" applyFill="1" applyBorder="1" applyAlignment="1">
      <alignment horizontal="center" vertical="center"/>
    </xf>
    <xf numFmtId="0" fontId="42" fillId="0" borderId="0" xfId="0" applyFont="1"/>
    <xf numFmtId="0" fontId="54" fillId="17" borderId="0" xfId="0" applyFont="1" applyFill="1"/>
    <xf numFmtId="0" fontId="6" fillId="10" borderId="1" xfId="0" applyFont="1" applyFill="1" applyBorder="1" applyAlignment="1">
      <alignment horizontal="center" vertical="center"/>
    </xf>
    <xf numFmtId="164" fontId="6" fillId="10" borderId="1" xfId="3" applyFont="1" applyFill="1" applyBorder="1" applyAlignment="1" applyProtection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/>
    </xf>
    <xf numFmtId="0" fontId="70" fillId="17" borderId="0" xfId="0" applyFont="1" applyFill="1" applyAlignment="1">
      <alignment horizontal="center" vertical="center"/>
    </xf>
    <xf numFmtId="0" fontId="70" fillId="17" borderId="0" xfId="0" applyFont="1" applyFill="1" applyAlignment="1">
      <alignment horizontal="center" vertical="center" wrapText="1"/>
    </xf>
    <xf numFmtId="166" fontId="6" fillId="17" borderId="0" xfId="0" applyNumberFormat="1" applyFont="1" applyFill="1"/>
    <xf numFmtId="14" fontId="6" fillId="17" borderId="0" xfId="0" applyNumberFormat="1" applyFont="1" applyFill="1"/>
    <xf numFmtId="0" fontId="6" fillId="17" borderId="0" xfId="0" applyFont="1" applyFill="1"/>
    <xf numFmtId="166" fontId="6" fillId="17" borderId="14" xfId="0" applyNumberFormat="1" applyFont="1" applyFill="1" applyBorder="1"/>
    <xf numFmtId="49" fontId="6" fillId="27" borderId="1" xfId="0" applyNumberFormat="1" applyFont="1" applyFill="1" applyBorder="1" applyAlignment="1">
      <alignment horizontal="center" vertical="center"/>
    </xf>
    <xf numFmtId="166" fontId="6" fillId="17" borderId="1" xfId="0" applyNumberFormat="1" applyFont="1" applyFill="1" applyBorder="1" applyAlignment="1" applyProtection="1">
      <alignment horizontal="center" vertical="center"/>
      <protection locked="0"/>
    </xf>
    <xf numFmtId="166" fontId="6" fillId="17" borderId="1" xfId="0" applyNumberFormat="1" applyFont="1" applyFill="1" applyBorder="1" applyAlignment="1" applyProtection="1">
      <alignment horizontal="center" vertical="center"/>
      <protection hidden="1"/>
    </xf>
    <xf numFmtId="14" fontId="6" fillId="27" borderId="1" xfId="0" applyNumberFormat="1" applyFont="1" applyFill="1" applyBorder="1" applyAlignment="1">
      <alignment horizontal="center" vertical="center"/>
    </xf>
    <xf numFmtId="0" fontId="6" fillId="27" borderId="1" xfId="0" applyFont="1" applyFill="1" applyBorder="1" applyAlignment="1">
      <alignment horizontal="center" vertical="center"/>
    </xf>
    <xf numFmtId="166" fontId="6" fillId="17" borderId="4" xfId="0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center" vertical="center"/>
    </xf>
    <xf numFmtId="0" fontId="5" fillId="17" borderId="0" xfId="0" applyFont="1" applyFill="1" applyAlignment="1">
      <alignment vertical="center"/>
    </xf>
    <xf numFmtId="0" fontId="89" fillId="17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6" fillId="17" borderId="0" xfId="0" applyNumberFormat="1" applyFont="1" applyFill="1" applyAlignment="1">
      <alignment horizontal="center"/>
    </xf>
    <xf numFmtId="0" fontId="6" fillId="17" borderId="0" xfId="0" applyFont="1" applyFill="1" applyAlignment="1">
      <alignment horizontal="center"/>
    </xf>
    <xf numFmtId="0" fontId="71" fillId="1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0" fillId="17" borderId="0" xfId="0" applyFont="1" applyFill="1" applyAlignment="1">
      <alignment horizontal="center" vertical="center"/>
    </xf>
    <xf numFmtId="0" fontId="6" fillId="28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70" fillId="17" borderId="0" xfId="0" applyFont="1" applyFill="1"/>
    <xf numFmtId="14" fontId="70" fillId="17" borderId="0" xfId="0" applyNumberFormat="1" applyFont="1" applyFill="1"/>
    <xf numFmtId="0" fontId="6" fillId="0" borderId="1" xfId="0" applyFont="1" applyBorder="1" applyAlignment="1" applyProtection="1">
      <alignment horizontal="center" vertical="center"/>
      <protection locked="0"/>
    </xf>
    <xf numFmtId="0" fontId="26" fillId="0" borderId="26" xfId="0" applyFont="1" applyBorder="1"/>
    <xf numFmtId="0" fontId="5" fillId="21" borderId="16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 wrapText="1"/>
    </xf>
    <xf numFmtId="2" fontId="29" fillId="5" borderId="1" xfId="0" applyNumberFormat="1" applyFont="1" applyFill="1" applyBorder="1" applyAlignment="1">
      <alignment horizontal="center" vertical="center"/>
    </xf>
    <xf numFmtId="2" fontId="29" fillId="5" borderId="1" xfId="0" applyNumberFormat="1" applyFont="1" applyFill="1" applyBorder="1" applyAlignment="1">
      <alignment horizontal="center" vertical="center" wrapText="1"/>
    </xf>
    <xf numFmtId="2" fontId="29" fillId="5" borderId="2" xfId="0" applyNumberFormat="1" applyFont="1" applyFill="1" applyBorder="1" applyAlignment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 wrapText="1"/>
    </xf>
    <xf numFmtId="0" fontId="59" fillId="5" borderId="1" xfId="0" applyFont="1" applyFill="1" applyBorder="1" applyAlignment="1">
      <alignment horizontal="center" vertical="center" wrapText="1"/>
    </xf>
    <xf numFmtId="0" fontId="59" fillId="5" borderId="2" xfId="0" applyFont="1" applyFill="1" applyBorder="1" applyAlignment="1">
      <alignment horizontal="center" vertical="center" wrapText="1"/>
    </xf>
    <xf numFmtId="0" fontId="59" fillId="5" borderId="5" xfId="0" applyFont="1" applyFill="1" applyBorder="1" applyAlignment="1">
      <alignment horizontal="center" vertical="center" wrapText="1"/>
    </xf>
    <xf numFmtId="0" fontId="59" fillId="5" borderId="6" xfId="0" applyFont="1" applyFill="1" applyBorder="1" applyAlignment="1">
      <alignment horizontal="center" vertical="center" wrapText="1"/>
    </xf>
    <xf numFmtId="0" fontId="54" fillId="17" borderId="0" xfId="0" applyFont="1" applyFill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26" fillId="0" borderId="55" xfId="0" applyFont="1" applyBorder="1"/>
    <xf numFmtId="0" fontId="26" fillId="0" borderId="62" xfId="0" applyFont="1" applyBorder="1"/>
    <xf numFmtId="0" fontId="26" fillId="0" borderId="27" xfId="0" applyFont="1" applyBorder="1"/>
    <xf numFmtId="0" fontId="28" fillId="22" borderId="16" xfId="0" applyFont="1" applyFill="1" applyBorder="1" applyAlignment="1">
      <alignment horizontal="center" vertical="center"/>
    </xf>
    <xf numFmtId="0" fontId="1" fillId="0" borderId="0" xfId="0" applyFont="1"/>
    <xf numFmtId="0" fontId="32" fillId="16" borderId="2" xfId="0" applyFont="1" applyFill="1" applyBorder="1" applyAlignment="1">
      <alignment horizontal="center"/>
    </xf>
    <xf numFmtId="0" fontId="6" fillId="16" borderId="20" xfId="0" applyFont="1" applyFill="1" applyBorder="1" applyAlignment="1">
      <alignment vertical="center"/>
    </xf>
    <xf numFmtId="0" fontId="6" fillId="16" borderId="14" xfId="0" applyFont="1" applyFill="1" applyBorder="1" applyAlignment="1">
      <alignment vertic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0" fontId="32" fillId="16" borderId="14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center" vertical="center"/>
    </xf>
    <xf numFmtId="0" fontId="36" fillId="15" borderId="1" xfId="0" applyFont="1" applyFill="1" applyBorder="1" applyAlignment="1">
      <alignment horizontal="center" vertical="center"/>
    </xf>
    <xf numFmtId="166" fontId="6" fillId="20" borderId="1" xfId="0" applyNumberFormat="1" applyFont="1" applyFill="1" applyBorder="1" applyAlignment="1" applyProtection="1">
      <alignment horizontal="center" vertical="center"/>
      <protection locked="0"/>
    </xf>
    <xf numFmtId="166" fontId="6" fillId="18" borderId="1" xfId="0" applyNumberFormat="1" applyFont="1" applyFill="1" applyBorder="1" applyAlignment="1" applyProtection="1">
      <alignment horizontal="center" vertical="center"/>
      <protection locked="0"/>
    </xf>
    <xf numFmtId="167" fontId="6" fillId="13" borderId="1" xfId="0" applyNumberFormat="1" applyFont="1" applyFill="1" applyBorder="1" applyAlignment="1" applyProtection="1">
      <alignment horizontal="center" vertical="center"/>
      <protection locked="0"/>
    </xf>
    <xf numFmtId="167" fontId="6" fillId="16" borderId="1" xfId="0" applyNumberFormat="1" applyFont="1" applyFill="1" applyBorder="1" applyAlignment="1" applyProtection="1">
      <alignment horizontal="center" vertical="center"/>
      <protection locked="0"/>
    </xf>
    <xf numFmtId="167" fontId="6" fillId="9" borderId="1" xfId="0" applyNumberFormat="1" applyFont="1" applyFill="1" applyBorder="1" applyAlignment="1" applyProtection="1">
      <alignment horizontal="center" vertical="center"/>
      <protection locked="0"/>
    </xf>
    <xf numFmtId="167" fontId="6" fillId="0" borderId="1" xfId="0" applyNumberFormat="1" applyFont="1" applyBorder="1" applyAlignment="1" applyProtection="1">
      <alignment horizontal="center" vertical="center"/>
      <protection locked="0"/>
    </xf>
    <xf numFmtId="2" fontId="6" fillId="6" borderId="1" xfId="0" applyNumberFormat="1" applyFont="1" applyFill="1" applyBorder="1" applyAlignment="1" applyProtection="1">
      <alignment horizontal="center" vertical="center"/>
      <protection locked="0"/>
    </xf>
    <xf numFmtId="1" fontId="6" fillId="6" borderId="1" xfId="0" applyNumberFormat="1" applyFont="1" applyFill="1" applyBorder="1" applyAlignment="1" applyProtection="1">
      <alignment horizontal="center" vertical="center"/>
      <protection locked="0"/>
    </xf>
    <xf numFmtId="169" fontId="13" fillId="24" borderId="1" xfId="0" applyNumberFormat="1" applyFont="1" applyFill="1" applyBorder="1" applyAlignment="1" applyProtection="1">
      <alignment horizontal="center" vertical="center"/>
      <protection locked="0"/>
    </xf>
    <xf numFmtId="169" fontId="13" fillId="24" borderId="2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26" fillId="0" borderId="5" xfId="0" applyFont="1" applyBorder="1" applyProtection="1">
      <protection locked="0"/>
    </xf>
    <xf numFmtId="0" fontId="6" fillId="0" borderId="77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6" fillId="0" borderId="8" xfId="0" applyFont="1" applyBorder="1" applyAlignment="1" applyProtection="1">
      <alignment horizontal="center"/>
      <protection locked="0"/>
    </xf>
    <xf numFmtId="169" fontId="11" fillId="24" borderId="1" xfId="0" applyNumberFormat="1" applyFont="1" applyFill="1" applyBorder="1" applyAlignment="1" applyProtection="1">
      <alignment horizontal="center" vertical="center"/>
      <protection locked="0"/>
    </xf>
    <xf numFmtId="169" fontId="11" fillId="24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3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7" xfId="0" applyBorder="1"/>
    <xf numFmtId="0" fontId="6" fillId="23" borderId="5" xfId="0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29" fillId="0" borderId="26" xfId="0" applyFont="1" applyBorder="1"/>
    <xf numFmtId="0" fontId="29" fillId="0" borderId="0" xfId="0" applyFont="1" applyAlignment="1">
      <alignment horizontal="center" vertical="center"/>
    </xf>
    <xf numFmtId="0" fontId="5" fillId="0" borderId="0" xfId="0" applyFont="1"/>
    <xf numFmtId="0" fontId="5" fillId="0" borderId="27" xfId="0" applyFont="1" applyBorder="1"/>
    <xf numFmtId="0" fontId="5" fillId="0" borderId="26" xfId="0" applyFont="1" applyBorder="1"/>
    <xf numFmtId="0" fontId="46" fillId="0" borderId="0" xfId="0" applyFont="1"/>
    <xf numFmtId="0" fontId="16" fillId="0" borderId="26" xfId="0" applyFont="1" applyBorder="1"/>
    <xf numFmtId="0" fontId="16" fillId="0" borderId="0" xfId="0" applyFont="1"/>
    <xf numFmtId="0" fontId="28" fillId="0" borderId="14" xfId="0" applyFont="1" applyBorder="1" applyAlignment="1">
      <alignment horizontal="center" vertical="center"/>
    </xf>
    <xf numFmtId="0" fontId="0" fillId="0" borderId="24" xfId="0" applyBorder="1"/>
    <xf numFmtId="0" fontId="16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6" fontId="16" fillId="0" borderId="6" xfId="0" applyNumberFormat="1" applyFont="1" applyBorder="1"/>
    <xf numFmtId="0" fontId="16" fillId="0" borderId="27" xfId="0" applyFont="1" applyBorder="1"/>
    <xf numFmtId="165" fontId="16" fillId="0" borderId="26" xfId="0" applyNumberFormat="1" applyFont="1" applyBorder="1"/>
    <xf numFmtId="0" fontId="18" fillId="0" borderId="0" xfId="0" applyFont="1"/>
    <xf numFmtId="2" fontId="5" fillId="17" borderId="0" xfId="0" applyNumberFormat="1" applyFont="1" applyFill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/>
    </xf>
    <xf numFmtId="2" fontId="16" fillId="0" borderId="26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14" fontId="5" fillId="4" borderId="0" xfId="0" applyNumberFormat="1" applyFont="1" applyFill="1"/>
    <xf numFmtId="0" fontId="16" fillId="2" borderId="35" xfId="0" applyFont="1" applyFill="1" applyBorder="1"/>
    <xf numFmtId="0" fontId="16" fillId="2" borderId="36" xfId="0" applyFont="1" applyFill="1" applyBorder="1"/>
    <xf numFmtId="0" fontId="16" fillId="2" borderId="37" xfId="0" applyFont="1" applyFill="1" applyBorder="1"/>
    <xf numFmtId="0" fontId="81" fillId="0" borderId="0" xfId="0" applyFont="1"/>
    <xf numFmtId="0" fontId="62" fillId="36" borderId="0" xfId="0" applyFont="1" applyFill="1" applyAlignment="1">
      <alignment horizontal="center" vertical="center" wrapText="1"/>
    </xf>
    <xf numFmtId="0" fontId="83" fillId="36" borderId="0" xfId="0" applyFont="1" applyFill="1" applyAlignment="1">
      <alignment horizontal="center" vertical="center" wrapText="1"/>
    </xf>
    <xf numFmtId="0" fontId="62" fillId="36" borderId="0" xfId="0" applyFont="1" applyFill="1" applyAlignment="1">
      <alignment horizontal="center" vertical="center"/>
    </xf>
    <xf numFmtId="0" fontId="83" fillId="36" borderId="0" xfId="0" applyFont="1" applyFill="1" applyAlignment="1">
      <alignment horizontal="center" vertical="center"/>
    </xf>
    <xf numFmtId="0" fontId="84" fillId="0" borderId="0" xfId="0" applyFont="1"/>
    <xf numFmtId="1" fontId="14" fillId="18" borderId="1" xfId="0" applyNumberFormat="1" applyFont="1" applyFill="1" applyBorder="1" applyAlignment="1">
      <alignment horizontal="center" vertical="center" wrapText="1"/>
    </xf>
    <xf numFmtId="165" fontId="14" fillId="17" borderId="5" xfId="0" applyNumberFormat="1" applyFont="1" applyFill="1" applyBorder="1" applyAlignment="1">
      <alignment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vertical="center"/>
    </xf>
    <xf numFmtId="0" fontId="12" fillId="23" borderId="1" xfId="0" applyFont="1" applyFill="1" applyBorder="1"/>
    <xf numFmtId="0" fontId="12" fillId="23" borderId="1" xfId="0" applyFont="1" applyFill="1" applyBorder="1" applyAlignment="1">
      <alignment vertical="center"/>
    </xf>
    <xf numFmtId="0" fontId="12" fillId="23" borderId="7" xfId="0" applyFont="1" applyFill="1" applyBorder="1"/>
    <xf numFmtId="0" fontId="14" fillId="0" borderId="0" xfId="0" applyFont="1"/>
    <xf numFmtId="0" fontId="14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0" fontId="58" fillId="36" borderId="25" xfId="0" applyFont="1" applyFill="1" applyBorder="1" applyAlignment="1">
      <alignment horizontal="center" wrapText="1"/>
    </xf>
    <xf numFmtId="0" fontId="11" fillId="36" borderId="75" xfId="0" applyFont="1" applyFill="1" applyBorder="1" applyAlignment="1">
      <alignment horizontal="center" vertical="center" wrapText="1"/>
    </xf>
    <xf numFmtId="0" fontId="11" fillId="36" borderId="18" xfId="0" applyFont="1" applyFill="1" applyBorder="1" applyAlignment="1">
      <alignment horizontal="center" vertical="center" wrapText="1"/>
    </xf>
    <xf numFmtId="0" fontId="11" fillId="36" borderId="57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11" fillId="20" borderId="18" xfId="0" applyNumberFormat="1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8" fillId="17" borderId="0" xfId="0" applyFont="1" applyFill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 wrapText="1"/>
    </xf>
    <xf numFmtId="2" fontId="12" fillId="12" borderId="1" xfId="0" applyNumberFormat="1" applyFont="1" applyFill="1" applyBorder="1" applyAlignment="1">
      <alignment horizontal="center" vertical="center"/>
    </xf>
    <xf numFmtId="0" fontId="12" fillId="17" borderId="5" xfId="0" applyFont="1" applyFill="1" applyBorder="1" applyAlignment="1">
      <alignment horizontal="center" vertical="center"/>
    </xf>
    <xf numFmtId="2" fontId="12" fillId="33" borderId="1" xfId="4" applyNumberFormat="1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/>
    </xf>
    <xf numFmtId="1" fontId="12" fillId="4" borderId="7" xfId="0" applyNumberFormat="1" applyFont="1" applyFill="1" applyBorder="1" applyAlignment="1">
      <alignment horizontal="center" wrapText="1"/>
    </xf>
    <xf numFmtId="0" fontId="38" fillId="0" borderId="0" xfId="0" applyFont="1"/>
    <xf numFmtId="2" fontId="26" fillId="0" borderId="0" xfId="0" applyNumberFormat="1" applyFont="1" applyAlignment="1">
      <alignment horizontal="center" vertical="center"/>
    </xf>
    <xf numFmtId="0" fontId="62" fillId="4" borderId="28" xfId="0" applyFont="1" applyFill="1" applyBorder="1" applyAlignment="1" applyProtection="1">
      <alignment horizontal="center" vertical="center" wrapText="1"/>
      <protection locked="0"/>
    </xf>
    <xf numFmtId="0" fontId="5" fillId="0" borderId="45" xfId="0" applyFont="1" applyBorder="1"/>
    <xf numFmtId="0" fontId="6" fillId="0" borderId="4" xfId="0" applyFont="1" applyBorder="1"/>
    <xf numFmtId="0" fontId="28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26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6" fillId="0" borderId="27" xfId="0" applyFont="1" applyBorder="1"/>
    <xf numFmtId="0" fontId="6" fillId="0" borderId="26" xfId="0" applyFont="1" applyBorder="1"/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5" fillId="0" borderId="36" xfId="0" applyFont="1" applyBorder="1"/>
    <xf numFmtId="0" fontId="5" fillId="0" borderId="37" xfId="0" applyFont="1" applyBorder="1"/>
    <xf numFmtId="0" fontId="26" fillId="49" borderId="35" xfId="0" applyFont="1" applyFill="1" applyBorder="1"/>
    <xf numFmtId="0" fontId="26" fillId="49" borderId="36" xfId="0" applyFont="1" applyFill="1" applyBorder="1"/>
    <xf numFmtId="0" fontId="26" fillId="49" borderId="37" xfId="0" applyFont="1" applyFill="1" applyBorder="1"/>
    <xf numFmtId="0" fontId="29" fillId="0" borderId="0" xfId="0" applyFont="1" applyAlignment="1">
      <alignment horizontal="center"/>
    </xf>
    <xf numFmtId="2" fontId="5" fillId="17" borderId="0" xfId="0" applyNumberFormat="1" applyFont="1" applyFill="1" applyAlignment="1">
      <alignment horizontal="left" vertical="center"/>
    </xf>
    <xf numFmtId="0" fontId="16" fillId="6" borderId="35" xfId="0" applyFont="1" applyFill="1" applyBorder="1"/>
    <xf numFmtId="0" fontId="16" fillId="6" borderId="36" xfId="0" applyFont="1" applyFill="1" applyBorder="1"/>
    <xf numFmtId="0" fontId="16" fillId="6" borderId="37" xfId="0" applyFont="1" applyFill="1" applyBorder="1"/>
    <xf numFmtId="0" fontId="28" fillId="36" borderId="0" xfId="0" applyFont="1" applyFill="1" applyAlignment="1">
      <alignment horizontal="center" vertical="center" wrapText="1"/>
    </xf>
    <xf numFmtId="0" fontId="14" fillId="36" borderId="0" xfId="0" applyFont="1" applyFill="1" applyAlignment="1">
      <alignment wrapText="1"/>
    </xf>
    <xf numFmtId="0" fontId="28" fillId="36" borderId="0" xfId="0" applyFont="1" applyFill="1" applyAlignment="1">
      <alignment horizontal="center" vertical="center"/>
    </xf>
    <xf numFmtId="0" fontId="28" fillId="36" borderId="0" xfId="0" applyFont="1" applyFill="1" applyAlignment="1">
      <alignment wrapText="1"/>
    </xf>
    <xf numFmtId="0" fontId="14" fillId="36" borderId="0" xfId="0" applyFont="1" applyFill="1" applyAlignment="1">
      <alignment horizontal="center" vertical="center"/>
    </xf>
    <xf numFmtId="0" fontId="14" fillId="36" borderId="0" xfId="0" applyFont="1" applyFill="1" applyAlignment="1">
      <alignment vertical="center"/>
    </xf>
    <xf numFmtId="0" fontId="14" fillId="17" borderId="0" xfId="0" applyFont="1" applyFill="1" applyAlignment="1">
      <alignment horizontal="center" vertical="center"/>
    </xf>
    <xf numFmtId="0" fontId="14" fillId="17" borderId="27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11" fillId="17" borderId="5" xfId="0" applyNumberFormat="1" applyFont="1" applyFill="1" applyBorder="1" applyAlignment="1">
      <alignment horizontal="center" vertical="center" wrapText="1"/>
    </xf>
    <xf numFmtId="1" fontId="11" fillId="17" borderId="1" xfId="0" applyNumberFormat="1" applyFont="1" applyFill="1" applyBorder="1" applyAlignment="1">
      <alignment horizontal="center" vertical="center" wrapText="1"/>
    </xf>
    <xf numFmtId="1" fontId="11" fillId="17" borderId="6" xfId="0" applyNumberFormat="1" applyFont="1" applyFill="1" applyBorder="1" applyAlignment="1">
      <alignment horizontal="center" vertical="center" wrapText="1"/>
    </xf>
    <xf numFmtId="165" fontId="11" fillId="17" borderId="5" xfId="0" applyNumberFormat="1" applyFont="1" applyFill="1" applyBorder="1" applyAlignment="1">
      <alignment vertical="center" wrapText="1"/>
    </xf>
    <xf numFmtId="165" fontId="11" fillId="8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7" xfId="0" applyFont="1" applyBorder="1"/>
    <xf numFmtId="0" fontId="29" fillId="0" borderId="15" xfId="0" applyFont="1" applyBorder="1"/>
    <xf numFmtId="0" fontId="29" fillId="0" borderId="16" xfId="0" applyFont="1" applyBorder="1"/>
    <xf numFmtId="0" fontId="26" fillId="0" borderId="17" xfId="0" applyFont="1" applyBorder="1"/>
    <xf numFmtId="0" fontId="58" fillId="36" borderId="25" xfId="0" applyFont="1" applyFill="1" applyBorder="1" applyAlignment="1">
      <alignment horizontal="center" vertical="center" wrapText="1"/>
    </xf>
    <xf numFmtId="0" fontId="11" fillId="17" borderId="18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2" fillId="17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54" fillId="0" borderId="0" xfId="0" applyFont="1"/>
    <xf numFmtId="0" fontId="78" fillId="50" borderId="17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27" xfId="0" applyFont="1" applyBorder="1" applyAlignment="1">
      <alignment horizontal="center" vertical="center"/>
    </xf>
    <xf numFmtId="0" fontId="5" fillId="16" borderId="12" xfId="0" applyFont="1" applyFill="1" applyBorder="1" applyAlignment="1">
      <alignment horizontal="center" vertical="center"/>
    </xf>
    <xf numFmtId="0" fontId="5" fillId="16" borderId="13" xfId="0" applyFont="1" applyFill="1" applyBorder="1" applyAlignment="1">
      <alignment horizontal="center" vertical="center"/>
    </xf>
    <xf numFmtId="0" fontId="5" fillId="16" borderId="13" xfId="0" applyFont="1" applyFill="1" applyBorder="1" applyAlignment="1">
      <alignment horizontal="center" vertical="center" wrapText="1"/>
    </xf>
    <xf numFmtId="0" fontId="5" fillId="16" borderId="68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7" xfId="0" applyFont="1" applyBorder="1" applyAlignment="1">
      <alignment horizontal="center" vertical="center"/>
    </xf>
    <xf numFmtId="0" fontId="26" fillId="0" borderId="32" xfId="0" applyFont="1" applyBorder="1"/>
    <xf numFmtId="0" fontId="44" fillId="4" borderId="12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0" fontId="6" fillId="20" borderId="5" xfId="0" applyFont="1" applyFill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/>
    </xf>
    <xf numFmtId="0" fontId="6" fillId="28" borderId="5" xfId="0" applyFont="1" applyFill="1" applyBorder="1" applyAlignment="1">
      <alignment horizontal="center" vertical="center"/>
    </xf>
    <xf numFmtId="0" fontId="6" fillId="0" borderId="18" xfId="0" applyFont="1" applyBorder="1"/>
    <xf numFmtId="0" fontId="6" fillId="0" borderId="34" xfId="0" applyFont="1" applyBorder="1" applyAlignment="1">
      <alignment horizontal="center" vertical="center"/>
    </xf>
    <xf numFmtId="0" fontId="6" fillId="0" borderId="19" xfId="0" applyFont="1" applyBorder="1"/>
    <xf numFmtId="0" fontId="6" fillId="0" borderId="40" xfId="0" applyFont="1" applyBorder="1" applyAlignment="1">
      <alignment horizontal="center" vertical="center"/>
    </xf>
    <xf numFmtId="2" fontId="6" fillId="0" borderId="40" xfId="0" applyNumberFormat="1" applyFont="1" applyBorder="1" applyAlignment="1">
      <alignment vertical="center"/>
    </xf>
    <xf numFmtId="2" fontId="6" fillId="0" borderId="58" xfId="0" applyNumberFormat="1" applyFont="1" applyBorder="1" applyAlignment="1">
      <alignment vertical="center"/>
    </xf>
    <xf numFmtId="0" fontId="6" fillId="0" borderId="34" xfId="0" applyFont="1" applyBorder="1"/>
    <xf numFmtId="0" fontId="6" fillId="0" borderId="9" xfId="0" applyFont="1" applyBorder="1"/>
    <xf numFmtId="0" fontId="6" fillId="0" borderId="10" xfId="0" applyFont="1" applyBorder="1"/>
    <xf numFmtId="2" fontId="70" fillId="0" borderId="2" xfId="0" applyNumberFormat="1" applyFont="1" applyBorder="1" applyAlignment="1">
      <alignment horizontal="center" vertical="center"/>
    </xf>
    <xf numFmtId="0" fontId="6" fillId="0" borderId="24" xfId="0" applyFont="1" applyBorder="1"/>
    <xf numFmtId="0" fontId="5" fillId="0" borderId="27" xfId="0" applyFont="1" applyBorder="1" applyAlignment="1">
      <alignment vertical="center"/>
    </xf>
    <xf numFmtId="0" fontId="26" fillId="20" borderId="35" xfId="0" applyFont="1" applyFill="1" applyBorder="1"/>
    <xf numFmtId="0" fontId="26" fillId="20" borderId="36" xfId="0" applyFont="1" applyFill="1" applyBorder="1"/>
    <xf numFmtId="0" fontId="26" fillId="20" borderId="37" xfId="0" applyFont="1" applyFill="1" applyBorder="1"/>
    <xf numFmtId="0" fontId="26" fillId="28" borderId="35" xfId="0" applyFont="1" applyFill="1" applyBorder="1"/>
    <xf numFmtId="0" fontId="26" fillId="28" borderId="36" xfId="0" applyFont="1" applyFill="1" applyBorder="1"/>
    <xf numFmtId="0" fontId="26" fillId="28" borderId="37" xfId="0" applyFont="1" applyFill="1" applyBorder="1"/>
    <xf numFmtId="0" fontId="24" fillId="39" borderId="17" xfId="0" applyFont="1" applyFill="1" applyBorder="1" applyAlignment="1" applyProtection="1">
      <alignment horizontal="center" vertical="center"/>
      <protection locked="0"/>
    </xf>
    <xf numFmtId="0" fontId="16" fillId="4" borderId="31" xfId="0" applyFont="1" applyFill="1" applyBorder="1" applyAlignment="1" applyProtection="1">
      <alignment horizontal="center" vertical="center"/>
      <protection hidden="1"/>
    </xf>
    <xf numFmtId="0" fontId="16" fillId="4" borderId="33" xfId="0" applyFont="1" applyFill="1" applyBorder="1" applyAlignment="1" applyProtection="1">
      <alignment horizontal="center" vertical="center"/>
      <protection hidden="1"/>
    </xf>
    <xf numFmtId="0" fontId="48" fillId="20" borderId="25" xfId="0" applyFont="1" applyFill="1" applyBorder="1" applyAlignment="1">
      <alignment horizontal="center" vertical="center"/>
    </xf>
    <xf numFmtId="0" fontId="50" fillId="20" borderId="16" xfId="0" applyFont="1" applyFill="1" applyBorder="1" applyAlignment="1">
      <alignment horizontal="center" vertical="center"/>
    </xf>
    <xf numFmtId="0" fontId="40" fillId="20" borderId="17" xfId="0" applyFont="1" applyFill="1" applyBorder="1" applyAlignment="1">
      <alignment vertical="center"/>
    </xf>
    <xf numFmtId="14" fontId="53" fillId="17" borderId="0" xfId="0" applyNumberFormat="1" applyFont="1" applyFill="1" applyAlignment="1">
      <alignment horizontal="center" vertical="center"/>
    </xf>
    <xf numFmtId="0" fontId="53" fillId="17" borderId="0" xfId="0" applyFont="1" applyFill="1" applyAlignment="1">
      <alignment horizontal="right" vertical="center"/>
    </xf>
    <xf numFmtId="0" fontId="38" fillId="17" borderId="27" xfId="0" applyFont="1" applyFill="1" applyBorder="1"/>
    <xf numFmtId="0" fontId="53" fillId="17" borderId="0" xfId="0" applyFont="1" applyFill="1" applyAlignment="1">
      <alignment vertical="center"/>
    </xf>
    <xf numFmtId="0" fontId="39" fillId="17" borderId="0" xfId="0" applyFont="1" applyFill="1" applyAlignment="1">
      <alignment vertical="center"/>
    </xf>
    <xf numFmtId="0" fontId="11" fillId="0" borderId="6" xfId="0" applyFont="1" applyBorder="1" applyAlignment="1">
      <alignment vertical="center"/>
    </xf>
    <xf numFmtId="0" fontId="38" fillId="0" borderId="6" xfId="0" applyFont="1" applyBorder="1"/>
    <xf numFmtId="0" fontId="6" fillId="20" borderId="77" xfId="0" applyFont="1" applyFill="1" applyBorder="1" applyAlignment="1">
      <alignment horizontal="center"/>
    </xf>
    <xf numFmtId="14" fontId="5" fillId="20" borderId="7" xfId="0" applyNumberFormat="1" applyFont="1" applyFill="1" applyBorder="1" applyAlignment="1">
      <alignment horizontal="center" vertical="center"/>
    </xf>
    <xf numFmtId="14" fontId="5" fillId="20" borderId="7" xfId="0" applyNumberFormat="1" applyFont="1" applyFill="1" applyBorder="1"/>
    <xf numFmtId="0" fontId="5" fillId="20" borderId="78" xfId="0" applyFont="1" applyFill="1" applyBorder="1" applyAlignment="1">
      <alignment horizontal="center" vertical="center"/>
    </xf>
    <xf numFmtId="0" fontId="11" fillId="20" borderId="8" xfId="0" applyFont="1" applyFill="1" applyBorder="1"/>
    <xf numFmtId="14" fontId="26" fillId="0" borderId="0" xfId="0" applyNumberFormat="1" applyFont="1"/>
    <xf numFmtId="0" fontId="50" fillId="4" borderId="25" xfId="0" applyFont="1" applyFill="1" applyBorder="1" applyAlignment="1" applyProtection="1">
      <alignment horizontal="center" vertical="center"/>
      <protection locked="0" hidden="1"/>
    </xf>
    <xf numFmtId="0" fontId="14" fillId="4" borderId="12" xfId="0" applyFont="1" applyFill="1" applyBorder="1" applyAlignment="1" applyProtection="1">
      <alignment horizontal="center" vertical="center"/>
      <protection locked="0"/>
    </xf>
    <xf numFmtId="0" fontId="14" fillId="4" borderId="68" xfId="0" applyFont="1" applyFill="1" applyBorder="1" applyAlignment="1" applyProtection="1">
      <alignment horizontal="center" vertical="center"/>
      <protection locked="0"/>
    </xf>
    <xf numFmtId="0" fontId="1" fillId="17" borderId="26" xfId="0" applyFont="1" applyFill="1" applyBorder="1"/>
    <xf numFmtId="0" fontId="45" fillId="20" borderId="25" xfId="0" applyFont="1" applyFill="1" applyBorder="1" applyAlignment="1">
      <alignment horizontal="center" vertical="center"/>
    </xf>
    <xf numFmtId="0" fontId="58" fillId="20" borderId="16" xfId="0" applyFont="1" applyFill="1" applyBorder="1" applyAlignment="1">
      <alignment horizontal="center" vertical="center"/>
    </xf>
    <xf numFmtId="0" fontId="50" fillId="17" borderId="26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38" fillId="0" borderId="4" xfId="0" applyFont="1" applyBorder="1"/>
    <xf numFmtId="1" fontId="5" fillId="20" borderId="78" xfId="0" applyNumberFormat="1" applyFont="1" applyFill="1" applyBorder="1" applyAlignment="1">
      <alignment horizontal="center" vertical="center"/>
    </xf>
    <xf numFmtId="0" fontId="11" fillId="20" borderId="78" xfId="0" applyFont="1" applyFill="1" applyBorder="1" applyAlignment="1">
      <alignment horizontal="center" vertical="center"/>
    </xf>
    <xf numFmtId="0" fontId="11" fillId="20" borderId="47" xfId="0" applyFont="1" applyFill="1" applyBorder="1"/>
    <xf numFmtId="0" fontId="58" fillId="4" borderId="25" xfId="0" applyFont="1" applyFill="1" applyBorder="1" applyAlignment="1" applyProtection="1">
      <alignment horizontal="center" vertical="center"/>
      <protection locked="0" hidden="1"/>
    </xf>
    <xf numFmtId="0" fontId="28" fillId="0" borderId="0" xfId="0" applyFont="1" applyAlignment="1">
      <alignment horizontal="center" vertical="center"/>
    </xf>
    <xf numFmtId="0" fontId="53" fillId="0" borderId="26" xfId="0" applyFont="1" applyBorder="1" applyAlignment="1">
      <alignment horizontal="center" vertical="center"/>
    </xf>
    <xf numFmtId="165" fontId="53" fillId="0" borderId="0" xfId="0" applyNumberFormat="1" applyFont="1" applyAlignment="1">
      <alignment horizontal="center" vertical="center"/>
    </xf>
    <xf numFmtId="0" fontId="1" fillId="0" borderId="27" xfId="0" applyFont="1" applyBorder="1"/>
    <xf numFmtId="0" fontId="27" fillId="0" borderId="26" xfId="0" applyFont="1" applyBorder="1"/>
    <xf numFmtId="0" fontId="16" fillId="0" borderId="0" xfId="0" applyFont="1" applyAlignment="1">
      <alignment horizontal="right"/>
    </xf>
    <xf numFmtId="0" fontId="27" fillId="0" borderId="27" xfId="0" applyFont="1" applyBorder="1"/>
    <xf numFmtId="0" fontId="27" fillId="0" borderId="0" xfId="0" applyFont="1"/>
    <xf numFmtId="0" fontId="1" fillId="0" borderId="26" xfId="0" applyFont="1" applyBorder="1"/>
    <xf numFmtId="0" fontId="1" fillId="0" borderId="26" xfId="0" applyFont="1" applyBorder="1" applyAlignment="1">
      <alignment horizontal="center" vertical="center"/>
    </xf>
    <xf numFmtId="165" fontId="16" fillId="0" borderId="5" xfId="0" applyNumberFormat="1" applyFont="1" applyBorder="1" applyAlignment="1">
      <alignment horizontal="center" vertical="center"/>
    </xf>
    <xf numFmtId="165" fontId="16" fillId="0" borderId="75" xfId="0" applyNumberFormat="1" applyFont="1" applyBorder="1" applyAlignment="1">
      <alignment horizontal="center" vertical="center"/>
    </xf>
    <xf numFmtId="0" fontId="27" fillId="0" borderId="32" xfId="0" applyFont="1" applyBorder="1"/>
    <xf numFmtId="0" fontId="53" fillId="0" borderId="0" xfId="0" applyFont="1" applyAlignment="1">
      <alignment horizontal="center" vertical="center"/>
    </xf>
    <xf numFmtId="0" fontId="26" fillId="0" borderId="35" xfId="0" applyFont="1" applyBorder="1"/>
    <xf numFmtId="0" fontId="53" fillId="0" borderId="36" xfId="0" applyFont="1" applyBorder="1" applyAlignment="1">
      <alignment horizontal="center" vertical="center"/>
    </xf>
    <xf numFmtId="0" fontId="26" fillId="0" borderId="36" xfId="0" applyFont="1" applyBorder="1"/>
    <xf numFmtId="0" fontId="26" fillId="0" borderId="37" xfId="0" applyFont="1" applyBorder="1"/>
    <xf numFmtId="165" fontId="5" fillId="2" borderId="10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165" fontId="16" fillId="0" borderId="4" xfId="0" applyNumberFormat="1" applyFont="1" applyBorder="1" applyAlignment="1" applyProtection="1">
      <alignment horizontal="center" vertical="center"/>
      <protection locked="0" hidden="1"/>
    </xf>
    <xf numFmtId="2" fontId="16" fillId="0" borderId="56" xfId="0" applyNumberFormat="1" applyFont="1" applyBorder="1" applyAlignment="1" applyProtection="1">
      <alignment horizontal="center" vertical="center"/>
      <protection locked="0" hidden="1"/>
    </xf>
    <xf numFmtId="2" fontId="16" fillId="0" borderId="14" xfId="0" applyNumberFormat="1" applyFont="1" applyBorder="1" applyAlignment="1" applyProtection="1">
      <alignment horizontal="center" vertical="center"/>
      <protection locked="0" hidden="1"/>
    </xf>
    <xf numFmtId="2" fontId="16" fillId="0" borderId="4" xfId="0" applyNumberFormat="1" applyFont="1" applyBorder="1" applyAlignment="1" applyProtection="1">
      <alignment horizontal="center" vertical="center"/>
      <protection locked="0" hidden="1"/>
    </xf>
    <xf numFmtId="2" fontId="16" fillId="0" borderId="1" xfId="0" applyNumberFormat="1" applyFont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2" fontId="1" fillId="0" borderId="6" xfId="0" applyNumberFormat="1" applyFont="1" applyBorder="1" applyAlignment="1" applyProtection="1">
      <alignment horizontal="center" vertical="center"/>
      <protection locked="0"/>
    </xf>
    <xf numFmtId="165" fontId="16" fillId="0" borderId="52" xfId="0" applyNumberFormat="1" applyFont="1" applyBorder="1" applyAlignment="1" applyProtection="1">
      <alignment horizontal="center" vertical="center"/>
      <protection locked="0" hidden="1"/>
    </xf>
    <xf numFmtId="2" fontId="16" fillId="0" borderId="52" xfId="0" applyNumberFormat="1" applyFont="1" applyBorder="1" applyAlignment="1" applyProtection="1">
      <alignment horizontal="center" vertical="center"/>
      <protection locked="0" hidden="1"/>
    </xf>
    <xf numFmtId="2" fontId="16" fillId="0" borderId="18" xfId="0" applyNumberFormat="1" applyFont="1" applyBorder="1" applyAlignment="1" applyProtection="1">
      <alignment horizontal="center" vertical="center"/>
      <protection locked="0"/>
    </xf>
    <xf numFmtId="2" fontId="1" fillId="0" borderId="18" xfId="0" applyNumberFormat="1" applyFont="1" applyBorder="1" applyAlignment="1" applyProtection="1">
      <alignment horizontal="center" vertical="center"/>
      <protection locked="0"/>
    </xf>
    <xf numFmtId="2" fontId="1" fillId="0" borderId="64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2" fontId="1" fillId="0" borderId="7" xfId="0" applyNumberFormat="1" applyFont="1" applyBorder="1" applyAlignment="1" applyProtection="1">
      <alignment horizontal="center" vertical="center"/>
      <protection locked="0"/>
    </xf>
    <xf numFmtId="2" fontId="1" fillId="0" borderId="8" xfId="0" applyNumberFormat="1" applyFont="1" applyBorder="1" applyAlignment="1" applyProtection="1">
      <alignment horizontal="center" vertical="center"/>
      <protection locked="0"/>
    </xf>
    <xf numFmtId="1" fontId="5" fillId="0" borderId="5" xfId="0" applyNumberFormat="1" applyFont="1" applyBorder="1" applyAlignment="1" applyProtection="1">
      <alignment horizontal="center" vertical="center"/>
      <protection locked="0" hidden="1"/>
    </xf>
    <xf numFmtId="1" fontId="5" fillId="0" borderId="75" xfId="0" applyNumberFormat="1" applyFont="1" applyBorder="1" applyAlignment="1" applyProtection="1">
      <alignment horizontal="center" vertical="center"/>
      <protection locked="0" hidden="1"/>
    </xf>
    <xf numFmtId="1" fontId="5" fillId="0" borderId="77" xfId="0" applyNumberFormat="1" applyFont="1" applyBorder="1" applyAlignment="1" applyProtection="1">
      <alignment horizontal="center" vertical="center"/>
      <protection locked="0" hidden="1"/>
    </xf>
    <xf numFmtId="0" fontId="16" fillId="2" borderId="60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17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/>
    <xf numFmtId="0" fontId="15" fillId="17" borderId="0" xfId="0" applyFont="1" applyFill="1" applyAlignment="1">
      <alignment vertical="center"/>
    </xf>
    <xf numFmtId="14" fontId="15" fillId="17" borderId="0" xfId="0" applyNumberFormat="1" applyFont="1" applyFill="1" applyAlignment="1">
      <alignment vertical="center"/>
    </xf>
    <xf numFmtId="0" fontId="15" fillId="17" borderId="0" xfId="0" applyFont="1" applyFill="1" applyAlignment="1">
      <alignment horizontal="center" vertical="center"/>
    </xf>
    <xf numFmtId="0" fontId="15" fillId="17" borderId="20" xfId="0" applyFont="1" applyFill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6" fillId="16" borderId="48" xfId="0" applyFont="1" applyFill="1" applyBorder="1"/>
    <xf numFmtId="14" fontId="4" fillId="16" borderId="48" xfId="0" applyNumberFormat="1" applyFont="1" applyFill="1" applyBorder="1" applyAlignment="1">
      <alignment horizontal="center" vertical="center"/>
    </xf>
    <xf numFmtId="0" fontId="4" fillId="16" borderId="78" xfId="0" applyFont="1" applyFill="1" applyBorder="1" applyAlignment="1">
      <alignment horizontal="center" vertical="center"/>
    </xf>
    <xf numFmtId="0" fontId="6" fillId="16" borderId="47" xfId="0" applyFont="1" applyFill="1" applyBorder="1"/>
    <xf numFmtId="0" fontId="4" fillId="16" borderId="48" xfId="0" applyFont="1" applyFill="1" applyBorder="1" applyAlignment="1">
      <alignment horizontal="center" vertical="center"/>
    </xf>
    <xf numFmtId="0" fontId="6" fillId="16" borderId="0" xfId="0" applyFont="1" applyFill="1"/>
    <xf numFmtId="0" fontId="4" fillId="16" borderId="7" xfId="0" applyFont="1" applyFill="1" applyBorder="1" applyAlignment="1">
      <alignment horizontal="center" vertical="center"/>
    </xf>
    <xf numFmtId="0" fontId="6" fillId="16" borderId="7" xfId="0" applyFont="1" applyFill="1" applyBorder="1"/>
    <xf numFmtId="0" fontId="24" fillId="53" borderId="17" xfId="0" applyFont="1" applyFill="1" applyBorder="1" applyAlignment="1">
      <alignment horizontal="center" vertical="center" wrapText="1"/>
    </xf>
    <xf numFmtId="0" fontId="24" fillId="53" borderId="25" xfId="0" applyFont="1" applyFill="1" applyBorder="1" applyAlignment="1">
      <alignment horizontal="center" vertical="center" wrapText="1"/>
    </xf>
    <xf numFmtId="0" fontId="24" fillId="17" borderId="0" xfId="0" applyFont="1" applyFill="1" applyAlignment="1">
      <alignment horizontal="center" vertical="center" wrapText="1"/>
    </xf>
    <xf numFmtId="0" fontId="6" fillId="0" borderId="40" xfId="0" applyFont="1" applyBorder="1"/>
    <xf numFmtId="179" fontId="70" fillId="17" borderId="0" xfId="0" applyNumberFormat="1" applyFont="1" applyFill="1"/>
    <xf numFmtId="0" fontId="5" fillId="18" borderId="57" xfId="0" applyFont="1" applyFill="1" applyBorder="1" applyAlignment="1">
      <alignment horizontal="center" vertical="center"/>
    </xf>
    <xf numFmtId="0" fontId="5" fillId="18" borderId="18" xfId="0" applyFont="1" applyFill="1" applyBorder="1" applyAlignment="1">
      <alignment horizontal="center" vertical="center" wrapText="1"/>
    </xf>
    <xf numFmtId="0" fontId="5" fillId="10" borderId="18" xfId="0" applyFont="1" applyFill="1" applyBorder="1" applyAlignment="1">
      <alignment vertical="center" wrapText="1"/>
    </xf>
    <xf numFmtId="0" fontId="5" fillId="18" borderId="57" xfId="0" applyFont="1" applyFill="1" applyBorder="1" applyAlignment="1">
      <alignment horizontal="center" vertical="center" wrapText="1"/>
    </xf>
    <xf numFmtId="0" fontId="8" fillId="17" borderId="0" xfId="0" applyFont="1" applyFill="1" applyAlignment="1">
      <alignment horizontal="center" vertical="center"/>
    </xf>
    <xf numFmtId="0" fontId="4" fillId="32" borderId="92" xfId="0" applyFont="1" applyFill="1" applyBorder="1" applyAlignment="1">
      <alignment vertical="center"/>
    </xf>
    <xf numFmtId="0" fontId="4" fillId="32" borderId="93" xfId="0" applyFont="1" applyFill="1" applyBorder="1" applyAlignment="1">
      <alignment vertical="center"/>
    </xf>
    <xf numFmtId="0" fontId="4" fillId="32" borderId="94" xfId="0" applyFont="1" applyFill="1" applyBorder="1" applyAlignment="1">
      <alignment horizontal="center" vertical="center"/>
    </xf>
    <xf numFmtId="14" fontId="70" fillId="17" borderId="0" xfId="0" applyNumberFormat="1" applyFont="1" applyFill="1" applyAlignment="1">
      <alignment horizontal="center" vertical="center" wrapText="1"/>
    </xf>
    <xf numFmtId="0" fontId="8" fillId="55" borderId="0" xfId="0" applyFont="1" applyFill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79" fontId="71" fillId="17" borderId="0" xfId="0" applyNumberFormat="1" applyFont="1" applyFill="1" applyAlignment="1">
      <alignment horizontal="center" vertical="center"/>
    </xf>
    <xf numFmtId="14" fontId="6" fillId="32" borderId="7" xfId="0" applyNumberFormat="1" applyFont="1" applyFill="1" applyBorder="1" applyAlignment="1">
      <alignment horizontal="center" vertical="center"/>
    </xf>
    <xf numFmtId="0" fontId="6" fillId="32" borderId="7" xfId="0" applyFont="1" applyFill="1" applyBorder="1" applyAlignment="1">
      <alignment horizontal="center" vertical="center"/>
    </xf>
    <xf numFmtId="0" fontId="6" fillId="32" borderId="7" xfId="0" applyFont="1" applyFill="1" applyBorder="1"/>
    <xf numFmtId="1" fontId="6" fillId="32" borderId="78" xfId="0" applyNumberFormat="1" applyFont="1" applyFill="1" applyBorder="1" applyAlignment="1">
      <alignment horizontal="center" vertical="center"/>
    </xf>
    <xf numFmtId="1" fontId="6" fillId="32" borderId="61" xfId="0" applyNumberFormat="1" applyFont="1" applyFill="1" applyBorder="1" applyAlignment="1">
      <alignment horizontal="center" vertical="center"/>
    </xf>
    <xf numFmtId="0" fontId="6" fillId="0" borderId="32" xfId="0" applyFont="1" applyBorder="1"/>
    <xf numFmtId="180" fontId="6" fillId="0" borderId="0" xfId="0" applyNumberFormat="1" applyFont="1"/>
    <xf numFmtId="14" fontId="6" fillId="0" borderId="10" xfId="0" applyNumberFormat="1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17" borderId="40" xfId="0" applyFont="1" applyFill="1" applyBorder="1" applyAlignment="1" applyProtection="1">
      <alignment horizontal="center" vertical="center"/>
      <protection locked="0"/>
    </xf>
    <xf numFmtId="0" fontId="6" fillId="17" borderId="44" xfId="0" applyFont="1" applyFill="1" applyBorder="1" applyAlignment="1" applyProtection="1">
      <alignment horizontal="center" vertical="center"/>
      <protection locked="0"/>
    </xf>
    <xf numFmtId="180" fontId="6" fillId="17" borderId="40" xfId="0" applyNumberFormat="1" applyFont="1" applyFill="1" applyBorder="1" applyAlignment="1" applyProtection="1">
      <alignment horizontal="center" vertical="center"/>
      <protection locked="0"/>
    </xf>
    <xf numFmtId="180" fontId="6" fillId="0" borderId="10" xfId="0" applyNumberFormat="1" applyFont="1" applyBorder="1" applyAlignment="1" applyProtection="1">
      <alignment horizontal="center" vertical="center"/>
      <protection locked="0"/>
    </xf>
    <xf numFmtId="180" fontId="6" fillId="0" borderId="44" xfId="0" applyNumberFormat="1" applyFont="1" applyBorder="1" applyAlignment="1" applyProtection="1">
      <alignment horizontal="center" vertical="center"/>
      <protection locked="0"/>
    </xf>
    <xf numFmtId="1" fontId="6" fillId="10" borderId="44" xfId="0" applyNumberFormat="1" applyFont="1" applyFill="1" applyBorder="1" applyAlignment="1" applyProtection="1">
      <alignment horizontal="center" vertical="center"/>
      <protection locked="0"/>
    </xf>
    <xf numFmtId="0" fontId="6" fillId="10" borderId="99" xfId="0" applyFont="1" applyFill="1" applyBorder="1" applyAlignment="1" applyProtection="1">
      <alignment horizontal="center" vertical="center" wrapText="1"/>
      <protection locked="0"/>
    </xf>
    <xf numFmtId="180" fontId="6" fillId="10" borderId="14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17" borderId="57" xfId="0" applyFont="1" applyFill="1" applyBorder="1" applyAlignment="1" applyProtection="1">
      <alignment horizontal="center" vertical="center"/>
      <protection locked="0"/>
    </xf>
    <xf numFmtId="0" fontId="6" fillId="17" borderId="2" xfId="0" applyFont="1" applyFill="1" applyBorder="1" applyAlignment="1" applyProtection="1">
      <alignment horizontal="center" vertical="center"/>
      <protection locked="0"/>
    </xf>
    <xf numFmtId="180" fontId="6" fillId="17" borderId="57" xfId="0" applyNumberFormat="1" applyFont="1" applyFill="1" applyBorder="1" applyAlignment="1" applyProtection="1">
      <alignment horizontal="center" vertical="center"/>
      <protection locked="0"/>
    </xf>
    <xf numFmtId="180" fontId="6" fillId="0" borderId="1" xfId="0" applyNumberFormat="1" applyFont="1" applyBorder="1" applyAlignment="1" applyProtection="1">
      <alignment horizontal="center" vertical="center"/>
      <protection locked="0"/>
    </xf>
    <xf numFmtId="180" fontId="6" fillId="0" borderId="2" xfId="0" applyNumberFormat="1" applyFont="1" applyBorder="1" applyAlignment="1" applyProtection="1">
      <alignment horizontal="center" vertical="center"/>
      <protection locked="0"/>
    </xf>
    <xf numFmtId="1" fontId="6" fillId="10" borderId="2" xfId="0" applyNumberFormat="1" applyFont="1" applyFill="1" applyBorder="1" applyAlignment="1" applyProtection="1">
      <alignment horizontal="center" vertical="center"/>
      <protection locked="0"/>
    </xf>
    <xf numFmtId="0" fontId="6" fillId="10" borderId="97" xfId="0" applyFont="1" applyFill="1" applyBorder="1" applyAlignment="1" applyProtection="1">
      <alignment horizontal="center" vertical="center" wrapText="1"/>
      <protection locked="0"/>
    </xf>
    <xf numFmtId="180" fontId="6" fillId="10" borderId="3" xfId="0" applyNumberFormat="1" applyFont="1" applyFill="1" applyBorder="1" applyAlignment="1" applyProtection="1">
      <alignment horizontal="center" vertical="center"/>
      <protection locked="0"/>
    </xf>
    <xf numFmtId="1" fontId="6" fillId="10" borderId="2" xfId="0" applyNumberFormat="1" applyFont="1" applyFill="1" applyBorder="1" applyProtection="1">
      <protection locked="0"/>
    </xf>
    <xf numFmtId="180" fontId="6" fillId="17" borderId="44" xfId="0" applyNumberFormat="1" applyFont="1" applyFill="1" applyBorder="1" applyAlignment="1" applyProtection="1">
      <alignment horizontal="center" vertical="center"/>
      <protection locked="0"/>
    </xf>
    <xf numFmtId="180" fontId="6" fillId="17" borderId="11" xfId="0" applyNumberFormat="1" applyFont="1" applyFill="1" applyBorder="1" applyProtection="1">
      <protection locked="0"/>
    </xf>
    <xf numFmtId="180" fontId="6" fillId="17" borderId="2" xfId="0" applyNumberFormat="1" applyFont="1" applyFill="1" applyBorder="1" applyAlignment="1" applyProtection="1">
      <alignment horizontal="center" vertical="center"/>
      <protection locked="0"/>
    </xf>
    <xf numFmtId="180" fontId="6" fillId="17" borderId="6" xfId="0" applyNumberFormat="1" applyFont="1" applyFill="1" applyBorder="1" applyProtection="1">
      <protection locked="0"/>
    </xf>
    <xf numFmtId="14" fontId="1" fillId="0" borderId="0" xfId="0" applyNumberFormat="1" applyFont="1" applyAlignment="1">
      <alignment horizontal="center" vertical="center"/>
    </xf>
    <xf numFmtId="0" fontId="62" fillId="17" borderId="67" xfId="0" applyFont="1" applyFill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1" fillId="0" borderId="1" xfId="0" applyFont="1" applyBorder="1"/>
    <xf numFmtId="14" fontId="62" fillId="17" borderId="50" xfId="0" applyNumberFormat="1" applyFont="1" applyFill="1" applyBorder="1" applyAlignment="1" applyProtection="1">
      <alignment horizontal="center" vertical="center"/>
      <protection locked="0"/>
    </xf>
    <xf numFmtId="0" fontId="62" fillId="17" borderId="6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44" fillId="0" borderId="16" xfId="0" applyFont="1" applyBorder="1" applyAlignment="1">
      <alignment horizontal="right" vertical="center"/>
    </xf>
    <xf numFmtId="0" fontId="6" fillId="0" borderId="17" xfId="0" applyFont="1" applyBorder="1"/>
    <xf numFmtId="0" fontId="5" fillId="0" borderId="0" xfId="0" applyFont="1" applyAlignment="1">
      <alignment horizontal="right" vertical="center"/>
    </xf>
    <xf numFmtId="0" fontId="16" fillId="11" borderId="1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11" borderId="1" xfId="0" applyFont="1" applyFill="1" applyBorder="1"/>
    <xf numFmtId="180" fontId="6" fillId="11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4" borderId="18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31" xfId="0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59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right" vertical="center"/>
    </xf>
    <xf numFmtId="0" fontId="5" fillId="6" borderId="16" xfId="0" applyFont="1" applyFill="1" applyBorder="1" applyAlignment="1">
      <alignment horizontal="left" vertical="center"/>
    </xf>
    <xf numFmtId="0" fontId="6" fillId="6" borderId="16" xfId="0" applyFont="1" applyFill="1" applyBorder="1"/>
    <xf numFmtId="0" fontId="6" fillId="6" borderId="17" xfId="0" applyFont="1" applyFill="1" applyBorder="1"/>
    <xf numFmtId="0" fontId="5" fillId="0" borderId="10" xfId="0" applyFont="1" applyBorder="1" applyAlignment="1">
      <alignment horizontal="center" vertical="center"/>
    </xf>
    <xf numFmtId="14" fontId="5" fillId="0" borderId="10" xfId="0" applyNumberFormat="1" applyFont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5" fillId="14" borderId="3" xfId="0" applyFont="1" applyFill="1" applyBorder="1" applyAlignment="1">
      <alignment horizontal="right" vertical="center"/>
    </xf>
    <xf numFmtId="0" fontId="5" fillId="14" borderId="4" xfId="0" applyFont="1" applyFill="1" applyBorder="1" applyAlignment="1">
      <alignment horizontal="left" vertical="center"/>
    </xf>
    <xf numFmtId="180" fontId="7" fillId="14" borderId="10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left" vertical="center"/>
    </xf>
    <xf numFmtId="179" fontId="6" fillId="0" borderId="0" xfId="0" applyNumberFormat="1" applyFont="1" applyAlignment="1">
      <alignment horizontal="center" vertical="center"/>
    </xf>
    <xf numFmtId="179" fontId="6" fillId="0" borderId="0" xfId="0" applyNumberFormat="1" applyFont="1"/>
    <xf numFmtId="0" fontId="5" fillId="14" borderId="44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right" vertical="center"/>
    </xf>
    <xf numFmtId="0" fontId="5" fillId="14" borderId="56" xfId="0" applyFont="1" applyFill="1" applyBorder="1" applyAlignment="1">
      <alignment horizontal="left" vertical="center"/>
    </xf>
    <xf numFmtId="180" fontId="6" fillId="14" borderId="10" xfId="0" applyNumberFormat="1" applyFont="1" applyFill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56" xfId="0" applyFont="1" applyBorder="1" applyAlignment="1">
      <alignment horizontal="left" vertical="center"/>
    </xf>
    <xf numFmtId="0" fontId="6" fillId="0" borderId="55" xfId="0" applyFont="1" applyBorder="1" applyAlignment="1">
      <alignment horizontal="right" vertical="center"/>
    </xf>
    <xf numFmtId="0" fontId="6" fillId="0" borderId="5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5" fillId="14" borderId="55" xfId="0" applyFont="1" applyFill="1" applyBorder="1" applyAlignment="1">
      <alignment horizontal="right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vertical="center"/>
    </xf>
    <xf numFmtId="0" fontId="6" fillId="6" borderId="16" xfId="0" applyFont="1" applyFill="1" applyBorder="1" applyAlignment="1">
      <alignment horizontal="right" vertical="center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58" xfId="0" applyFont="1" applyBorder="1" applyAlignment="1" applyProtection="1">
      <alignment horizontal="center" vertical="center"/>
      <protection hidden="1"/>
    </xf>
    <xf numFmtId="177" fontId="1" fillId="0" borderId="0" xfId="0" applyNumberFormat="1" applyFont="1" applyAlignment="1" applyProtection="1">
      <alignment vertical="center"/>
      <protection hidden="1"/>
    </xf>
    <xf numFmtId="177" fontId="1" fillId="0" borderId="58" xfId="0" applyNumberFormat="1" applyFont="1" applyBorder="1" applyAlignment="1" applyProtection="1">
      <alignment vertical="center"/>
      <protection hidden="1"/>
    </xf>
    <xf numFmtId="14" fontId="16" fillId="0" borderId="36" xfId="0" applyNumberFormat="1" applyFont="1" applyBorder="1" applyAlignment="1" applyProtection="1">
      <alignment horizontal="center" vertical="center"/>
      <protection hidden="1"/>
    </xf>
    <xf numFmtId="0" fontId="8" fillId="17" borderId="0" xfId="0" applyFont="1" applyFill="1"/>
    <xf numFmtId="0" fontId="1" fillId="0" borderId="1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6" fillId="0" borderId="54" xfId="0" applyFont="1" applyBorder="1"/>
    <xf numFmtId="0" fontId="5" fillId="0" borderId="55" xfId="0" applyFont="1" applyBorder="1"/>
    <xf numFmtId="0" fontId="1" fillId="10" borderId="15" xfId="0" applyFont="1" applyFill="1" applyBorder="1"/>
    <xf numFmtId="0" fontId="1" fillId="0" borderId="66" xfId="0" applyFont="1" applyBorder="1" applyAlignment="1">
      <alignment horizontal="center" vertical="center"/>
    </xf>
    <xf numFmtId="0" fontId="1" fillId="0" borderId="34" xfId="0" applyFont="1" applyBorder="1"/>
    <xf numFmtId="0" fontId="1" fillId="0" borderId="58" xfId="0" applyFont="1" applyBorder="1"/>
    <xf numFmtId="0" fontId="1" fillId="0" borderId="54" xfId="0" applyFont="1" applyBorder="1"/>
    <xf numFmtId="0" fontId="16" fillId="0" borderId="36" xfId="0" applyFont="1" applyBorder="1" applyAlignment="1">
      <alignment horizontal="center" vertical="center"/>
    </xf>
    <xf numFmtId="0" fontId="16" fillId="0" borderId="36" xfId="0" applyFont="1" applyBorder="1"/>
    <xf numFmtId="0" fontId="16" fillId="0" borderId="37" xfId="0" applyFont="1" applyBorder="1"/>
    <xf numFmtId="0" fontId="1" fillId="54" borderId="15" xfId="0" applyFont="1" applyFill="1" applyBorder="1"/>
    <xf numFmtId="0" fontId="1" fillId="54" borderId="16" xfId="0" applyFont="1" applyFill="1" applyBorder="1"/>
    <xf numFmtId="0" fontId="1" fillId="54" borderId="36" xfId="0" applyFont="1" applyFill="1" applyBorder="1"/>
    <xf numFmtId="0" fontId="1" fillId="54" borderId="37" xfId="0" applyFont="1" applyFill="1" applyBorder="1"/>
    <xf numFmtId="179" fontId="6" fillId="17" borderId="0" xfId="0" applyNumberFormat="1" applyFont="1" applyFill="1"/>
    <xf numFmtId="0" fontId="1" fillId="10" borderId="1" xfId="0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16" borderId="1" xfId="0" applyFont="1" applyFill="1" applyBorder="1" applyAlignment="1" applyProtection="1">
      <alignment horizontal="center" vertical="center"/>
      <protection hidden="1"/>
    </xf>
    <xf numFmtId="0" fontId="1" fillId="16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 applyProtection="1">
      <alignment horizontal="center" vertical="center"/>
      <protection hidden="1"/>
    </xf>
    <xf numFmtId="0" fontId="1" fillId="48" borderId="1" xfId="0" applyFont="1" applyFill="1" applyBorder="1" applyAlignment="1" applyProtection="1">
      <alignment horizontal="center" vertical="center"/>
      <protection hidden="1"/>
    </xf>
    <xf numFmtId="0" fontId="1" fillId="48" borderId="1" xfId="0" applyFont="1" applyFill="1" applyBorder="1"/>
    <xf numFmtId="0" fontId="1" fillId="48" borderId="2" xfId="0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67" fillId="38" borderId="16" xfId="0" applyFont="1" applyFill="1" applyBorder="1" applyAlignment="1">
      <alignment horizontal="right" vertical="center"/>
    </xf>
    <xf numFmtId="0" fontId="67" fillId="38" borderId="16" xfId="0" applyFont="1" applyFill="1" applyBorder="1" applyAlignment="1" applyProtection="1">
      <alignment horizontal="center" vertical="center"/>
      <protection hidden="1"/>
    </xf>
    <xf numFmtId="0" fontId="67" fillId="38" borderId="32" xfId="0" applyFont="1" applyFill="1" applyBorder="1" applyAlignment="1" applyProtection="1">
      <alignment horizontal="left" vertical="center"/>
      <protection hidden="1"/>
    </xf>
    <xf numFmtId="14" fontId="1" fillId="16" borderId="1" xfId="0" applyNumberFormat="1" applyFont="1" applyFill="1" applyBorder="1" applyAlignment="1">
      <alignment horizontal="center" vertical="center"/>
    </xf>
    <xf numFmtId="14" fontId="1" fillId="16" borderId="1" xfId="0" applyNumberFormat="1" applyFont="1" applyFill="1" applyBorder="1" applyAlignment="1" applyProtection="1">
      <alignment horizontal="center" vertical="center"/>
      <protection hidden="1"/>
    </xf>
    <xf numFmtId="0" fontId="1" fillId="48" borderId="1" xfId="0" applyFont="1" applyFill="1" applyBorder="1" applyAlignment="1">
      <alignment horizontal="center" vertical="center"/>
    </xf>
    <xf numFmtId="14" fontId="1" fillId="48" borderId="1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166" fontId="13" fillId="31" borderId="1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1" xfId="0" applyNumberFormat="1" applyFont="1" applyFill="1" applyBorder="1" applyAlignment="1" applyProtection="1">
      <alignment horizontal="center" vertical="center" wrapText="1"/>
      <protection hidden="1"/>
    </xf>
    <xf numFmtId="166" fontId="13" fillId="11" borderId="1" xfId="0" applyNumberFormat="1" applyFont="1" applyFill="1" applyBorder="1" applyAlignment="1" applyProtection="1">
      <alignment horizontal="center" vertical="center" wrapText="1"/>
      <protection hidden="1"/>
    </xf>
    <xf numFmtId="166" fontId="13" fillId="31" borderId="5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5" xfId="0" applyNumberFormat="1" applyFont="1" applyFill="1" applyBorder="1" applyAlignment="1" applyProtection="1">
      <alignment horizontal="center" vertical="center" wrapText="1"/>
      <protection hidden="1"/>
    </xf>
    <xf numFmtId="166" fontId="27" fillId="17" borderId="52" xfId="0" applyNumberFormat="1" applyFont="1" applyFill="1" applyBorder="1" applyAlignment="1" applyProtection="1">
      <alignment horizontal="center" vertical="center"/>
      <protection hidden="1"/>
    </xf>
    <xf numFmtId="166" fontId="13" fillId="31" borderId="2" xfId="0" applyNumberFormat="1" applyFont="1" applyFill="1" applyBorder="1" applyAlignment="1" applyProtection="1">
      <alignment horizontal="center" vertical="center" wrapText="1"/>
      <protection hidden="1"/>
    </xf>
    <xf numFmtId="166" fontId="13" fillId="23" borderId="2" xfId="0" applyNumberFormat="1" applyFont="1" applyFill="1" applyBorder="1" applyAlignment="1" applyProtection="1">
      <alignment horizontal="center" vertical="center" wrapText="1"/>
      <protection hidden="1"/>
    </xf>
    <xf numFmtId="166" fontId="13" fillId="11" borderId="2" xfId="0" applyNumberFormat="1" applyFont="1" applyFill="1" applyBorder="1" applyAlignment="1" applyProtection="1">
      <alignment horizontal="center" vertical="center" wrapText="1"/>
      <protection hidden="1"/>
    </xf>
    <xf numFmtId="166" fontId="13" fillId="3" borderId="77" xfId="0" applyNumberFormat="1" applyFont="1" applyFill="1" applyBorder="1" applyAlignment="1" applyProtection="1">
      <alignment horizontal="center" vertical="center" wrapText="1"/>
      <protection hidden="1"/>
    </xf>
    <xf numFmtId="166" fontId="13" fillId="3" borderId="7" xfId="0" applyNumberFormat="1" applyFont="1" applyFill="1" applyBorder="1" applyAlignment="1" applyProtection="1">
      <alignment horizontal="center" vertical="center" wrapText="1"/>
      <protection hidden="1"/>
    </xf>
    <xf numFmtId="166" fontId="13" fillId="3" borderId="8" xfId="0" applyNumberFormat="1" applyFont="1" applyFill="1" applyBorder="1" applyAlignment="1" applyProtection="1">
      <alignment horizontal="center" vertical="center" wrapText="1"/>
      <protection hidden="1"/>
    </xf>
    <xf numFmtId="173" fontId="58" fillId="17" borderId="25" xfId="0" applyNumberFormat="1" applyFont="1" applyFill="1" applyBorder="1" applyAlignment="1" applyProtection="1">
      <alignment horizontal="center" vertical="center"/>
      <protection locked="0"/>
    </xf>
    <xf numFmtId="0" fontId="1" fillId="10" borderId="4" xfId="0" applyFont="1" applyFill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1" fillId="25" borderId="4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45" borderId="4" xfId="0" applyFont="1" applyFill="1" applyBorder="1" applyAlignment="1">
      <alignment horizontal="center" vertical="center"/>
    </xf>
    <xf numFmtId="0" fontId="1" fillId="46" borderId="4" xfId="0" applyFont="1" applyFill="1" applyBorder="1" applyAlignment="1">
      <alignment horizontal="center" vertical="center"/>
    </xf>
    <xf numFmtId="0" fontId="1" fillId="28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4" borderId="4" xfId="0" applyFont="1" applyFill="1" applyBorder="1" applyAlignment="1">
      <alignment horizontal="center" vertical="center"/>
    </xf>
    <xf numFmtId="0" fontId="1" fillId="27" borderId="4" xfId="0" applyFont="1" applyFill="1" applyBorder="1" applyAlignment="1">
      <alignment horizontal="center" vertical="center"/>
    </xf>
    <xf numFmtId="0" fontId="1" fillId="47" borderId="4" xfId="0" applyFont="1" applyFill="1" applyBorder="1" applyAlignment="1">
      <alignment horizontal="center" vertical="center"/>
    </xf>
    <xf numFmtId="0" fontId="1" fillId="48" borderId="4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4" fontId="42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top"/>
    </xf>
    <xf numFmtId="14" fontId="42" fillId="0" borderId="0" xfId="0" applyNumberFormat="1" applyFont="1"/>
    <xf numFmtId="0" fontId="95" fillId="17" borderId="0" xfId="0" applyFont="1" applyFill="1"/>
    <xf numFmtId="0" fontId="95" fillId="17" borderId="0" xfId="0" applyFont="1" applyFill="1" applyAlignment="1">
      <alignment horizontal="center" vertical="top"/>
    </xf>
    <xf numFmtId="14" fontId="95" fillId="17" borderId="0" xfId="0" applyNumberFormat="1" applyFont="1" applyFill="1"/>
    <xf numFmtId="0" fontId="21" fillId="17" borderId="26" xfId="0" applyFont="1" applyFill="1" applyBorder="1" applyAlignment="1">
      <alignment horizontal="center" vertical="center"/>
    </xf>
    <xf numFmtId="0" fontId="21" fillId="17" borderId="32" xfId="0" applyFont="1" applyFill="1" applyBorder="1" applyAlignment="1">
      <alignment horizontal="center" vertical="center"/>
    </xf>
    <xf numFmtId="0" fontId="41" fillId="0" borderId="32" xfId="0" applyFont="1" applyBorder="1" applyAlignment="1" applyProtection="1">
      <alignment horizontal="center" vertical="center"/>
      <protection hidden="1"/>
    </xf>
    <xf numFmtId="0" fontId="41" fillId="0" borderId="32" xfId="0" applyFont="1" applyBorder="1" applyAlignment="1" applyProtection="1">
      <alignment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41" fillId="0" borderId="0" xfId="0" applyFont="1" applyAlignment="1">
      <alignment horizontal="center" vertical="center"/>
    </xf>
    <xf numFmtId="0" fontId="41" fillId="0" borderId="36" xfId="0" applyFont="1" applyBorder="1" applyAlignment="1">
      <alignment vertical="center"/>
    </xf>
    <xf numFmtId="0" fontId="95" fillId="17" borderId="0" xfId="0" applyFont="1" applyFill="1" applyProtection="1">
      <protection hidden="1"/>
    </xf>
    <xf numFmtId="0" fontId="42" fillId="43" borderId="75" xfId="0" applyFont="1" applyFill="1" applyBorder="1" applyAlignment="1">
      <alignment horizontal="center" vertical="center"/>
    </xf>
    <xf numFmtId="14" fontId="42" fillId="43" borderId="18" xfId="0" applyNumberFormat="1" applyFont="1" applyFill="1" applyBorder="1" applyAlignment="1">
      <alignment horizontal="center" vertical="center"/>
    </xf>
    <xf numFmtId="0" fontId="42" fillId="43" borderId="57" xfId="0" applyFont="1" applyFill="1" applyBorder="1" applyAlignment="1">
      <alignment horizontal="center" vertical="center" wrapText="1"/>
    </xf>
    <xf numFmtId="0" fontId="42" fillId="43" borderId="64" xfId="0" applyFont="1" applyFill="1" applyBorder="1" applyAlignment="1">
      <alignment horizontal="center" vertical="center" wrapText="1"/>
    </xf>
    <xf numFmtId="0" fontId="42" fillId="43" borderId="18" xfId="0" applyFont="1" applyFill="1" applyBorder="1" applyAlignment="1">
      <alignment horizontal="center" vertical="center"/>
    </xf>
    <xf numFmtId="0" fontId="42" fillId="43" borderId="18" xfId="0" applyFont="1" applyFill="1" applyBorder="1" applyAlignment="1">
      <alignment horizontal="center" vertical="center" wrapText="1"/>
    </xf>
    <xf numFmtId="0" fontId="42" fillId="17" borderId="75" xfId="0" applyFont="1" applyFill="1" applyBorder="1" applyAlignment="1">
      <alignment horizontal="center" vertical="center"/>
    </xf>
    <xf numFmtId="14" fontId="42" fillId="17" borderId="18" xfId="0" applyNumberFormat="1" applyFont="1" applyFill="1" applyBorder="1" applyAlignment="1">
      <alignment horizontal="center" vertical="center"/>
    </xf>
    <xf numFmtId="0" fontId="42" fillId="17" borderId="57" xfId="0" applyFont="1" applyFill="1" applyBorder="1" applyAlignment="1">
      <alignment horizontal="center" vertical="center"/>
    </xf>
    <xf numFmtId="0" fontId="42" fillId="17" borderId="55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180" fontId="42" fillId="17" borderId="57" xfId="0" applyNumberFormat="1" applyFont="1" applyFill="1" applyBorder="1" applyAlignment="1" applyProtection="1">
      <alignment horizontal="center" vertical="center" wrapText="1"/>
      <protection hidden="1"/>
    </xf>
    <xf numFmtId="180" fontId="42" fillId="17" borderId="64" xfId="0" applyNumberFormat="1" applyFont="1" applyFill="1" applyBorder="1" applyAlignment="1" applyProtection="1">
      <alignment horizontal="center" vertical="center" wrapText="1"/>
      <protection hidden="1"/>
    </xf>
    <xf numFmtId="0" fontId="42" fillId="17" borderId="0" xfId="0" applyFont="1" applyFill="1" applyAlignment="1">
      <alignment horizontal="center" vertical="center"/>
    </xf>
    <xf numFmtId="0" fontId="42" fillId="17" borderId="18" xfId="0" applyFont="1" applyFill="1" applyBorder="1" applyAlignment="1">
      <alignment horizontal="center" vertical="center"/>
    </xf>
    <xf numFmtId="0" fontId="42" fillId="17" borderId="2" xfId="0" applyFont="1" applyFill="1" applyBorder="1" applyAlignment="1">
      <alignment horizontal="center" vertical="center"/>
    </xf>
    <xf numFmtId="0" fontId="42" fillId="17" borderId="3" xfId="0" applyFont="1" applyFill="1" applyBorder="1" applyAlignment="1">
      <alignment horizontal="center" vertical="center"/>
    </xf>
    <xf numFmtId="0" fontId="42" fillId="17" borderId="4" xfId="0" applyFont="1" applyFill="1" applyBorder="1" applyAlignment="1">
      <alignment horizontal="center" vertical="center"/>
    </xf>
    <xf numFmtId="180" fontId="42" fillId="17" borderId="18" xfId="0" applyNumberFormat="1" applyFont="1" applyFill="1" applyBorder="1" applyAlignment="1">
      <alignment horizontal="center" vertical="center" wrapText="1"/>
    </xf>
    <xf numFmtId="180" fontId="42" fillId="17" borderId="64" xfId="0" applyNumberFormat="1" applyFont="1" applyFill="1" applyBorder="1" applyAlignment="1">
      <alignment horizontal="center" vertical="center" wrapText="1"/>
    </xf>
    <xf numFmtId="0" fontId="95" fillId="17" borderId="0" xfId="0" applyFont="1" applyFill="1" applyAlignment="1">
      <alignment horizontal="center" vertical="center"/>
    </xf>
    <xf numFmtId="0" fontId="42" fillId="0" borderId="5" xfId="0" applyFont="1" applyBorder="1" applyAlignment="1" applyProtection="1">
      <alignment horizontal="center" vertical="center"/>
      <protection hidden="1"/>
    </xf>
    <xf numFmtId="14" fontId="42" fillId="0" borderId="1" xfId="0" applyNumberFormat="1" applyFont="1" applyBorder="1" applyAlignment="1" applyProtection="1">
      <alignment horizontal="center" vertical="center"/>
      <protection hidden="1"/>
    </xf>
    <xf numFmtId="0" fontId="42" fillId="0" borderId="1" xfId="0" applyFont="1" applyBorder="1"/>
    <xf numFmtId="0" fontId="42" fillId="0" borderId="2" xfId="0" applyFont="1" applyBorder="1" applyAlignment="1" applyProtection="1">
      <alignment horizontal="center" vertical="center"/>
      <protection hidden="1"/>
    </xf>
    <xf numFmtId="0" fontId="42" fillId="0" borderId="3" xfId="0" applyFont="1" applyBorder="1" applyAlignment="1" applyProtection="1">
      <alignment horizontal="center" vertical="center"/>
      <protection hidden="1"/>
    </xf>
    <xf numFmtId="0" fontId="42" fillId="0" borderId="4" xfId="0" applyFont="1" applyBorder="1" applyAlignment="1" applyProtection="1">
      <alignment horizontal="center" vertical="center"/>
      <protection hidden="1"/>
    </xf>
    <xf numFmtId="14" fontId="42" fillId="0" borderId="1" xfId="0" applyNumberFormat="1" applyFont="1" applyBorder="1" applyAlignment="1">
      <alignment horizontal="center" vertical="center"/>
    </xf>
    <xf numFmtId="0" fontId="42" fillId="0" borderId="2" xfId="0" applyFont="1" applyBorder="1" applyAlignment="1" applyProtection="1">
      <alignment horizontal="right" vertical="center"/>
      <protection hidden="1"/>
    </xf>
    <xf numFmtId="0" fontId="42" fillId="0" borderId="3" xfId="0" applyFont="1" applyBorder="1" applyAlignment="1" applyProtection="1">
      <alignment horizontal="left" vertical="center"/>
      <protection hidden="1"/>
    </xf>
    <xf numFmtId="180" fontId="42" fillId="0" borderId="1" xfId="0" applyNumberFormat="1" applyFont="1" applyBorder="1" applyAlignment="1" applyProtection="1">
      <alignment horizontal="center" vertical="center"/>
      <protection hidden="1"/>
    </xf>
    <xf numFmtId="180" fontId="42" fillId="0" borderId="6" xfId="0" applyNumberFormat="1" applyFont="1" applyBorder="1" applyAlignment="1" applyProtection="1">
      <alignment horizontal="center" vertical="center"/>
      <protection hidden="1"/>
    </xf>
    <xf numFmtId="0" fontId="95" fillId="17" borderId="0" xfId="0" applyFont="1" applyFill="1" applyAlignment="1" applyProtection="1">
      <alignment horizontal="center" vertical="top"/>
      <protection hidden="1"/>
    </xf>
    <xf numFmtId="14" fontId="95" fillId="17" borderId="0" xfId="0" applyNumberFormat="1" applyFont="1" applyFill="1" applyProtection="1">
      <protection hidden="1"/>
    </xf>
    <xf numFmtId="0" fontId="42" fillId="0" borderId="41" xfId="0" applyFont="1" applyBorder="1" applyAlignment="1">
      <alignment horizontal="center" vertical="center"/>
    </xf>
    <xf numFmtId="14" fontId="42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180" fontId="42" fillId="17" borderId="31" xfId="0" applyNumberFormat="1" applyFont="1" applyFill="1" applyBorder="1" applyAlignment="1" applyProtection="1">
      <alignment horizontal="center" vertical="center" wrapText="1"/>
      <protection hidden="1"/>
    </xf>
    <xf numFmtId="180" fontId="42" fillId="17" borderId="69" xfId="0" applyNumberFormat="1" applyFont="1" applyFill="1" applyBorder="1" applyAlignment="1" applyProtection="1">
      <alignment horizontal="center" vertical="center" wrapText="1"/>
      <protection hidden="1"/>
    </xf>
    <xf numFmtId="0" fontId="42" fillId="0" borderId="20" xfId="0" applyFont="1" applyBorder="1"/>
    <xf numFmtId="0" fontId="42" fillId="0" borderId="22" xfId="0" applyFont="1" applyBorder="1" applyAlignment="1">
      <alignment horizontal="center" vertical="center"/>
    </xf>
    <xf numFmtId="180" fontId="42" fillId="0" borderId="22" xfId="0" applyNumberFormat="1" applyFont="1" applyBorder="1" applyAlignment="1" applyProtection="1">
      <alignment horizontal="center" vertical="center"/>
      <protection hidden="1"/>
    </xf>
    <xf numFmtId="180" fontId="42" fillId="0" borderId="29" xfId="0" applyNumberFormat="1" applyFont="1" applyBorder="1" applyAlignment="1" applyProtection="1">
      <alignment horizontal="center" vertical="center"/>
      <protection hidden="1"/>
    </xf>
    <xf numFmtId="0" fontId="42" fillId="0" borderId="45" xfId="0" applyFont="1" applyBorder="1" applyAlignment="1">
      <alignment horizontal="center" vertical="center"/>
    </xf>
    <xf numFmtId="14" fontId="42" fillId="0" borderId="3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80" fontId="42" fillId="17" borderId="5" xfId="0" applyNumberFormat="1" applyFont="1" applyFill="1" applyBorder="1" applyAlignment="1" applyProtection="1">
      <alignment horizontal="center" vertical="center" wrapText="1"/>
      <protection hidden="1"/>
    </xf>
    <xf numFmtId="180" fontId="42" fillId="17" borderId="24" xfId="0" applyNumberFormat="1" applyFont="1" applyFill="1" applyBorder="1" applyAlignment="1" applyProtection="1">
      <alignment horizontal="center" vertical="center" wrapText="1"/>
      <protection hidden="1"/>
    </xf>
    <xf numFmtId="0" fontId="42" fillId="0" borderId="80" xfId="0" applyFont="1" applyBorder="1"/>
    <xf numFmtId="0" fontId="42" fillId="0" borderId="54" xfId="0" applyFont="1" applyBorder="1" applyAlignment="1">
      <alignment horizontal="center" vertical="center"/>
    </xf>
    <xf numFmtId="0" fontId="42" fillId="0" borderId="3" xfId="0" applyFont="1" applyBorder="1" applyAlignment="1">
      <alignment vertical="center"/>
    </xf>
    <xf numFmtId="180" fontId="42" fillId="0" borderId="3" xfId="0" applyNumberFormat="1" applyFont="1" applyBorder="1" applyProtection="1">
      <protection hidden="1"/>
    </xf>
    <xf numFmtId="178" fontId="42" fillId="0" borderId="55" xfId="0" applyNumberFormat="1" applyFont="1" applyBorder="1"/>
    <xf numFmtId="0" fontId="42" fillId="0" borderId="55" xfId="0" applyFont="1" applyBorder="1" applyAlignment="1">
      <alignment horizontal="center" vertical="center"/>
    </xf>
    <xf numFmtId="180" fontId="42" fillId="0" borderId="18" xfId="0" applyNumberFormat="1" applyFont="1" applyBorder="1" applyAlignment="1" applyProtection="1">
      <alignment vertical="center"/>
      <protection hidden="1"/>
    </xf>
    <xf numFmtId="180" fontId="42" fillId="0" borderId="53" xfId="0" applyNumberFormat="1" applyFont="1" applyBorder="1" applyAlignment="1" applyProtection="1">
      <alignment vertical="center"/>
      <protection hidden="1"/>
    </xf>
    <xf numFmtId="0" fontId="42" fillId="0" borderId="65" xfId="0" applyFont="1" applyBorder="1" applyAlignment="1">
      <alignment horizontal="center" vertical="center"/>
    </xf>
    <xf numFmtId="14" fontId="42" fillId="0" borderId="48" xfId="0" applyNumberFormat="1" applyFont="1" applyBorder="1" applyAlignment="1">
      <alignment horizontal="center" vertical="center"/>
    </xf>
    <xf numFmtId="14" fontId="42" fillId="0" borderId="36" xfId="0" applyNumberFormat="1" applyFont="1" applyBorder="1" applyAlignment="1">
      <alignment horizontal="center" vertical="center"/>
    </xf>
    <xf numFmtId="0" fontId="42" fillId="0" borderId="48" xfId="0" applyFont="1" applyBorder="1" applyAlignment="1">
      <alignment horizontal="center" vertical="center"/>
    </xf>
    <xf numFmtId="0" fontId="42" fillId="0" borderId="36" xfId="0" applyFont="1" applyBorder="1" applyAlignment="1">
      <alignment horizontal="center" vertical="center"/>
    </xf>
    <xf numFmtId="0" fontId="42" fillId="0" borderId="37" xfId="0" applyFont="1" applyBorder="1" applyAlignment="1">
      <alignment horizontal="center" vertical="center"/>
    </xf>
    <xf numFmtId="180" fontId="42" fillId="17" borderId="35" xfId="0" applyNumberFormat="1" applyFont="1" applyFill="1" applyBorder="1" applyAlignment="1" applyProtection="1">
      <alignment vertical="center" wrapText="1"/>
      <protection hidden="1"/>
    </xf>
    <xf numFmtId="180" fontId="42" fillId="17" borderId="8" xfId="0" applyNumberFormat="1" applyFont="1" applyFill="1" applyBorder="1" applyAlignment="1" applyProtection="1">
      <alignment vertical="center" wrapText="1"/>
      <protection hidden="1"/>
    </xf>
    <xf numFmtId="0" fontId="42" fillId="0" borderId="48" xfId="0" applyFont="1" applyBorder="1"/>
    <xf numFmtId="0" fontId="42" fillId="0" borderId="47" xfId="0" applyFont="1" applyBorder="1" applyAlignment="1">
      <alignment horizontal="center" vertical="center"/>
    </xf>
    <xf numFmtId="180" fontId="42" fillId="0" borderId="78" xfId="0" applyNumberFormat="1" applyFont="1" applyBorder="1" applyAlignment="1" applyProtection="1">
      <alignment vertical="center"/>
      <protection hidden="1"/>
    </xf>
    <xf numFmtId="180" fontId="42" fillId="0" borderId="8" xfId="0" applyNumberFormat="1" applyFont="1" applyBorder="1" applyAlignment="1" applyProtection="1">
      <alignment vertical="center"/>
      <protection hidden="1"/>
    </xf>
    <xf numFmtId="0" fontId="42" fillId="0" borderId="87" xfId="0" applyFont="1" applyBorder="1" applyAlignment="1">
      <alignment horizontal="center" vertical="center"/>
    </xf>
    <xf numFmtId="180" fontId="42" fillId="0" borderId="89" xfId="0" applyNumberFormat="1" applyFont="1" applyBorder="1" applyAlignment="1" applyProtection="1">
      <alignment vertical="center"/>
      <protection hidden="1"/>
    </xf>
    <xf numFmtId="180" fontId="42" fillId="0" borderId="87" xfId="0" applyNumberFormat="1" applyFont="1" applyBorder="1" applyAlignment="1" applyProtection="1">
      <alignment vertical="center"/>
      <protection hidden="1"/>
    </xf>
    <xf numFmtId="180" fontId="42" fillId="0" borderId="88" xfId="0" applyNumberFormat="1" applyFont="1" applyBorder="1" applyAlignment="1" applyProtection="1">
      <alignment vertical="center"/>
      <protection hidden="1"/>
    </xf>
    <xf numFmtId="0" fontId="42" fillId="0" borderId="86" xfId="0" applyFont="1" applyBorder="1"/>
    <xf numFmtId="0" fontId="42" fillId="0" borderId="85" xfId="0" applyFont="1" applyBorder="1" applyAlignment="1">
      <alignment vertical="center"/>
    </xf>
    <xf numFmtId="180" fontId="42" fillId="0" borderId="85" xfId="0" applyNumberFormat="1" applyFont="1" applyBorder="1" applyAlignment="1">
      <alignment vertical="center"/>
    </xf>
    <xf numFmtId="0" fontId="0" fillId="18" borderId="0" xfId="0" applyFill="1"/>
    <xf numFmtId="0" fontId="72" fillId="18" borderId="0" xfId="0" applyFont="1" applyFill="1" applyAlignment="1">
      <alignment vertical="center"/>
    </xf>
    <xf numFmtId="0" fontId="0" fillId="18" borderId="26" xfId="0" applyFill="1" applyBorder="1"/>
    <xf numFmtId="0" fontId="79" fillId="18" borderId="0" xfId="0" applyFont="1" applyFill="1"/>
    <xf numFmtId="0" fontId="79" fillId="18" borderId="0" xfId="0" applyFont="1" applyFill="1" applyAlignment="1">
      <alignment horizontal="center" vertical="center"/>
    </xf>
    <xf numFmtId="0" fontId="8" fillId="18" borderId="0" xfId="0" applyFont="1" applyFill="1" applyAlignment="1">
      <alignment horizontal="center" vertical="center"/>
    </xf>
    <xf numFmtId="0" fontId="70" fillId="18" borderId="0" xfId="0" applyFont="1" applyFill="1" applyAlignment="1">
      <alignment horizontal="center" vertical="center"/>
    </xf>
    <xf numFmtId="0" fontId="71" fillId="18" borderId="0" xfId="0" applyFont="1" applyFill="1" applyAlignment="1">
      <alignment horizontal="center" vertical="center"/>
    </xf>
    <xf numFmtId="0" fontId="28" fillId="17" borderId="29" xfId="0" applyFont="1" applyFill="1" applyBorder="1" applyAlignment="1" applyProtection="1">
      <alignment horizontal="center" vertical="center"/>
      <protection locked="0"/>
    </xf>
    <xf numFmtId="0" fontId="16" fillId="17" borderId="6" xfId="0" applyFont="1" applyFill="1" applyBorder="1" applyAlignment="1" applyProtection="1">
      <alignment horizontal="center" vertical="center"/>
      <protection locked="0"/>
    </xf>
    <xf numFmtId="0" fontId="16" fillId="17" borderId="6" xfId="0" applyFont="1" applyFill="1" applyBorder="1" applyAlignment="1" applyProtection="1">
      <alignment horizontal="center"/>
      <protection locked="0"/>
    </xf>
    <xf numFmtId="14" fontId="16" fillId="17" borderId="6" xfId="0" applyNumberFormat="1" applyFont="1" applyFill="1" applyBorder="1" applyAlignment="1" applyProtection="1">
      <alignment horizontal="center" vertical="center"/>
      <protection locked="0"/>
    </xf>
    <xf numFmtId="0" fontId="74" fillId="17" borderId="6" xfId="1" applyFont="1" applyFill="1" applyBorder="1" applyAlignment="1" applyProtection="1">
      <alignment horizontal="center" vertical="center"/>
      <protection locked="0"/>
    </xf>
    <xf numFmtId="0" fontId="28" fillId="17" borderId="6" xfId="0" applyFont="1" applyFill="1" applyBorder="1" applyAlignment="1" applyProtection="1">
      <alignment horizontal="center" vertical="center"/>
      <protection locked="0"/>
    </xf>
    <xf numFmtId="0" fontId="28" fillId="17" borderId="64" xfId="0" applyFont="1" applyFill="1" applyBorder="1" applyAlignment="1" applyProtection="1">
      <alignment horizontal="center" vertical="center"/>
      <protection locked="0"/>
    </xf>
    <xf numFmtId="0" fontId="28" fillId="17" borderId="29" xfId="0" applyFont="1" applyFill="1" applyBorder="1" applyAlignment="1" applyProtection="1">
      <alignment horizontal="center" vertical="center" wrapText="1"/>
      <protection locked="0"/>
    </xf>
    <xf numFmtId="0" fontId="28" fillId="17" borderId="6" xfId="0" applyFont="1" applyFill="1" applyBorder="1" applyAlignment="1" applyProtection="1">
      <alignment horizontal="center" vertical="center" wrapText="1"/>
      <protection locked="0"/>
    </xf>
    <xf numFmtId="0" fontId="28" fillId="17" borderId="8" xfId="0" applyFont="1" applyFill="1" applyBorder="1" applyAlignment="1" applyProtection="1">
      <alignment horizontal="center" vertical="center"/>
      <protection locked="0"/>
    </xf>
    <xf numFmtId="0" fontId="53" fillId="57" borderId="0" xfId="0" applyFont="1" applyFill="1" applyAlignment="1">
      <alignment vertical="center"/>
    </xf>
    <xf numFmtId="0" fontId="72" fillId="57" borderId="0" xfId="0" applyFont="1" applyFill="1" applyAlignment="1">
      <alignment vertical="center"/>
    </xf>
    <xf numFmtId="0" fontId="53" fillId="57" borderId="0" xfId="0" applyFont="1" applyFill="1" applyAlignment="1">
      <alignment horizontal="left" vertical="center"/>
    </xf>
    <xf numFmtId="0" fontId="72" fillId="57" borderId="0" xfId="0" applyFont="1" applyFill="1" applyAlignment="1">
      <alignment horizontal="center" vertical="center" wrapText="1"/>
    </xf>
    <xf numFmtId="0" fontId="0" fillId="57" borderId="0" xfId="0" applyFill="1"/>
    <xf numFmtId="0" fontId="52" fillId="57" borderId="0" xfId="0" applyFont="1" applyFill="1" applyAlignment="1">
      <alignment horizontal="center" vertical="center"/>
    </xf>
    <xf numFmtId="0" fontId="53" fillId="57" borderId="0" xfId="0" applyFont="1" applyFill="1" applyAlignment="1">
      <alignment horizontal="center" vertical="center"/>
    </xf>
    <xf numFmtId="0" fontId="53" fillId="56" borderId="5" xfId="0" applyFont="1" applyFill="1" applyBorder="1" applyAlignment="1" applyProtection="1">
      <alignment vertical="center"/>
      <protection hidden="1"/>
    </xf>
    <xf numFmtId="0" fontId="53" fillId="56" borderId="1" xfId="0" applyFont="1" applyFill="1" applyBorder="1" applyAlignment="1" applyProtection="1">
      <alignment horizontal="center" vertical="center"/>
      <protection hidden="1"/>
    </xf>
    <xf numFmtId="0" fontId="68" fillId="56" borderId="28" xfId="0" applyFont="1" applyFill="1" applyBorder="1" applyAlignment="1" applyProtection="1">
      <alignment horizontal="center" vertical="center" wrapText="1"/>
      <protection hidden="1"/>
    </xf>
    <xf numFmtId="0" fontId="68" fillId="56" borderId="1" xfId="0" applyFont="1" applyFill="1" applyBorder="1" applyAlignment="1" applyProtection="1">
      <alignment horizontal="center" vertical="center" wrapText="1"/>
      <protection hidden="1"/>
    </xf>
    <xf numFmtId="0" fontId="68" fillId="56" borderId="7" xfId="0" applyFont="1" applyFill="1" applyBorder="1" applyAlignment="1" applyProtection="1">
      <alignment horizontal="center" vertical="center" wrapText="1"/>
      <protection hidden="1"/>
    </xf>
    <xf numFmtId="0" fontId="96" fillId="17" borderId="0" xfId="0" applyFont="1" applyFill="1"/>
    <xf numFmtId="0" fontId="95" fillId="17" borderId="0" xfId="0" applyFont="1" applyFill="1" applyAlignment="1" applyProtection="1">
      <alignment horizontal="right"/>
      <protection hidden="1"/>
    </xf>
    <xf numFmtId="14" fontId="6" fillId="17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0" xfId="0" applyFont="1" applyBorder="1" applyAlignment="1" applyProtection="1">
      <alignment horizontal="center" vertical="center"/>
      <protection hidden="1"/>
    </xf>
    <xf numFmtId="0" fontId="6" fillId="17" borderId="0" xfId="0" applyFont="1" applyFill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center"/>
      <protection hidden="1"/>
    </xf>
    <xf numFmtId="0" fontId="16" fillId="0" borderId="10" xfId="0" applyFont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16" fillId="0" borderId="50" xfId="0" applyFont="1" applyBorder="1" applyAlignment="1" applyProtection="1">
      <alignment horizontal="center" vertical="center" wrapText="1"/>
      <protection hidden="1"/>
    </xf>
    <xf numFmtId="0" fontId="26" fillId="17" borderId="0" xfId="0" applyFont="1" applyFill="1" applyProtection="1">
      <protection hidden="1"/>
    </xf>
    <xf numFmtId="0" fontId="26" fillId="17" borderId="27" xfId="0" applyFont="1" applyFill="1" applyBorder="1" applyProtection="1">
      <protection hidden="1"/>
    </xf>
    <xf numFmtId="0" fontId="5" fillId="4" borderId="18" xfId="0" applyFont="1" applyFill="1" applyBorder="1" applyAlignment="1" applyProtection="1">
      <alignment horizontal="left" vertical="center"/>
      <protection hidden="1"/>
    </xf>
    <xf numFmtId="0" fontId="16" fillId="17" borderId="0" xfId="0" applyFont="1" applyFill="1" applyAlignment="1" applyProtection="1">
      <alignment vertical="center"/>
      <protection hidden="1"/>
    </xf>
    <xf numFmtId="0" fontId="16" fillId="17" borderId="27" xfId="0" applyFont="1" applyFill="1" applyBorder="1" applyAlignment="1" applyProtection="1">
      <alignment vertical="center"/>
      <protection hidden="1"/>
    </xf>
    <xf numFmtId="0" fontId="16" fillId="17" borderId="26" xfId="0" applyFont="1" applyFill="1" applyBorder="1" applyAlignment="1" applyProtection="1">
      <alignment horizontal="center" vertical="center"/>
      <protection hidden="1"/>
    </xf>
    <xf numFmtId="0" fontId="6" fillId="17" borderId="27" xfId="0" applyFont="1" applyFill="1" applyBorder="1" applyProtection="1">
      <protection hidden="1"/>
    </xf>
    <xf numFmtId="0" fontId="16" fillId="17" borderId="26" xfId="0" applyFont="1" applyFill="1" applyBorder="1" applyProtection="1">
      <protection hidden="1"/>
    </xf>
    <xf numFmtId="0" fontId="5" fillId="17" borderId="26" xfId="0" applyFont="1" applyFill="1" applyBorder="1" applyProtection="1">
      <protection hidden="1"/>
    </xf>
    <xf numFmtId="0" fontId="5" fillId="17" borderId="0" xfId="0" applyFont="1" applyFill="1" applyProtection="1">
      <protection hidden="1"/>
    </xf>
    <xf numFmtId="0" fontId="17" fillId="17" borderId="0" xfId="0" applyFont="1" applyFill="1" applyAlignment="1" applyProtection="1">
      <alignment horizontal="center" vertical="center"/>
      <protection hidden="1"/>
    </xf>
    <xf numFmtId="0" fontId="17" fillId="17" borderId="0" xfId="0" applyFont="1" applyFill="1" applyAlignment="1" applyProtection="1">
      <alignment vertical="center" textRotation="45"/>
      <protection hidden="1"/>
    </xf>
    <xf numFmtId="0" fontId="5" fillId="17" borderId="0" xfId="0" applyFont="1" applyFill="1" applyAlignment="1" applyProtection="1">
      <alignment horizontal="center"/>
      <protection hidden="1"/>
    </xf>
    <xf numFmtId="0" fontId="6" fillId="17" borderId="26" xfId="0" applyFont="1" applyFill="1" applyBorder="1" applyProtection="1">
      <protection hidden="1"/>
    </xf>
    <xf numFmtId="0" fontId="6" fillId="17" borderId="57" xfId="0" applyFont="1" applyFill="1" applyBorder="1" applyAlignment="1" applyProtection="1">
      <alignment horizontal="right" vertical="center"/>
      <protection hidden="1"/>
    </xf>
    <xf numFmtId="0" fontId="6" fillId="17" borderId="44" xfId="0" applyFont="1" applyFill="1" applyBorder="1" applyAlignment="1" applyProtection="1">
      <alignment horizontal="right" vertical="center"/>
      <protection hidden="1"/>
    </xf>
    <xf numFmtId="0" fontId="6" fillId="17" borderId="10" xfId="0" applyFont="1" applyFill="1" applyBorder="1" applyAlignment="1" applyProtection="1">
      <alignment horizontal="center" vertical="center"/>
      <protection hidden="1"/>
    </xf>
    <xf numFmtId="0" fontId="6" fillId="17" borderId="35" xfId="0" applyFont="1" applyFill="1" applyBorder="1" applyProtection="1">
      <protection hidden="1"/>
    </xf>
    <xf numFmtId="0" fontId="6" fillId="17" borderId="36" xfId="0" applyFont="1" applyFill="1" applyBorder="1" applyProtection="1">
      <protection hidden="1"/>
    </xf>
    <xf numFmtId="0" fontId="6" fillId="17" borderId="37" xfId="0" applyFont="1" applyFill="1" applyBorder="1" applyProtection="1">
      <protection hidden="1"/>
    </xf>
    <xf numFmtId="0" fontId="26" fillId="17" borderId="0" xfId="0" applyFont="1" applyFill="1" applyAlignment="1" applyProtection="1">
      <alignment horizontal="center"/>
      <protection hidden="1"/>
    </xf>
    <xf numFmtId="0" fontId="27" fillId="17" borderId="0" xfId="0" applyFont="1" applyFill="1" applyAlignment="1" applyProtection="1">
      <alignment vertical="center"/>
      <protection hidden="1"/>
    </xf>
    <xf numFmtId="0" fontId="26" fillId="17" borderId="0" xfId="0" applyFont="1" applyFill="1" applyAlignment="1" applyProtection="1">
      <alignment horizontal="center" vertical="center" wrapText="1"/>
      <protection hidden="1"/>
    </xf>
    <xf numFmtId="0" fontId="26" fillId="17" borderId="0" xfId="0" applyFont="1" applyFill="1" applyAlignment="1" applyProtection="1">
      <alignment wrapText="1"/>
      <protection hidden="1"/>
    </xf>
    <xf numFmtId="0" fontId="75" fillId="17" borderId="0" xfId="0" applyFont="1" applyFill="1" applyAlignment="1" applyProtection="1">
      <alignment vertical="center"/>
      <protection hidden="1"/>
    </xf>
    <xf numFmtId="16" fontId="26" fillId="17" borderId="0" xfId="0" applyNumberFormat="1" applyFont="1" applyFill="1" applyProtection="1">
      <protection hidden="1"/>
    </xf>
    <xf numFmtId="0" fontId="16" fillId="48" borderId="7" xfId="0" applyFont="1" applyFill="1" applyBorder="1" applyAlignment="1">
      <alignment vertical="center" wrapText="1"/>
    </xf>
    <xf numFmtId="0" fontId="16" fillId="48" borderId="7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46" borderId="10" xfId="0" applyFont="1" applyFill="1" applyBorder="1" applyAlignment="1">
      <alignment horizontal="center" vertical="center"/>
    </xf>
    <xf numFmtId="0" fontId="1" fillId="0" borderId="10" xfId="0" applyFont="1" applyBorder="1" applyAlignment="1" applyProtection="1">
      <alignment horizontal="center" vertical="center"/>
      <protection hidden="1"/>
    </xf>
    <xf numFmtId="2" fontId="1" fillId="0" borderId="10" xfId="0" applyNumberFormat="1" applyFont="1" applyBorder="1" applyAlignment="1" applyProtection="1">
      <alignment horizontal="center" vertical="center"/>
      <protection hidden="1"/>
    </xf>
    <xf numFmtId="2" fontId="1" fillId="0" borderId="44" xfId="0" applyNumberFormat="1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>
      <alignment horizontal="center" vertical="center"/>
    </xf>
    <xf numFmtId="0" fontId="1" fillId="46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21" fillId="39" borderId="15" xfId="0" applyFont="1" applyFill="1" applyBorder="1" applyAlignment="1">
      <alignment horizontal="center" vertical="center"/>
    </xf>
    <xf numFmtId="0" fontId="44" fillId="4" borderId="16" xfId="0" applyFont="1" applyFill="1" applyBorder="1" applyAlignment="1" applyProtection="1">
      <alignment horizontal="center" vertical="center"/>
      <protection hidden="1"/>
    </xf>
    <xf numFmtId="0" fontId="44" fillId="4" borderId="17" xfId="0" applyFont="1" applyFill="1" applyBorder="1" applyAlignment="1" applyProtection="1">
      <alignment horizontal="center" vertical="center"/>
      <protection hidden="1"/>
    </xf>
    <xf numFmtId="0" fontId="42" fillId="48" borderId="77" xfId="0" applyFont="1" applyFill="1" applyBorder="1" applyAlignment="1">
      <alignment horizontal="center" vertical="center"/>
    </xf>
    <xf numFmtId="0" fontId="42" fillId="48" borderId="7" xfId="0" applyFont="1" applyFill="1" applyBorder="1" applyAlignment="1">
      <alignment horizontal="center" vertical="center"/>
    </xf>
    <xf numFmtId="0" fontId="42" fillId="48" borderId="50" xfId="0" applyFont="1" applyFill="1" applyBorder="1" applyAlignment="1" applyProtection="1">
      <alignment horizontal="center" vertical="center"/>
      <protection hidden="1"/>
    </xf>
    <xf numFmtId="0" fontId="42" fillId="48" borderId="7" xfId="0" applyFont="1" applyFill="1" applyBorder="1" applyAlignment="1" applyProtection="1">
      <alignment horizontal="center" vertical="center"/>
      <protection hidden="1"/>
    </xf>
    <xf numFmtId="2" fontId="42" fillId="48" borderId="7" xfId="0" applyNumberFormat="1" applyFont="1" applyFill="1" applyBorder="1" applyAlignment="1" applyProtection="1">
      <alignment horizontal="center" vertical="center"/>
      <protection hidden="1"/>
    </xf>
    <xf numFmtId="2" fontId="42" fillId="48" borderId="78" xfId="0" applyNumberFormat="1" applyFont="1" applyFill="1" applyBorder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center"/>
      <protection locked="0"/>
    </xf>
    <xf numFmtId="1" fontId="16" fillId="0" borderId="1" xfId="0" applyNumberFormat="1" applyFont="1" applyBorder="1" applyAlignment="1" applyProtection="1">
      <alignment horizontal="center" vertical="center"/>
      <protection hidden="1"/>
    </xf>
    <xf numFmtId="0" fontId="16" fillId="57" borderId="82" xfId="0" applyFont="1" applyFill="1" applyBorder="1" applyAlignment="1" applyProtection="1">
      <alignment horizontal="center" vertical="center"/>
      <protection hidden="1"/>
    </xf>
    <xf numFmtId="0" fontId="16" fillId="57" borderId="66" xfId="0" applyFont="1" applyFill="1" applyBorder="1" applyAlignment="1" applyProtection="1">
      <alignment horizontal="center" vertical="center"/>
      <protection hidden="1"/>
    </xf>
    <xf numFmtId="0" fontId="16" fillId="57" borderId="67" xfId="0" applyFont="1" applyFill="1" applyBorder="1" applyAlignment="1" applyProtection="1">
      <alignment horizontal="center" vertical="center"/>
      <protection hidden="1"/>
    </xf>
    <xf numFmtId="0" fontId="16" fillId="57" borderId="73" xfId="0" applyFont="1" applyFill="1" applyBorder="1" applyAlignment="1" applyProtection="1">
      <alignment horizontal="center" vertical="center"/>
      <protection hidden="1"/>
    </xf>
    <xf numFmtId="0" fontId="16" fillId="57" borderId="12" xfId="0" applyFont="1" applyFill="1" applyBorder="1" applyAlignment="1" applyProtection="1">
      <alignment horizontal="center" vertical="center"/>
      <protection hidden="1"/>
    </xf>
    <xf numFmtId="0" fontId="16" fillId="57" borderId="39" xfId="0" applyFont="1" applyFill="1" applyBorder="1" applyAlignment="1" applyProtection="1">
      <alignment horizontal="center" vertical="center"/>
      <protection hidden="1"/>
    </xf>
    <xf numFmtId="0" fontId="5" fillId="57" borderId="12" xfId="0" applyFont="1" applyFill="1" applyBorder="1" applyAlignment="1" applyProtection="1">
      <alignment horizontal="center" vertical="center"/>
      <protection hidden="1"/>
    </xf>
    <xf numFmtId="0" fontId="66" fillId="58" borderId="0" xfId="0" applyFont="1" applyFill="1" applyAlignment="1">
      <alignment vertical="center"/>
    </xf>
    <xf numFmtId="0" fontId="26" fillId="58" borderId="0" xfId="0" applyFont="1" applyFill="1"/>
    <xf numFmtId="0" fontId="26" fillId="58" borderId="0" xfId="0" applyFont="1" applyFill="1" applyAlignment="1">
      <alignment horizontal="center" vertical="center"/>
    </xf>
    <xf numFmtId="0" fontId="16" fillId="58" borderId="0" xfId="0" applyFont="1" applyFill="1" applyAlignment="1" applyProtection="1">
      <alignment horizontal="center" vertical="center"/>
      <protection hidden="1"/>
    </xf>
    <xf numFmtId="166" fontId="1" fillId="58" borderId="0" xfId="0" applyNumberFormat="1" applyFont="1" applyFill="1" applyAlignment="1" applyProtection="1">
      <alignment horizontal="center"/>
      <protection hidden="1"/>
    </xf>
    <xf numFmtId="0" fontId="44" fillId="17" borderId="1" xfId="0" applyFont="1" applyFill="1" applyBorder="1" applyAlignment="1" applyProtection="1">
      <alignment horizontal="center" vertical="center"/>
      <protection locked="0"/>
    </xf>
    <xf numFmtId="0" fontId="94" fillId="18" borderId="56" xfId="0" applyFont="1" applyFill="1" applyBorder="1"/>
    <xf numFmtId="0" fontId="29" fillId="17" borderId="0" xfId="0" applyFont="1" applyFill="1" applyAlignment="1">
      <alignment horizontal="center" vertical="center"/>
    </xf>
    <xf numFmtId="0" fontId="29" fillId="17" borderId="0" xfId="0" applyFont="1" applyFill="1" applyAlignment="1">
      <alignment horizontal="left" vertical="center"/>
    </xf>
    <xf numFmtId="14" fontId="62" fillId="17" borderId="0" xfId="0" applyNumberFormat="1" applyFont="1" applyFill="1" applyAlignment="1">
      <alignment horizontal="center" vertical="center"/>
    </xf>
    <xf numFmtId="0" fontId="62" fillId="17" borderId="0" xfId="0" applyFont="1" applyFill="1" applyAlignment="1">
      <alignment vertical="center"/>
    </xf>
    <xf numFmtId="0" fontId="62" fillId="17" borderId="0" xfId="0" applyFont="1" applyFill="1" applyAlignment="1">
      <alignment horizontal="right" vertical="center"/>
    </xf>
    <xf numFmtId="14" fontId="14" fillId="0" borderId="1" xfId="0" applyNumberFormat="1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1" fontId="14" fillId="0" borderId="1" xfId="0" applyNumberFormat="1" applyFont="1" applyBorder="1" applyAlignment="1" applyProtection="1">
      <alignment horizontal="center" vertical="center"/>
      <protection hidden="1"/>
    </xf>
    <xf numFmtId="1" fontId="14" fillId="0" borderId="2" xfId="0" applyNumberFormat="1" applyFont="1" applyBorder="1" applyAlignment="1" applyProtection="1">
      <alignment horizontal="center"/>
      <protection hidden="1"/>
    </xf>
    <xf numFmtId="0" fontId="14" fillId="0" borderId="1" xfId="0" applyFont="1" applyBorder="1"/>
    <xf numFmtId="0" fontId="14" fillId="0" borderId="6" xfId="0" applyFont="1" applyBorder="1"/>
    <xf numFmtId="1" fontId="16" fillId="0" borderId="2" xfId="0" applyNumberFormat="1" applyFont="1" applyBorder="1" applyAlignment="1" applyProtection="1">
      <alignment horizont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" fillId="20" borderId="77" xfId="0" applyFont="1" applyFill="1" applyBorder="1" applyAlignment="1">
      <alignment horizontal="center"/>
    </xf>
    <xf numFmtId="14" fontId="16" fillId="20" borderId="7" xfId="0" applyNumberFormat="1" applyFont="1" applyFill="1" applyBorder="1" applyAlignment="1">
      <alignment horizontal="center" vertical="center"/>
    </xf>
    <xf numFmtId="14" fontId="16" fillId="20" borderId="7" xfId="0" applyNumberFormat="1" applyFont="1" applyFill="1" applyBorder="1"/>
    <xf numFmtId="1" fontId="16" fillId="20" borderId="7" xfId="0" applyNumberFormat="1" applyFont="1" applyFill="1" applyBorder="1" applyAlignment="1" applyProtection="1">
      <alignment horizontal="center" vertical="center"/>
      <protection hidden="1"/>
    </xf>
    <xf numFmtId="1" fontId="16" fillId="20" borderId="7" xfId="0" applyNumberFormat="1" applyFont="1" applyFill="1" applyBorder="1" applyAlignment="1">
      <alignment horizontal="center" vertical="center"/>
    </xf>
    <xf numFmtId="1" fontId="16" fillId="20" borderId="78" xfId="0" applyNumberFormat="1" applyFont="1" applyFill="1" applyBorder="1" applyAlignment="1" applyProtection="1">
      <alignment horizontal="center" vertical="center"/>
      <protection hidden="1"/>
    </xf>
    <xf numFmtId="0" fontId="16" fillId="20" borderId="78" xfId="0" applyFont="1" applyFill="1" applyBorder="1" applyAlignment="1">
      <alignment horizontal="center" vertical="center"/>
    </xf>
    <xf numFmtId="0" fontId="14" fillId="20" borderId="7" xfId="0" applyFont="1" applyFill="1" applyBorder="1" applyAlignment="1">
      <alignment horizontal="center" vertical="center"/>
    </xf>
    <xf numFmtId="0" fontId="14" fillId="20" borderId="7" xfId="0" applyFont="1" applyFill="1" applyBorder="1"/>
    <xf numFmtId="0" fontId="14" fillId="20" borderId="8" xfId="0" applyFont="1" applyFill="1" applyBorder="1"/>
    <xf numFmtId="166" fontId="14" fillId="4" borderId="1" xfId="0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0" fontId="14" fillId="17" borderId="45" xfId="0" applyFont="1" applyFill="1" applyBorder="1" applyProtection="1">
      <protection hidden="1"/>
    </xf>
    <xf numFmtId="0" fontId="14" fillId="17" borderId="5" xfId="0" applyFont="1" applyFill="1" applyBorder="1" applyAlignment="1" applyProtection="1">
      <alignment horizontal="center" vertical="center" wrapText="1"/>
      <protection hidden="1"/>
    </xf>
    <xf numFmtId="0" fontId="14" fillId="17" borderId="1" xfId="0" applyFont="1" applyFill="1" applyBorder="1" applyAlignment="1" applyProtection="1">
      <alignment horizontal="center" vertical="center" wrapText="1"/>
      <protection hidden="1"/>
    </xf>
    <xf numFmtId="0" fontId="14" fillId="17" borderId="6" xfId="0" applyFont="1" applyFill="1" applyBorder="1" applyAlignment="1" applyProtection="1">
      <alignment horizontal="center" vertical="center" wrapText="1"/>
      <protection hidden="1"/>
    </xf>
    <xf numFmtId="0" fontId="99" fillId="4" borderId="5" xfId="0" applyFont="1" applyFill="1" applyBorder="1" applyAlignment="1" applyProtection="1">
      <alignment horizontal="center" vertical="center" wrapText="1"/>
      <protection hidden="1"/>
    </xf>
    <xf numFmtId="0" fontId="14" fillId="4" borderId="5" xfId="0" applyFont="1" applyFill="1" applyBorder="1" applyAlignment="1" applyProtection="1">
      <alignment horizontal="center" vertical="center"/>
      <protection locked="0"/>
    </xf>
    <xf numFmtId="1" fontId="14" fillId="4" borderId="56" xfId="0" applyNumberFormat="1" applyFont="1" applyFill="1" applyBorder="1" applyAlignment="1" applyProtection="1">
      <alignment horizontal="center" vertical="center"/>
      <protection locked="0"/>
    </xf>
    <xf numFmtId="0" fontId="99" fillId="13" borderId="18" xfId="0" applyFont="1" applyFill="1" applyBorder="1" applyAlignment="1" applyProtection="1">
      <alignment horizontal="center" vertical="center"/>
      <protection hidden="1"/>
    </xf>
    <xf numFmtId="0" fontId="99" fillId="13" borderId="1" xfId="0" applyFont="1" applyFill="1" applyBorder="1" applyAlignment="1" applyProtection="1">
      <alignment horizontal="center" vertical="center"/>
      <protection hidden="1"/>
    </xf>
    <xf numFmtId="171" fontId="99" fillId="13" borderId="1" xfId="0" applyNumberFormat="1" applyFont="1" applyFill="1" applyBorder="1" applyAlignment="1" applyProtection="1">
      <alignment horizontal="center" vertical="center"/>
      <protection hidden="1"/>
    </xf>
    <xf numFmtId="0" fontId="99" fillId="13" borderId="6" xfId="0" applyFont="1" applyFill="1" applyBorder="1" applyAlignment="1" applyProtection="1">
      <alignment horizontal="center" vertical="center"/>
      <protection hidden="1"/>
    </xf>
    <xf numFmtId="0" fontId="99" fillId="17" borderId="5" xfId="0" applyFont="1" applyFill="1" applyBorder="1" applyAlignment="1" applyProtection="1">
      <alignment horizontal="center" vertical="center"/>
      <protection hidden="1"/>
    </xf>
    <xf numFmtId="171" fontId="99" fillId="17" borderId="9" xfId="0" applyNumberFormat="1" applyFont="1" applyFill="1" applyBorder="1" applyAlignment="1" applyProtection="1">
      <alignment horizontal="center" vertical="center"/>
      <protection hidden="1"/>
    </xf>
    <xf numFmtId="14" fontId="99" fillId="36" borderId="44" xfId="0" applyNumberFormat="1" applyFont="1" applyFill="1" applyBorder="1" applyAlignment="1" applyProtection="1">
      <alignment horizontal="center" vertical="center"/>
      <protection hidden="1"/>
    </xf>
    <xf numFmtId="176" fontId="99" fillId="17" borderId="1" xfId="0" applyNumberFormat="1" applyFont="1" applyFill="1" applyBorder="1" applyAlignment="1" applyProtection="1">
      <alignment horizontal="center" vertical="center"/>
      <protection hidden="1"/>
    </xf>
    <xf numFmtId="175" fontId="99" fillId="17" borderId="1" xfId="0" applyNumberFormat="1" applyFont="1" applyFill="1" applyBorder="1" applyAlignment="1" applyProtection="1">
      <alignment horizontal="center" vertical="center"/>
      <protection hidden="1"/>
    </xf>
    <xf numFmtId="0" fontId="99" fillId="17" borderId="6" xfId="0" applyFont="1" applyFill="1" applyBorder="1" applyAlignment="1" applyProtection="1">
      <alignment horizontal="center" vertical="center"/>
      <protection hidden="1"/>
    </xf>
    <xf numFmtId="14" fontId="99" fillId="36" borderId="10" xfId="0" applyNumberFormat="1" applyFont="1" applyFill="1" applyBorder="1" applyAlignment="1" applyProtection="1">
      <alignment horizontal="center" vertical="center"/>
      <protection hidden="1"/>
    </xf>
    <xf numFmtId="0" fontId="99" fillId="17" borderId="75" xfId="0" applyFont="1" applyFill="1" applyBorder="1" applyAlignment="1" applyProtection="1">
      <alignment horizontal="center" vertical="center"/>
      <protection hidden="1"/>
    </xf>
    <xf numFmtId="171" fontId="99" fillId="17" borderId="34" xfId="0" applyNumberFormat="1" applyFont="1" applyFill="1" applyBorder="1" applyAlignment="1" applyProtection="1">
      <alignment horizontal="center" vertical="center"/>
      <protection hidden="1"/>
    </xf>
    <xf numFmtId="14" fontId="99" fillId="36" borderId="19" xfId="0" applyNumberFormat="1" applyFont="1" applyFill="1" applyBorder="1" applyAlignment="1" applyProtection="1">
      <alignment horizontal="center" vertical="center"/>
      <protection hidden="1"/>
    </xf>
    <xf numFmtId="176" fontId="99" fillId="17" borderId="18" xfId="0" applyNumberFormat="1" applyFont="1" applyFill="1" applyBorder="1" applyAlignment="1" applyProtection="1">
      <alignment horizontal="center" vertical="center"/>
      <protection hidden="1"/>
    </xf>
    <xf numFmtId="0" fontId="99" fillId="17" borderId="64" xfId="0" applyFont="1" applyFill="1" applyBorder="1" applyAlignment="1" applyProtection="1">
      <alignment horizontal="center" vertical="center"/>
      <protection hidden="1"/>
    </xf>
    <xf numFmtId="176" fontId="99" fillId="6" borderId="25" xfId="0" applyNumberFormat="1" applyFont="1" applyFill="1" applyBorder="1" applyAlignment="1" applyProtection="1">
      <alignment horizontal="center" vertical="center"/>
      <protection hidden="1"/>
    </xf>
    <xf numFmtId="175" fontId="99" fillId="6" borderId="60" xfId="0" applyNumberFormat="1" applyFont="1" applyFill="1" applyBorder="1" applyAlignment="1" applyProtection="1">
      <alignment horizontal="center" vertical="center"/>
      <protection hidden="1"/>
    </xf>
    <xf numFmtId="175" fontId="99" fillId="6" borderId="13" xfId="0" applyNumberFormat="1" applyFont="1" applyFill="1" applyBorder="1" applyAlignment="1" applyProtection="1">
      <alignment horizontal="center" vertical="center"/>
      <protection hidden="1"/>
    </xf>
    <xf numFmtId="176" fontId="99" fillId="6" borderId="13" xfId="0" applyNumberFormat="1" applyFont="1" applyFill="1" applyBorder="1" applyAlignment="1" applyProtection="1">
      <alignment horizontal="center" vertical="center"/>
      <protection hidden="1"/>
    </xf>
    <xf numFmtId="175" fontId="14" fillId="6" borderId="12" xfId="0" applyNumberFormat="1" applyFont="1" applyFill="1" applyBorder="1" applyAlignment="1" applyProtection="1">
      <alignment horizontal="center" vertical="center"/>
      <protection hidden="1"/>
    </xf>
    <xf numFmtId="172" fontId="14" fillId="6" borderId="17" xfId="0" applyNumberFormat="1" applyFont="1" applyFill="1" applyBorder="1" applyAlignment="1" applyProtection="1">
      <alignment vertical="center"/>
      <protection hidden="1"/>
    </xf>
    <xf numFmtId="0" fontId="14" fillId="17" borderId="2" xfId="0" applyFont="1" applyFill="1" applyBorder="1"/>
    <xf numFmtId="0" fontId="14" fillId="4" borderId="1" xfId="0" applyFont="1" applyFill="1" applyBorder="1" applyAlignment="1">
      <alignment horizontal="left" vertical="center"/>
    </xf>
    <xf numFmtId="0" fontId="14" fillId="17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99" fillId="13" borderId="18" xfId="0" applyFont="1" applyFill="1" applyBorder="1" applyAlignment="1">
      <alignment horizontal="center" vertical="center"/>
    </xf>
    <xf numFmtId="0" fontId="99" fillId="13" borderId="1" xfId="0" applyFont="1" applyFill="1" applyBorder="1" applyAlignment="1">
      <alignment horizontal="center" vertical="center"/>
    </xf>
    <xf numFmtId="0" fontId="99" fillId="17" borderId="1" xfId="0" applyFont="1" applyFill="1" applyBorder="1" applyAlignment="1">
      <alignment horizontal="center" vertical="center"/>
    </xf>
    <xf numFmtId="171" fontId="14" fillId="17" borderId="9" xfId="0" applyNumberFormat="1" applyFont="1" applyFill="1" applyBorder="1" applyAlignment="1" applyProtection="1">
      <alignment horizontal="center" vertical="center"/>
      <protection hidden="1"/>
    </xf>
    <xf numFmtId="14" fontId="14" fillId="36" borderId="44" xfId="0" applyNumberFormat="1" applyFont="1" applyFill="1" applyBorder="1" applyAlignment="1" applyProtection="1">
      <alignment horizontal="center" vertical="center"/>
      <protection hidden="1"/>
    </xf>
    <xf numFmtId="14" fontId="14" fillId="36" borderId="10" xfId="0" applyNumberFormat="1" applyFont="1" applyFill="1" applyBorder="1" applyAlignment="1" applyProtection="1">
      <alignment horizontal="center" vertical="center"/>
      <protection hidden="1"/>
    </xf>
    <xf numFmtId="175" fontId="99" fillId="17" borderId="4" xfId="0" applyNumberFormat="1" applyFont="1" applyFill="1" applyBorder="1" applyAlignment="1" applyProtection="1">
      <alignment horizontal="center" vertical="center"/>
      <protection hidden="1"/>
    </xf>
    <xf numFmtId="0" fontId="99" fillId="17" borderId="18" xfId="0" applyFont="1" applyFill="1" applyBorder="1" applyAlignment="1">
      <alignment horizontal="center" vertical="center"/>
    </xf>
    <xf numFmtId="171" fontId="14" fillId="17" borderId="34" xfId="0" applyNumberFormat="1" applyFont="1" applyFill="1" applyBorder="1" applyAlignment="1" applyProtection="1">
      <alignment horizontal="center" vertical="center"/>
      <protection hidden="1"/>
    </xf>
    <xf numFmtId="14" fontId="14" fillId="36" borderId="19" xfId="0" applyNumberFormat="1" applyFont="1" applyFill="1" applyBorder="1" applyAlignment="1" applyProtection="1">
      <alignment horizontal="center" vertical="center"/>
      <protection hidden="1"/>
    </xf>
    <xf numFmtId="176" fontId="99" fillId="2" borderId="25" xfId="0" applyNumberFormat="1" applyFont="1" applyFill="1" applyBorder="1" applyAlignment="1" applyProtection="1">
      <alignment horizontal="center" vertical="center"/>
      <protection hidden="1"/>
    </xf>
    <xf numFmtId="175" fontId="99" fillId="2" borderId="60" xfId="0" applyNumberFormat="1" applyFont="1" applyFill="1" applyBorder="1" applyAlignment="1" applyProtection="1">
      <alignment horizontal="center" vertical="center"/>
      <protection hidden="1"/>
    </xf>
    <xf numFmtId="175" fontId="99" fillId="2" borderId="13" xfId="0" applyNumberFormat="1" applyFont="1" applyFill="1" applyBorder="1" applyAlignment="1" applyProtection="1">
      <alignment horizontal="center" vertical="center"/>
      <protection hidden="1"/>
    </xf>
    <xf numFmtId="176" fontId="99" fillId="2" borderId="13" xfId="0" applyNumberFormat="1" applyFont="1" applyFill="1" applyBorder="1" applyAlignment="1" applyProtection="1">
      <alignment horizontal="center" vertical="center"/>
      <protection hidden="1"/>
    </xf>
    <xf numFmtId="175" fontId="14" fillId="2" borderId="12" xfId="0" applyNumberFormat="1" applyFont="1" applyFill="1" applyBorder="1" applyAlignment="1" applyProtection="1">
      <alignment horizontal="center" vertical="center"/>
      <protection hidden="1"/>
    </xf>
    <xf numFmtId="172" fontId="14" fillId="2" borderId="17" xfId="0" applyNumberFormat="1" applyFont="1" applyFill="1" applyBorder="1" applyAlignment="1">
      <alignment vertical="center"/>
    </xf>
    <xf numFmtId="0" fontId="16" fillId="4" borderId="5" xfId="0" applyFont="1" applyFill="1" applyBorder="1" applyAlignment="1" applyProtection="1">
      <alignment horizontal="center" vertical="center"/>
      <protection locked="0"/>
    </xf>
    <xf numFmtId="1" fontId="16" fillId="4" borderId="56" xfId="0" applyNumberFormat="1" applyFont="1" applyFill="1" applyBorder="1" applyAlignment="1" applyProtection="1">
      <alignment horizontal="center" vertical="center"/>
      <protection locked="0"/>
    </xf>
    <xf numFmtId="2" fontId="12" fillId="5" borderId="2" xfId="0" applyNumberFormat="1" applyFont="1" applyFill="1" applyBorder="1" applyAlignment="1" applyProtection="1">
      <alignment horizontal="center" vertical="center"/>
      <protection hidden="1"/>
    </xf>
    <xf numFmtId="2" fontId="12" fillId="5" borderId="2" xfId="4" applyNumberFormat="1" applyFont="1" applyFill="1" applyBorder="1" applyAlignment="1" applyProtection="1">
      <alignment horizontal="center" vertical="center"/>
      <protection hidden="1"/>
    </xf>
    <xf numFmtId="2" fontId="12" fillId="5" borderId="7" xfId="4" applyNumberFormat="1" applyFont="1" applyFill="1" applyBorder="1" applyAlignment="1" applyProtection="1">
      <alignment horizontal="center" vertical="center"/>
      <protection hidden="1"/>
    </xf>
    <xf numFmtId="2" fontId="12" fillId="5" borderId="57" xfId="4" applyNumberFormat="1" applyFont="1" applyFill="1" applyBorder="1" applyAlignment="1" applyProtection="1">
      <alignment horizontal="center" vertical="center"/>
      <protection hidden="1"/>
    </xf>
    <xf numFmtId="0" fontId="26" fillId="0" borderId="32" xfId="0" applyFont="1" applyBorder="1" applyAlignment="1">
      <alignment horizontal="center" vertical="center"/>
    </xf>
    <xf numFmtId="0" fontId="44" fillId="17" borderId="26" xfId="0" applyFont="1" applyFill="1" applyBorder="1" applyAlignment="1" applyProtection="1">
      <alignment horizontal="center" vertical="center"/>
      <protection hidden="1"/>
    </xf>
    <xf numFmtId="2" fontId="26" fillId="0" borderId="0" xfId="0" applyNumberFormat="1" applyFont="1"/>
    <xf numFmtId="2" fontId="1" fillId="0" borderId="6" xfId="0" applyNumberFormat="1" applyFont="1" applyBorder="1" applyAlignment="1" applyProtection="1">
      <alignment horizontal="center" vertical="center"/>
      <protection hidden="1"/>
    </xf>
    <xf numFmtId="2" fontId="42" fillId="48" borderId="8" xfId="0" applyNumberFormat="1" applyFont="1" applyFill="1" applyBorder="1" applyAlignment="1" applyProtection="1">
      <alignment horizontal="center" vertical="center"/>
      <protection hidden="1"/>
    </xf>
    <xf numFmtId="181" fontId="16" fillId="48" borderId="78" xfId="0" applyNumberFormat="1" applyFont="1" applyFill="1" applyBorder="1" applyAlignment="1">
      <alignment horizontal="center" vertical="center" wrapText="1"/>
    </xf>
    <xf numFmtId="0" fontId="5" fillId="48" borderId="21" xfId="0" applyFont="1" applyFill="1" applyBorder="1" applyAlignment="1">
      <alignment horizontal="center" vertical="center" wrapText="1"/>
    </xf>
    <xf numFmtId="2" fontId="16" fillId="0" borderId="10" xfId="0" applyNumberFormat="1" applyFont="1" applyBorder="1" applyAlignment="1" applyProtection="1">
      <alignment horizontal="center" vertical="center"/>
      <protection hidden="1"/>
    </xf>
    <xf numFmtId="166" fontId="16" fillId="0" borderId="7" xfId="0" applyNumberFormat="1" applyFont="1" applyBorder="1" applyAlignment="1" applyProtection="1">
      <alignment horizontal="center" vertical="center"/>
      <protection hidden="1"/>
    </xf>
    <xf numFmtId="166" fontId="1" fillId="0" borderId="10" xfId="0" applyNumberFormat="1" applyFont="1" applyBorder="1" applyAlignment="1" applyProtection="1">
      <alignment horizontal="center" vertical="center"/>
      <protection hidden="1"/>
    </xf>
    <xf numFmtId="166" fontId="42" fillId="48" borderId="50" xfId="0" applyNumberFormat="1" applyFont="1" applyFill="1" applyBorder="1" applyAlignment="1" applyProtection="1">
      <alignment horizontal="center" vertical="center"/>
      <protection hidden="1"/>
    </xf>
    <xf numFmtId="166" fontId="16" fillId="0" borderId="10" xfId="0" applyNumberFormat="1" applyFont="1" applyBorder="1" applyAlignment="1" applyProtection="1">
      <alignment horizontal="center" vertical="center"/>
      <protection hidden="1"/>
    </xf>
    <xf numFmtId="166" fontId="16" fillId="0" borderId="50" xfId="0" applyNumberFormat="1" applyFont="1" applyBorder="1" applyAlignment="1" applyProtection="1">
      <alignment horizontal="center" vertical="center"/>
      <protection hidden="1"/>
    </xf>
    <xf numFmtId="2" fontId="16" fillId="0" borderId="7" xfId="0" applyNumberFormat="1" applyFont="1" applyBorder="1" applyAlignment="1" applyProtection="1">
      <alignment horizontal="center" vertical="center"/>
      <protection hidden="1"/>
    </xf>
    <xf numFmtId="166" fontId="1" fillId="0" borderId="1" xfId="0" applyNumberFormat="1" applyFont="1" applyBorder="1" applyAlignment="1" applyProtection="1">
      <alignment horizontal="center" vertical="center"/>
      <protection hidden="1"/>
    </xf>
    <xf numFmtId="166" fontId="42" fillId="48" borderId="7" xfId="0" applyNumberFormat="1" applyFont="1" applyFill="1" applyBorder="1" applyAlignment="1" applyProtection="1">
      <alignment horizontal="center" vertical="center"/>
      <protection hidden="1"/>
    </xf>
    <xf numFmtId="0" fontId="14" fillId="15" borderId="2" xfId="0" applyFont="1" applyFill="1" applyBorder="1" applyAlignment="1" applyProtection="1">
      <alignment horizontal="center" vertical="center"/>
      <protection hidden="1"/>
    </xf>
    <xf numFmtId="1" fontId="28" fillId="15" borderId="24" xfId="0" applyNumberFormat="1" applyFont="1" applyFill="1" applyBorder="1" applyAlignment="1" applyProtection="1">
      <alignment horizontal="center" vertical="center"/>
      <protection hidden="1"/>
    </xf>
    <xf numFmtId="0" fontId="14" fillId="15" borderId="3" xfId="0" applyFont="1" applyFill="1" applyBorder="1" applyAlignment="1" applyProtection="1">
      <alignment horizontal="center" vertical="center"/>
      <protection hidden="1"/>
    </xf>
    <xf numFmtId="0" fontId="14" fillId="15" borderId="2" xfId="0" applyFont="1" applyFill="1" applyBorder="1" applyAlignment="1" applyProtection="1">
      <alignment horizontal="center" vertical="center" wrapText="1"/>
      <protection hidden="1"/>
    </xf>
    <xf numFmtId="0" fontId="14" fillId="15" borderId="45" xfId="0" applyFont="1" applyFill="1" applyBorder="1" applyAlignment="1" applyProtection="1">
      <alignment horizontal="right" vertical="top" wrapText="1"/>
      <protection hidden="1"/>
    </xf>
    <xf numFmtId="16" fontId="26" fillId="17" borderId="0" xfId="0" applyNumberFormat="1" applyFont="1" applyFill="1"/>
    <xf numFmtId="0" fontId="6" fillId="17" borderId="0" xfId="0" applyFont="1" applyFill="1" applyAlignment="1">
      <alignment vertical="center"/>
    </xf>
    <xf numFmtId="0" fontId="1" fillId="17" borderId="0" xfId="0" applyFont="1" applyFill="1" applyAlignment="1">
      <alignment vertical="center" wrapText="1"/>
    </xf>
    <xf numFmtId="166" fontId="6" fillId="17" borderId="0" xfId="0" applyNumberFormat="1" applyFont="1" applyFill="1" applyProtection="1">
      <protection hidden="1"/>
    </xf>
    <xf numFmtId="167" fontId="6" fillId="17" borderId="0" xfId="0" applyNumberFormat="1" applyFont="1" applyFill="1" applyProtection="1">
      <protection hidden="1"/>
    </xf>
    <xf numFmtId="164" fontId="6" fillId="17" borderId="0" xfId="3" applyFont="1" applyFill="1" applyBorder="1" applyAlignment="1" applyProtection="1">
      <alignment horizontal="center" vertical="center" wrapText="1"/>
    </xf>
    <xf numFmtId="0" fontId="6" fillId="17" borderId="0" xfId="0" applyFont="1" applyFill="1" applyAlignment="1">
      <alignment horizontal="center" vertical="center" wrapText="1"/>
    </xf>
    <xf numFmtId="166" fontId="26" fillId="17" borderId="0" xfId="0" applyNumberFormat="1" applyFont="1" applyFill="1"/>
    <xf numFmtId="175" fontId="1" fillId="0" borderId="0" xfId="0" applyNumberFormat="1" applyFont="1" applyProtection="1">
      <protection hidden="1"/>
    </xf>
    <xf numFmtId="14" fontId="8" fillId="17" borderId="24" xfId="0" applyNumberFormat="1" applyFont="1" applyFill="1" applyBorder="1" applyAlignment="1" applyProtection="1">
      <alignment horizontal="left" vertical="center"/>
      <protection hidden="1"/>
    </xf>
    <xf numFmtId="14" fontId="8" fillId="17" borderId="3" xfId="0" applyNumberFormat="1" applyFont="1" applyFill="1" applyBorder="1" applyAlignment="1" applyProtection="1">
      <alignment horizontal="center" vertical="center"/>
      <protection hidden="1"/>
    </xf>
    <xf numFmtId="0" fontId="14" fillId="15" borderId="2" xfId="0" applyFont="1" applyFill="1" applyBorder="1" applyAlignment="1">
      <alignment horizontal="left" vertical="top" wrapText="1"/>
    </xf>
    <xf numFmtId="0" fontId="14" fillId="15" borderId="2" xfId="0" applyFont="1" applyFill="1" applyBorder="1" applyAlignment="1">
      <alignment horizontal="center" vertical="center" wrapText="1"/>
    </xf>
    <xf numFmtId="0" fontId="28" fillId="0" borderId="4" xfId="0" applyFont="1" applyBorder="1" applyAlignment="1" applyProtection="1">
      <alignment horizontal="center" vertical="center"/>
      <protection hidden="1"/>
    </xf>
    <xf numFmtId="0" fontId="14" fillId="15" borderId="2" xfId="0" applyFont="1" applyFill="1" applyBorder="1" applyAlignment="1">
      <alignment horizontal="center" vertical="center"/>
    </xf>
    <xf numFmtId="1" fontId="28" fillId="15" borderId="4" xfId="0" applyNumberFormat="1" applyFont="1" applyFill="1" applyBorder="1" applyAlignment="1" applyProtection="1">
      <alignment horizontal="center" vertical="center"/>
      <protection hidden="1"/>
    </xf>
    <xf numFmtId="175" fontId="1" fillId="0" borderId="0" xfId="0" applyNumberFormat="1" applyFont="1"/>
    <xf numFmtId="172" fontId="99" fillId="17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/>
    <xf numFmtId="14" fontId="8" fillId="17" borderId="3" xfId="0" applyNumberFormat="1" applyFont="1" applyFill="1" applyBorder="1" applyAlignment="1">
      <alignment horizontal="center" vertical="center"/>
    </xf>
    <xf numFmtId="14" fontId="8" fillId="17" borderId="4" xfId="0" applyNumberFormat="1" applyFont="1" applyFill="1" applyBorder="1" applyAlignment="1" applyProtection="1">
      <alignment horizontal="center" vertical="center"/>
      <protection hidden="1"/>
    </xf>
    <xf numFmtId="175" fontId="5" fillId="0" borderId="1" xfId="0" applyNumberFormat="1" applyFont="1" applyBorder="1" applyAlignment="1" applyProtection="1">
      <alignment horizontal="center" vertical="center"/>
      <protection hidden="1"/>
    </xf>
    <xf numFmtId="175" fontId="16" fillId="0" borderId="1" xfId="0" applyNumberFormat="1" applyFont="1" applyBorder="1" applyAlignment="1">
      <alignment horizontal="center" vertical="center"/>
    </xf>
    <xf numFmtId="2" fontId="16" fillId="0" borderId="79" xfId="0" applyNumberFormat="1" applyFont="1" applyBorder="1" applyAlignment="1" applyProtection="1">
      <alignment horizontal="center"/>
      <protection hidden="1"/>
    </xf>
    <xf numFmtId="2" fontId="16" fillId="0" borderId="25" xfId="0" applyNumberFormat="1" applyFont="1" applyBorder="1" applyAlignment="1" applyProtection="1">
      <alignment horizontal="center"/>
      <protection hidden="1"/>
    </xf>
    <xf numFmtId="2" fontId="16" fillId="0" borderId="25" xfId="0" applyNumberFormat="1" applyFont="1" applyBorder="1" applyAlignment="1" applyProtection="1">
      <alignment horizontal="center" vertical="center"/>
      <protection hidden="1"/>
    </xf>
    <xf numFmtId="172" fontId="5" fillId="0" borderId="1" xfId="0" applyNumberFormat="1" applyFont="1" applyBorder="1" applyAlignment="1" applyProtection="1">
      <alignment horizontal="center" vertical="center"/>
      <protection hidden="1"/>
    </xf>
    <xf numFmtId="167" fontId="27" fillId="17" borderId="66" xfId="0" applyNumberFormat="1" applyFont="1" applyFill="1" applyBorder="1" applyAlignment="1" applyProtection="1">
      <alignment horizontal="center" vertical="center"/>
      <protection hidden="1"/>
    </xf>
    <xf numFmtId="167" fontId="27" fillId="17" borderId="23" xfId="0" applyNumberFormat="1" applyFont="1" applyFill="1" applyBorder="1" applyAlignment="1" applyProtection="1">
      <alignment horizontal="center" vertical="center"/>
      <protection hidden="1"/>
    </xf>
    <xf numFmtId="166" fontId="6" fillId="9" borderId="1" xfId="0" applyNumberFormat="1" applyFont="1" applyFill="1" applyBorder="1" applyAlignment="1" applyProtection="1">
      <alignment horizontal="center" vertical="center"/>
      <protection locked="0"/>
    </xf>
    <xf numFmtId="166" fontId="6" fillId="13" borderId="1" xfId="0" applyNumberFormat="1" applyFont="1" applyFill="1" applyBorder="1" applyAlignment="1" applyProtection="1">
      <alignment horizontal="center" vertical="center"/>
      <protection locked="0"/>
    </xf>
    <xf numFmtId="0" fontId="12" fillId="34" borderId="25" xfId="0" applyFont="1" applyFill="1" applyBorder="1" applyAlignment="1" applyProtection="1">
      <alignment horizontal="center" vertical="center" wrapText="1"/>
      <protection hidden="1"/>
    </xf>
    <xf numFmtId="0" fontId="6" fillId="23" borderId="52" xfId="0" applyFont="1" applyFill="1" applyBorder="1" applyAlignment="1">
      <alignment horizontal="center" vertical="center"/>
    </xf>
    <xf numFmtId="170" fontId="22" fillId="15" borderId="18" xfId="0" applyNumberFormat="1" applyFont="1" applyFill="1" applyBorder="1" applyAlignment="1" applyProtection="1">
      <alignment horizontal="center" vertical="center"/>
      <protection hidden="1"/>
    </xf>
    <xf numFmtId="14" fontId="27" fillId="15" borderId="18" xfId="0" applyNumberFormat="1" applyFont="1" applyFill="1" applyBorder="1" applyAlignment="1" applyProtection="1">
      <alignment horizontal="center" vertical="center"/>
      <protection hidden="1"/>
    </xf>
    <xf numFmtId="0" fontId="11" fillId="2" borderId="21" xfId="0" applyFont="1" applyFill="1" applyBorder="1" applyAlignment="1">
      <alignment horizontal="center" vertical="center" wrapText="1"/>
    </xf>
    <xf numFmtId="2" fontId="27" fillId="17" borderId="52" xfId="0" applyNumberFormat="1" applyFont="1" applyFill="1" applyBorder="1" applyAlignment="1" applyProtection="1">
      <alignment horizontal="center" vertical="center"/>
      <protection hidden="1"/>
    </xf>
    <xf numFmtId="2" fontId="22" fillId="2" borderId="44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0" xfId="0" applyNumberFormat="1" applyFont="1" applyAlignment="1">
      <alignment horizontal="center" wrapText="1"/>
    </xf>
    <xf numFmtId="0" fontId="12" fillId="34" borderId="79" xfId="0" applyFont="1" applyFill="1" applyBorder="1" applyAlignment="1" applyProtection="1">
      <alignment horizontal="center" vertical="center" wrapText="1"/>
      <protection hidden="1"/>
    </xf>
    <xf numFmtId="0" fontId="12" fillId="34" borderId="32" xfId="0" applyFont="1" applyFill="1" applyBorder="1" applyAlignment="1" applyProtection="1">
      <alignment horizontal="center" vertical="center" wrapText="1"/>
      <protection hidden="1"/>
    </xf>
    <xf numFmtId="0" fontId="11" fillId="2" borderId="13" xfId="0" applyFont="1" applyFill="1" applyBorder="1" applyAlignment="1">
      <alignment horizontal="center" vertical="center" wrapText="1"/>
    </xf>
    <xf numFmtId="0" fontId="0" fillId="0" borderId="26" xfId="0" applyBorder="1"/>
    <xf numFmtId="2" fontId="12" fillId="29" borderId="68" xfId="0" applyNumberFormat="1" applyFont="1" applyFill="1" applyBorder="1" applyAlignment="1" applyProtection="1">
      <alignment horizontal="center" vertical="center" wrapText="1"/>
      <protection hidden="1"/>
    </xf>
    <xf numFmtId="0" fontId="11" fillId="29" borderId="15" xfId="0" applyFont="1" applyFill="1" applyBorder="1" applyAlignment="1">
      <alignment horizontal="center" vertical="center" wrapText="1"/>
    </xf>
    <xf numFmtId="0" fontId="11" fillId="29" borderId="25" xfId="0" applyFont="1" applyFill="1" applyBorder="1" applyAlignment="1">
      <alignment horizontal="center" vertical="center" wrapText="1"/>
    </xf>
    <xf numFmtId="0" fontId="11" fillId="29" borderId="36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59" xfId="0" applyFont="1" applyFill="1" applyBorder="1" applyAlignment="1">
      <alignment horizontal="center" vertical="center" wrapText="1"/>
    </xf>
    <xf numFmtId="0" fontId="11" fillId="2" borderId="68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44" fillId="0" borderId="4" xfId="0" applyFont="1" applyBorder="1" applyAlignment="1" applyProtection="1">
      <alignment horizontal="center" vertical="center"/>
      <protection hidden="1"/>
    </xf>
    <xf numFmtId="0" fontId="28" fillId="0" borderId="2" xfId="0" applyFont="1" applyBorder="1" applyAlignment="1">
      <alignment horizontal="left" vertical="center"/>
    </xf>
    <xf numFmtId="0" fontId="26" fillId="17" borderId="0" xfId="0" applyFont="1" applyFill="1" applyAlignment="1">
      <alignment horizontal="center" vertical="center"/>
    </xf>
    <xf numFmtId="0" fontId="105" fillId="17" borderId="0" xfId="0" applyFont="1" applyFill="1"/>
    <xf numFmtId="2" fontId="26" fillId="17" borderId="0" xfId="0" applyNumberFormat="1" applyFont="1" applyFill="1" applyAlignment="1">
      <alignment horizontal="center" vertical="center"/>
    </xf>
    <xf numFmtId="2" fontId="12" fillId="20" borderId="1" xfId="0" applyNumberFormat="1" applyFont="1" applyFill="1" applyBorder="1" applyAlignment="1" applyProtection="1">
      <alignment horizontal="center" vertical="center"/>
      <protection hidden="1"/>
    </xf>
    <xf numFmtId="14" fontId="12" fillId="18" borderId="75" xfId="0" applyNumberFormat="1" applyFont="1" applyFill="1" applyBorder="1" applyAlignment="1">
      <alignment horizontal="center" vertical="center"/>
    </xf>
    <xf numFmtId="0" fontId="12" fillId="17" borderId="45" xfId="0" applyFont="1" applyFill="1" applyBorder="1" applyAlignment="1">
      <alignment horizontal="center" vertical="center"/>
    </xf>
    <xf numFmtId="171" fontId="12" fillId="17" borderId="1" xfId="0" applyNumberFormat="1" applyFont="1" applyFill="1" applyBorder="1" applyAlignment="1" applyProtection="1">
      <alignment horizontal="center" vertical="center"/>
      <protection hidden="1"/>
    </xf>
    <xf numFmtId="171" fontId="12" fillId="17" borderId="56" xfId="0" applyNumberFormat="1" applyFont="1" applyFill="1" applyBorder="1" applyAlignment="1" applyProtection="1">
      <alignment horizontal="center" vertical="center"/>
      <protection hidden="1"/>
    </xf>
    <xf numFmtId="0" fontId="5" fillId="0" borderId="26" xfId="0" applyFont="1" applyBorder="1" applyAlignment="1">
      <alignment horizontal="left" vertical="center"/>
    </xf>
    <xf numFmtId="0" fontId="5" fillId="0" borderId="45" xfId="0" applyFont="1" applyBorder="1" applyAlignment="1">
      <alignment vertical="center"/>
    </xf>
    <xf numFmtId="0" fontId="16" fillId="17" borderId="1" xfId="0" applyFont="1" applyFill="1" applyBorder="1" applyAlignment="1">
      <alignment horizontal="center" vertical="center"/>
    </xf>
    <xf numFmtId="0" fontId="41" fillId="17" borderId="1" xfId="0" applyFont="1" applyFill="1" applyBorder="1" applyAlignment="1" applyProtection="1">
      <alignment horizontal="center" vertical="center" wrapText="1"/>
      <protection hidden="1"/>
    </xf>
    <xf numFmtId="0" fontId="77" fillId="17" borderId="1" xfId="0" applyFont="1" applyFill="1" applyBorder="1" applyAlignment="1" applyProtection="1">
      <alignment horizontal="center" vertical="center" wrapText="1"/>
      <protection hidden="1"/>
    </xf>
    <xf numFmtId="0" fontId="15" fillId="17" borderId="1" xfId="0" applyFont="1" applyFill="1" applyBorder="1" applyAlignment="1">
      <alignment horizontal="center" wrapText="1"/>
    </xf>
    <xf numFmtId="0" fontId="5" fillId="17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 applyProtection="1">
      <alignment horizontal="center" vertical="center"/>
      <protection hidden="1"/>
    </xf>
    <xf numFmtId="2" fontId="5" fillId="17" borderId="1" xfId="0" applyNumberFormat="1" applyFont="1" applyFill="1" applyBorder="1" applyAlignment="1">
      <alignment horizontal="center" vertical="center" wrapText="1"/>
    </xf>
    <xf numFmtId="14" fontId="17" fillId="17" borderId="1" xfId="0" applyNumberFormat="1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/>
    </xf>
    <xf numFmtId="2" fontId="17" fillId="17" borderId="1" xfId="0" applyNumberFormat="1" applyFont="1" applyFill="1" applyBorder="1" applyAlignment="1" applyProtection="1">
      <alignment horizontal="center"/>
      <protection hidden="1"/>
    </xf>
    <xf numFmtId="0" fontId="17" fillId="17" borderId="1" xfId="0" applyFont="1" applyFill="1" applyBorder="1" applyAlignment="1">
      <alignment horizontal="center" vertical="center"/>
    </xf>
    <xf numFmtId="171" fontId="17" fillId="17" borderId="1" xfId="0" applyNumberFormat="1" applyFont="1" applyFill="1" applyBorder="1" applyAlignment="1" applyProtection="1">
      <alignment horizontal="center" vertical="center"/>
      <protection hidden="1"/>
    </xf>
    <xf numFmtId="14" fontId="17" fillId="17" borderId="1" xfId="0" applyNumberFormat="1" applyFont="1" applyFill="1" applyBorder="1" applyAlignment="1" applyProtection="1">
      <alignment horizontal="center" vertical="center"/>
      <protection hidden="1"/>
    </xf>
    <xf numFmtId="0" fontId="17" fillId="17" borderId="1" xfId="0" applyFont="1" applyFill="1" applyBorder="1" applyAlignment="1" applyProtection="1">
      <alignment horizontal="center" vertical="center"/>
      <protection hidden="1"/>
    </xf>
    <xf numFmtId="1" fontId="17" fillId="17" borderId="1" xfId="0" applyNumberFormat="1" applyFont="1" applyFill="1" applyBorder="1" applyAlignment="1">
      <alignment horizontal="center" vertical="center" wrapText="1"/>
    </xf>
    <xf numFmtId="1" fontId="17" fillId="17" borderId="1" xfId="0" applyNumberFormat="1" applyFont="1" applyFill="1" applyBorder="1" applyAlignment="1" applyProtection="1">
      <alignment horizontal="center" vertical="center" wrapText="1"/>
      <protection hidden="1"/>
    </xf>
    <xf numFmtId="2" fontId="17" fillId="17" borderId="1" xfId="0" applyNumberFormat="1" applyFont="1" applyFill="1" applyBorder="1" applyAlignment="1" applyProtection="1">
      <alignment horizontal="center" vertical="center" wrapText="1"/>
      <protection hidden="1"/>
    </xf>
    <xf numFmtId="2" fontId="17" fillId="17" borderId="1" xfId="4" applyNumberFormat="1" applyFont="1" applyFill="1" applyBorder="1" applyAlignment="1" applyProtection="1">
      <alignment horizontal="center" vertical="center"/>
      <protection hidden="1"/>
    </xf>
    <xf numFmtId="2" fontId="17" fillId="17" borderId="1" xfId="4" applyNumberFormat="1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/>
    </xf>
    <xf numFmtId="1" fontId="17" fillId="17" borderId="1" xfId="0" applyNumberFormat="1" applyFont="1" applyFill="1" applyBorder="1" applyAlignment="1">
      <alignment horizontal="center" wrapText="1"/>
    </xf>
    <xf numFmtId="2" fontId="17" fillId="17" borderId="1" xfId="0" applyNumberFormat="1" applyFont="1" applyFill="1" applyBorder="1" applyAlignment="1" applyProtection="1">
      <alignment horizontal="center" vertical="center"/>
      <protection hidden="1"/>
    </xf>
    <xf numFmtId="0" fontId="105" fillId="17" borderId="1" xfId="0" applyFont="1" applyFill="1" applyBorder="1"/>
    <xf numFmtId="0" fontId="26" fillId="17" borderId="1" xfId="0" applyFont="1" applyFill="1" applyBorder="1"/>
    <xf numFmtId="0" fontId="26" fillId="17" borderId="1" xfId="0" applyFont="1" applyFill="1" applyBorder="1" applyProtection="1">
      <protection hidden="1"/>
    </xf>
    <xf numFmtId="0" fontId="26" fillId="0" borderId="1" xfId="0" applyFont="1" applyBorder="1"/>
    <xf numFmtId="14" fontId="26" fillId="0" borderId="1" xfId="0" applyNumberFormat="1" applyFont="1" applyBorder="1"/>
    <xf numFmtId="0" fontId="26" fillId="17" borderId="1" xfId="0" applyFont="1" applyFill="1" applyBorder="1" applyAlignment="1">
      <alignment wrapText="1"/>
    </xf>
    <xf numFmtId="2" fontId="26" fillId="17" borderId="1" xfId="0" applyNumberFormat="1" applyFont="1" applyFill="1" applyBorder="1"/>
    <xf numFmtId="1" fontId="91" fillId="17" borderId="1" xfId="0" applyNumberFormat="1" applyFont="1" applyFill="1" applyBorder="1" applyAlignment="1" applyProtection="1">
      <alignment horizontal="center" vertical="center" wrapText="1"/>
      <protection hidden="1"/>
    </xf>
    <xf numFmtId="2" fontId="26" fillId="0" borderId="1" xfId="0" applyNumberFormat="1" applyFont="1" applyBorder="1"/>
    <xf numFmtId="0" fontId="77" fillId="17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/>
    </xf>
    <xf numFmtId="1" fontId="17" fillId="17" borderId="1" xfId="0" applyNumberFormat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/>
    </xf>
    <xf numFmtId="1" fontId="16" fillId="17" borderId="6" xfId="0" applyNumberFormat="1" applyFont="1" applyFill="1" applyBorder="1" applyAlignment="1" applyProtection="1">
      <alignment horizontal="center" vertical="center"/>
      <protection locked="0"/>
    </xf>
    <xf numFmtId="0" fontId="5" fillId="0" borderId="3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49" fontId="16" fillId="17" borderId="6" xfId="0" applyNumberFormat="1" applyFont="1" applyFill="1" applyBorder="1" applyAlignment="1" applyProtection="1">
      <alignment horizontal="center" vertical="center"/>
      <protection locked="0"/>
    </xf>
    <xf numFmtId="1" fontId="14" fillId="17" borderId="6" xfId="0" applyNumberFormat="1" applyFont="1" applyFill="1" applyBorder="1" applyAlignment="1" applyProtection="1">
      <alignment horizontal="center" vertical="center"/>
      <protection locked="0"/>
    </xf>
    <xf numFmtId="165" fontId="16" fillId="17" borderId="6" xfId="0" applyNumberFormat="1" applyFont="1" applyFill="1" applyBorder="1" applyAlignment="1" applyProtection="1">
      <alignment horizontal="center" vertical="center"/>
      <protection locked="0"/>
    </xf>
    <xf numFmtId="0" fontId="20" fillId="17" borderId="6" xfId="0" applyFont="1" applyFill="1" applyBorder="1" applyAlignment="1" applyProtection="1">
      <alignment horizontal="center" vertical="center"/>
      <protection locked="0"/>
    </xf>
    <xf numFmtId="0" fontId="27" fillId="17" borderId="0" xfId="0" applyFont="1" applyFill="1" applyAlignment="1">
      <alignment horizontal="center" vertical="center"/>
    </xf>
    <xf numFmtId="1" fontId="27" fillId="17" borderId="0" xfId="0" applyNumberFormat="1" applyFont="1" applyFill="1" applyAlignment="1" applyProtection="1">
      <alignment horizontal="center" vertical="center"/>
      <protection hidden="1"/>
    </xf>
    <xf numFmtId="0" fontId="68" fillId="56" borderId="5" xfId="0" applyFont="1" applyFill="1" applyBorder="1" applyAlignment="1" applyProtection="1">
      <alignment horizontal="center" vertical="center" wrapText="1"/>
      <protection hidden="1"/>
    </xf>
    <xf numFmtId="0" fontId="41" fillId="10" borderId="10" xfId="0" applyFont="1" applyFill="1" applyBorder="1" applyAlignment="1">
      <alignment horizontal="center" vertical="center"/>
    </xf>
    <xf numFmtId="14" fontId="16" fillId="10" borderId="10" xfId="0" applyNumberFormat="1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0" borderId="100" xfId="0" applyFont="1" applyBorder="1" applyAlignment="1">
      <alignment horizontal="center" vertical="center"/>
    </xf>
    <xf numFmtId="0" fontId="16" fillId="0" borderId="50" xfId="0" applyFont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2" fontId="16" fillId="0" borderId="50" xfId="0" applyNumberFormat="1" applyFont="1" applyBorder="1" applyAlignment="1" applyProtection="1">
      <alignment horizontal="center" vertical="center"/>
      <protection hidden="1"/>
    </xf>
    <xf numFmtId="0" fontId="68" fillId="56" borderId="39" xfId="0" applyFont="1" applyFill="1" applyBorder="1" applyAlignment="1" applyProtection="1">
      <alignment horizontal="center" vertical="center" wrapText="1"/>
      <protection hidden="1"/>
    </xf>
    <xf numFmtId="0" fontId="68" fillId="56" borderId="77" xfId="0" applyFont="1" applyFill="1" applyBorder="1" applyAlignment="1" applyProtection="1">
      <alignment horizontal="center" vertical="center" wrapText="1"/>
      <protection hidden="1"/>
    </xf>
    <xf numFmtId="0" fontId="6" fillId="0" borderId="5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44" fillId="17" borderId="0" xfId="0" applyFont="1" applyFill="1" applyAlignment="1">
      <alignment horizontal="center" vertical="center"/>
    </xf>
    <xf numFmtId="166" fontId="16" fillId="17" borderId="2" xfId="0" applyNumberFormat="1" applyFont="1" applyFill="1" applyBorder="1" applyAlignment="1" applyProtection="1">
      <alignment horizontal="center"/>
      <protection hidden="1"/>
    </xf>
    <xf numFmtId="166" fontId="16" fillId="17" borderId="24" xfId="0" applyNumberFormat="1" applyFont="1" applyFill="1" applyBorder="1" applyAlignment="1" applyProtection="1">
      <alignment horizontal="center"/>
      <protection hidden="1"/>
    </xf>
    <xf numFmtId="166" fontId="16" fillId="17" borderId="78" xfId="0" applyNumberFormat="1" applyFont="1" applyFill="1" applyBorder="1" applyAlignment="1" applyProtection="1">
      <alignment horizontal="center"/>
      <protection hidden="1"/>
    </xf>
    <xf numFmtId="166" fontId="16" fillId="17" borderId="49" xfId="0" applyNumberFormat="1" applyFont="1" applyFill="1" applyBorder="1" applyAlignment="1" applyProtection="1">
      <alignment horizontal="center"/>
      <protection hidden="1"/>
    </xf>
    <xf numFmtId="166" fontId="16" fillId="17" borderId="71" xfId="0" applyNumberFormat="1" applyFont="1" applyFill="1" applyBorder="1" applyAlignment="1" applyProtection="1">
      <alignment horizontal="center"/>
      <protection hidden="1"/>
    </xf>
    <xf numFmtId="166" fontId="16" fillId="17" borderId="72" xfId="0" applyNumberFormat="1" applyFont="1" applyFill="1" applyBorder="1" applyAlignment="1" applyProtection="1">
      <alignment horizontal="center"/>
      <protection hidden="1"/>
    </xf>
    <xf numFmtId="0" fontId="29" fillId="17" borderId="0" xfId="0" applyFont="1" applyFill="1" applyAlignment="1">
      <alignment horizontal="left" vertical="center"/>
    </xf>
    <xf numFmtId="0" fontId="41" fillId="4" borderId="0" xfId="0" applyFont="1" applyFill="1" applyAlignment="1">
      <alignment horizontal="center" vertical="center"/>
    </xf>
    <xf numFmtId="0" fontId="53" fillId="18" borderId="57" xfId="0" applyFont="1" applyFill="1" applyBorder="1" applyAlignment="1">
      <alignment horizontal="center" vertical="center"/>
    </xf>
    <xf numFmtId="0" fontId="53" fillId="18" borderId="55" xfId="0" applyFont="1" applyFill="1" applyBorder="1" applyAlignment="1">
      <alignment horizontal="center" vertical="center"/>
    </xf>
    <xf numFmtId="0" fontId="53" fillId="18" borderId="52" xfId="0" applyFont="1" applyFill="1" applyBorder="1" applyAlignment="1">
      <alignment horizontal="center" vertical="center"/>
    </xf>
    <xf numFmtId="0" fontId="93" fillId="18" borderId="44" xfId="1" applyFont="1" applyFill="1" applyBorder="1" applyAlignment="1" applyProtection="1">
      <alignment horizontal="center" vertical="center"/>
    </xf>
    <xf numFmtId="0" fontId="93" fillId="18" borderId="14" xfId="1" applyFont="1" applyFill="1" applyBorder="1" applyAlignment="1" applyProtection="1">
      <alignment horizontal="center" vertical="center"/>
    </xf>
    <xf numFmtId="0" fontId="53" fillId="18" borderId="14" xfId="1" applyFont="1" applyFill="1" applyBorder="1" applyAlignment="1" applyProtection="1">
      <alignment horizontal="center" vertical="center"/>
    </xf>
    <xf numFmtId="0" fontId="16" fillId="57" borderId="15" xfId="0" applyFont="1" applyFill="1" applyBorder="1" applyAlignment="1">
      <alignment horizontal="center" vertical="center"/>
    </xf>
    <xf numFmtId="0" fontId="16" fillId="57" borderId="16" xfId="0" applyFont="1" applyFill="1" applyBorder="1" applyAlignment="1">
      <alignment horizontal="center" vertical="center"/>
    </xf>
    <xf numFmtId="0" fontId="16" fillId="57" borderId="17" xfId="0" applyFont="1" applyFill="1" applyBorder="1" applyAlignment="1">
      <alignment horizontal="center" vertical="center"/>
    </xf>
    <xf numFmtId="174" fontId="21" fillId="39" borderId="32" xfId="0" applyNumberFormat="1" applyFont="1" applyFill="1" applyBorder="1" applyAlignment="1" applyProtection="1">
      <alignment horizontal="center" vertical="center"/>
      <protection hidden="1"/>
    </xf>
    <xf numFmtId="174" fontId="21" fillId="39" borderId="33" xfId="0" applyNumberFormat="1" applyFont="1" applyFill="1" applyBorder="1" applyAlignment="1" applyProtection="1">
      <alignment horizontal="center" vertical="center"/>
      <protection hidden="1"/>
    </xf>
    <xf numFmtId="173" fontId="21" fillId="39" borderId="26" xfId="0" applyNumberFormat="1" applyFont="1" applyFill="1" applyBorder="1" applyAlignment="1" applyProtection="1">
      <alignment horizontal="center" vertical="center"/>
      <protection hidden="1"/>
    </xf>
    <xf numFmtId="173" fontId="21" fillId="39" borderId="0" xfId="0" applyNumberFormat="1" applyFont="1" applyFill="1" applyAlignment="1" applyProtection="1">
      <alignment horizontal="center" vertical="center"/>
      <protection hidden="1"/>
    </xf>
    <xf numFmtId="173" fontId="21" fillId="39" borderId="32" xfId="0" applyNumberFormat="1" applyFont="1" applyFill="1" applyBorder="1" applyAlignment="1" applyProtection="1">
      <alignment horizontal="center" vertical="center"/>
      <protection hidden="1"/>
    </xf>
    <xf numFmtId="0" fontId="24" fillId="38" borderId="15" xfId="0" applyFont="1" applyFill="1" applyBorder="1" applyAlignment="1">
      <alignment horizontal="center" vertical="center"/>
    </xf>
    <xf numFmtId="0" fontId="24" fillId="38" borderId="16" xfId="0" applyFont="1" applyFill="1" applyBorder="1" applyAlignment="1">
      <alignment horizontal="center" vertical="center"/>
    </xf>
    <xf numFmtId="0" fontId="24" fillId="38" borderId="17" xfId="0" applyFont="1" applyFill="1" applyBorder="1" applyAlignment="1">
      <alignment horizontal="center" vertical="center"/>
    </xf>
    <xf numFmtId="166" fontId="16" fillId="17" borderId="83" xfId="0" applyNumberFormat="1" applyFont="1" applyFill="1" applyBorder="1" applyAlignment="1" applyProtection="1">
      <alignment horizontal="center"/>
      <protection hidden="1"/>
    </xf>
    <xf numFmtId="166" fontId="16" fillId="17" borderId="84" xfId="0" applyNumberFormat="1" applyFont="1" applyFill="1" applyBorder="1" applyAlignment="1" applyProtection="1">
      <alignment horizontal="center"/>
      <protection hidden="1"/>
    </xf>
    <xf numFmtId="0" fontId="15" fillId="51" borderId="15" xfId="0" applyFont="1" applyFill="1" applyBorder="1" applyAlignment="1">
      <alignment horizontal="center" vertical="center"/>
    </xf>
    <xf numFmtId="0" fontId="15" fillId="51" borderId="16" xfId="0" applyFont="1" applyFill="1" applyBorder="1" applyAlignment="1">
      <alignment horizontal="center" vertical="center"/>
    </xf>
    <xf numFmtId="0" fontId="15" fillId="51" borderId="17" xfId="0" applyFont="1" applyFill="1" applyBorder="1" applyAlignment="1">
      <alignment horizontal="center" vertical="center"/>
    </xf>
    <xf numFmtId="0" fontId="5" fillId="18" borderId="40" xfId="0" applyFont="1" applyFill="1" applyBorder="1" applyAlignment="1">
      <alignment horizontal="center" vertical="center"/>
    </xf>
    <xf numFmtId="0" fontId="5" fillId="18" borderId="44" xfId="0" applyFont="1" applyFill="1" applyBorder="1" applyAlignment="1">
      <alignment horizontal="center" vertical="center"/>
    </xf>
    <xf numFmtId="0" fontId="5" fillId="18" borderId="14" xfId="0" applyFont="1" applyFill="1" applyBorder="1" applyAlignment="1">
      <alignment horizontal="center" vertical="center"/>
    </xf>
    <xf numFmtId="0" fontId="5" fillId="18" borderId="56" xfId="0" applyFont="1" applyFill="1" applyBorder="1" applyAlignment="1">
      <alignment horizontal="center" vertical="center"/>
    </xf>
    <xf numFmtId="0" fontId="5" fillId="18" borderId="44" xfId="0" applyFont="1" applyFill="1" applyBorder="1" applyAlignment="1">
      <alignment horizontal="center" vertical="center" wrapText="1"/>
    </xf>
    <xf numFmtId="0" fontId="5" fillId="18" borderId="56" xfId="0" applyFont="1" applyFill="1" applyBorder="1" applyAlignment="1">
      <alignment horizontal="center" vertical="center" wrapText="1"/>
    </xf>
    <xf numFmtId="0" fontId="5" fillId="18" borderId="14" xfId="0" applyFont="1" applyFill="1" applyBorder="1" applyAlignment="1">
      <alignment horizontal="center" vertical="center" wrapText="1"/>
    </xf>
    <xf numFmtId="0" fontId="5" fillId="18" borderId="57" xfId="0" applyFont="1" applyFill="1" applyBorder="1" applyAlignment="1">
      <alignment horizontal="center" vertical="center"/>
    </xf>
    <xf numFmtId="0" fontId="5" fillId="18" borderId="52" xfId="0" applyFont="1" applyFill="1" applyBorder="1" applyAlignment="1">
      <alignment horizontal="center" vertical="center"/>
    </xf>
    <xf numFmtId="0" fontId="5" fillId="18" borderId="34" xfId="0" applyFont="1" applyFill="1" applyBorder="1" applyAlignment="1">
      <alignment horizontal="center" vertical="center"/>
    </xf>
    <xf numFmtId="14" fontId="5" fillId="18" borderId="19" xfId="0" applyNumberFormat="1" applyFont="1" applyFill="1" applyBorder="1" applyAlignment="1">
      <alignment horizontal="center" vertical="center"/>
    </xf>
    <xf numFmtId="0" fontId="6" fillId="16" borderId="78" xfId="0" applyFont="1" applyFill="1" applyBorder="1" applyAlignment="1" applyProtection="1">
      <alignment horizontal="center" vertical="center"/>
      <protection hidden="1"/>
    </xf>
    <xf numFmtId="0" fontId="6" fillId="16" borderId="48" xfId="0" applyFont="1" applyFill="1" applyBorder="1" applyAlignment="1" applyProtection="1">
      <alignment horizontal="center" vertical="center"/>
      <protection hidden="1"/>
    </xf>
    <xf numFmtId="0" fontId="45" fillId="18" borderId="15" xfId="0" applyFont="1" applyFill="1" applyBorder="1" applyAlignment="1">
      <alignment horizontal="center" vertical="center"/>
    </xf>
    <xf numFmtId="0" fontId="45" fillId="18" borderId="16" xfId="0" applyFont="1" applyFill="1" applyBorder="1" applyAlignment="1">
      <alignment horizontal="center" vertical="center"/>
    </xf>
    <xf numFmtId="0" fontId="45" fillId="18" borderId="17" xfId="0" applyFont="1" applyFill="1" applyBorder="1" applyAlignment="1">
      <alignment horizontal="center" vertical="center"/>
    </xf>
    <xf numFmtId="0" fontId="6" fillId="14" borderId="5" xfId="0" applyFont="1" applyFill="1" applyBorder="1" applyAlignment="1" applyProtection="1">
      <alignment horizontal="left"/>
      <protection hidden="1"/>
    </xf>
    <xf numFmtId="0" fontId="6" fillId="14" borderId="1" xfId="0" applyFont="1" applyFill="1" applyBorder="1" applyAlignment="1" applyProtection="1">
      <alignment horizontal="left"/>
      <protection hidden="1"/>
    </xf>
    <xf numFmtId="0" fontId="4" fillId="4" borderId="21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179" fontId="4" fillId="32" borderId="95" xfId="0" applyNumberFormat="1" applyFont="1" applyFill="1" applyBorder="1" applyAlignment="1">
      <alignment horizontal="center" vertical="center"/>
    </xf>
    <xf numFmtId="179" fontId="4" fillId="32" borderId="93" xfId="0" applyNumberFormat="1" applyFont="1" applyFill="1" applyBorder="1" applyAlignment="1">
      <alignment horizontal="center" vertical="center"/>
    </xf>
    <xf numFmtId="179" fontId="4" fillId="32" borderId="98" xfId="0" applyNumberFormat="1" applyFont="1" applyFill="1" applyBorder="1" applyAlignment="1">
      <alignment horizontal="center" vertical="center"/>
    </xf>
    <xf numFmtId="179" fontId="4" fillId="32" borderId="96" xfId="0" applyNumberFormat="1" applyFont="1" applyFill="1" applyBorder="1" applyAlignment="1">
      <alignment horizontal="center" vertical="center"/>
    </xf>
    <xf numFmtId="0" fontId="24" fillId="53" borderId="12" xfId="0" applyFont="1" applyFill="1" applyBorder="1" applyAlignment="1">
      <alignment horizontal="center" vertical="center" wrapText="1"/>
    </xf>
    <xf numFmtId="0" fontId="24" fillId="53" borderId="13" xfId="0" applyFont="1" applyFill="1" applyBorder="1" applyAlignment="1">
      <alignment horizontal="center" vertical="center" wrapText="1"/>
    </xf>
    <xf numFmtId="0" fontId="24" fillId="53" borderId="68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 applyProtection="1">
      <alignment horizontal="left"/>
      <protection hidden="1"/>
    </xf>
    <xf numFmtId="0" fontId="6" fillId="14" borderId="10" xfId="0" applyFont="1" applyFill="1" applyBorder="1" applyAlignment="1" applyProtection="1">
      <alignment horizontal="left"/>
      <protection hidden="1"/>
    </xf>
    <xf numFmtId="0" fontId="70" fillId="17" borderId="0" xfId="0" applyFont="1" applyFill="1" applyAlignment="1">
      <alignment horizontal="center"/>
    </xf>
    <xf numFmtId="0" fontId="70" fillId="17" borderId="0" xfId="0" applyFont="1" applyFill="1" applyAlignment="1">
      <alignment horizontal="center" vertical="center"/>
    </xf>
    <xf numFmtId="0" fontId="8" fillId="17" borderId="0" xfId="0" applyFont="1" applyFill="1" applyAlignment="1">
      <alignment horizontal="center" vertical="center" wrapText="1"/>
    </xf>
    <xf numFmtId="0" fontId="8" fillId="17" borderId="0" xfId="0" applyFont="1" applyFill="1" applyAlignment="1">
      <alignment horizontal="center" vertical="center"/>
    </xf>
    <xf numFmtId="0" fontId="70" fillId="53" borderId="15" xfId="0" applyFont="1" applyFill="1" applyBorder="1" applyAlignment="1">
      <alignment horizontal="center" vertical="center"/>
    </xf>
    <xf numFmtId="0" fontId="70" fillId="53" borderId="16" xfId="0" applyFont="1" applyFill="1" applyBorder="1" applyAlignment="1">
      <alignment horizontal="center" vertical="center"/>
    </xf>
    <xf numFmtId="180" fontId="71" fillId="53" borderId="15" xfId="0" applyNumberFormat="1" applyFont="1" applyFill="1" applyBorder="1" applyAlignment="1" applyProtection="1">
      <alignment horizontal="center" vertical="center"/>
      <protection hidden="1"/>
    </xf>
    <xf numFmtId="180" fontId="71" fillId="53" borderId="17" xfId="0" applyNumberFormat="1" applyFont="1" applyFill="1" applyBorder="1" applyAlignment="1" applyProtection="1">
      <alignment horizontal="center" vertical="center"/>
      <protection hidden="1"/>
    </xf>
    <xf numFmtId="180" fontId="71" fillId="53" borderId="79" xfId="0" applyNumberFormat="1" applyFont="1" applyFill="1" applyBorder="1" applyAlignment="1" applyProtection="1">
      <alignment horizontal="center" vertical="center"/>
      <protection hidden="1"/>
    </xf>
    <xf numFmtId="180" fontId="71" fillId="53" borderId="81" xfId="0" applyNumberFormat="1" applyFont="1" applyFill="1" applyBorder="1" applyAlignment="1" applyProtection="1">
      <alignment horizontal="center" vertical="center"/>
      <protection hidden="1"/>
    </xf>
    <xf numFmtId="0" fontId="71" fillId="53" borderId="31" xfId="0" applyFont="1" applyFill="1" applyBorder="1" applyAlignment="1">
      <alignment horizontal="center" vertical="center"/>
    </xf>
    <xf numFmtId="0" fontId="71" fillId="53" borderId="32" xfId="0" applyFont="1" applyFill="1" applyBorder="1" applyAlignment="1">
      <alignment horizontal="center" vertical="center"/>
    </xf>
    <xf numFmtId="0" fontId="71" fillId="53" borderId="33" xfId="0" applyFont="1" applyFill="1" applyBorder="1" applyAlignment="1">
      <alignment horizontal="center" vertical="center"/>
    </xf>
    <xf numFmtId="0" fontId="71" fillId="53" borderId="35" xfId="0" applyFont="1" applyFill="1" applyBorder="1" applyAlignment="1">
      <alignment horizontal="center" vertical="center"/>
    </xf>
    <xf numFmtId="0" fontId="71" fillId="53" borderId="36" xfId="0" applyFont="1" applyFill="1" applyBorder="1" applyAlignment="1">
      <alignment horizontal="center" vertical="center"/>
    </xf>
    <xf numFmtId="0" fontId="71" fillId="53" borderId="37" xfId="0" applyFont="1" applyFill="1" applyBorder="1" applyAlignment="1">
      <alignment horizontal="center" vertical="center"/>
    </xf>
    <xf numFmtId="0" fontId="6" fillId="14" borderId="75" xfId="0" applyFont="1" applyFill="1" applyBorder="1" applyAlignment="1" applyProtection="1">
      <alignment horizontal="left"/>
      <protection hidden="1"/>
    </xf>
    <xf numFmtId="0" fontId="6" fillId="14" borderId="18" xfId="0" applyFont="1" applyFill="1" applyBorder="1" applyAlignment="1" applyProtection="1">
      <alignment horizontal="left"/>
      <protection hidden="1"/>
    </xf>
    <xf numFmtId="0" fontId="63" fillId="0" borderId="15" xfId="0" applyFont="1" applyBorder="1" applyAlignment="1">
      <alignment horizontal="center" vertical="center"/>
    </xf>
    <xf numFmtId="0" fontId="63" fillId="0" borderId="16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0" fontId="6" fillId="11" borderId="2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0" fontId="16" fillId="51" borderId="15" xfId="0" applyFont="1" applyFill="1" applyBorder="1" applyAlignment="1">
      <alignment horizontal="center" vertical="center"/>
    </xf>
    <xf numFmtId="0" fontId="16" fillId="51" borderId="16" xfId="0" applyFont="1" applyFill="1" applyBorder="1" applyAlignment="1">
      <alignment horizontal="center" vertical="center"/>
    </xf>
    <xf numFmtId="0" fontId="16" fillId="51" borderId="17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left" vertical="center"/>
      <protection hidden="1"/>
    </xf>
    <xf numFmtId="0" fontId="16" fillId="0" borderId="32" xfId="0" applyFont="1" applyBorder="1" applyAlignment="1">
      <alignment horizontal="center" vertical="center"/>
    </xf>
    <xf numFmtId="0" fontId="6" fillId="0" borderId="36" xfId="0" applyFont="1" applyBorder="1" applyAlignment="1" applyProtection="1">
      <alignment horizontal="center" vertical="center"/>
      <protection hidden="1"/>
    </xf>
    <xf numFmtId="0" fontId="4" fillId="17" borderId="15" xfId="0" applyFont="1" applyFill="1" applyBorder="1" applyAlignment="1">
      <alignment horizontal="center" vertical="center"/>
    </xf>
    <xf numFmtId="0" fontId="4" fillId="17" borderId="16" xfId="0" applyFont="1" applyFill="1" applyBorder="1" applyAlignment="1">
      <alignment horizontal="center" vertical="center"/>
    </xf>
    <xf numFmtId="0" fontId="4" fillId="17" borderId="17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10" xfId="0" applyNumberFormat="1" applyFont="1" applyBorder="1" applyAlignment="1">
      <alignment horizontal="center" vertical="center"/>
    </xf>
    <xf numFmtId="0" fontId="29" fillId="6" borderId="16" xfId="0" applyFont="1" applyFill="1" applyBorder="1" applyAlignment="1" applyProtection="1">
      <alignment horizontal="center" vertical="center"/>
      <protection hidden="1"/>
    </xf>
    <xf numFmtId="0" fontId="16" fillId="0" borderId="2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10" borderId="54" xfId="0" applyFont="1" applyFill="1" applyBorder="1" applyAlignment="1">
      <alignment horizontal="center" vertical="center"/>
    </xf>
    <xf numFmtId="0" fontId="16" fillId="10" borderId="55" xfId="0" applyFont="1" applyFill="1" applyBorder="1" applyAlignment="1">
      <alignment horizontal="center" vertical="center"/>
    </xf>
    <xf numFmtId="0" fontId="16" fillId="10" borderId="52" xfId="0" applyFont="1" applyFill="1" applyBorder="1" applyAlignment="1">
      <alignment horizontal="center" vertical="center"/>
    </xf>
    <xf numFmtId="0" fontId="65" fillId="49" borderId="31" xfId="0" applyFont="1" applyFill="1" applyBorder="1" applyAlignment="1">
      <alignment horizontal="center" vertical="center"/>
    </xf>
    <xf numFmtId="0" fontId="65" fillId="49" borderId="32" xfId="0" applyFont="1" applyFill="1" applyBorder="1" applyAlignment="1">
      <alignment horizontal="center" vertical="center"/>
    </xf>
    <xf numFmtId="0" fontId="65" fillId="49" borderId="33" xfId="0" applyFont="1" applyFill="1" applyBorder="1" applyAlignment="1">
      <alignment horizontal="center" vertical="center"/>
    </xf>
    <xf numFmtId="0" fontId="44" fillId="10" borderId="26" xfId="0" applyFont="1" applyFill="1" applyBorder="1" applyAlignment="1" applyProtection="1">
      <alignment horizontal="center" vertical="center"/>
      <protection hidden="1"/>
    </xf>
    <xf numFmtId="0" fontId="44" fillId="10" borderId="0" xfId="0" applyFont="1" applyFill="1" applyAlignment="1" applyProtection="1">
      <alignment horizontal="center" vertical="center"/>
      <protection hidden="1"/>
    </xf>
    <xf numFmtId="0" fontId="44" fillId="10" borderId="27" xfId="0" applyFont="1" applyFill="1" applyBorder="1" applyAlignment="1" applyProtection="1">
      <alignment horizontal="center" vertical="center"/>
      <protection hidden="1"/>
    </xf>
    <xf numFmtId="0" fontId="16" fillId="0" borderId="54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6" fillId="0" borderId="4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63" xfId="0" applyFont="1" applyBorder="1" applyAlignment="1" applyProtection="1">
      <alignment horizontal="center" vertical="center"/>
      <protection hidden="1"/>
    </xf>
    <xf numFmtId="0" fontId="1" fillId="10" borderId="59" xfId="0" applyFont="1" applyFill="1" applyBorder="1" applyAlignment="1">
      <alignment horizontal="center" vertical="center"/>
    </xf>
    <xf numFmtId="0" fontId="1" fillId="10" borderId="17" xfId="0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60" xfId="0" applyFont="1" applyFill="1" applyBorder="1" applyAlignment="1">
      <alignment horizontal="center" vertical="center"/>
    </xf>
    <xf numFmtId="0" fontId="1" fillId="0" borderId="40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58" xfId="0" applyFont="1" applyBorder="1" applyAlignment="1" applyProtection="1">
      <alignment horizontal="center" vertical="center"/>
      <protection hidden="1"/>
    </xf>
    <xf numFmtId="0" fontId="16" fillId="0" borderId="57" xfId="0" applyFont="1" applyBorder="1" applyAlignment="1">
      <alignment horizontal="center"/>
    </xf>
    <xf numFmtId="0" fontId="16" fillId="0" borderId="52" xfId="0" applyFont="1" applyBorder="1" applyAlignment="1">
      <alignment horizontal="center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24" xfId="0" applyFont="1" applyBorder="1" applyAlignment="1" applyProtection="1">
      <alignment horizontal="center" vertical="center"/>
      <protection hidden="1"/>
    </xf>
    <xf numFmtId="14" fontId="5" fillId="17" borderId="2" xfId="0" applyNumberFormat="1" applyFont="1" applyFill="1" applyBorder="1" applyAlignment="1" applyProtection="1">
      <alignment horizontal="center" vertical="center"/>
      <protection hidden="1"/>
    </xf>
    <xf numFmtId="14" fontId="5" fillId="17" borderId="24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6" fillId="0" borderId="55" xfId="0" applyFont="1" applyBorder="1" applyAlignment="1" applyProtection="1">
      <alignment horizontal="center" vertical="center"/>
      <protection hidden="1"/>
    </xf>
    <xf numFmtId="0" fontId="5" fillId="17" borderId="0" xfId="0" applyFont="1" applyFill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40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27" xfId="0" applyFont="1" applyBorder="1" applyAlignment="1" applyProtection="1">
      <alignment horizontal="center" vertical="center"/>
      <protection hidden="1"/>
    </xf>
    <xf numFmtId="2" fontId="16" fillId="10" borderId="1" xfId="0" applyNumberFormat="1" applyFont="1" applyFill="1" applyBorder="1" applyAlignment="1" applyProtection="1">
      <alignment horizontal="center" vertical="center"/>
      <protection hidden="1"/>
    </xf>
    <xf numFmtId="0" fontId="16" fillId="10" borderId="1" xfId="0" applyFont="1" applyFill="1" applyBorder="1" applyAlignment="1" applyProtection="1">
      <alignment horizontal="center" vertical="center"/>
      <protection hidden="1"/>
    </xf>
    <xf numFmtId="1" fontId="16" fillId="0" borderId="1" xfId="0" applyNumberFormat="1" applyFont="1" applyBorder="1" applyAlignment="1" applyProtection="1">
      <alignment horizontal="center" vertical="center"/>
      <protection hidden="1"/>
    </xf>
    <xf numFmtId="1" fontId="16" fillId="0" borderId="6" xfId="0" applyNumberFormat="1" applyFont="1" applyBorder="1" applyAlignment="1" applyProtection="1">
      <alignment horizontal="center" vertical="center"/>
      <protection hidden="1"/>
    </xf>
    <xf numFmtId="0" fontId="1" fillId="0" borderId="55" xfId="0" applyFont="1" applyBorder="1" applyAlignment="1">
      <alignment horizontal="center" vertical="center"/>
    </xf>
    <xf numFmtId="0" fontId="1" fillId="0" borderId="55" xfId="0" applyFont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left"/>
      <protection hidden="1"/>
    </xf>
    <xf numFmtId="0" fontId="1" fillId="0" borderId="27" xfId="0" applyFont="1" applyBorder="1" applyAlignment="1" applyProtection="1">
      <alignment horizontal="left"/>
      <protection hidden="1"/>
    </xf>
    <xf numFmtId="0" fontId="97" fillId="51" borderId="15" xfId="0" applyFont="1" applyFill="1" applyBorder="1" applyAlignment="1">
      <alignment horizontal="center" vertical="center"/>
    </xf>
    <xf numFmtId="0" fontId="97" fillId="51" borderId="16" xfId="0" applyFont="1" applyFill="1" applyBorder="1" applyAlignment="1">
      <alignment horizontal="center" vertical="center"/>
    </xf>
    <xf numFmtId="0" fontId="97" fillId="51" borderId="32" xfId="0" applyFont="1" applyFill="1" applyBorder="1" applyAlignment="1">
      <alignment horizontal="center" vertical="center"/>
    </xf>
    <xf numFmtId="0" fontId="97" fillId="51" borderId="17" xfId="0" applyFont="1" applyFill="1" applyBorder="1" applyAlignment="1">
      <alignment horizontal="center" vertical="center"/>
    </xf>
    <xf numFmtId="0" fontId="41" fillId="0" borderId="36" xfId="0" applyFont="1" applyBorder="1" applyAlignment="1" applyProtection="1">
      <alignment horizontal="center" vertical="center"/>
      <protection hidden="1"/>
    </xf>
    <xf numFmtId="0" fontId="42" fillId="52" borderId="39" xfId="0" applyFont="1" applyFill="1" applyBorder="1" applyAlignment="1">
      <alignment horizontal="center" vertical="center"/>
    </xf>
    <xf numFmtId="0" fontId="42" fillId="52" borderId="28" xfId="0" applyFont="1" applyFill="1" applyBorder="1" applyAlignment="1">
      <alignment horizontal="center" vertical="center"/>
    </xf>
    <xf numFmtId="0" fontId="42" fillId="52" borderId="21" xfId="0" applyFont="1" applyFill="1" applyBorder="1" applyAlignment="1">
      <alignment horizontal="center" vertical="center"/>
    </xf>
    <xf numFmtId="0" fontId="42" fillId="52" borderId="29" xfId="0" applyFont="1" applyFill="1" applyBorder="1" applyAlignment="1">
      <alignment horizontal="center" vertical="center"/>
    </xf>
    <xf numFmtId="0" fontId="42" fillId="52" borderId="41" xfId="0" applyFont="1" applyFill="1" applyBorder="1" applyAlignment="1">
      <alignment horizontal="center" vertical="center"/>
    </xf>
    <xf numFmtId="0" fontId="42" fillId="52" borderId="20" xfId="0" applyFont="1" applyFill="1" applyBorder="1" applyAlignment="1">
      <alignment horizontal="center" vertical="center"/>
    </xf>
    <xf numFmtId="0" fontId="42" fillId="52" borderId="42" xfId="0" applyFont="1" applyFill="1" applyBorder="1" applyAlignment="1">
      <alignment horizontal="center" vertical="center"/>
    </xf>
    <xf numFmtId="0" fontId="95" fillId="17" borderId="0" xfId="0" applyFont="1" applyFill="1" applyAlignment="1">
      <alignment horizontal="center"/>
    </xf>
    <xf numFmtId="180" fontId="42" fillId="0" borderId="91" xfId="0" applyNumberFormat="1" applyFont="1" applyBorder="1" applyAlignment="1" applyProtection="1">
      <alignment horizontal="center" vertical="center"/>
      <protection hidden="1"/>
    </xf>
    <xf numFmtId="180" fontId="42" fillId="0" borderId="90" xfId="0" applyNumberFormat="1" applyFont="1" applyBorder="1" applyAlignment="1" applyProtection="1">
      <alignment horizontal="center" vertical="center"/>
      <protection hidden="1"/>
    </xf>
    <xf numFmtId="0" fontId="42" fillId="0" borderId="91" xfId="0" applyFont="1" applyBorder="1" applyAlignment="1">
      <alignment horizontal="center" vertical="center"/>
    </xf>
    <xf numFmtId="0" fontId="42" fillId="0" borderId="90" xfId="0" applyFont="1" applyBorder="1" applyAlignment="1">
      <alignment horizontal="center" vertical="center"/>
    </xf>
    <xf numFmtId="0" fontId="95" fillId="17" borderId="0" xfId="0" applyFont="1" applyFill="1" applyAlignment="1">
      <alignment horizontal="center" wrapText="1"/>
    </xf>
    <xf numFmtId="0" fontId="42" fillId="43" borderId="2" xfId="0" applyFont="1" applyFill="1" applyBorder="1" applyAlignment="1">
      <alignment horizontal="center" vertical="center"/>
    </xf>
    <xf numFmtId="0" fontId="42" fillId="43" borderId="3" xfId="0" applyFont="1" applyFill="1" applyBorder="1" applyAlignment="1">
      <alignment horizontal="center" vertical="center"/>
    </xf>
    <xf numFmtId="0" fontId="42" fillId="43" borderId="4" xfId="0" applyFont="1" applyFill="1" applyBorder="1" applyAlignment="1">
      <alignment horizontal="center" vertical="center"/>
    </xf>
    <xf numFmtId="0" fontId="42" fillId="43" borderId="55" xfId="0" applyFont="1" applyFill="1" applyBorder="1" applyAlignment="1">
      <alignment horizontal="center" vertical="center"/>
    </xf>
    <xf numFmtId="0" fontId="53" fillId="56" borderId="26" xfId="0" applyFont="1" applyFill="1" applyBorder="1" applyAlignment="1" applyProtection="1">
      <alignment horizontal="center" vertical="center"/>
      <protection hidden="1"/>
    </xf>
    <xf numFmtId="0" fontId="53" fillId="56" borderId="0" xfId="0" applyFont="1" applyFill="1" applyAlignment="1" applyProtection="1">
      <alignment horizontal="center" vertical="center"/>
      <protection hidden="1"/>
    </xf>
    <xf numFmtId="0" fontId="53" fillId="56" borderId="35" xfId="0" applyFont="1" applyFill="1" applyBorder="1" applyAlignment="1" applyProtection="1">
      <alignment horizontal="center" vertical="center"/>
      <protection hidden="1"/>
    </xf>
    <xf numFmtId="0" fontId="53" fillId="56" borderId="36" xfId="0" applyFont="1" applyFill="1" applyBorder="1" applyAlignment="1" applyProtection="1">
      <alignment horizontal="center" vertical="center"/>
      <protection hidden="1"/>
    </xf>
    <xf numFmtId="0" fontId="53" fillId="56" borderId="31" xfId="0" applyFont="1" applyFill="1" applyBorder="1" applyAlignment="1" applyProtection="1">
      <alignment horizontal="center" vertical="center"/>
      <protection hidden="1"/>
    </xf>
    <xf numFmtId="0" fontId="53" fillId="56" borderId="32" xfId="0" applyFont="1" applyFill="1" applyBorder="1" applyAlignment="1" applyProtection="1">
      <alignment horizontal="center" vertical="center"/>
      <protection hidden="1"/>
    </xf>
    <xf numFmtId="0" fontId="92" fillId="57" borderId="15" xfId="0" applyFont="1" applyFill="1" applyBorder="1" applyAlignment="1" applyProtection="1">
      <alignment horizontal="center" vertical="center"/>
      <protection hidden="1"/>
    </xf>
    <xf numFmtId="0" fontId="51" fillId="57" borderId="16" xfId="0" applyFont="1" applyFill="1" applyBorder="1" applyAlignment="1" applyProtection="1">
      <alignment horizontal="center" vertical="center"/>
      <protection hidden="1"/>
    </xf>
    <xf numFmtId="0" fontId="51" fillId="57" borderId="17" xfId="0" applyFont="1" applyFill="1" applyBorder="1" applyAlignment="1" applyProtection="1">
      <alignment horizontal="center" vertical="center"/>
      <protection hidden="1"/>
    </xf>
    <xf numFmtId="0" fontId="45" fillId="57" borderId="79" xfId="0" applyFont="1" applyFill="1" applyBorder="1" applyAlignment="1" applyProtection="1">
      <alignment horizontal="center" vertical="top" wrapText="1"/>
      <protection hidden="1"/>
    </xf>
    <xf numFmtId="0" fontId="52" fillId="57" borderId="80" xfId="0" applyFont="1" applyFill="1" applyBorder="1" applyAlignment="1" applyProtection="1">
      <alignment horizontal="center" vertical="top" wrapText="1"/>
      <protection hidden="1"/>
    </xf>
    <xf numFmtId="0" fontId="52" fillId="57" borderId="81" xfId="0" applyFont="1" applyFill="1" applyBorder="1" applyAlignment="1" applyProtection="1">
      <alignment horizontal="center" vertical="top" wrapText="1"/>
      <protection hidden="1"/>
    </xf>
    <xf numFmtId="0" fontId="53" fillId="56" borderId="39" xfId="0" applyFont="1" applyFill="1" applyBorder="1" applyAlignment="1" applyProtection="1">
      <alignment horizontal="center" vertical="center"/>
      <protection hidden="1"/>
    </xf>
    <xf numFmtId="0" fontId="53" fillId="56" borderId="28" xfId="0" applyFont="1" applyFill="1" applyBorder="1" applyAlignment="1" applyProtection="1">
      <alignment horizontal="center" vertical="center"/>
      <protection hidden="1"/>
    </xf>
    <xf numFmtId="0" fontId="53" fillId="56" borderId="5" xfId="0" applyFont="1" applyFill="1" applyBorder="1" applyAlignment="1" applyProtection="1">
      <alignment horizontal="center" vertical="center"/>
      <protection hidden="1"/>
    </xf>
    <xf numFmtId="0" fontId="53" fillId="56" borderId="1" xfId="0" applyFont="1" applyFill="1" applyBorder="1" applyAlignment="1" applyProtection="1">
      <alignment horizontal="center" vertical="center"/>
      <protection hidden="1"/>
    </xf>
    <xf numFmtId="0" fontId="53" fillId="56" borderId="5" xfId="0" applyFont="1" applyFill="1" applyBorder="1" applyAlignment="1" applyProtection="1">
      <alignment horizontal="center"/>
      <protection hidden="1"/>
    </xf>
    <xf numFmtId="0" fontId="53" fillId="56" borderId="1" xfId="0" applyFont="1" applyFill="1" applyBorder="1" applyAlignment="1" applyProtection="1">
      <alignment horizontal="center"/>
      <protection hidden="1"/>
    </xf>
    <xf numFmtId="0" fontId="53" fillId="56" borderId="45" xfId="0" applyFont="1" applyFill="1" applyBorder="1" applyAlignment="1" applyProtection="1">
      <alignment horizontal="center" vertical="center"/>
      <protection hidden="1"/>
    </xf>
    <xf numFmtId="0" fontId="53" fillId="56" borderId="4" xfId="0" applyFont="1" applyFill="1" applyBorder="1" applyAlignment="1" applyProtection="1">
      <alignment horizontal="center" vertical="center"/>
      <protection hidden="1"/>
    </xf>
    <xf numFmtId="0" fontId="65" fillId="38" borderId="27" xfId="0" applyFont="1" applyFill="1" applyBorder="1" applyAlignment="1">
      <alignment horizontal="center" vertical="center" wrapText="1"/>
    </xf>
    <xf numFmtId="0" fontId="87" fillId="38" borderId="27" xfId="0" applyFont="1" applyFill="1" applyBorder="1" applyAlignment="1">
      <alignment horizontal="center" vertical="center" wrapText="1"/>
    </xf>
    <xf numFmtId="0" fontId="87" fillId="38" borderId="37" xfId="0" applyFont="1" applyFill="1" applyBorder="1" applyAlignment="1">
      <alignment horizontal="center" vertical="center" wrapText="1"/>
    </xf>
    <xf numFmtId="0" fontId="86" fillId="38" borderId="26" xfId="0" applyFont="1" applyFill="1" applyBorder="1" applyAlignment="1">
      <alignment horizontal="center" vertical="center" wrapText="1"/>
    </xf>
    <xf numFmtId="0" fontId="86" fillId="38" borderId="35" xfId="0" applyFont="1" applyFill="1" applyBorder="1" applyAlignment="1">
      <alignment horizontal="center" vertical="center" wrapText="1"/>
    </xf>
    <xf numFmtId="0" fontId="79" fillId="39" borderId="26" xfId="0" applyFont="1" applyFill="1" applyBorder="1" applyAlignment="1">
      <alignment horizontal="center"/>
    </xf>
    <xf numFmtId="0" fontId="24" fillId="39" borderId="27" xfId="0" applyFont="1" applyFill="1" applyBorder="1" applyAlignment="1">
      <alignment horizontal="center" vertical="center" wrapText="1"/>
    </xf>
    <xf numFmtId="0" fontId="88" fillId="39" borderId="27" xfId="0" applyFont="1" applyFill="1" applyBorder="1" applyAlignment="1">
      <alignment horizontal="center" vertical="center" wrapText="1"/>
    </xf>
    <xf numFmtId="0" fontId="68" fillId="56" borderId="75" xfId="0" applyFont="1" applyFill="1" applyBorder="1" applyAlignment="1" applyProtection="1">
      <alignment horizontal="center" vertical="center" wrapText="1"/>
      <protection hidden="1"/>
    </xf>
    <xf numFmtId="0" fontId="68" fillId="56" borderId="18" xfId="0" applyFont="1" applyFill="1" applyBorder="1" applyAlignment="1" applyProtection="1">
      <alignment horizontal="center" vertical="center" wrapText="1"/>
      <protection hidden="1"/>
    </xf>
    <xf numFmtId="0" fontId="68" fillId="56" borderId="5" xfId="0" applyFont="1" applyFill="1" applyBorder="1" applyAlignment="1" applyProtection="1">
      <alignment horizontal="center" vertical="center" wrapText="1"/>
      <protection hidden="1"/>
    </xf>
    <xf numFmtId="0" fontId="68" fillId="56" borderId="1" xfId="0" applyFont="1" applyFill="1" applyBorder="1" applyAlignment="1" applyProtection="1">
      <alignment horizontal="center" vertical="center" wrapText="1"/>
      <protection hidden="1"/>
    </xf>
    <xf numFmtId="0" fontId="44" fillId="15" borderId="4" xfId="0" applyFont="1" applyFill="1" applyBorder="1" applyAlignment="1" applyProtection="1">
      <alignment horizontal="center" vertical="center"/>
      <protection hidden="1"/>
    </xf>
    <xf numFmtId="0" fontId="44" fillId="15" borderId="1" xfId="0" applyFont="1" applyFill="1" applyBorder="1" applyAlignment="1" applyProtection="1">
      <alignment horizontal="center" vertical="center"/>
      <protection hidden="1"/>
    </xf>
    <xf numFmtId="0" fontId="44" fillId="15" borderId="15" xfId="0" applyFont="1" applyFill="1" applyBorder="1" applyAlignment="1">
      <alignment horizontal="center" vertical="center"/>
    </xf>
    <xf numFmtId="0" fontId="44" fillId="15" borderId="16" xfId="0" applyFont="1" applyFill="1" applyBorder="1" applyAlignment="1">
      <alignment horizontal="center" vertical="center"/>
    </xf>
    <xf numFmtId="0" fontId="24" fillId="39" borderId="0" xfId="0" applyFont="1" applyFill="1" applyAlignment="1">
      <alignment horizontal="center"/>
    </xf>
    <xf numFmtId="0" fontId="1" fillId="26" borderId="18" xfId="0" applyFont="1" applyFill="1" applyBorder="1" applyAlignment="1">
      <alignment horizontal="center" vertical="center"/>
    </xf>
    <xf numFmtId="0" fontId="1" fillId="26" borderId="10" xfId="0" applyFont="1" applyFill="1" applyBorder="1" applyAlignment="1">
      <alignment horizontal="center" vertical="center"/>
    </xf>
    <xf numFmtId="0" fontId="21" fillId="38" borderId="14" xfId="0" applyFont="1" applyFill="1" applyBorder="1" applyAlignment="1">
      <alignment horizontal="center"/>
    </xf>
    <xf numFmtId="0" fontId="21" fillId="37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4" fillId="38" borderId="0" xfId="0" applyFont="1" applyFill="1" applyAlignment="1">
      <alignment horizont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0" fontId="6" fillId="27" borderId="1" xfId="0" applyFont="1" applyFill="1" applyBorder="1" applyAlignment="1">
      <alignment horizontal="center"/>
    </xf>
    <xf numFmtId="0" fontId="1" fillId="39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21" fillId="39" borderId="14" xfId="0" applyFont="1" applyFill="1" applyBorder="1" applyAlignment="1">
      <alignment horizontal="center"/>
    </xf>
    <xf numFmtId="0" fontId="67" fillId="38" borderId="15" xfId="0" applyFont="1" applyFill="1" applyBorder="1" applyAlignment="1" applyProtection="1">
      <alignment horizontal="center" vertical="center"/>
      <protection hidden="1"/>
    </xf>
    <xf numFmtId="0" fontId="67" fillId="38" borderId="16" xfId="0" applyFont="1" applyFill="1" applyBorder="1" applyAlignment="1" applyProtection="1">
      <alignment horizontal="center" vertical="center"/>
      <protection hidden="1"/>
    </xf>
    <xf numFmtId="0" fontId="16" fillId="10" borderId="1" xfId="0" applyFont="1" applyFill="1" applyBorder="1" applyAlignment="1">
      <alignment horizontal="center" vertical="center"/>
    </xf>
    <xf numFmtId="0" fontId="16" fillId="10" borderId="58" xfId="0" applyFont="1" applyFill="1" applyBorder="1" applyAlignment="1">
      <alignment horizontal="center" vertical="center"/>
    </xf>
    <xf numFmtId="0" fontId="16" fillId="10" borderId="44" xfId="0" applyFont="1" applyFill="1" applyBorder="1" applyAlignment="1">
      <alignment horizontal="center" vertical="center"/>
    </xf>
    <xf numFmtId="0" fontId="16" fillId="10" borderId="14" xfId="0" applyFont="1" applyFill="1" applyBorder="1" applyAlignment="1">
      <alignment horizontal="center" vertical="center"/>
    </xf>
    <xf numFmtId="0" fontId="16" fillId="10" borderId="56" xfId="0" applyFont="1" applyFill="1" applyBorder="1" applyAlignment="1">
      <alignment horizontal="center" vertical="center"/>
    </xf>
    <xf numFmtId="0" fontId="41" fillId="10" borderId="21" xfId="0" applyFont="1" applyFill="1" applyBorder="1" applyAlignment="1">
      <alignment horizontal="center" vertical="center"/>
    </xf>
    <xf numFmtId="0" fontId="41" fillId="10" borderId="20" xfId="0" applyFont="1" applyFill="1" applyBorder="1" applyAlignment="1">
      <alignment horizontal="center" vertical="center"/>
    </xf>
    <xf numFmtId="0" fontId="41" fillId="10" borderId="22" xfId="0" applyFont="1" applyFill="1" applyBorder="1" applyAlignment="1">
      <alignment horizontal="center" vertical="center"/>
    </xf>
    <xf numFmtId="0" fontId="43" fillId="37" borderId="31" xfId="0" applyFont="1" applyFill="1" applyBorder="1" applyAlignment="1" applyProtection="1">
      <alignment horizontal="center" vertical="center"/>
      <protection hidden="1"/>
    </xf>
    <xf numFmtId="0" fontId="43" fillId="37" borderId="32" xfId="0" applyFont="1" applyFill="1" applyBorder="1" applyAlignment="1" applyProtection="1">
      <alignment horizontal="center" vertical="center"/>
      <protection hidden="1"/>
    </xf>
    <xf numFmtId="0" fontId="43" fillId="37" borderId="74" xfId="0" applyFont="1" applyFill="1" applyBorder="1" applyAlignment="1" applyProtection="1">
      <alignment horizontal="center" vertical="center"/>
      <protection hidden="1"/>
    </xf>
    <xf numFmtId="0" fontId="43" fillId="37" borderId="26" xfId="0" applyFont="1" applyFill="1" applyBorder="1" applyAlignment="1" applyProtection="1">
      <alignment horizontal="center" vertical="center"/>
      <protection hidden="1"/>
    </xf>
    <xf numFmtId="0" fontId="43" fillId="37" borderId="0" xfId="0" applyFont="1" applyFill="1" applyAlignment="1" applyProtection="1">
      <alignment horizontal="center" vertical="center"/>
      <protection hidden="1"/>
    </xf>
    <xf numFmtId="0" fontId="43" fillId="37" borderId="58" xfId="0" applyFont="1" applyFill="1" applyBorder="1" applyAlignment="1" applyProtection="1">
      <alignment horizontal="center" vertical="center"/>
      <protection hidden="1"/>
    </xf>
    <xf numFmtId="0" fontId="44" fillId="4" borderId="28" xfId="0" applyFont="1" applyFill="1" applyBorder="1" applyAlignment="1">
      <alignment horizontal="center"/>
    </xf>
    <xf numFmtId="0" fontId="44" fillId="4" borderId="21" xfId="0" applyFont="1" applyFill="1" applyBorder="1" applyAlignment="1">
      <alignment horizontal="center"/>
    </xf>
    <xf numFmtId="0" fontId="44" fillId="4" borderId="18" xfId="0" applyFont="1" applyFill="1" applyBorder="1" applyAlignment="1">
      <alignment horizontal="center"/>
    </xf>
    <xf numFmtId="0" fontId="44" fillId="4" borderId="57" xfId="0" applyFont="1" applyFill="1" applyBorder="1" applyAlignment="1">
      <alignment horizontal="center"/>
    </xf>
    <xf numFmtId="0" fontId="41" fillId="4" borderId="20" xfId="0" applyFont="1" applyFill="1" applyBorder="1" applyAlignment="1" applyProtection="1">
      <alignment horizontal="center" vertical="center"/>
      <protection hidden="1"/>
    </xf>
    <xf numFmtId="0" fontId="41" fillId="4" borderId="55" xfId="0" applyFont="1" applyFill="1" applyBorder="1" applyAlignment="1" applyProtection="1">
      <alignment horizontal="center" vertical="center"/>
      <protection hidden="1"/>
    </xf>
    <xf numFmtId="0" fontId="43" fillId="37" borderId="33" xfId="0" applyFont="1" applyFill="1" applyBorder="1" applyAlignment="1" applyProtection="1">
      <alignment horizontal="center" vertical="center"/>
      <protection hidden="1"/>
    </xf>
    <xf numFmtId="0" fontId="43" fillId="37" borderId="27" xfId="0" applyFont="1" applyFill="1" applyBorder="1" applyAlignment="1" applyProtection="1">
      <alignment horizontal="center" vertical="center"/>
      <protection hidden="1"/>
    </xf>
    <xf numFmtId="0" fontId="44" fillId="4" borderId="39" xfId="0" applyFont="1" applyFill="1" applyBorder="1" applyAlignment="1">
      <alignment horizontal="center"/>
    </xf>
    <xf numFmtId="0" fontId="44" fillId="4" borderId="5" xfId="0" applyFont="1" applyFill="1" applyBorder="1" applyAlignment="1">
      <alignment horizontal="center"/>
    </xf>
    <xf numFmtId="0" fontId="44" fillId="4" borderId="2" xfId="0" applyFont="1" applyFill="1" applyBorder="1" applyAlignment="1">
      <alignment horizontal="center"/>
    </xf>
    <xf numFmtId="0" fontId="6" fillId="10" borderId="18" xfId="0" applyFont="1" applyFill="1" applyBorder="1" applyAlignment="1" applyProtection="1">
      <alignment horizontal="center" vertical="center"/>
      <protection hidden="1"/>
    </xf>
    <xf numFmtId="0" fontId="6" fillId="10" borderId="19" xfId="0" applyFont="1" applyFill="1" applyBorder="1" applyAlignment="1" applyProtection="1">
      <alignment horizontal="center" vertical="center"/>
      <protection hidden="1"/>
    </xf>
    <xf numFmtId="0" fontId="1" fillId="18" borderId="28" xfId="0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0" fontId="33" fillId="10" borderId="41" xfId="0" applyFont="1" applyFill="1" applyBorder="1" applyAlignment="1">
      <alignment horizontal="center" vertical="center"/>
    </xf>
    <xf numFmtId="0" fontId="33" fillId="10" borderId="20" xfId="0" applyFont="1" applyFill="1" applyBorder="1" applyAlignment="1">
      <alignment horizontal="center" vertical="center"/>
    </xf>
    <xf numFmtId="0" fontId="33" fillId="10" borderId="42" xfId="0" applyFont="1" applyFill="1" applyBorder="1" applyAlignment="1">
      <alignment horizontal="center" vertical="center"/>
    </xf>
    <xf numFmtId="0" fontId="17" fillId="6" borderId="23" xfId="0" applyFont="1" applyFill="1" applyBorder="1" applyAlignment="1">
      <alignment horizontal="center" vertical="center" wrapText="1"/>
    </xf>
    <xf numFmtId="0" fontId="17" fillId="6" borderId="19" xfId="0" applyFont="1" applyFill="1" applyBorder="1" applyAlignment="1">
      <alignment horizontal="center" vertical="center" wrapText="1"/>
    </xf>
    <xf numFmtId="49" fontId="17" fillId="6" borderId="23" xfId="0" applyNumberFormat="1" applyFont="1" applyFill="1" applyBorder="1" applyAlignment="1">
      <alignment horizontal="center" vertical="center" wrapText="1"/>
    </xf>
    <xf numFmtId="49" fontId="17" fillId="6" borderId="19" xfId="0" applyNumberFormat="1" applyFont="1" applyFill="1" applyBorder="1" applyAlignment="1">
      <alignment horizontal="center" vertical="center" wrapText="1"/>
    </xf>
    <xf numFmtId="49" fontId="17" fillId="6" borderId="40" xfId="0" applyNumberFormat="1" applyFont="1" applyFill="1" applyBorder="1" applyAlignment="1">
      <alignment horizontal="center" vertical="center" wrapText="1"/>
    </xf>
    <xf numFmtId="49" fontId="17" fillId="6" borderId="44" xfId="0" applyNumberFormat="1" applyFont="1" applyFill="1" applyBorder="1" applyAlignment="1">
      <alignment horizontal="center" vertical="center" wrapText="1"/>
    </xf>
    <xf numFmtId="49" fontId="17" fillId="6" borderId="10" xfId="0" applyNumberFormat="1" applyFont="1" applyFill="1" applyBorder="1" applyAlignment="1">
      <alignment horizontal="center" vertical="center" wrapText="1"/>
    </xf>
    <xf numFmtId="49" fontId="17" fillId="6" borderId="1" xfId="0" applyNumberFormat="1" applyFont="1" applyFill="1" applyBorder="1" applyAlignment="1">
      <alignment horizontal="center" vertical="center" wrapText="1"/>
    </xf>
    <xf numFmtId="0" fontId="28" fillId="22" borderId="15" xfId="0" applyFont="1" applyFill="1" applyBorder="1" applyAlignment="1">
      <alignment horizontal="center" vertical="center"/>
    </xf>
    <xf numFmtId="0" fontId="28" fillId="22" borderId="16" xfId="0" applyFont="1" applyFill="1" applyBorder="1" applyAlignment="1">
      <alignment horizontal="center" vertical="center"/>
    </xf>
    <xf numFmtId="0" fontId="16" fillId="21" borderId="15" xfId="0" applyFont="1" applyFill="1" applyBorder="1" applyAlignment="1">
      <alignment horizontal="center" vertical="center"/>
    </xf>
    <xf numFmtId="0" fontId="16" fillId="21" borderId="17" xfId="0" applyFont="1" applyFill="1" applyBorder="1" applyAlignment="1">
      <alignment horizontal="center" vertical="center"/>
    </xf>
    <xf numFmtId="0" fontId="16" fillId="21" borderId="16" xfId="0" applyFont="1" applyFill="1" applyBorder="1" applyAlignment="1">
      <alignment horizontal="center" vertical="center"/>
    </xf>
    <xf numFmtId="164" fontId="6" fillId="10" borderId="18" xfId="0" applyNumberFormat="1" applyFont="1" applyFill="1" applyBorder="1" applyAlignment="1" applyProtection="1">
      <alignment horizontal="center" vertical="center" wrapText="1"/>
      <protection hidden="1"/>
    </xf>
    <xf numFmtId="0" fontId="6" fillId="10" borderId="19" xfId="0" applyFont="1" applyFill="1" applyBorder="1" applyAlignment="1" applyProtection="1">
      <alignment horizontal="center" vertical="center" wrapText="1"/>
      <protection hidden="1"/>
    </xf>
    <xf numFmtId="0" fontId="34" fillId="11" borderId="18" xfId="0" applyFont="1" applyFill="1" applyBorder="1" applyAlignment="1">
      <alignment horizontal="center" vertical="center"/>
    </xf>
    <xf numFmtId="0" fontId="34" fillId="11" borderId="19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6" fillId="10" borderId="18" xfId="0" applyFont="1" applyFill="1" applyBorder="1" applyAlignment="1" applyProtection="1">
      <alignment horizontal="center" vertical="center" wrapText="1"/>
      <protection hidden="1"/>
    </xf>
    <xf numFmtId="0" fontId="17" fillId="6" borderId="10" xfId="0" applyFont="1" applyFill="1" applyBorder="1" applyAlignment="1">
      <alignment horizontal="center" vertical="center" wrapText="1"/>
    </xf>
    <xf numFmtId="0" fontId="21" fillId="39" borderId="41" xfId="0" applyFont="1" applyFill="1" applyBorder="1" applyAlignment="1">
      <alignment horizontal="center" vertical="center"/>
    </xf>
    <xf numFmtId="0" fontId="21" fillId="39" borderId="22" xfId="0" applyFont="1" applyFill="1" applyBorder="1" applyAlignment="1">
      <alignment horizontal="center" vertical="center"/>
    </xf>
    <xf numFmtId="0" fontId="16" fillId="13" borderId="21" xfId="0" applyFont="1" applyFill="1" applyBorder="1" applyAlignment="1">
      <alignment horizontal="center"/>
    </xf>
    <xf numFmtId="0" fontId="16" fillId="13" borderId="20" xfId="0" applyFont="1" applyFill="1" applyBorder="1" applyAlignment="1">
      <alignment horizontal="center"/>
    </xf>
    <xf numFmtId="0" fontId="16" fillId="13" borderId="42" xfId="0" applyFont="1" applyFill="1" applyBorder="1" applyAlignment="1">
      <alignment horizontal="center"/>
    </xf>
    <xf numFmtId="0" fontId="28" fillId="22" borderId="17" xfId="0" applyFont="1" applyFill="1" applyBorder="1" applyAlignment="1">
      <alignment horizontal="center" vertical="center"/>
    </xf>
    <xf numFmtId="49" fontId="17" fillId="6" borderId="74" xfId="0" applyNumberFormat="1" applyFont="1" applyFill="1" applyBorder="1" applyAlignment="1">
      <alignment horizontal="left" vertical="center" wrapText="1" indent="1"/>
    </xf>
    <xf numFmtId="49" fontId="17" fillId="6" borderId="56" xfId="0" applyNumberFormat="1" applyFont="1" applyFill="1" applyBorder="1" applyAlignment="1">
      <alignment horizontal="left" vertical="center" wrapText="1" indent="1"/>
    </xf>
    <xf numFmtId="0" fontId="32" fillId="16" borderId="21" xfId="0" applyFont="1" applyFill="1" applyBorder="1" applyAlignment="1">
      <alignment horizontal="center"/>
    </xf>
    <xf numFmtId="0" fontId="32" fillId="16" borderId="20" xfId="0" applyFont="1" applyFill="1" applyBorder="1" applyAlignment="1">
      <alignment horizontal="center"/>
    </xf>
    <xf numFmtId="49" fontId="17" fillId="6" borderId="23" xfId="0" applyNumberFormat="1" applyFont="1" applyFill="1" applyBorder="1" applyAlignment="1">
      <alignment horizontal="left" vertical="center" wrapText="1" indent="1"/>
    </xf>
    <xf numFmtId="49" fontId="17" fillId="6" borderId="10" xfId="0" applyNumberFormat="1" applyFont="1" applyFill="1" applyBorder="1" applyAlignment="1">
      <alignment horizontal="left" vertical="center" wrapText="1" indent="1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37" fillId="19" borderId="18" xfId="0" applyFont="1" applyFill="1" applyBorder="1" applyAlignment="1">
      <alignment horizontal="center" vertical="center"/>
    </xf>
    <xf numFmtId="0" fontId="37" fillId="19" borderId="10" xfId="0" applyFont="1" applyFill="1" applyBorder="1" applyAlignment="1">
      <alignment horizontal="center" vertical="center"/>
    </xf>
    <xf numFmtId="0" fontId="24" fillId="39" borderId="41" xfId="0" applyFont="1" applyFill="1" applyBorder="1" applyAlignment="1">
      <alignment horizontal="center" vertical="center"/>
    </xf>
    <xf numFmtId="0" fontId="24" fillId="39" borderId="22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/>
    </xf>
    <xf numFmtId="0" fontId="16" fillId="13" borderId="3" xfId="0" applyFont="1" applyFill="1" applyBorder="1" applyAlignment="1">
      <alignment horizontal="center"/>
    </xf>
    <xf numFmtId="0" fontId="16" fillId="13" borderId="24" xfId="0" applyFont="1" applyFill="1" applyBorder="1" applyAlignment="1">
      <alignment horizontal="center"/>
    </xf>
    <xf numFmtId="0" fontId="6" fillId="10" borderId="10" xfId="0" applyFont="1" applyFill="1" applyBorder="1" applyAlignment="1" applyProtection="1">
      <alignment horizontal="center" vertical="center" wrapText="1"/>
      <protection hidden="1"/>
    </xf>
    <xf numFmtId="0" fontId="6" fillId="10" borderId="10" xfId="0" applyFont="1" applyFill="1" applyBorder="1" applyAlignment="1" applyProtection="1">
      <alignment horizontal="center" vertical="center"/>
      <protection hidden="1"/>
    </xf>
    <xf numFmtId="0" fontId="9" fillId="0" borderId="32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5" fillId="40" borderId="31" xfId="0" applyFont="1" applyFill="1" applyBorder="1" applyAlignment="1">
      <alignment horizontal="center" wrapText="1"/>
    </xf>
    <xf numFmtId="0" fontId="15" fillId="40" borderId="32" xfId="0" applyFont="1" applyFill="1" applyBorder="1" applyAlignment="1">
      <alignment horizontal="center" wrapText="1"/>
    </xf>
    <xf numFmtId="0" fontId="15" fillId="40" borderId="33" xfId="0" applyFont="1" applyFill="1" applyBorder="1" applyAlignment="1">
      <alignment horizontal="center" wrapText="1"/>
    </xf>
    <xf numFmtId="0" fontId="55" fillId="4" borderId="15" xfId="0" applyFont="1" applyFill="1" applyBorder="1" applyAlignment="1" applyProtection="1">
      <alignment horizontal="center" vertical="center" wrapText="1"/>
      <protection locked="0"/>
    </xf>
    <xf numFmtId="0" fontId="55" fillId="4" borderId="16" xfId="0" applyFont="1" applyFill="1" applyBorder="1" applyAlignment="1" applyProtection="1">
      <alignment horizontal="center" vertical="center" wrapText="1"/>
      <protection locked="0"/>
    </xf>
    <xf numFmtId="0" fontId="55" fillId="4" borderId="17" xfId="0" applyFont="1" applyFill="1" applyBorder="1" applyAlignment="1" applyProtection="1">
      <alignment horizontal="center" vertical="center" wrapText="1"/>
      <protection locked="0"/>
    </xf>
    <xf numFmtId="0" fontId="13" fillId="20" borderId="15" xfId="0" applyFont="1" applyFill="1" applyBorder="1" applyAlignment="1">
      <alignment horizontal="center" vertical="center" wrapText="1"/>
    </xf>
    <xf numFmtId="0" fontId="13" fillId="20" borderId="16" xfId="0" applyFont="1" applyFill="1" applyBorder="1" applyAlignment="1">
      <alignment horizontal="center" vertical="center" wrapText="1"/>
    </xf>
    <xf numFmtId="0" fontId="13" fillId="20" borderId="60" xfId="0" applyFont="1" applyFill="1" applyBorder="1" applyAlignment="1">
      <alignment horizontal="center" vertical="center" wrapText="1"/>
    </xf>
    <xf numFmtId="0" fontId="24" fillId="42" borderId="15" xfId="0" applyFont="1" applyFill="1" applyBorder="1" applyAlignment="1">
      <alignment horizontal="center" wrapText="1"/>
    </xf>
    <xf numFmtId="0" fontId="24" fillId="42" borderId="16" xfId="0" applyFont="1" applyFill="1" applyBorder="1" applyAlignment="1">
      <alignment horizontal="center" wrapText="1"/>
    </xf>
    <xf numFmtId="0" fontId="49" fillId="17" borderId="0" xfId="0" applyFont="1" applyFill="1" applyAlignment="1" applyProtection="1">
      <alignment horizontal="center" vertical="center"/>
      <protection hidden="1"/>
    </xf>
    <xf numFmtId="0" fontId="49" fillId="17" borderId="27" xfId="0" applyFont="1" applyFill="1" applyBorder="1" applyAlignment="1" applyProtection="1">
      <alignment horizontal="center" vertical="center"/>
      <protection hidden="1"/>
    </xf>
    <xf numFmtId="0" fontId="49" fillId="17" borderId="14" xfId="0" applyFont="1" applyFill="1" applyBorder="1" applyAlignment="1" applyProtection="1">
      <alignment horizontal="center" vertical="center"/>
      <protection hidden="1"/>
    </xf>
    <xf numFmtId="0" fontId="49" fillId="17" borderId="63" xfId="0" applyFont="1" applyFill="1" applyBorder="1" applyAlignment="1" applyProtection="1">
      <alignment horizontal="center" vertical="center"/>
      <protection hidden="1"/>
    </xf>
    <xf numFmtId="0" fontId="12" fillId="17" borderId="26" xfId="0" applyFont="1" applyFill="1" applyBorder="1" applyAlignment="1">
      <alignment horizontal="center" vertical="center" textRotation="45"/>
    </xf>
    <xf numFmtId="0" fontId="12" fillId="17" borderId="62" xfId="0" applyFont="1" applyFill="1" applyBorder="1" applyAlignment="1">
      <alignment horizontal="center" vertical="center" textRotation="45"/>
    </xf>
    <xf numFmtId="0" fontId="48" fillId="17" borderId="0" xfId="0" applyFont="1" applyFill="1" applyAlignment="1">
      <alignment horizontal="center" vertical="center"/>
    </xf>
    <xf numFmtId="0" fontId="48" fillId="17" borderId="27" xfId="0" applyFont="1" applyFill="1" applyBorder="1" applyAlignment="1">
      <alignment horizontal="center" vertical="center"/>
    </xf>
    <xf numFmtId="0" fontId="11" fillId="30" borderId="41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 wrapText="1"/>
    </xf>
    <xf numFmtId="0" fontId="11" fillId="30" borderId="42" xfId="0" applyFont="1" applyFill="1" applyBorder="1" applyAlignment="1">
      <alignment horizontal="center" vertical="center" wrapText="1"/>
    </xf>
    <xf numFmtId="0" fontId="11" fillId="29" borderId="54" xfId="0" applyFont="1" applyFill="1" applyBorder="1" applyAlignment="1">
      <alignment horizontal="center" vertical="center" wrapText="1"/>
    </xf>
    <xf numFmtId="0" fontId="11" fillId="29" borderId="55" xfId="0" applyFont="1" applyFill="1" applyBorder="1" applyAlignment="1">
      <alignment horizontal="center" vertical="center" wrapText="1"/>
    </xf>
    <xf numFmtId="0" fontId="11" fillId="29" borderId="53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25" fillId="28" borderId="31" xfId="0" applyFont="1" applyFill="1" applyBorder="1" applyAlignment="1" applyProtection="1">
      <alignment horizontal="center" vertical="center" wrapText="1"/>
      <protection hidden="1"/>
    </xf>
    <xf numFmtId="0" fontId="25" fillId="28" borderId="32" xfId="0" applyFont="1" applyFill="1" applyBorder="1" applyAlignment="1" applyProtection="1">
      <alignment horizontal="center" vertical="center" wrapText="1"/>
      <protection hidden="1"/>
    </xf>
    <xf numFmtId="0" fontId="25" fillId="28" borderId="16" xfId="0" applyFont="1" applyFill="1" applyBorder="1" applyAlignment="1" applyProtection="1">
      <alignment horizontal="center" vertical="center" wrapText="1"/>
      <protection hidden="1"/>
    </xf>
    <xf numFmtId="0" fontId="25" fillId="28" borderId="17" xfId="0" applyFont="1" applyFill="1" applyBorder="1" applyAlignment="1" applyProtection="1">
      <alignment horizontal="center" vertical="center" wrapText="1"/>
      <protection hidden="1"/>
    </xf>
    <xf numFmtId="0" fontId="11" fillId="15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6" borderId="58" xfId="0" applyFont="1" applyFill="1" applyBorder="1" applyAlignment="1">
      <alignment horizontal="center" vertical="center" wrapText="1"/>
    </xf>
    <xf numFmtId="0" fontId="11" fillId="6" borderId="51" xfId="0" applyFont="1" applyFill="1" applyBorder="1" applyAlignment="1">
      <alignment horizontal="center" vertical="center" wrapText="1"/>
    </xf>
    <xf numFmtId="0" fontId="11" fillId="32" borderId="19" xfId="0" applyFont="1" applyFill="1" applyBorder="1" applyAlignment="1">
      <alignment horizontal="center" vertical="center" wrapText="1"/>
    </xf>
    <xf numFmtId="0" fontId="11" fillId="32" borderId="7" xfId="0" applyFont="1" applyFill="1" applyBorder="1" applyAlignment="1">
      <alignment horizontal="center" vertical="center" wrapText="1"/>
    </xf>
    <xf numFmtId="0" fontId="13" fillId="32" borderId="40" xfId="0" applyFont="1" applyFill="1" applyBorder="1" applyAlignment="1">
      <alignment horizontal="center" vertical="center" wrapText="1"/>
    </xf>
    <xf numFmtId="0" fontId="13" fillId="32" borderId="8" xfId="0" applyFont="1" applyFill="1" applyBorder="1" applyAlignment="1">
      <alignment vertical="center"/>
    </xf>
    <xf numFmtId="0" fontId="24" fillId="42" borderId="16" xfId="0" applyFont="1" applyFill="1" applyBorder="1" applyAlignment="1" applyProtection="1">
      <alignment horizontal="center" wrapText="1"/>
      <protection hidden="1"/>
    </xf>
    <xf numFmtId="0" fontId="24" fillId="42" borderId="17" xfId="0" applyFont="1" applyFill="1" applyBorder="1" applyAlignment="1" applyProtection="1">
      <alignment horizontal="center" wrapText="1"/>
      <protection hidden="1"/>
    </xf>
    <xf numFmtId="2" fontId="11" fillId="4" borderId="15" xfId="0" applyNumberFormat="1" applyFont="1" applyFill="1" applyBorder="1" applyAlignment="1">
      <alignment horizontal="center" vertical="center" wrapText="1"/>
    </xf>
    <xf numFmtId="2" fontId="11" fillId="4" borderId="16" xfId="0" applyNumberFormat="1" applyFont="1" applyFill="1" applyBorder="1" applyAlignment="1">
      <alignment horizontal="center" vertical="center" wrapText="1"/>
    </xf>
    <xf numFmtId="2" fontId="23" fillId="4" borderId="31" xfId="0" applyNumberFormat="1" applyFont="1" applyFill="1" applyBorder="1" applyAlignment="1">
      <alignment horizontal="center" vertical="center" wrapText="1"/>
    </xf>
    <xf numFmtId="2" fontId="23" fillId="4" borderId="32" xfId="0" applyNumberFormat="1" applyFont="1" applyFill="1" applyBorder="1" applyAlignment="1">
      <alignment horizontal="center" vertical="center" wrapText="1"/>
    </xf>
    <xf numFmtId="2" fontId="23" fillId="4" borderId="33" xfId="0" applyNumberFormat="1" applyFont="1" applyFill="1" applyBorder="1" applyAlignment="1">
      <alignment horizontal="center" vertical="center" wrapText="1"/>
    </xf>
    <xf numFmtId="2" fontId="23" fillId="4" borderId="26" xfId="0" applyNumberFormat="1" applyFont="1" applyFill="1" applyBorder="1" applyAlignment="1">
      <alignment horizontal="center" vertical="center" wrapText="1"/>
    </xf>
    <xf numFmtId="2" fontId="23" fillId="4" borderId="0" xfId="0" applyNumberFormat="1" applyFont="1" applyFill="1" applyAlignment="1">
      <alignment horizontal="center" vertical="center" wrapText="1"/>
    </xf>
    <xf numFmtId="2" fontId="23" fillId="4" borderId="27" xfId="0" applyNumberFormat="1" applyFont="1" applyFill="1" applyBorder="1" applyAlignment="1">
      <alignment horizontal="center" vertical="center" wrapText="1"/>
    </xf>
    <xf numFmtId="2" fontId="23" fillId="4" borderId="35" xfId="0" applyNumberFormat="1" applyFont="1" applyFill="1" applyBorder="1" applyAlignment="1">
      <alignment horizontal="center" vertical="center" wrapText="1"/>
    </xf>
    <xf numFmtId="2" fontId="23" fillId="4" borderId="36" xfId="0" applyNumberFormat="1" applyFont="1" applyFill="1" applyBorder="1" applyAlignment="1">
      <alignment horizontal="center" vertical="center" wrapText="1"/>
    </xf>
    <xf numFmtId="2" fontId="23" fillId="4" borderId="37" xfId="0" applyNumberFormat="1" applyFont="1" applyFill="1" applyBorder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0" fontId="11" fillId="9" borderId="16" xfId="0" applyFont="1" applyFill="1" applyBorder="1" applyAlignment="1">
      <alignment horizontal="center" vertical="center" wrapText="1"/>
    </xf>
    <xf numFmtId="0" fontId="11" fillId="9" borderId="17" xfId="0" applyFont="1" applyFill="1" applyBorder="1" applyAlignment="1">
      <alignment horizontal="center" vertical="center" wrapText="1"/>
    </xf>
    <xf numFmtId="0" fontId="11" fillId="23" borderId="4" xfId="0" applyFont="1" applyFill="1" applyBorder="1" applyAlignment="1">
      <alignment horizontal="center" vertical="center"/>
    </xf>
    <xf numFmtId="0" fontId="6" fillId="12" borderId="23" xfId="0" applyFont="1" applyFill="1" applyBorder="1" applyAlignment="1">
      <alignment horizontal="center" vertical="center" wrapText="1"/>
    </xf>
    <xf numFmtId="0" fontId="6" fillId="12" borderId="50" xfId="0" applyFont="1" applyFill="1" applyBorder="1" applyAlignment="1">
      <alignment horizontal="center" vertical="center" wrapText="1"/>
    </xf>
    <xf numFmtId="0" fontId="11" fillId="34" borderId="31" xfId="0" applyFont="1" applyFill="1" applyBorder="1" applyAlignment="1">
      <alignment horizontal="center" vertical="center" wrapText="1"/>
    </xf>
    <xf numFmtId="0" fontId="11" fillId="34" borderId="32" xfId="0" applyFont="1" applyFill="1" applyBorder="1" applyAlignment="1">
      <alignment horizontal="center" vertical="center" wrapText="1"/>
    </xf>
    <xf numFmtId="0" fontId="14" fillId="34" borderId="30" xfId="0" applyFont="1" applyFill="1" applyBorder="1" applyAlignment="1" applyProtection="1">
      <alignment horizontal="center" vertical="center" wrapText="1"/>
      <protection hidden="1"/>
    </xf>
    <xf numFmtId="0" fontId="14" fillId="34" borderId="38" xfId="0" applyFont="1" applyFill="1" applyBorder="1" applyAlignment="1" applyProtection="1">
      <alignment horizontal="center" vertical="center" wrapText="1"/>
      <protection hidden="1"/>
    </xf>
    <xf numFmtId="0" fontId="11" fillId="10" borderId="15" xfId="0" applyFont="1" applyFill="1" applyBorder="1" applyAlignment="1">
      <alignment horizontal="center" vertical="center" wrapText="1"/>
    </xf>
    <xf numFmtId="0" fontId="11" fillId="10" borderId="16" xfId="0" applyFont="1" applyFill="1" applyBorder="1" applyAlignment="1">
      <alignment horizontal="center" vertical="center" wrapText="1"/>
    </xf>
    <xf numFmtId="0" fontId="26" fillId="17" borderId="18" xfId="0" applyFont="1" applyFill="1" applyBorder="1" applyAlignment="1">
      <alignment horizontal="center" wrapText="1"/>
    </xf>
    <xf numFmtId="0" fontId="26" fillId="17" borderId="10" xfId="0" applyFont="1" applyFill="1" applyBorder="1" applyAlignment="1">
      <alignment horizontal="center" wrapText="1"/>
    </xf>
    <xf numFmtId="0" fontId="11" fillId="4" borderId="64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69" fillId="36" borderId="2" xfId="0" applyFont="1" applyFill="1" applyBorder="1" applyAlignment="1" applyProtection="1">
      <alignment horizontal="center" vertical="center"/>
      <protection hidden="1"/>
    </xf>
    <xf numFmtId="0" fontId="69" fillId="36" borderId="3" xfId="0" applyFont="1" applyFill="1" applyBorder="1" applyAlignment="1" applyProtection="1">
      <alignment horizontal="center" vertical="center"/>
      <protection hidden="1"/>
    </xf>
    <xf numFmtId="0" fontId="69" fillId="36" borderId="4" xfId="0" applyFont="1" applyFill="1" applyBorder="1" applyAlignment="1" applyProtection="1">
      <alignment horizontal="center" vertical="center"/>
      <protection hidden="1"/>
    </xf>
    <xf numFmtId="0" fontId="63" fillId="36" borderId="21" xfId="0" applyFont="1" applyFill="1" applyBorder="1" applyAlignment="1">
      <alignment horizontal="center" vertical="center" wrapText="1"/>
    </xf>
    <xf numFmtId="0" fontId="63" fillId="36" borderId="20" xfId="0" applyFont="1" applyFill="1" applyBorder="1" applyAlignment="1">
      <alignment horizontal="center" vertical="center" wrapText="1"/>
    </xf>
    <xf numFmtId="0" fontId="64" fillId="36" borderId="41" xfId="0" applyFont="1" applyFill="1" applyBorder="1" applyAlignment="1" applyProtection="1">
      <alignment horizontal="center" vertical="center" wrapText="1"/>
      <protection hidden="1"/>
    </xf>
    <xf numFmtId="0" fontId="64" fillId="36" borderId="32" xfId="0" applyFont="1" applyFill="1" applyBorder="1" applyAlignment="1" applyProtection="1">
      <alignment horizontal="center" vertical="center" wrapText="1"/>
      <protection hidden="1"/>
    </xf>
    <xf numFmtId="0" fontId="64" fillId="36" borderId="42" xfId="0" applyFont="1" applyFill="1" applyBorder="1" applyAlignment="1" applyProtection="1">
      <alignment horizontal="center" vertical="center" wrapText="1"/>
      <protection hidden="1"/>
    </xf>
    <xf numFmtId="0" fontId="11" fillId="4" borderId="7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36" borderId="5" xfId="0" applyFont="1" applyFill="1" applyBorder="1" applyAlignment="1">
      <alignment horizontal="center" vertical="center" wrapText="1"/>
    </xf>
    <xf numFmtId="0" fontId="11" fillId="36" borderId="1" xfId="0" applyFont="1" applyFill="1" applyBorder="1" applyAlignment="1">
      <alignment horizontal="center" vertical="center" wrapText="1"/>
    </xf>
    <xf numFmtId="4" fontId="11" fillId="13" borderId="2" xfId="0" applyNumberFormat="1" applyFont="1" applyFill="1" applyBorder="1" applyAlignment="1">
      <alignment horizontal="center" vertical="center" wrapText="1"/>
    </xf>
    <xf numFmtId="4" fontId="11" fillId="13" borderId="3" xfId="0" applyNumberFormat="1" applyFont="1" applyFill="1" applyBorder="1" applyAlignment="1">
      <alignment horizontal="center" vertical="center" wrapText="1"/>
    </xf>
    <xf numFmtId="4" fontId="11" fillId="13" borderId="14" xfId="0" applyNumberFormat="1" applyFont="1" applyFill="1" applyBorder="1" applyAlignment="1">
      <alignment horizontal="center" vertical="center" wrapText="1"/>
    </xf>
    <xf numFmtId="0" fontId="11" fillId="10" borderId="2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18" borderId="2" xfId="0" applyFont="1" applyFill="1" applyBorder="1" applyAlignment="1">
      <alignment horizontal="center" vertical="center" wrapText="1"/>
    </xf>
    <xf numFmtId="0" fontId="11" fillId="18" borderId="3" xfId="0" applyFont="1" applyFill="1" applyBorder="1" applyAlignment="1">
      <alignment horizontal="center" vertical="center" wrapText="1"/>
    </xf>
    <xf numFmtId="0" fontId="11" fillId="18" borderId="4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26" fillId="17" borderId="18" xfId="0" applyFont="1" applyFill="1" applyBorder="1" applyAlignment="1">
      <alignment horizontal="center" vertical="center" wrapText="1"/>
    </xf>
    <xf numFmtId="0" fontId="26" fillId="17" borderId="10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/>
    </xf>
    <xf numFmtId="0" fontId="102" fillId="17" borderId="1" xfId="0" applyFont="1" applyFill="1" applyBorder="1" applyAlignment="1">
      <alignment horizontal="center" vertical="center" wrapText="1"/>
    </xf>
    <xf numFmtId="0" fontId="103" fillId="17" borderId="1" xfId="0" applyFont="1" applyFill="1" applyBorder="1" applyAlignment="1">
      <alignment horizontal="center" vertical="center" wrapText="1"/>
    </xf>
    <xf numFmtId="0" fontId="104" fillId="17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4" fontId="5" fillId="17" borderId="1" xfId="0" applyNumberFormat="1" applyFont="1" applyFill="1" applyBorder="1" applyAlignment="1">
      <alignment horizontal="center" vertical="center" wrapText="1"/>
    </xf>
    <xf numFmtId="0" fontId="5" fillId="17" borderId="18" xfId="0" applyFont="1" applyFill="1" applyBorder="1" applyAlignment="1">
      <alignment horizontal="center" vertical="center" wrapText="1"/>
    </xf>
    <xf numFmtId="0" fontId="5" fillId="17" borderId="10" xfId="0" applyFont="1" applyFill="1" applyBorder="1" applyAlignment="1">
      <alignment horizontal="center" vertical="center" wrapText="1"/>
    </xf>
    <xf numFmtId="0" fontId="26" fillId="17" borderId="2" xfId="0" applyFont="1" applyFill="1" applyBorder="1" applyAlignment="1">
      <alignment horizontal="center" vertical="center"/>
    </xf>
    <xf numFmtId="0" fontId="26" fillId="17" borderId="3" xfId="0" applyFont="1" applyFill="1" applyBorder="1" applyAlignment="1">
      <alignment horizontal="center" vertical="center"/>
    </xf>
    <xf numFmtId="0" fontId="26" fillId="17" borderId="4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6" xfId="0" applyFont="1" applyBorder="1" applyAlignment="1">
      <alignment horizontal="center" vertical="center"/>
    </xf>
    <xf numFmtId="0" fontId="62" fillId="0" borderId="45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24" xfId="0" applyFont="1" applyBorder="1" applyAlignment="1">
      <alignment horizontal="center" vertical="center"/>
    </xf>
    <xf numFmtId="0" fontId="21" fillId="38" borderId="15" xfId="0" applyFont="1" applyFill="1" applyBorder="1" applyAlignment="1" applyProtection="1">
      <alignment horizontal="center" vertical="center"/>
      <protection locked="0"/>
    </xf>
    <xf numFmtId="0" fontId="21" fillId="38" borderId="60" xfId="0" applyFont="1" applyFill="1" applyBorder="1" applyAlignment="1" applyProtection="1">
      <alignment horizontal="center" vertical="center"/>
      <protection locked="0"/>
    </xf>
    <xf numFmtId="0" fontId="21" fillId="38" borderId="13" xfId="0" applyFont="1" applyFill="1" applyBorder="1" applyAlignment="1" applyProtection="1">
      <alignment horizontal="center" vertical="center"/>
      <protection locked="0"/>
    </xf>
    <xf numFmtId="0" fontId="21" fillId="38" borderId="68" xfId="0" applyFont="1" applyFill="1" applyBorder="1" applyAlignment="1" applyProtection="1">
      <alignment horizontal="center" vertical="center"/>
      <protection locked="0"/>
    </xf>
    <xf numFmtId="0" fontId="65" fillId="49" borderId="15" xfId="0" applyFont="1" applyFill="1" applyBorder="1" applyAlignment="1">
      <alignment horizontal="center"/>
    </xf>
    <xf numFmtId="0" fontId="65" fillId="49" borderId="16" xfId="0" applyFont="1" applyFill="1" applyBorder="1" applyAlignment="1">
      <alignment horizontal="center"/>
    </xf>
    <xf numFmtId="0" fontId="65" fillId="49" borderId="17" xfId="0" applyFont="1" applyFill="1" applyBorder="1" applyAlignment="1">
      <alignment horizontal="center"/>
    </xf>
    <xf numFmtId="0" fontId="44" fillId="10" borderId="9" xfId="0" applyFont="1" applyFill="1" applyBorder="1" applyAlignment="1" applyProtection="1">
      <alignment horizontal="center"/>
      <protection hidden="1"/>
    </xf>
    <xf numFmtId="0" fontId="44" fillId="10" borderId="10" xfId="0" applyFont="1" applyFill="1" applyBorder="1" applyAlignment="1" applyProtection="1">
      <alignment horizontal="center"/>
      <protection hidden="1"/>
    </xf>
    <xf numFmtId="0" fontId="44" fillId="10" borderId="11" xfId="0" applyFont="1" applyFill="1" applyBorder="1" applyAlignment="1" applyProtection="1">
      <alignment horizontal="center"/>
      <protection hidden="1"/>
    </xf>
    <xf numFmtId="0" fontId="44" fillId="11" borderId="62" xfId="0" applyFont="1" applyFill="1" applyBorder="1" applyAlignment="1" applyProtection="1">
      <alignment horizontal="center"/>
      <protection hidden="1"/>
    </xf>
    <xf numFmtId="0" fontId="44" fillId="11" borderId="14" xfId="0" applyFont="1" applyFill="1" applyBorder="1" applyAlignment="1" applyProtection="1">
      <alignment horizontal="center"/>
      <protection hidden="1"/>
    </xf>
    <xf numFmtId="0" fontId="44" fillId="11" borderId="63" xfId="0" applyFont="1" applyFill="1" applyBorder="1" applyAlignment="1" applyProtection="1">
      <alignment horizontal="center"/>
      <protection hidden="1"/>
    </xf>
    <xf numFmtId="0" fontId="6" fillId="0" borderId="55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/>
    </xf>
    <xf numFmtId="0" fontId="16" fillId="11" borderId="4" xfId="0" applyFont="1" applyFill="1" applyBorder="1" applyAlignment="1">
      <alignment horizontal="center" vertical="center"/>
    </xf>
    <xf numFmtId="0" fontId="16" fillId="11" borderId="24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/>
    </xf>
    <xf numFmtId="0" fontId="16" fillId="11" borderId="5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16" fillId="11" borderId="3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2" fontId="6" fillId="0" borderId="40" xfId="0" applyNumberFormat="1" applyFont="1" applyBorder="1" applyAlignment="1" applyProtection="1">
      <alignment horizontal="center" vertical="center"/>
      <protection hidden="1"/>
    </xf>
    <xf numFmtId="2" fontId="6" fillId="0" borderId="58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40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6" fillId="0" borderId="40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6" xfId="0" applyFont="1" applyBorder="1" applyAlignment="1">
      <alignment horizontal="center" vertical="center"/>
    </xf>
    <xf numFmtId="0" fontId="6" fillId="0" borderId="58" xfId="0" applyFont="1" applyBorder="1" applyAlignment="1" applyProtection="1">
      <alignment horizontal="center" vertical="center"/>
      <protection hidden="1"/>
    </xf>
    <xf numFmtId="2" fontId="6" fillId="0" borderId="57" xfId="0" applyNumberFormat="1" applyFont="1" applyBorder="1" applyAlignment="1" applyProtection="1">
      <alignment horizontal="center" vertical="center"/>
      <protection hidden="1"/>
    </xf>
    <xf numFmtId="2" fontId="6" fillId="0" borderId="52" xfId="0" applyNumberFormat="1" applyFont="1" applyBorder="1" applyAlignment="1" applyProtection="1">
      <alignment horizontal="center" vertical="center"/>
      <protection hidden="1"/>
    </xf>
    <xf numFmtId="14" fontId="6" fillId="0" borderId="26" xfId="0" applyNumberFormat="1" applyFont="1" applyBorder="1" applyAlignment="1" applyProtection="1">
      <alignment horizontal="center"/>
      <protection hidden="1"/>
    </xf>
    <xf numFmtId="0" fontId="6" fillId="0" borderId="58" xfId="0" applyFont="1" applyBorder="1" applyAlignment="1" applyProtection="1">
      <alignment horizontal="center"/>
      <protection hidden="1"/>
    </xf>
    <xf numFmtId="0" fontId="6" fillId="0" borderId="57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2" fontId="6" fillId="0" borderId="0" xfId="0" applyNumberFormat="1" applyFont="1" applyAlignment="1" applyProtection="1">
      <alignment horizontal="center" vertical="center"/>
      <protection hidden="1"/>
    </xf>
    <xf numFmtId="0" fontId="6" fillId="0" borderId="57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14" fontId="6" fillId="0" borderId="54" xfId="0" applyNumberFormat="1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2" fontId="6" fillId="0" borderId="55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center"/>
    </xf>
    <xf numFmtId="177" fontId="6" fillId="0" borderId="26" xfId="0" applyNumberFormat="1" applyFont="1" applyBorder="1" applyAlignment="1" applyProtection="1">
      <alignment horizontal="center" vertical="center"/>
      <protection hidden="1"/>
    </xf>
    <xf numFmtId="177" fontId="6" fillId="0" borderId="58" xfId="0" applyNumberFormat="1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>
      <alignment horizontal="center" vertical="center"/>
    </xf>
    <xf numFmtId="2" fontId="16" fillId="0" borderId="1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2" fontId="5" fillId="0" borderId="2" xfId="0" applyNumberFormat="1" applyFont="1" applyBorder="1" applyAlignment="1" applyProtection="1">
      <alignment horizontal="center" vertical="center"/>
      <protection hidden="1"/>
    </xf>
    <xf numFmtId="2" fontId="5" fillId="0" borderId="24" xfId="0" applyNumberFormat="1" applyFont="1" applyBorder="1" applyAlignment="1" applyProtection="1">
      <alignment horizontal="center" vertical="center"/>
      <protection hidden="1"/>
    </xf>
    <xf numFmtId="0" fontId="41" fillId="0" borderId="5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 applyProtection="1">
      <alignment horizontal="center" vertical="center"/>
      <protection hidden="1"/>
    </xf>
    <xf numFmtId="2" fontId="5" fillId="0" borderId="6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right" vertical="center"/>
    </xf>
    <xf numFmtId="0" fontId="5" fillId="0" borderId="27" xfId="0" applyFont="1" applyBorder="1" applyAlignment="1">
      <alignment horizontal="right" vertical="center"/>
    </xf>
    <xf numFmtId="0" fontId="6" fillId="0" borderId="27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41" fillId="11" borderId="5" xfId="0" applyFont="1" applyFill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/>
    </xf>
    <xf numFmtId="2" fontId="16" fillId="11" borderId="1" xfId="0" applyNumberFormat="1" applyFont="1" applyFill="1" applyBorder="1" applyAlignment="1" applyProtection="1">
      <alignment horizontal="center" vertical="center"/>
      <protection hidden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 applyProtection="1">
      <alignment horizontal="center" vertical="center"/>
      <protection hidden="1"/>
    </xf>
    <xf numFmtId="0" fontId="44" fillId="2" borderId="16" xfId="0" applyFont="1" applyFill="1" applyBorder="1" applyAlignment="1" applyProtection="1">
      <alignment horizontal="center" vertical="center"/>
      <protection hidden="1"/>
    </xf>
    <xf numFmtId="0" fontId="44" fillId="2" borderId="17" xfId="0" applyFont="1" applyFill="1" applyBorder="1" applyAlignment="1" applyProtection="1">
      <alignment horizontal="center" vertical="center"/>
      <protection hidden="1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hidden="1"/>
    </xf>
    <xf numFmtId="0" fontId="17" fillId="2" borderId="75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17" fillId="2" borderId="76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2" borderId="39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4" fillId="18" borderId="75" xfId="0" applyFont="1" applyFill="1" applyBorder="1" applyAlignment="1">
      <alignment horizontal="center" vertical="center" wrapText="1"/>
    </xf>
    <xf numFmtId="0" fontId="14" fillId="18" borderId="9" xfId="0" applyFont="1" applyFill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0" fontId="14" fillId="18" borderId="10" xfId="0" applyFont="1" applyFill="1" applyBorder="1" applyAlignment="1">
      <alignment horizontal="center" vertical="center" wrapText="1"/>
    </xf>
    <xf numFmtId="1" fontId="16" fillId="23" borderId="5" xfId="0" applyNumberFormat="1" applyFont="1" applyFill="1" applyBorder="1" applyAlignment="1">
      <alignment horizontal="center" vertical="center"/>
    </xf>
    <xf numFmtId="1" fontId="16" fillId="23" borderId="77" xfId="0" applyNumberFormat="1" applyFont="1" applyFill="1" applyBorder="1" applyAlignment="1">
      <alignment horizontal="center" vertical="center"/>
    </xf>
    <xf numFmtId="0" fontId="16" fillId="23" borderId="57" xfId="0" applyFont="1" applyFill="1" applyBorder="1" applyAlignment="1">
      <alignment horizontal="center" vertical="center"/>
    </xf>
    <xf numFmtId="0" fontId="16" fillId="23" borderId="52" xfId="0" applyFont="1" applyFill="1" applyBorder="1" applyAlignment="1">
      <alignment horizontal="center" vertical="center"/>
    </xf>
    <xf numFmtId="0" fontId="16" fillId="23" borderId="40" xfId="0" applyFont="1" applyFill="1" applyBorder="1" applyAlignment="1">
      <alignment horizontal="center" vertical="center"/>
    </xf>
    <xf numFmtId="0" fontId="16" fillId="23" borderId="58" xfId="0" applyFont="1" applyFill="1" applyBorder="1" applyAlignment="1">
      <alignment horizontal="center" vertical="center"/>
    </xf>
    <xf numFmtId="0" fontId="16" fillId="23" borderId="61" xfId="0" applyFont="1" applyFill="1" applyBorder="1" applyAlignment="1">
      <alignment horizontal="center" vertical="center"/>
    </xf>
    <xf numFmtId="0" fontId="16" fillId="23" borderId="51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14" fillId="17" borderId="18" xfId="0" applyNumberFormat="1" applyFont="1" applyFill="1" applyBorder="1" applyAlignment="1" applyProtection="1">
      <alignment horizontal="center" vertical="center" wrapText="1"/>
      <protection hidden="1"/>
    </xf>
    <xf numFmtId="1" fontId="14" fillId="17" borderId="19" xfId="0" applyNumberFormat="1" applyFont="1" applyFill="1" applyBorder="1" applyAlignment="1" applyProtection="1">
      <alignment horizontal="center" vertical="center" wrapText="1"/>
      <protection hidden="1"/>
    </xf>
    <xf numFmtId="1" fontId="14" fillId="17" borderId="10" xfId="0" applyNumberFormat="1" applyFont="1" applyFill="1" applyBorder="1" applyAlignment="1" applyProtection="1">
      <alignment horizontal="center" vertical="center" wrapText="1"/>
      <protection hidden="1"/>
    </xf>
    <xf numFmtId="0" fontId="82" fillId="36" borderId="12" xfId="0" applyFont="1" applyFill="1" applyBorder="1" applyAlignment="1">
      <alignment horizontal="center" vertical="center" wrapText="1"/>
    </xf>
    <xf numFmtId="0" fontId="82" fillId="36" borderId="13" xfId="0" applyFont="1" applyFill="1" applyBorder="1" applyAlignment="1">
      <alignment horizontal="center" vertical="center" wrapText="1"/>
    </xf>
    <xf numFmtId="0" fontId="82" fillId="36" borderId="68" xfId="0" applyFont="1" applyFill="1" applyBorder="1" applyAlignment="1">
      <alignment horizontal="center" vertical="center" wrapText="1"/>
    </xf>
    <xf numFmtId="0" fontId="62" fillId="36" borderId="26" xfId="0" applyFont="1" applyFill="1" applyBorder="1" applyAlignment="1">
      <alignment horizontal="center" vertical="center"/>
    </xf>
    <xf numFmtId="0" fontId="62" fillId="36" borderId="0" xfId="0" applyFont="1" applyFill="1" applyAlignment="1">
      <alignment horizontal="center" vertical="center"/>
    </xf>
    <xf numFmtId="0" fontId="44" fillId="36" borderId="0" xfId="0" applyFont="1" applyFill="1" applyAlignment="1" applyProtection="1">
      <alignment horizontal="center" vertical="center"/>
      <protection hidden="1"/>
    </xf>
    <xf numFmtId="0" fontId="44" fillId="17" borderId="10" xfId="0" applyFont="1" applyFill="1" applyBorder="1" applyAlignment="1" applyProtection="1">
      <alignment horizontal="center" vertical="center"/>
      <protection hidden="1"/>
    </xf>
    <xf numFmtId="0" fontId="44" fillId="17" borderId="11" xfId="0" applyFont="1" applyFill="1" applyBorder="1" applyAlignment="1" applyProtection="1">
      <alignment horizontal="center" vertical="center"/>
      <protection hidden="1"/>
    </xf>
    <xf numFmtId="0" fontId="62" fillId="36" borderId="32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 applyProtection="1">
      <alignment horizontal="center" vertical="center"/>
      <protection hidden="1"/>
    </xf>
    <xf numFmtId="0" fontId="14" fillId="6" borderId="13" xfId="0" applyFont="1" applyFill="1" applyBorder="1" applyAlignment="1" applyProtection="1">
      <alignment horizontal="center" vertical="center"/>
      <protection hidden="1"/>
    </xf>
    <xf numFmtId="0" fontId="14" fillId="6" borderId="59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101" fillId="6" borderId="31" xfId="0" applyFont="1" applyFill="1" applyBorder="1" applyAlignment="1" applyProtection="1">
      <alignment horizontal="center" vertical="center" wrapText="1"/>
      <protection hidden="1"/>
    </xf>
    <xf numFmtId="0" fontId="101" fillId="6" borderId="32" xfId="0" applyFont="1" applyFill="1" applyBorder="1" applyAlignment="1" applyProtection="1">
      <alignment horizontal="center" vertical="center" wrapText="1"/>
      <protection hidden="1"/>
    </xf>
    <xf numFmtId="0" fontId="101" fillId="6" borderId="33" xfId="0" applyFont="1" applyFill="1" applyBorder="1" applyAlignment="1" applyProtection="1">
      <alignment horizontal="center" vertical="center" wrapText="1"/>
      <protection hidden="1"/>
    </xf>
    <xf numFmtId="0" fontId="98" fillId="2" borderId="26" xfId="0" applyFont="1" applyFill="1" applyBorder="1" applyAlignment="1" applyProtection="1">
      <alignment horizontal="center" vertical="center" wrapText="1"/>
      <protection hidden="1"/>
    </xf>
    <xf numFmtId="0" fontId="98" fillId="2" borderId="0" xfId="0" applyFont="1" applyFill="1" applyAlignment="1" applyProtection="1">
      <alignment horizontal="center" vertical="center" wrapText="1"/>
      <protection hidden="1"/>
    </xf>
    <xf numFmtId="0" fontId="98" fillId="2" borderId="27" xfId="0" applyFont="1" applyFill="1" applyBorder="1" applyAlignment="1" applyProtection="1">
      <alignment horizontal="center" vertical="center" wrapText="1"/>
      <protection hidden="1"/>
    </xf>
    <xf numFmtId="0" fontId="14" fillId="15" borderId="1" xfId="0" applyFont="1" applyFill="1" applyBorder="1" applyAlignment="1" applyProtection="1">
      <alignment horizontal="right"/>
      <protection hidden="1"/>
    </xf>
    <xf numFmtId="0" fontId="28" fillId="15" borderId="3" xfId="0" applyFont="1" applyFill="1" applyBorder="1" applyAlignment="1" applyProtection="1">
      <alignment horizontal="center" vertical="center" wrapText="1"/>
      <protection hidden="1"/>
    </xf>
    <xf numFmtId="0" fontId="28" fillId="15" borderId="4" xfId="0" applyFont="1" applyFill="1" applyBorder="1" applyAlignment="1" applyProtection="1">
      <alignment horizontal="center" vertical="center" wrapText="1"/>
      <protection hidden="1"/>
    </xf>
    <xf numFmtId="0" fontId="100" fillId="17" borderId="3" xfId="0" applyFont="1" applyFill="1" applyBorder="1" applyAlignment="1" applyProtection="1">
      <alignment horizontal="right"/>
      <protection hidden="1"/>
    </xf>
    <xf numFmtId="0" fontId="100" fillId="17" borderId="4" xfId="0" applyFont="1" applyFill="1" applyBorder="1" applyAlignment="1" applyProtection="1">
      <alignment horizontal="right"/>
      <protection hidden="1"/>
    </xf>
    <xf numFmtId="0" fontId="28" fillId="0" borderId="3" xfId="0" applyFont="1" applyBorder="1" applyAlignment="1" applyProtection="1">
      <alignment horizontal="center" vertical="center"/>
      <protection hidden="1"/>
    </xf>
    <xf numFmtId="0" fontId="14" fillId="15" borderId="3" xfId="0" applyFont="1" applyFill="1" applyBorder="1" applyAlignment="1" applyProtection="1">
      <alignment horizontal="left" vertical="center"/>
      <protection hidden="1"/>
    </xf>
    <xf numFmtId="0" fontId="14" fillId="15" borderId="4" xfId="0" applyFont="1" applyFill="1" applyBorder="1" applyAlignment="1" applyProtection="1">
      <alignment horizontal="left" vertical="center"/>
      <protection hidden="1"/>
    </xf>
    <xf numFmtId="0" fontId="16" fillId="17" borderId="2" xfId="0" applyFont="1" applyFill="1" applyBorder="1" applyAlignment="1" applyProtection="1">
      <alignment horizontal="center" vertical="center"/>
      <protection hidden="1"/>
    </xf>
    <xf numFmtId="0" fontId="16" fillId="17" borderId="3" xfId="0" applyFont="1" applyFill="1" applyBorder="1" applyAlignment="1" applyProtection="1">
      <alignment horizontal="center" vertical="center"/>
      <protection hidden="1"/>
    </xf>
    <xf numFmtId="0" fontId="11" fillId="17" borderId="54" xfId="0" applyFont="1" applyFill="1" applyBorder="1" applyAlignment="1">
      <alignment horizontal="center" vertical="center" wrapText="1"/>
    </xf>
    <xf numFmtId="0" fontId="11" fillId="17" borderId="55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 wrapText="1"/>
    </xf>
    <xf numFmtId="0" fontId="13" fillId="20" borderId="1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 applyProtection="1">
      <alignment horizontal="center" vertical="center" wrapText="1"/>
      <protection locked="0"/>
    </xf>
    <xf numFmtId="0" fontId="40" fillId="4" borderId="16" xfId="0" applyFont="1" applyFill="1" applyBorder="1" applyAlignment="1" applyProtection="1">
      <alignment horizontal="center" vertical="center" wrapText="1"/>
      <protection locked="0"/>
    </xf>
    <xf numFmtId="0" fontId="40" fillId="4" borderId="17" xfId="0" applyFont="1" applyFill="1" applyBorder="1" applyAlignment="1" applyProtection="1">
      <alignment horizontal="center" vertical="center" wrapText="1"/>
      <protection locked="0"/>
    </xf>
    <xf numFmtId="0" fontId="28" fillId="15" borderId="3" xfId="0" applyFont="1" applyFill="1" applyBorder="1" applyAlignment="1" applyProtection="1">
      <alignment horizontal="center" vertical="top" wrapText="1"/>
      <protection hidden="1"/>
    </xf>
    <xf numFmtId="0" fontId="28" fillId="15" borderId="4" xfId="0" applyFont="1" applyFill="1" applyBorder="1" applyAlignment="1" applyProtection="1">
      <alignment horizontal="center" vertical="top" wrapText="1"/>
      <protection hidden="1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59" xfId="0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69" fillId="6" borderId="57" xfId="0" applyFont="1" applyFill="1" applyBorder="1" applyAlignment="1">
      <alignment horizontal="center" vertical="center" wrapText="1"/>
    </xf>
    <xf numFmtId="0" fontId="69" fillId="6" borderId="55" xfId="0" applyFont="1" applyFill="1" applyBorder="1" applyAlignment="1">
      <alignment horizontal="center" vertical="center" wrapText="1"/>
    </xf>
    <xf numFmtId="0" fontId="69" fillId="6" borderId="52" xfId="0" applyFont="1" applyFill="1" applyBorder="1" applyAlignment="1">
      <alignment horizontal="center" vertical="center" wrapText="1"/>
    </xf>
    <xf numFmtId="0" fontId="98" fillId="2" borderId="40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center" vertical="center" wrapText="1"/>
    </xf>
    <xf numFmtId="0" fontId="98" fillId="2" borderId="58" xfId="0" applyFont="1" applyFill="1" applyBorder="1" applyAlignment="1">
      <alignment horizontal="center" vertical="center" wrapText="1"/>
    </xf>
    <xf numFmtId="0" fontId="14" fillId="17" borderId="1" xfId="0" applyFont="1" applyFill="1" applyBorder="1" applyAlignment="1">
      <alignment horizontal="right"/>
    </xf>
    <xf numFmtId="0" fontId="14" fillId="17" borderId="3" xfId="0" applyFont="1" applyFill="1" applyBorder="1" applyAlignment="1">
      <alignment horizontal="center" vertical="center"/>
    </xf>
    <xf numFmtId="0" fontId="14" fillId="17" borderId="4" xfId="0" applyFont="1" applyFill="1" applyBorder="1" applyAlignment="1">
      <alignment horizontal="center" vertical="center"/>
    </xf>
    <xf numFmtId="0" fontId="28" fillId="15" borderId="3" xfId="0" applyFont="1" applyFill="1" applyBorder="1" applyAlignment="1" applyProtection="1">
      <alignment horizontal="center" vertical="center"/>
      <protection hidden="1"/>
    </xf>
    <xf numFmtId="0" fontId="28" fillId="15" borderId="4" xfId="0" applyFont="1" applyFill="1" applyBorder="1" applyAlignment="1" applyProtection="1">
      <alignment horizontal="center" vertical="center"/>
      <protection hidden="1"/>
    </xf>
    <xf numFmtId="0" fontId="14" fillId="4" borderId="15" xfId="0" applyFont="1" applyFill="1" applyBorder="1" applyAlignment="1" applyProtection="1">
      <alignment horizontal="center" vertical="center"/>
      <protection locked="0"/>
    </xf>
    <xf numFmtId="0" fontId="14" fillId="4" borderId="17" xfId="0" applyFont="1" applyFill="1" applyBorder="1" applyAlignment="1" applyProtection="1">
      <alignment horizontal="center" vertical="center"/>
      <protection locked="0"/>
    </xf>
    <xf numFmtId="0" fontId="5" fillId="6" borderId="26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44" fillId="6" borderId="15" xfId="0" applyFont="1" applyFill="1" applyBorder="1" applyAlignment="1" applyProtection="1">
      <alignment horizontal="center" vertical="center"/>
      <protection hidden="1"/>
    </xf>
    <xf numFmtId="0" fontId="44" fillId="6" borderId="16" xfId="0" applyFont="1" applyFill="1" applyBorder="1" applyAlignment="1" applyProtection="1">
      <alignment horizontal="center" vertical="center"/>
      <protection hidden="1"/>
    </xf>
    <xf numFmtId="0" fontId="44" fillId="6" borderId="17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17" fillId="6" borderId="75" xfId="0" applyFont="1" applyFill="1" applyBorder="1" applyAlignment="1">
      <alignment horizontal="center" vertical="center" wrapText="1"/>
    </xf>
    <xf numFmtId="0" fontId="17" fillId="6" borderId="34" xfId="0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17" fillId="6" borderId="64" xfId="0" applyFont="1" applyFill="1" applyBorder="1" applyAlignment="1">
      <alignment horizontal="center" vertical="center" wrapText="1"/>
    </xf>
    <xf numFmtId="0" fontId="17" fillId="6" borderId="76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41" fillId="17" borderId="1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1" fillId="18" borderId="1" xfId="0" applyFont="1" applyFill="1" applyBorder="1" applyAlignment="1">
      <alignment horizontal="center" vertical="center" wrapText="1"/>
    </xf>
    <xf numFmtId="0" fontId="12" fillId="4" borderId="7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60" fillId="36" borderId="21" xfId="0" applyFont="1" applyFill="1" applyBorder="1" applyAlignment="1">
      <alignment horizontal="center" vertical="center" wrapText="1"/>
    </xf>
    <xf numFmtId="0" fontId="60" fillId="36" borderId="20" xfId="0" applyFont="1" applyFill="1" applyBorder="1" applyAlignment="1">
      <alignment horizontal="center" vertical="center" wrapText="1"/>
    </xf>
    <xf numFmtId="0" fontId="44" fillId="36" borderId="2" xfId="0" applyFont="1" applyFill="1" applyBorder="1" applyAlignment="1" applyProtection="1">
      <alignment horizontal="center" vertical="center"/>
      <protection hidden="1"/>
    </xf>
    <xf numFmtId="0" fontId="44" fillId="36" borderId="3" xfId="0" applyFont="1" applyFill="1" applyBorder="1" applyAlignment="1" applyProtection="1">
      <alignment horizontal="center" vertical="center"/>
      <protection hidden="1"/>
    </xf>
    <xf numFmtId="0" fontId="44" fillId="36" borderId="4" xfId="0" applyFont="1" applyFill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26" fillId="0" borderId="18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1" fillId="38" borderId="59" xfId="0" applyFont="1" applyFill="1" applyBorder="1" applyAlignment="1" applyProtection="1">
      <alignment horizontal="center" vertical="center"/>
      <protection locked="0"/>
    </xf>
    <xf numFmtId="0" fontId="21" fillId="38" borderId="17" xfId="0" applyFont="1" applyFill="1" applyBorder="1" applyAlignment="1" applyProtection="1">
      <alignment horizontal="center" vertical="center"/>
      <protection locked="0"/>
    </xf>
    <xf numFmtId="0" fontId="44" fillId="10" borderId="9" xfId="0" applyFont="1" applyFill="1" applyBorder="1" applyAlignment="1" applyProtection="1">
      <alignment horizontal="center" vertical="center"/>
      <protection hidden="1"/>
    </xf>
    <xf numFmtId="0" fontId="44" fillId="10" borderId="10" xfId="0" applyFont="1" applyFill="1" applyBorder="1" applyAlignment="1" applyProtection="1">
      <alignment horizontal="center" vertical="center"/>
      <protection hidden="1"/>
    </xf>
    <xf numFmtId="0" fontId="44" fillId="10" borderId="11" xfId="0" applyFont="1" applyFill="1" applyBorder="1" applyAlignment="1" applyProtection="1">
      <alignment horizontal="center" vertical="center"/>
      <protection hidden="1"/>
    </xf>
    <xf numFmtId="0" fontId="44" fillId="11" borderId="62" xfId="0" applyFont="1" applyFill="1" applyBorder="1" applyAlignment="1" applyProtection="1">
      <alignment horizontal="center" vertical="center"/>
      <protection hidden="1"/>
    </xf>
    <xf numFmtId="0" fontId="44" fillId="11" borderId="14" xfId="0" applyFont="1" applyFill="1" applyBorder="1" applyAlignment="1" applyProtection="1">
      <alignment horizontal="center" vertical="center"/>
      <protection hidden="1"/>
    </xf>
    <xf numFmtId="0" fontId="44" fillId="11" borderId="63" xfId="0" applyFont="1" applyFill="1" applyBorder="1" applyAlignment="1" applyProtection="1">
      <alignment horizontal="center" vertical="center"/>
      <protection hidden="1"/>
    </xf>
    <xf numFmtId="14" fontId="6" fillId="0" borderId="26" xfId="0" applyNumberFormat="1" applyFont="1" applyBorder="1" applyAlignment="1" applyProtection="1">
      <alignment horizontal="center" vertical="center"/>
      <protection hidden="1"/>
    </xf>
    <xf numFmtId="0" fontId="6" fillId="0" borderId="54" xfId="0" applyFont="1" applyBorder="1" applyAlignment="1">
      <alignment horizontal="center" vertical="center"/>
    </xf>
    <xf numFmtId="0" fontId="16" fillId="0" borderId="6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>
      <alignment horizontal="center" vertical="center"/>
    </xf>
    <xf numFmtId="1" fontId="5" fillId="0" borderId="77" xfId="0" applyNumberFormat="1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1" fontId="11" fillId="17" borderId="18" xfId="0" applyNumberFormat="1" applyFont="1" applyFill="1" applyBorder="1" applyAlignment="1" applyProtection="1">
      <alignment horizontal="center" vertical="center" wrapText="1"/>
      <protection hidden="1"/>
    </xf>
    <xf numFmtId="1" fontId="11" fillId="17" borderId="19" xfId="0" applyNumberFormat="1" applyFont="1" applyFill="1" applyBorder="1" applyAlignment="1" applyProtection="1">
      <alignment horizontal="center" vertical="center" wrapText="1"/>
      <protection hidden="1"/>
    </xf>
    <xf numFmtId="1" fontId="11" fillId="17" borderId="10" xfId="0" applyNumberFormat="1" applyFont="1" applyFill="1" applyBorder="1" applyAlignment="1" applyProtection="1">
      <alignment horizontal="center" vertical="center" wrapText="1"/>
      <protection hidden="1"/>
    </xf>
    <xf numFmtId="0" fontId="56" fillId="36" borderId="15" xfId="0" applyFont="1" applyFill="1" applyBorder="1" applyAlignment="1">
      <alignment horizontal="center" vertical="center" wrapText="1"/>
    </xf>
    <xf numFmtId="0" fontId="56" fillId="36" borderId="16" xfId="0" applyFont="1" applyFill="1" applyBorder="1" applyAlignment="1">
      <alignment horizontal="center" vertical="center" wrapText="1"/>
    </xf>
    <xf numFmtId="0" fontId="56" fillId="36" borderId="32" xfId="0" applyFont="1" applyFill="1" applyBorder="1" applyAlignment="1">
      <alignment horizontal="center" vertical="center" wrapText="1"/>
    </xf>
    <xf numFmtId="0" fontId="56" fillId="36" borderId="17" xfId="0" applyFont="1" applyFill="1" applyBorder="1" applyAlignment="1">
      <alignment horizontal="center" vertical="center" wrapText="1"/>
    </xf>
    <xf numFmtId="0" fontId="28" fillId="36" borderId="26" xfId="0" applyFont="1" applyFill="1" applyBorder="1" applyAlignment="1">
      <alignment horizontal="center" vertical="center"/>
    </xf>
    <xf numFmtId="0" fontId="28" fillId="36" borderId="0" xfId="0" applyFont="1" applyFill="1" applyAlignment="1">
      <alignment horizontal="center" vertical="center"/>
    </xf>
    <xf numFmtId="0" fontId="14" fillId="36" borderId="32" xfId="0" applyFont="1" applyFill="1" applyBorder="1" applyAlignment="1" applyProtection="1">
      <alignment horizontal="center" vertical="center"/>
      <protection hidden="1"/>
    </xf>
    <xf numFmtId="0" fontId="45" fillId="17" borderId="10" xfId="0" applyFont="1" applyFill="1" applyBorder="1" applyAlignment="1" applyProtection="1">
      <alignment horizontal="center" vertical="center"/>
      <protection hidden="1"/>
    </xf>
    <xf numFmtId="0" fontId="45" fillId="17" borderId="11" xfId="0" applyFont="1" applyFill="1" applyBorder="1" applyAlignment="1" applyProtection="1">
      <alignment horizontal="center" vertical="center"/>
      <protection hidden="1"/>
    </xf>
    <xf numFmtId="0" fontId="14" fillId="36" borderId="26" xfId="0" applyFont="1" applyFill="1" applyBorder="1" applyAlignment="1">
      <alignment horizontal="center" vertical="center" wrapText="1"/>
    </xf>
    <xf numFmtId="0" fontId="14" fillId="36" borderId="0" xfId="0" applyFont="1" applyFill="1" applyAlignment="1">
      <alignment horizontal="center" vertical="center" wrapText="1"/>
    </xf>
    <xf numFmtId="0" fontId="14" fillId="36" borderId="0" xfId="0" applyFont="1" applyFill="1" applyAlignment="1">
      <alignment horizontal="center" vertical="center"/>
    </xf>
    <xf numFmtId="0" fontId="14" fillId="36" borderId="0" xfId="0" applyFont="1" applyFill="1" applyAlignment="1">
      <alignment vertical="center"/>
    </xf>
    <xf numFmtId="0" fontId="14" fillId="36" borderId="0" xfId="0" applyFont="1" applyFill="1" applyAlignment="1">
      <alignment vertical="center" wrapText="1"/>
    </xf>
    <xf numFmtId="4" fontId="14" fillId="36" borderId="0" xfId="0" applyNumberFormat="1" applyFont="1" applyFill="1" applyAlignment="1">
      <alignment vertical="center" wrapText="1"/>
    </xf>
    <xf numFmtId="0" fontId="16" fillId="0" borderId="76" xfId="0" applyFont="1" applyBorder="1" applyAlignment="1">
      <alignment horizontal="center" vertical="center"/>
    </xf>
    <xf numFmtId="0" fontId="16" fillId="0" borderId="100" xfId="0" applyFont="1" applyBorder="1" applyAlignment="1">
      <alignment horizontal="center" vertical="center"/>
    </xf>
    <xf numFmtId="0" fontId="41" fillId="0" borderId="26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80" fillId="50" borderId="16" xfId="0" applyFont="1" applyFill="1" applyBorder="1" applyAlignment="1">
      <alignment horizontal="center" vertical="center"/>
    </xf>
    <xf numFmtId="0" fontId="80" fillId="50" borderId="15" xfId="0" applyFont="1" applyFill="1" applyBorder="1" applyAlignment="1">
      <alignment horizontal="center" vertical="center"/>
    </xf>
    <xf numFmtId="0" fontId="16" fillId="0" borderId="19" xfId="0" applyFont="1" applyBorder="1" applyAlignment="1" applyProtection="1">
      <alignment horizontal="center" vertical="center"/>
      <protection hidden="1"/>
    </xf>
    <xf numFmtId="0" fontId="16" fillId="0" borderId="50" xfId="0" applyFont="1" applyBorder="1" applyAlignment="1" applyProtection="1">
      <alignment horizontal="center" vertical="center"/>
      <protection hidden="1"/>
    </xf>
    <xf numFmtId="0" fontId="28" fillId="0" borderId="36" xfId="0" applyFont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44" fillId="4" borderId="13" xfId="0" applyFont="1" applyFill="1" applyBorder="1" applyAlignment="1" applyProtection="1">
      <alignment horizontal="center" vertical="center"/>
      <protection locked="0"/>
    </xf>
    <xf numFmtId="0" fontId="44" fillId="4" borderId="68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hidden="1"/>
    </xf>
    <xf numFmtId="2" fontId="16" fillId="0" borderId="19" xfId="0" applyNumberFormat="1" applyFont="1" applyBorder="1" applyAlignment="1" applyProtection="1">
      <alignment horizontal="center" vertical="center"/>
      <protection hidden="1"/>
    </xf>
    <xf numFmtId="2" fontId="16" fillId="0" borderId="50" xfId="0" applyNumberFormat="1" applyFont="1" applyBorder="1" applyAlignment="1" applyProtection="1">
      <alignment horizontal="center" vertical="center"/>
      <protection hidden="1"/>
    </xf>
    <xf numFmtId="0" fontId="16" fillId="48" borderId="23" xfId="0" applyFont="1" applyFill="1" applyBorder="1" applyAlignment="1">
      <alignment horizontal="center" vertical="center" wrapText="1"/>
    </xf>
    <xf numFmtId="0" fontId="16" fillId="48" borderId="50" xfId="0" applyFont="1" applyFill="1" applyBorder="1" applyAlignment="1">
      <alignment horizontal="center" vertical="center" wrapText="1"/>
    </xf>
    <xf numFmtId="0" fontId="16" fillId="48" borderId="69" xfId="0" applyFont="1" applyFill="1" applyBorder="1" applyAlignment="1">
      <alignment horizontal="center" vertical="center" wrapText="1"/>
    </xf>
    <xf numFmtId="0" fontId="16" fillId="48" borderId="11" xfId="0" applyFont="1" applyFill="1" applyBorder="1" applyAlignment="1">
      <alignment horizontal="center" vertical="center" wrapText="1"/>
    </xf>
    <xf numFmtId="0" fontId="16" fillId="48" borderId="10" xfId="0" applyFont="1" applyFill="1" applyBorder="1" applyAlignment="1">
      <alignment horizontal="center" vertical="center" wrapText="1"/>
    </xf>
    <xf numFmtId="0" fontId="16" fillId="48" borderId="70" xfId="0" applyFont="1" applyFill="1" applyBorder="1" applyAlignment="1">
      <alignment horizontal="center" vertical="center" wrapText="1"/>
    </xf>
    <xf numFmtId="0" fontId="16" fillId="48" borderId="32" xfId="0" applyFont="1" applyFill="1" applyBorder="1" applyAlignment="1">
      <alignment horizontal="center" vertical="center" wrapText="1"/>
    </xf>
    <xf numFmtId="0" fontId="16" fillId="48" borderId="74" xfId="0" applyFont="1" applyFill="1" applyBorder="1" applyAlignment="1">
      <alignment horizontal="center" vertical="center" wrapText="1"/>
    </xf>
    <xf numFmtId="0" fontId="21" fillId="39" borderId="0" xfId="0" applyFont="1" applyFill="1" applyAlignment="1">
      <alignment horizontal="center"/>
    </xf>
    <xf numFmtId="0" fontId="21" fillId="39" borderId="0" xfId="0" applyFont="1" applyFill="1" applyAlignment="1">
      <alignment horizontal="center" vertical="center"/>
    </xf>
    <xf numFmtId="0" fontId="16" fillId="48" borderId="66" xfId="0" applyFont="1" applyFill="1" applyBorder="1" applyAlignment="1">
      <alignment horizontal="center" vertical="center"/>
    </xf>
    <xf numFmtId="0" fontId="16" fillId="48" borderId="67" xfId="0" applyFont="1" applyFill="1" applyBorder="1" applyAlignment="1">
      <alignment horizontal="center" vertical="center"/>
    </xf>
    <xf numFmtId="0" fontId="16" fillId="48" borderId="23" xfId="0" applyFont="1" applyFill="1" applyBorder="1" applyAlignment="1">
      <alignment horizontal="center" vertical="center"/>
    </xf>
    <xf numFmtId="0" fontId="16" fillId="48" borderId="50" xfId="0" applyFont="1" applyFill="1" applyBorder="1" applyAlignment="1">
      <alignment horizontal="center" vertical="center"/>
    </xf>
    <xf numFmtId="0" fontId="21" fillId="39" borderId="36" xfId="0" applyFont="1" applyFill="1" applyBorder="1" applyAlignment="1">
      <alignment horizontal="center" vertical="center"/>
    </xf>
    <xf numFmtId="0" fontId="21" fillId="39" borderId="36" xfId="0" applyFont="1" applyFill="1" applyBorder="1" applyAlignment="1">
      <alignment horizontal="center"/>
    </xf>
    <xf numFmtId="0" fontId="5" fillId="17" borderId="0" xfId="0" applyFont="1" applyFill="1" applyAlignment="1" applyProtection="1">
      <alignment horizontal="center" vertical="center" wrapText="1"/>
      <protection hidden="1"/>
    </xf>
    <xf numFmtId="0" fontId="26" fillId="17" borderId="0" xfId="0" applyFont="1" applyFill="1" applyAlignment="1" applyProtection="1">
      <alignment horizontal="center"/>
      <protection hidden="1"/>
    </xf>
    <xf numFmtId="2" fontId="75" fillId="17" borderId="0" xfId="0" applyNumberFormat="1" applyFont="1" applyFill="1" applyAlignment="1" applyProtection="1">
      <alignment horizontal="center" vertical="center" wrapText="1"/>
      <protection hidden="1"/>
    </xf>
    <xf numFmtId="0" fontId="17" fillId="17" borderId="0" xfId="0" applyFont="1" applyFill="1" applyAlignment="1" applyProtection="1">
      <alignment horizontal="center" vertical="center" wrapText="1"/>
      <protection hidden="1"/>
    </xf>
    <xf numFmtId="2" fontId="5" fillId="17" borderId="0" xfId="0" applyNumberFormat="1" applyFont="1" applyFill="1" applyAlignment="1" applyProtection="1">
      <alignment horizontal="center" vertical="center" wrapText="1"/>
      <protection hidden="1"/>
    </xf>
    <xf numFmtId="0" fontId="15" fillId="17" borderId="0" xfId="0" applyFont="1" applyFill="1" applyAlignment="1" applyProtection="1">
      <alignment horizontal="center" vertical="center" wrapText="1"/>
      <protection hidden="1"/>
    </xf>
    <xf numFmtId="0" fontId="16" fillId="17" borderId="0" xfId="0" applyFont="1" applyFill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center" vertical="center" wrapText="1"/>
      <protection hidden="1"/>
    </xf>
    <xf numFmtId="0" fontId="1" fillId="17" borderId="0" xfId="0" applyFont="1" applyFill="1" applyAlignment="1" applyProtection="1">
      <alignment horizontal="center" vertical="center" wrapText="1"/>
      <protection hidden="1"/>
    </xf>
    <xf numFmtId="0" fontId="1" fillId="17" borderId="0" xfId="0" applyFont="1" applyFill="1" applyAlignment="1" applyProtection="1">
      <alignment vertical="center"/>
      <protection hidden="1"/>
    </xf>
    <xf numFmtId="0" fontId="15" fillId="17" borderId="0" xfId="0" applyFont="1" applyFill="1" applyAlignment="1" applyProtection="1">
      <alignment horizontal="center" wrapText="1"/>
      <protection hidden="1"/>
    </xf>
    <xf numFmtId="0" fontId="16" fillId="17" borderId="0" xfId="0" applyFont="1" applyFill="1" applyAlignment="1" applyProtection="1">
      <alignment horizontal="left" vertical="center" wrapText="1"/>
      <protection hidden="1"/>
    </xf>
    <xf numFmtId="0" fontId="16" fillId="17" borderId="0" xfId="0" applyFont="1" applyFill="1" applyAlignment="1" applyProtection="1">
      <alignment horizontal="center" wrapText="1"/>
      <protection hidden="1"/>
    </xf>
    <xf numFmtId="0" fontId="6" fillId="17" borderId="0" xfId="0" applyFont="1" applyFill="1" applyAlignment="1" applyProtection="1">
      <alignment horizontal="center" vertical="center" wrapText="1"/>
      <protection hidden="1"/>
    </xf>
    <xf numFmtId="0" fontId="6" fillId="17" borderId="1" xfId="0" applyFont="1" applyFill="1" applyBorder="1" applyAlignment="1" applyProtection="1">
      <alignment horizontal="center" vertical="center"/>
      <protection hidden="1"/>
    </xf>
    <xf numFmtId="0" fontId="6" fillId="17" borderId="6" xfId="0" applyFont="1" applyFill="1" applyBorder="1" applyAlignment="1" applyProtection="1">
      <alignment horizontal="center" vertical="center"/>
      <protection hidden="1"/>
    </xf>
    <xf numFmtId="0" fontId="6" fillId="17" borderId="0" xfId="0" applyFont="1" applyFill="1" applyAlignment="1" applyProtection="1">
      <alignment horizontal="center" vertical="center"/>
      <protection hidden="1"/>
    </xf>
    <xf numFmtId="0" fontId="6" fillId="17" borderId="5" xfId="0" applyFont="1" applyFill="1" applyBorder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center"/>
      <protection hidden="1"/>
    </xf>
    <xf numFmtId="0" fontId="16" fillId="17" borderId="26" xfId="0" applyFont="1" applyFill="1" applyBorder="1" applyAlignment="1" applyProtection="1">
      <alignment horizontal="center"/>
      <protection hidden="1"/>
    </xf>
    <xf numFmtId="0" fontId="16" fillId="17" borderId="27" xfId="0" applyFont="1" applyFill="1" applyBorder="1" applyAlignment="1" applyProtection="1">
      <alignment horizontal="center"/>
      <protection hidden="1"/>
    </xf>
    <xf numFmtId="0" fontId="5" fillId="11" borderId="5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horizontal="center" wrapText="1"/>
      <protection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6" xfId="0" applyFont="1" applyFill="1" applyBorder="1" applyAlignment="1" applyProtection="1">
      <alignment horizontal="center" vertical="center"/>
      <protection hidden="1"/>
    </xf>
    <xf numFmtId="0" fontId="6" fillId="17" borderId="54" xfId="0" applyFont="1" applyFill="1" applyBorder="1" applyAlignment="1" applyProtection="1">
      <alignment horizontal="center" vertical="center"/>
      <protection hidden="1"/>
    </xf>
    <xf numFmtId="0" fontId="6" fillId="17" borderId="55" xfId="0" applyFont="1" applyFill="1" applyBorder="1" applyAlignment="1" applyProtection="1">
      <alignment horizontal="center" vertical="center"/>
      <protection hidden="1"/>
    </xf>
    <xf numFmtId="0" fontId="6" fillId="17" borderId="53" xfId="0" applyFont="1" applyFill="1" applyBorder="1" applyAlignment="1" applyProtection="1">
      <alignment horizontal="center" vertical="center"/>
      <protection hidden="1"/>
    </xf>
    <xf numFmtId="0" fontId="5" fillId="11" borderId="18" xfId="0" applyFont="1" applyFill="1" applyBorder="1" applyAlignment="1" applyProtection="1">
      <alignment horizontal="center" vertical="center"/>
      <protection hidden="1"/>
    </xf>
    <xf numFmtId="0" fontId="5" fillId="11" borderId="10" xfId="0" applyFont="1" applyFill="1" applyBorder="1" applyAlignment="1" applyProtection="1">
      <alignment horizontal="center" vertical="center"/>
      <protection hidden="1"/>
    </xf>
    <xf numFmtId="0" fontId="5" fillId="11" borderId="18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6" fillId="17" borderId="18" xfId="0" applyFont="1" applyFill="1" applyBorder="1" applyAlignment="1" applyProtection="1">
      <alignment horizontal="center" vertical="center"/>
      <protection locked="0"/>
    </xf>
    <xf numFmtId="0" fontId="6" fillId="17" borderId="10" xfId="0" applyFont="1" applyFill="1" applyBorder="1" applyAlignment="1" applyProtection="1">
      <alignment horizontal="center" vertical="center"/>
      <protection locked="0"/>
    </xf>
    <xf numFmtId="0" fontId="77" fillId="4" borderId="66" xfId="0" applyFont="1" applyFill="1" applyBorder="1" applyAlignment="1" applyProtection="1">
      <alignment horizontal="center" vertical="center"/>
      <protection hidden="1"/>
    </xf>
    <xf numFmtId="0" fontId="77" fillId="4" borderId="23" xfId="0" applyFont="1" applyFill="1" applyBorder="1" applyAlignment="1" applyProtection="1">
      <alignment horizontal="center" vertical="center"/>
      <protection hidden="1"/>
    </xf>
    <xf numFmtId="0" fontId="77" fillId="4" borderId="13" xfId="0" applyFont="1" applyFill="1" applyBorder="1" applyAlignment="1" applyProtection="1">
      <alignment horizontal="center" vertical="center"/>
      <protection hidden="1"/>
    </xf>
    <xf numFmtId="0" fontId="77" fillId="4" borderId="68" xfId="0" applyFont="1" applyFill="1" applyBorder="1" applyAlignment="1" applyProtection="1">
      <alignment horizontal="center" vertical="center"/>
      <protection hidden="1"/>
    </xf>
    <xf numFmtId="0" fontId="77" fillId="20" borderId="54" xfId="0" applyFont="1" applyFill="1" applyBorder="1" applyAlignment="1" applyProtection="1">
      <alignment horizontal="center" vertical="center"/>
      <protection hidden="1"/>
    </xf>
    <xf numFmtId="0" fontId="77" fillId="20" borderId="55" xfId="0" applyFont="1" applyFill="1" applyBorder="1" applyAlignment="1" applyProtection="1">
      <alignment horizontal="center" vertical="center"/>
      <protection hidden="1"/>
    </xf>
    <xf numFmtId="0" fontId="77" fillId="20" borderId="53" xfId="0" applyFont="1" applyFill="1" applyBorder="1" applyAlignment="1" applyProtection="1">
      <alignment horizontal="center" vertical="center"/>
      <protection hidden="1"/>
    </xf>
    <xf numFmtId="0" fontId="16" fillId="17" borderId="0" xfId="0" applyFont="1" applyFill="1" applyAlignment="1" applyProtection="1">
      <alignment horizontal="right"/>
      <protection hidden="1"/>
    </xf>
    <xf numFmtId="0" fontId="5" fillId="17" borderId="0" xfId="0" applyFont="1" applyFill="1" applyAlignment="1" applyProtection="1">
      <alignment horizontal="center" vertical="center"/>
      <protection hidden="1"/>
    </xf>
    <xf numFmtId="0" fontId="6" fillId="17" borderId="0" xfId="0" applyFont="1" applyFill="1" applyAlignment="1" applyProtection="1">
      <alignment horizontal="center"/>
      <protection locked="0"/>
    </xf>
    <xf numFmtId="0" fontId="5" fillId="17" borderId="55" xfId="0" applyFont="1" applyFill="1" applyBorder="1" applyAlignment="1" applyProtection="1">
      <alignment horizontal="center" vertical="center"/>
      <protection hidden="1"/>
    </xf>
    <xf numFmtId="0" fontId="16" fillId="17" borderId="20" xfId="0" applyFont="1" applyFill="1" applyBorder="1" applyAlignment="1" applyProtection="1">
      <alignment horizontal="center" vertical="center"/>
      <protection hidden="1"/>
    </xf>
    <xf numFmtId="0" fontId="16" fillId="17" borderId="42" xfId="0" applyFont="1" applyFill="1" applyBorder="1" applyAlignment="1" applyProtection="1">
      <alignment horizontal="center" vertical="center"/>
      <protection hidden="1"/>
    </xf>
    <xf numFmtId="0" fontId="5" fillId="17" borderId="20" xfId="0" applyFont="1" applyFill="1" applyBorder="1" applyAlignment="1" applyProtection="1">
      <alignment horizontal="center" vertical="center"/>
      <protection hidden="1"/>
    </xf>
    <xf numFmtId="0" fontId="1" fillId="17" borderId="0" xfId="0" applyFont="1" applyFill="1" applyAlignment="1" applyProtection="1">
      <alignment horizontal="center" vertical="center"/>
      <protection hidden="1"/>
    </xf>
    <xf numFmtId="0" fontId="58" fillId="20" borderId="15" xfId="0" applyFont="1" applyFill="1" applyBorder="1" applyAlignment="1">
      <alignment horizontal="center" vertical="center"/>
    </xf>
    <xf numFmtId="0" fontId="58" fillId="20" borderId="16" xfId="0" applyFont="1" applyFill="1" applyBorder="1" applyAlignment="1">
      <alignment horizontal="center" vertical="center"/>
    </xf>
    <xf numFmtId="0" fontId="53" fillId="17" borderId="0" xfId="0" applyFont="1" applyFill="1" applyAlignment="1">
      <alignment horizontal="center" vertical="center"/>
    </xf>
    <xf numFmtId="0" fontId="28" fillId="17" borderId="0" xfId="0" applyFont="1" applyFill="1" applyAlignment="1" applyProtection="1">
      <alignment horizontal="left" vertical="center"/>
      <protection hidden="1"/>
    </xf>
    <xf numFmtId="0" fontId="28" fillId="17" borderId="27" xfId="0" applyFont="1" applyFill="1" applyBorder="1" applyAlignment="1" applyProtection="1">
      <alignment horizontal="left" vertical="center"/>
      <protection hidden="1"/>
    </xf>
    <xf numFmtId="0" fontId="11" fillId="8" borderId="64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/>
    </xf>
    <xf numFmtId="0" fontId="11" fillId="8" borderId="57" xfId="0" applyFont="1" applyFill="1" applyBorder="1" applyAlignment="1">
      <alignment horizontal="center" vertical="center" wrapText="1"/>
    </xf>
    <xf numFmtId="0" fontId="11" fillId="8" borderId="52" xfId="0" applyFont="1" applyFill="1" applyBorder="1" applyAlignment="1">
      <alignment horizontal="center" vertical="center" wrapText="1"/>
    </xf>
    <xf numFmtId="0" fontId="11" fillId="8" borderId="44" xfId="0" applyFont="1" applyFill="1" applyBorder="1" applyAlignment="1">
      <alignment horizontal="center" vertical="center" wrapText="1"/>
    </xf>
    <xf numFmtId="0" fontId="11" fillId="8" borderId="56" xfId="0" applyFont="1" applyFill="1" applyBorder="1" applyAlignment="1">
      <alignment horizontal="center" vertical="center" wrapText="1"/>
    </xf>
    <xf numFmtId="0" fontId="11" fillId="8" borderId="70" xfId="0" applyFont="1" applyFill="1" applyBorder="1" applyAlignment="1">
      <alignment horizontal="center" vertical="center" wrapText="1"/>
    </xf>
    <xf numFmtId="0" fontId="11" fillId="8" borderId="74" xfId="0" applyFont="1" applyFill="1" applyBorder="1" applyAlignment="1">
      <alignment horizontal="center" vertical="center" wrapText="1"/>
    </xf>
    <xf numFmtId="0" fontId="44" fillId="17" borderId="0" xfId="0" applyFont="1" applyFill="1" applyAlignment="1" applyProtection="1">
      <alignment horizontal="left"/>
      <protection hidden="1"/>
    </xf>
    <xf numFmtId="0" fontId="5" fillId="8" borderId="75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14" fontId="11" fillId="8" borderId="18" xfId="0" applyNumberFormat="1" applyFont="1" applyFill="1" applyBorder="1" applyAlignment="1">
      <alignment horizontal="center" vertical="center"/>
    </xf>
    <xf numFmtId="14" fontId="11" fillId="8" borderId="10" xfId="0" applyNumberFormat="1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horizontal="center" vertical="center" wrapText="1"/>
    </xf>
    <xf numFmtId="0" fontId="11" fillId="8" borderId="19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24" fillId="39" borderId="15" xfId="0" applyFont="1" applyFill="1" applyBorder="1" applyAlignment="1" applyProtection="1">
      <alignment horizontal="center" vertical="center"/>
      <protection locked="0"/>
    </xf>
    <xf numFmtId="0" fontId="24" fillId="39" borderId="17" xfId="0" applyFont="1" applyFill="1" applyBorder="1" applyAlignment="1" applyProtection="1">
      <alignment horizontal="center" vertical="center"/>
      <protection locked="0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44" fillId="28" borderId="15" xfId="0" applyFont="1" applyFill="1" applyBorder="1" applyAlignment="1" applyProtection="1">
      <alignment horizontal="center" vertical="center"/>
      <protection hidden="1"/>
    </xf>
    <xf numFmtId="0" fontId="44" fillId="28" borderId="16" xfId="0" applyFont="1" applyFill="1" applyBorder="1" applyAlignment="1" applyProtection="1">
      <alignment horizontal="center" vertical="center"/>
      <protection hidden="1"/>
    </xf>
    <xf numFmtId="0" fontId="44" fillId="28" borderId="17" xfId="0" applyFont="1" applyFill="1" applyBorder="1" applyAlignment="1" applyProtection="1">
      <alignment horizontal="center" vertical="center"/>
      <protection hidden="1"/>
    </xf>
    <xf numFmtId="0" fontId="6" fillId="28" borderId="2" xfId="0" applyFont="1" applyFill="1" applyBorder="1" applyAlignment="1">
      <alignment horizontal="center" vertical="center"/>
    </xf>
    <xf numFmtId="0" fontId="6" fillId="28" borderId="3" xfId="0" applyFont="1" applyFill="1" applyBorder="1" applyAlignment="1">
      <alignment horizontal="center" vertical="center"/>
    </xf>
    <xf numFmtId="0" fontId="6" fillId="28" borderId="4" xfId="0" applyFont="1" applyFill="1" applyBorder="1" applyAlignment="1">
      <alignment horizontal="center" vertical="center"/>
    </xf>
    <xf numFmtId="0" fontId="6" fillId="28" borderId="24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5" fillId="28" borderId="45" xfId="0" applyFont="1" applyFill="1" applyBorder="1" applyAlignment="1">
      <alignment horizontal="center" vertical="center"/>
    </xf>
    <xf numFmtId="0" fontId="5" fillId="28" borderId="3" xfId="0" applyFont="1" applyFill="1" applyBorder="1" applyAlignment="1">
      <alignment horizontal="center" vertical="center"/>
    </xf>
    <xf numFmtId="0" fontId="5" fillId="28" borderId="4" xfId="0" applyFont="1" applyFill="1" applyBorder="1" applyAlignment="1">
      <alignment horizontal="center" vertical="center"/>
    </xf>
    <xf numFmtId="2" fontId="5" fillId="28" borderId="2" xfId="0" applyNumberFormat="1" applyFont="1" applyFill="1" applyBorder="1" applyAlignment="1" applyProtection="1">
      <alignment horizontal="center" vertical="center"/>
      <protection hidden="1"/>
    </xf>
    <xf numFmtId="2" fontId="5" fillId="28" borderId="4" xfId="0" applyNumberFormat="1" applyFont="1" applyFill="1" applyBorder="1" applyAlignment="1" applyProtection="1">
      <alignment horizontal="center" vertical="center"/>
      <protection hidden="1"/>
    </xf>
    <xf numFmtId="2" fontId="6" fillId="0" borderId="40" xfId="0" applyNumberFormat="1" applyFont="1" applyBorder="1" applyAlignment="1">
      <alignment horizontal="center"/>
    </xf>
    <xf numFmtId="2" fontId="6" fillId="0" borderId="58" xfId="0" applyNumberFormat="1" applyFont="1" applyBorder="1" applyAlignment="1">
      <alignment horizontal="center"/>
    </xf>
    <xf numFmtId="0" fontId="5" fillId="0" borderId="26" xfId="0" applyFont="1" applyBorder="1" applyAlignment="1">
      <alignment horizontal="right" vertical="center"/>
    </xf>
    <xf numFmtId="0" fontId="5" fillId="20" borderId="45" xfId="0" applyFont="1" applyFill="1" applyBorder="1" applyAlignment="1">
      <alignment horizontal="center" vertical="center"/>
    </xf>
    <xf numFmtId="0" fontId="5" fillId="20" borderId="3" xfId="0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/>
    </xf>
    <xf numFmtId="2" fontId="5" fillId="20" borderId="2" xfId="0" applyNumberFormat="1" applyFont="1" applyFill="1" applyBorder="1" applyAlignment="1" applyProtection="1">
      <alignment horizontal="center" vertical="center"/>
      <protection hidden="1"/>
    </xf>
    <xf numFmtId="2" fontId="5" fillId="20" borderId="4" xfId="0" applyNumberFormat="1" applyFont="1" applyFill="1" applyBorder="1" applyAlignment="1" applyProtection="1">
      <alignment horizontal="center" vertical="center"/>
      <protection hidden="1"/>
    </xf>
    <xf numFmtId="0" fontId="6" fillId="0" borderId="55" xfId="0" applyFont="1" applyBorder="1" applyAlignment="1">
      <alignment horizontal="left" vertical="center"/>
    </xf>
    <xf numFmtId="2" fontId="6" fillId="17" borderId="57" xfId="0" applyNumberFormat="1" applyFont="1" applyFill="1" applyBorder="1" applyAlignment="1" applyProtection="1">
      <alignment horizontal="center" vertical="center"/>
      <protection hidden="1"/>
    </xf>
    <xf numFmtId="2" fontId="6" fillId="17" borderId="52" xfId="0" applyNumberFormat="1" applyFont="1" applyFill="1" applyBorder="1" applyAlignment="1" applyProtection="1">
      <alignment horizontal="center" vertical="center"/>
      <protection hidden="1"/>
    </xf>
    <xf numFmtId="2" fontId="6" fillId="0" borderId="40" xfId="0" applyNumberFormat="1" applyFont="1" applyBorder="1" applyAlignment="1">
      <alignment horizontal="center" vertical="center"/>
    </xf>
    <xf numFmtId="2" fontId="6" fillId="0" borderId="58" xfId="0" applyNumberFormat="1" applyFont="1" applyBorder="1" applyAlignment="1">
      <alignment horizontal="center" vertical="center"/>
    </xf>
    <xf numFmtId="0" fontId="44" fillId="20" borderId="15" xfId="0" applyFont="1" applyFill="1" applyBorder="1" applyAlignment="1" applyProtection="1">
      <alignment horizontal="center" vertical="center"/>
      <protection hidden="1"/>
    </xf>
    <xf numFmtId="0" fontId="44" fillId="20" borderId="16" xfId="0" applyFont="1" applyFill="1" applyBorder="1" applyAlignment="1" applyProtection="1">
      <alignment horizontal="center" vertical="center"/>
      <protection hidden="1"/>
    </xf>
    <xf numFmtId="0" fontId="44" fillId="20" borderId="17" xfId="0" applyFont="1" applyFill="1" applyBorder="1" applyAlignment="1" applyProtection="1">
      <alignment horizontal="center" vertical="center"/>
      <protection hidden="1"/>
    </xf>
    <xf numFmtId="0" fontId="6" fillId="20" borderId="2" xfId="0" applyFont="1" applyFill="1" applyBorder="1" applyAlignment="1">
      <alignment horizontal="center" vertical="center"/>
    </xf>
    <xf numFmtId="0" fontId="6" fillId="20" borderId="3" xfId="0" applyFont="1" applyFill="1" applyBorder="1" applyAlignment="1">
      <alignment horizontal="center" vertical="center"/>
    </xf>
    <xf numFmtId="0" fontId="6" fillId="20" borderId="4" xfId="0" applyFont="1" applyFill="1" applyBorder="1" applyAlignment="1">
      <alignment horizontal="center" vertical="center"/>
    </xf>
    <xf numFmtId="0" fontId="6" fillId="20" borderId="24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5" fillId="2" borderId="31" xfId="0" applyFont="1" applyFill="1" applyBorder="1" applyAlignment="1">
      <alignment horizontal="center" vertical="center"/>
    </xf>
    <xf numFmtId="0" fontId="85" fillId="2" borderId="32" xfId="0" applyFont="1" applyFill="1" applyBorder="1" applyAlignment="1">
      <alignment horizontal="center" vertical="center"/>
    </xf>
    <xf numFmtId="0" fontId="85" fillId="2" borderId="33" xfId="0" applyFont="1" applyFill="1" applyBorder="1" applyAlignment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53" fillId="0" borderId="0" xfId="0" applyFont="1" applyAlignment="1">
      <alignment horizontal="center" vertical="center"/>
    </xf>
    <xf numFmtId="0" fontId="53" fillId="0" borderId="36" xfId="0" applyFont="1" applyBorder="1" applyAlignment="1">
      <alignment horizontal="center" vertical="center"/>
    </xf>
    <xf numFmtId="0" fontId="16" fillId="0" borderId="36" xfId="0" applyFont="1" applyBorder="1" applyAlignment="1" applyProtection="1">
      <alignment horizontal="center" vertical="center"/>
      <protection hidden="1"/>
    </xf>
    <xf numFmtId="0" fontId="16" fillId="2" borderId="66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59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50" fillId="4" borderId="0" xfId="0" applyFont="1" applyFill="1" applyAlignment="1">
      <alignment horizontal="center" vertical="center"/>
    </xf>
    <xf numFmtId="0" fontId="50" fillId="4" borderId="0" xfId="0" applyFont="1" applyFill="1" applyAlignment="1">
      <alignment horizontal="left" vertical="center"/>
    </xf>
    <xf numFmtId="0" fontId="50" fillId="4" borderId="27" xfId="0" applyFont="1" applyFill="1" applyBorder="1" applyAlignment="1">
      <alignment horizontal="left" vertical="center"/>
    </xf>
    <xf numFmtId="0" fontId="16" fillId="2" borderId="15" xfId="0" applyFont="1" applyFill="1" applyBorder="1" applyAlignment="1">
      <alignment horizontal="center" vertical="center"/>
    </xf>
    <xf numFmtId="0" fontId="48" fillId="2" borderId="31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48" fillId="2" borderId="33" xfId="0" applyFont="1" applyFill="1" applyBorder="1" applyAlignment="1">
      <alignment horizontal="center" vertical="center"/>
    </xf>
    <xf numFmtId="0" fontId="58" fillId="4" borderId="26" xfId="0" applyFont="1" applyFill="1" applyBorder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50" fillId="20" borderId="15" xfId="0" applyFont="1" applyFill="1" applyBorder="1" applyAlignment="1">
      <alignment horizontal="center" vertical="center"/>
    </xf>
    <xf numFmtId="0" fontId="50" fillId="20" borderId="16" xfId="0" applyFont="1" applyFill="1" applyBorder="1" applyAlignment="1">
      <alignment horizontal="center" vertical="center"/>
    </xf>
    <xf numFmtId="0" fontId="14" fillId="8" borderId="64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58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 wrapText="1"/>
    </xf>
    <xf numFmtId="0" fontId="14" fillId="8" borderId="19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/>
    </xf>
    <xf numFmtId="0" fontId="16" fillId="8" borderId="75" xfId="0" applyFont="1" applyFill="1" applyBorder="1" applyAlignment="1">
      <alignment horizontal="center" vertical="center"/>
    </xf>
    <xf numFmtId="0" fontId="16" fillId="8" borderId="34" xfId="0" applyFont="1" applyFill="1" applyBorder="1" applyAlignment="1">
      <alignment horizontal="center" vertical="center"/>
    </xf>
    <xf numFmtId="14" fontId="14" fillId="8" borderId="18" xfId="0" applyNumberFormat="1" applyFont="1" applyFill="1" applyBorder="1" applyAlignment="1">
      <alignment horizontal="center" vertical="center"/>
    </xf>
    <xf numFmtId="14" fontId="14" fillId="8" borderId="10" xfId="0" applyNumberFormat="1" applyFont="1" applyFill="1" applyBorder="1" applyAlignment="1">
      <alignment horizontal="center" vertical="center"/>
    </xf>
    <xf numFmtId="0" fontId="53" fillId="17" borderId="32" xfId="0" applyFont="1" applyFill="1" applyBorder="1" applyAlignment="1">
      <alignment horizontal="center" vertical="center"/>
    </xf>
    <xf numFmtId="0" fontId="28" fillId="17" borderId="32" xfId="0" applyFont="1" applyFill="1" applyBorder="1" applyAlignment="1" applyProtection="1">
      <alignment horizontal="left" vertical="center"/>
      <protection hidden="1"/>
    </xf>
    <xf numFmtId="0" fontId="28" fillId="17" borderId="33" xfId="0" applyFont="1" applyFill="1" applyBorder="1" applyAlignment="1" applyProtection="1">
      <alignment horizontal="left" vertical="center"/>
      <protection hidden="1"/>
    </xf>
    <xf numFmtId="0" fontId="27" fillId="0" borderId="1" xfId="0" applyFont="1" applyBorder="1" applyAlignment="1" applyProtection="1">
      <alignment horizontal="center"/>
      <protection locked="0"/>
    </xf>
    <xf numFmtId="0" fontId="27" fillId="0" borderId="6" xfId="0" applyFont="1" applyBorder="1" applyAlignment="1" applyProtection="1">
      <alignment horizontal="center"/>
      <protection locked="0"/>
    </xf>
    <xf numFmtId="0" fontId="1" fillId="0" borderId="2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27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0" fontId="45" fillId="12" borderId="15" xfId="0" applyFont="1" applyFill="1" applyBorder="1" applyAlignment="1">
      <alignment horizontal="center" vertical="center"/>
    </xf>
    <xf numFmtId="0" fontId="45" fillId="12" borderId="16" xfId="0" applyFont="1" applyFill="1" applyBorder="1" applyAlignment="1">
      <alignment horizontal="center" vertical="center"/>
    </xf>
    <xf numFmtId="0" fontId="45" fillId="12" borderId="17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/>
    </xf>
    <xf numFmtId="0" fontId="16" fillId="17" borderId="2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/>
    </xf>
    <xf numFmtId="0" fontId="26" fillId="17" borderId="4" xfId="0" applyFont="1" applyFill="1" applyBorder="1" applyAlignment="1">
      <alignment horizontal="center"/>
    </xf>
    <xf numFmtId="0" fontId="26" fillId="17" borderId="3" xfId="0" applyFont="1" applyFill="1" applyBorder="1" applyAlignment="1">
      <alignment horizontal="center"/>
    </xf>
    <xf numFmtId="0" fontId="1" fillId="17" borderId="0" xfId="0" applyFont="1" applyFill="1" applyAlignment="1">
      <alignment horizontal="left" vertical="center"/>
    </xf>
    <xf numFmtId="0" fontId="16" fillId="18" borderId="0" xfId="0" applyFont="1" applyFill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17" borderId="77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center" vertical="center"/>
    </xf>
    <xf numFmtId="0" fontId="1" fillId="17" borderId="27" xfId="0" applyFont="1" applyFill="1" applyBorder="1" applyAlignment="1">
      <alignment horizontal="center" vertical="center"/>
    </xf>
    <xf numFmtId="0" fontId="1" fillId="17" borderId="28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1" fillId="17" borderId="6" xfId="0" applyFont="1" applyFill="1" applyBorder="1" applyAlignment="1">
      <alignment horizontal="center" vertical="center"/>
    </xf>
    <xf numFmtId="0" fontId="1" fillId="17" borderId="7" xfId="0" applyFont="1" applyFill="1" applyBorder="1" applyAlignment="1">
      <alignment horizontal="center" vertical="center"/>
    </xf>
    <xf numFmtId="0" fontId="1" fillId="17" borderId="8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17" borderId="0" xfId="0" applyFont="1" applyFill="1" applyAlignment="1" applyProtection="1">
      <alignment horizontal="left" vertical="center"/>
      <protection hidden="1"/>
    </xf>
    <xf numFmtId="0" fontId="16" fillId="17" borderId="27" xfId="0" applyFont="1" applyFill="1" applyBorder="1" applyAlignment="1" applyProtection="1">
      <alignment horizontal="left" vertical="center"/>
      <protection hidden="1"/>
    </xf>
    <xf numFmtId="0" fontId="1" fillId="17" borderId="28" xfId="0" applyFont="1" applyFill="1" applyBorder="1" applyAlignment="1">
      <alignment horizontal="center" vertical="center" wrapText="1"/>
    </xf>
    <xf numFmtId="0" fontId="1" fillId="17" borderId="7" xfId="0" applyFont="1" applyFill="1" applyBorder="1" applyAlignment="1">
      <alignment horizontal="center" vertical="center" wrapText="1"/>
    </xf>
    <xf numFmtId="0" fontId="16" fillId="17" borderId="0" xfId="0" applyFont="1" applyFill="1" applyAlignment="1">
      <alignment horizontal="center" vertical="center"/>
    </xf>
    <xf numFmtId="0" fontId="1" fillId="17" borderId="29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1" fillId="17" borderId="64" xfId="0" applyFont="1" applyFill="1" applyBorder="1" applyAlignment="1">
      <alignment horizontal="center" vertical="center" wrapText="1"/>
    </xf>
    <xf numFmtId="0" fontId="16" fillId="17" borderId="27" xfId="0" applyFont="1" applyFill="1" applyBorder="1" applyAlignment="1">
      <alignment horizontal="center" vertical="center"/>
    </xf>
    <xf numFmtId="0" fontId="77" fillId="4" borderId="15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14" fontId="1" fillId="17" borderId="0" xfId="0" applyNumberFormat="1" applyFont="1" applyFill="1" applyAlignment="1" applyProtection="1">
      <alignment horizontal="center" vertical="center"/>
      <protection locked="0"/>
    </xf>
    <xf numFmtId="0" fontId="16" fillId="17" borderId="0" xfId="0" applyFont="1" applyFill="1" applyAlignment="1">
      <alignment horizontal="left" vertical="center"/>
    </xf>
  </cellXfs>
  <cellStyles count="5">
    <cellStyle name="Comma" xfId="3" builtinId="3"/>
    <cellStyle name="Hyperlink" xfId="1" builtinId="8"/>
    <cellStyle name="Normal" xfId="0" builtinId="0"/>
    <cellStyle name="Normal 2" xfId="4"/>
    <cellStyle name="Percent" xfId="2" builtinId="5"/>
  </cellStyles>
  <dxfs count="142">
    <dxf>
      <font>
        <color theme="0"/>
      </font>
    </dxf>
    <dxf>
      <font>
        <color theme="1"/>
      </font>
    </dxf>
    <dxf>
      <font>
        <b/>
        <i/>
        <color rgb="FFFF0000"/>
      </font>
    </dxf>
    <dxf>
      <font>
        <color theme="0"/>
      </font>
    </dxf>
    <dxf>
      <font>
        <color theme="1"/>
      </font>
    </dxf>
    <dxf>
      <font>
        <b/>
        <i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b/>
        <i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82" formatCode="&quot;रविवार&quot;"/>
    </dxf>
    <dxf>
      <numFmt numFmtId="183" formatCode="&quot;सोमवार&quot;"/>
    </dxf>
    <dxf>
      <numFmt numFmtId="184" formatCode="&quot;मंगळवार&quot;"/>
    </dxf>
    <dxf>
      <numFmt numFmtId="185" formatCode="&quot;बुधवार&quot;"/>
    </dxf>
    <dxf>
      <numFmt numFmtId="186" formatCode="&quot;गुरुवार&quot;"/>
    </dxf>
    <dxf>
      <numFmt numFmtId="187" formatCode="&quot;शुक्रवार&quot;"/>
    </dxf>
    <dxf>
      <numFmt numFmtId="188" formatCode="&quot;शनिवार&quot;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numFmt numFmtId="182" formatCode="&quot;रविवार&quot;"/>
    </dxf>
    <dxf>
      <numFmt numFmtId="183" formatCode="&quot;सोमवार&quot;"/>
    </dxf>
    <dxf>
      <numFmt numFmtId="184" formatCode="&quot;मंगळवार&quot;"/>
    </dxf>
    <dxf>
      <numFmt numFmtId="185" formatCode="&quot;बुधवार&quot;"/>
    </dxf>
    <dxf>
      <numFmt numFmtId="186" formatCode="&quot;गुरुवार&quot;"/>
    </dxf>
    <dxf>
      <numFmt numFmtId="187" formatCode="&quot;शुक्रवार&quot;"/>
    </dxf>
    <dxf>
      <numFmt numFmtId="188" formatCode="&quot;शनिवार&quot;"/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gradientFill degree="90">
          <stop position="0">
            <color theme="7" tint="0.40000610370189521"/>
          </stop>
          <stop position="1">
            <color rgb="FFF464E3"/>
          </stop>
        </gradientFill>
      </fill>
    </dxf>
    <dxf>
      <fill>
        <gradientFill degree="90">
          <stop position="0">
            <color rgb="FFFA86D9"/>
          </stop>
          <stop position="1">
            <color theme="7" tint="0.40000610370189521"/>
          </stop>
        </gradient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66"/>
        </patternFill>
      </fill>
    </dxf>
    <dxf>
      <fill>
        <patternFill>
          <bgColor rgb="FFFF3399"/>
        </patternFill>
      </fill>
    </dxf>
    <dxf>
      <fill>
        <patternFill>
          <bgColor rgb="FFFF0066"/>
        </patternFill>
      </fill>
    </dxf>
    <dxf>
      <fill>
        <patternFill>
          <bgColor rgb="FFFF0066"/>
        </patternFill>
      </fill>
    </dxf>
    <dxf>
      <fill>
        <patternFill>
          <bgColor rgb="FFFF0066"/>
        </patternFill>
      </fill>
    </dxf>
  </dxfs>
  <tableStyles count="0" defaultTableStyle="TableStyleMedium2" defaultPivotStyle="PivotStyleLight16"/>
  <colors>
    <mruColors>
      <color rgb="FFCCFFCC"/>
      <color rgb="FF7ADCFA"/>
      <color rgb="FF0000FF"/>
      <color rgb="FFFFFF99"/>
      <color rgb="FFD49B92"/>
      <color rgb="FFFF0000"/>
      <color rgb="FF990099"/>
      <color rgb="FF99FF99"/>
      <color rgb="FF66FF99"/>
      <color rgb="FFFA8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&#2340;&#2375;&#2354; &#2357; &#2346;&#2370;&#2352;&#2325; &#2310;.&#2346;&#2366;&#2357;&#2340;&#2368; 6 &#2340;&#2375; 8'!A1"/><Relationship Id="rId18" Type="http://schemas.openxmlformats.org/officeDocument/2006/relationships/hyperlink" Target="#'&#2350;&#2366;&#2360;&#2367;&#2325; &#2343;&#2366;&#2344;&#2381;&#2351;&#2366;&#2342;&#2368; &#2358;&#2367;&#2354;&#2381;&#2354;&#2325; 6 &#2340;&#2375; 8'!A1"/><Relationship Id="rId26" Type="http://schemas.openxmlformats.org/officeDocument/2006/relationships/hyperlink" Target="#'&#2360;&#2381;&#2357;&#2351;&#2306;&#2346;&#2366;&#2325;&#2368;  &#2361;&#2332;&#2375;&#2352;&#2368;&#2346;&#2340;&#2381;&#2352;&#2325; '!A1"/><Relationship Id="rId21" Type="http://schemas.microsoft.com/office/2007/relationships/hdphoto" Target="../media/hdphoto1.wdp"/><Relationship Id="rId34" Type="http://schemas.openxmlformats.org/officeDocument/2006/relationships/hyperlink" Target="#'&#2348;&#2366;&#2348;&#2357;&#2366;&#2352; &#2326;&#2340;&#2366;&#2357;&#2339;&#2368;(&#2354;&#2375;&#2332;&#2352;)'!A1"/><Relationship Id="rId7" Type="http://schemas.openxmlformats.org/officeDocument/2006/relationships/hyperlink" Target="#' &#2350;&#2366;&#2360;&#2367;&#2325; &#2343;&#2366;&#2344;&#2381;&#2351;&#2366;&#2342;&#2368; &#2358;&#2367;&#2354;&#2381;&#2354;&#2325; 1 &#2340;&#2375; 5'!A1"/><Relationship Id="rId12" Type="http://schemas.openxmlformats.org/officeDocument/2006/relationships/hyperlink" Target="#'&#2311;&#2306;&#2343;&#2344; &#2349;&#2366;&#2332;&#2368;.&#2346;&#2366;&#2357;&#2340;&#2368; 6 &#2340;&#2375; 8'!A1"/><Relationship Id="rId17" Type="http://schemas.openxmlformats.org/officeDocument/2006/relationships/hyperlink" Target="#'&#2350;&#2369;&#2326;&#2381;&#2351;&#2366;&#2343;&#2381;&#2351;&#2366;&#2346;&#2325; &#2337;&#2366;&#2351;&#2352;&#2368;'!A1"/><Relationship Id="rId25" Type="http://schemas.openxmlformats.org/officeDocument/2006/relationships/hyperlink" Target="#&#2325;&#2352;&#2366;&#2352;&#2344;&#2366;&#2350;&#2366;!A1"/><Relationship Id="rId33" Type="http://schemas.openxmlformats.org/officeDocument/2006/relationships/hyperlink" Target="#'&#2350;&#2366;&#2360;&#2367;&#2325; &#2325;&#2373;&#2358;&#2348;&#2369;&#2325;'!A1"/><Relationship Id="rId38" Type="http://schemas.openxmlformats.org/officeDocument/2006/relationships/hyperlink" Target="#' &#2350;&#2342;&#2340;&#2344;&#2368;&#2360; 4 &#2357; 5 &#2350;&#2366;&#2344;&#2343;&#2344; &#2346;&#2366;&#2357;&#2340;&#2368; '!A1"/><Relationship Id="rId2" Type="http://schemas.openxmlformats.org/officeDocument/2006/relationships/hyperlink" Target="#'&#2342;&#2376;&#2344;&#2367;&#2325; &#2350;&#2366;&#2361;&#2367;&#2340;&#2368;'!A1"/><Relationship Id="rId16" Type="http://schemas.openxmlformats.org/officeDocument/2006/relationships/hyperlink" Target="#'&#2358;&#2367;&#2325;&#2381;&#2359;&#2325; &#2350;&#2366;&#2344;&#2343;&#2344; &#2346;&#2366;&#2357;&#2340;&#2368;'!A1"/><Relationship Id="rId20" Type="http://schemas.openxmlformats.org/officeDocument/2006/relationships/image" Target="../media/image1.jpeg"/><Relationship Id="rId29" Type="http://schemas.openxmlformats.org/officeDocument/2006/relationships/hyperlink" Target="#' &#2357;&#2332;&#2344; &#2357; &#2313;&#2306;&#2330;&#2368; &#2340;&#2381;&#2352;&#2375;&#2350;&#2366;&#2360;&#2367;&#2325; &#2309;&#2361;&#2357;&#2366;&#2354; '!A1"/><Relationship Id="rId1" Type="http://schemas.openxmlformats.org/officeDocument/2006/relationships/hyperlink" Target="#'&#2358;&#2366;&#2355;&#2366; &#2350;&#2366;&#2361;&#2367;&#2340;&#2368;'!A1"/><Relationship Id="rId6" Type="http://schemas.openxmlformats.org/officeDocument/2006/relationships/hyperlink" Target="#' &#2342;&#2376;&#2344;&#2367;&#2325; &#2344;&#2379;&#2306;&#2342;&#2357;&#2361;&#2368; 6 &#2340;&#2375; 8'!A1"/><Relationship Id="rId11" Type="http://schemas.openxmlformats.org/officeDocument/2006/relationships/hyperlink" Target="#'&#2311;&#2306;&#2343;&#2344;,&#2349;&#2366;&#2332;&#2368;.&#2346;&#2366;&#2357;&#2340;&#2368; 1 &#2340;&#2375; 5'!A1"/><Relationship Id="rId24" Type="http://schemas.openxmlformats.org/officeDocument/2006/relationships/hyperlink" Target="#'&#2360;&#2379;&#2351;&#2366;&#2348;&#2368;&#2344;,&#2346;&#2370;&#2352;&#2325; &#2310;. &#2346;&#2366;&#2357;&#2340;&#2368; 1 &#2340;&#2375; 5'!A1"/><Relationship Id="rId32" Type="http://schemas.openxmlformats.org/officeDocument/2006/relationships/hyperlink" Target="#'&#2350;&#2366;&#2360;&#2367;&#2325; &#2309;&#2344;&#2369;&#2342;&#2366;&#2344; &#2350;&#2366;&#2327;&#2339;&#2368;'!A1"/><Relationship Id="rId37" Type="http://schemas.openxmlformats.org/officeDocument/2006/relationships/hyperlink" Target="#'Balance sheet'!A1"/><Relationship Id="rId5" Type="http://schemas.openxmlformats.org/officeDocument/2006/relationships/hyperlink" Target="#' &#2342;&#2376;&#2344;&#2367;&#2325; &#2344;&#2379;&#2306;&#2342;&#2357;&#2361;&#2368;1 &#2340;&#2375; 5'!A1"/><Relationship Id="rId15" Type="http://schemas.openxmlformats.org/officeDocument/2006/relationships/hyperlink" Target="#' &#2350;&#2342;&#2340;&#2344;&#2368;&#2360; 2 &#2357; 3 &#2350;&#2366;&#2344;&#2343;&#2344; &#2346;&#2366;&#2357;&#2340;&#2368;'!A1"/><Relationship Id="rId23" Type="http://schemas.openxmlformats.org/officeDocument/2006/relationships/hyperlink" Target="#'&#2342;&#2376;&#2344;&#2367;&#2325; &#2349;&#2366;&#2332;&#2368;&#2346;&#2366;&#2354;&#2366;,&#2346;&#2370;&#2352;&#2325; &#2310;&#2361;&#2366;&#2352; 6 &#2340;&#2375; 8'!A1"/><Relationship Id="rId28" Type="http://schemas.openxmlformats.org/officeDocument/2006/relationships/hyperlink" Target="#'&#2358;&#2366;.&#2346;&#2379;.&#2310;.&#2360;&#2350;&#2367;&#2340;&#2368; &#2350;&#2366;&#2360;&#2367;&#2325; &#2348;&#2376;&#2336;&#2325;'!A1"/><Relationship Id="rId36" Type="http://schemas.openxmlformats.org/officeDocument/2006/relationships/hyperlink" Target="#'&#2348;&#2305;&#2325; &#2326;&#2352;&#2381;&#2330; &#2357;&#2381;&#2361;&#2366;&#2313;&#2330;&#2352; &#2346;&#2366;&#2357;&#2340;&#2368;'!A1"/><Relationship Id="rId10" Type="http://schemas.openxmlformats.org/officeDocument/2006/relationships/hyperlink" Target="#'&#2330;&#2357; &#2352;&#2332;&#2367;&#2360;&#2381;&#2335;&#2352;'!A1"/><Relationship Id="rId19" Type="http://schemas.openxmlformats.org/officeDocument/2006/relationships/hyperlink" Target="#'&#2357;&#2366;&#2352;&#2381;&#2359;&#2367;&#2325; &#2343;&#2366;&#2344;&#2381;&#2351;&#2366;&#2342;&#2368; &#2350;&#2366;&#2354; 6 &#2340;&#2375; 8'!A1"/><Relationship Id="rId31" Type="http://schemas.openxmlformats.org/officeDocument/2006/relationships/hyperlink" Target="#'&#2350;&#2366;&#2360;&#2367;&#2325; &#2340;&#2366;&#2306;&#2342;&#2370;&#2355; &#2309;&#2361;&#2357;&#2366;&#2354; 6 &#2340;&#2375; 8'!A1"/><Relationship Id="rId4" Type="http://schemas.openxmlformats.org/officeDocument/2006/relationships/hyperlink" Target="#' &#2346;&#2381;&#2352;&#2350;&#2366;&#2339; &#2344;&#2367;&#2358;&#2381;&#2330;&#2367;&#2340;&#2368; '!A1"/><Relationship Id="rId9" Type="http://schemas.openxmlformats.org/officeDocument/2006/relationships/hyperlink" Target="#'&#2357;&#2366;&#2352;&#2381;&#2359;&#2367;&#2325; &#2343;&#2366;&#2344;&#2381;&#2351;&#2366;&#2342;&#2368; &#2350;&#2366;&#2354; 1 &#2340;&#2375; 5'!A1"/><Relationship Id="rId14" Type="http://schemas.openxmlformats.org/officeDocument/2006/relationships/hyperlink" Target="#'&#2360;&#2381;&#2357;&#2351;&#2306;&#2346;&#2366;&#2325;&#2368; &#2357; &#2350;&#2342;&#2340;&#2344;&#2368;&#2360; 1&#2350;&#2366;&#2344;&#2343;&#2344; &#2346;&#2366;&#2357;&#2340;&#2368;'!A1"/><Relationship Id="rId22" Type="http://schemas.openxmlformats.org/officeDocument/2006/relationships/hyperlink" Target="#'&#2342;&#2376;&#2344;&#2367;&#2325; &#2349;&#2366;&#2332;&#2368;&#2346;&#2366;&#2354;&#2366;,&#2346;&#2370;&#2352;&#2325; &#2310;&#2361;&#2366;&#2352; 1 &#2340;&#2375; 5'!A1"/><Relationship Id="rId27" Type="http://schemas.openxmlformats.org/officeDocument/2006/relationships/hyperlink" Target="#'&#2350;&#2342;&#2340;&#2344;&#2368;&#2360; &#2361;&#2332;&#2375;&#2352;&#2368;&#2346;&#2340;&#2381;&#2352;&#2325; '!A1"/><Relationship Id="rId30" Type="http://schemas.openxmlformats.org/officeDocument/2006/relationships/hyperlink" Target="#'&#2348;&#2305;&#2325; &#2332;&#2350;&#2366; &#2326;&#2352;&#2381;&#2330; &#2346;&#2366;&#2360;&#2348;&#2369;&#2325;'!A1"/><Relationship Id="rId35" Type="http://schemas.openxmlformats.org/officeDocument/2006/relationships/hyperlink" Target="#'&#2330;&#2375;&#2325; &#2337;&#2366;&#2351;&#2352;&#2368;'!A1"/><Relationship Id="rId8" Type="http://schemas.openxmlformats.org/officeDocument/2006/relationships/hyperlink" Target="#'&#2350;&#2366;&#2360;&#2367;&#2325; &#2340;&#2366;&#2306;&#2342;&#2370;&#2355; &#2309;&#2361;&#2357;&#2366;&#2354; 1 &#2340;&#2375; 5'!A1"/><Relationship Id="rId3" Type="http://schemas.openxmlformats.org/officeDocument/2006/relationships/hyperlink" Target="#'&#2360;&#2366;&#2336;&#2366; &#2344;&#2379;&#2306;&#2342;&#2357;&#2361;&#236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hyperlink" Target="https://www.dropbox.com/s/m7tseds3vo6qh6a/kokila.ttf?dl=0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0</xdr:row>
      <xdr:rowOff>95250</xdr:rowOff>
    </xdr:from>
    <xdr:to>
      <xdr:col>10</xdr:col>
      <xdr:colOff>533401</xdr:colOff>
      <xdr:row>1</xdr:row>
      <xdr:rowOff>133350</xdr:rowOff>
    </xdr:to>
    <xdr:sp macro="" textlink="">
      <xdr:nvSpPr>
        <xdr:cNvPr id="2" name="Flowchart: Terminator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895726" y="95250"/>
          <a:ext cx="2647950" cy="323850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MDM</a:t>
          </a:r>
          <a:r>
            <a:rPr lang="en-GB" sz="1600" b="1" baseline="0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  EXCEL SOFTWEAR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76200</xdr:colOff>
      <xdr:row>0</xdr:row>
      <xdr:rowOff>152400</xdr:rowOff>
    </xdr:from>
    <xdr:to>
      <xdr:col>2</xdr:col>
      <xdr:colOff>333375</xdr:colOff>
      <xdr:row>2</xdr:row>
      <xdr:rowOff>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76200" y="152400"/>
          <a:ext cx="1476375" cy="419100"/>
        </a:xfrm>
        <a:prstGeom prst="roundRect">
          <a:avLst/>
        </a:prstGeom>
        <a:solidFill>
          <a:srgbClr val="0000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4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माहिती भरा</a:t>
          </a:r>
          <a:endParaRPr lang="en-GB" sz="24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</xdr:row>
      <xdr:rowOff>85726</xdr:rowOff>
    </xdr:from>
    <xdr:to>
      <xdr:col>2</xdr:col>
      <xdr:colOff>323850</xdr:colOff>
      <xdr:row>4</xdr:row>
      <xdr:rowOff>171450</xdr:rowOff>
    </xdr:to>
    <xdr:sp macro="" textlink="">
      <xdr:nvSpPr>
        <xdr:cNvPr id="6" name="Flowchart: Terminato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142875" y="942976"/>
          <a:ext cx="1400175" cy="371474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002">
          <a:schemeClr val="dk2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शाळा माहिती</a:t>
          </a:r>
          <a:endParaRPr lang="en-GB" sz="20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133350</xdr:colOff>
      <xdr:row>4</xdr:row>
      <xdr:rowOff>247649</xdr:rowOff>
    </xdr:from>
    <xdr:to>
      <xdr:col>2</xdr:col>
      <xdr:colOff>333375</xdr:colOff>
      <xdr:row>6</xdr:row>
      <xdr:rowOff>38100</xdr:rowOff>
    </xdr:to>
    <xdr:sp macro="" textlink="">
      <xdr:nvSpPr>
        <xdr:cNvPr id="7" name="Flowchart: Terminator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133350" y="1390649"/>
          <a:ext cx="1419225" cy="361951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दैनिक माहिती</a:t>
          </a:r>
          <a:endParaRPr lang="en-GB" sz="20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133350</xdr:colOff>
      <xdr:row>6</xdr:row>
      <xdr:rowOff>85725</xdr:rowOff>
    </xdr:from>
    <xdr:to>
      <xdr:col>2</xdr:col>
      <xdr:colOff>333375</xdr:colOff>
      <xdr:row>7</xdr:row>
      <xdr:rowOff>190500</xdr:rowOff>
    </xdr:to>
    <xdr:sp macro="" textlink="">
      <xdr:nvSpPr>
        <xdr:cNvPr id="8" name="Flowchart: Terminator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33350" y="1800225"/>
          <a:ext cx="1419225" cy="390525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साठा नोंदवही</a:t>
          </a:r>
          <a:endParaRPr lang="en-GB" sz="20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123826</xdr:colOff>
      <xdr:row>7</xdr:row>
      <xdr:rowOff>238125</xdr:rowOff>
    </xdr:from>
    <xdr:to>
      <xdr:col>2</xdr:col>
      <xdr:colOff>333375</xdr:colOff>
      <xdr:row>9</xdr:row>
      <xdr:rowOff>47625</xdr:rowOff>
    </xdr:to>
    <xdr:sp macro="" textlink="">
      <xdr:nvSpPr>
        <xdr:cNvPr id="9" name="Flowchart: Terminator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3826" y="2238375"/>
          <a:ext cx="1428749" cy="381000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प्रमाण निश्चिती</a:t>
          </a:r>
          <a:endParaRPr lang="en-GB" sz="20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504824</xdr:colOff>
      <xdr:row>2</xdr:row>
      <xdr:rowOff>47624</xdr:rowOff>
    </xdr:from>
    <xdr:to>
      <xdr:col>1</xdr:col>
      <xdr:colOff>447675</xdr:colOff>
      <xdr:row>3</xdr:row>
      <xdr:rowOff>66675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504824" y="619124"/>
          <a:ext cx="552451" cy="304801"/>
        </a:xfrm>
        <a:prstGeom prst="downArrow">
          <a:avLst>
            <a:gd name="adj1" fmla="val 50000"/>
            <a:gd name="adj2" fmla="val 35185"/>
          </a:avLst>
        </a:prstGeom>
        <a:solidFill>
          <a:srgbClr val="0000FF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12</xdr:col>
      <xdr:colOff>209550</xdr:colOff>
      <xdr:row>0</xdr:row>
      <xdr:rowOff>209550</xdr:rowOff>
    </xdr:from>
    <xdr:to>
      <xdr:col>13</xdr:col>
      <xdr:colOff>590550</xdr:colOff>
      <xdr:row>1</xdr:row>
      <xdr:rowOff>276225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6781800" y="209550"/>
          <a:ext cx="990600" cy="3524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प्रिंट</a:t>
          </a:r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 </a:t>
          </a:r>
          <a:r>
            <a:rPr lang="mr-IN" sz="20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काढा</a:t>
          </a:r>
          <a:endParaRPr lang="en-GB" sz="20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85726</xdr:colOff>
      <xdr:row>2</xdr:row>
      <xdr:rowOff>200025</xdr:rowOff>
    </xdr:from>
    <xdr:to>
      <xdr:col>13</xdr:col>
      <xdr:colOff>38100</xdr:colOff>
      <xdr:row>3</xdr:row>
      <xdr:rowOff>228600</xdr:rowOff>
    </xdr:to>
    <xdr:sp macro="" textlink="">
      <xdr:nvSpPr>
        <xdr:cNvPr id="14" name="Rounded Rectangl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5438776" y="771525"/>
          <a:ext cx="1781174" cy="314325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प्रपत्र-अ दैनिक अहवाल</a:t>
          </a:r>
          <a:endParaRPr lang="en-GB" sz="18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552450</xdr:colOff>
      <xdr:row>0</xdr:row>
      <xdr:rowOff>219075</xdr:rowOff>
    </xdr:from>
    <xdr:to>
      <xdr:col>12</xdr:col>
      <xdr:colOff>180976</xdr:colOff>
      <xdr:row>2</xdr:row>
      <xdr:rowOff>152400</xdr:rowOff>
    </xdr:to>
    <xdr:sp macro="" textlink="">
      <xdr:nvSpPr>
        <xdr:cNvPr id="16" name="Down Arrow Callout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5905500" y="219075"/>
          <a:ext cx="847726" cy="504825"/>
        </a:xfrm>
        <a:prstGeom prst="downArrowCallout">
          <a:avLst>
            <a:gd name="adj1" fmla="val 25000"/>
            <a:gd name="adj2" fmla="val 25000"/>
            <a:gd name="adj3" fmla="val 25000"/>
            <a:gd name="adj4" fmla="val 71954"/>
          </a:avLst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4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1 </a:t>
          </a:r>
          <a:r>
            <a:rPr lang="en-GB" sz="24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 </a:t>
          </a:r>
          <a:r>
            <a:rPr lang="mr-IN" sz="24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ते 5 </a:t>
          </a:r>
          <a:endParaRPr lang="en-GB" sz="24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14</xdr:col>
      <xdr:colOff>28576</xdr:colOff>
      <xdr:row>0</xdr:row>
      <xdr:rowOff>190500</xdr:rowOff>
    </xdr:from>
    <xdr:to>
      <xdr:col>15</xdr:col>
      <xdr:colOff>219076</xdr:colOff>
      <xdr:row>2</xdr:row>
      <xdr:rowOff>180975</xdr:rowOff>
    </xdr:to>
    <xdr:sp macro="" textlink="">
      <xdr:nvSpPr>
        <xdr:cNvPr id="17" name="Down Arrow Callout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7820026" y="190500"/>
          <a:ext cx="800100" cy="561975"/>
        </a:xfrm>
        <a:prstGeom prst="downArrowCallout">
          <a:avLst/>
        </a:prstGeom>
        <a:solidFill>
          <a:srgbClr val="A60A88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4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6 ते 8</a:t>
          </a:r>
          <a:endParaRPr lang="en-GB" sz="24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123827</xdr:colOff>
      <xdr:row>2</xdr:row>
      <xdr:rowOff>209550</xdr:rowOff>
    </xdr:from>
    <xdr:to>
      <xdr:col>16</xdr:col>
      <xdr:colOff>57151</xdr:colOff>
      <xdr:row>3</xdr:row>
      <xdr:rowOff>219075</xdr:rowOff>
    </xdr:to>
    <xdr:sp macro="" textlink="">
      <xdr:nvSpPr>
        <xdr:cNvPr id="18" name="Rounded Rectangle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7305677" y="781050"/>
          <a:ext cx="1762124" cy="295275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प्रपत्र-अ दैनिक अहवाल</a:t>
          </a:r>
          <a:endParaRPr lang="en-GB" sz="18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85726</xdr:colOff>
      <xdr:row>3</xdr:row>
      <xdr:rowOff>257176</xdr:rowOff>
    </xdr:from>
    <xdr:to>
      <xdr:col>13</xdr:col>
      <xdr:colOff>38100</xdr:colOff>
      <xdr:row>4</xdr:row>
      <xdr:rowOff>276225</xdr:rowOff>
    </xdr:to>
    <xdr:sp macro="" textlink="">
      <xdr:nvSpPr>
        <xdr:cNvPr id="19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>
        <a:xfrm>
          <a:off x="5438776" y="1114426"/>
          <a:ext cx="1781174" cy="304799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धान्यादी शिल्लक</a:t>
          </a:r>
          <a:endParaRPr lang="en-GB" sz="16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95250</xdr:colOff>
      <xdr:row>5</xdr:row>
      <xdr:rowOff>47626</xdr:rowOff>
    </xdr:from>
    <xdr:to>
      <xdr:col>13</xdr:col>
      <xdr:colOff>28575</xdr:colOff>
      <xdr:row>6</xdr:row>
      <xdr:rowOff>57150</xdr:rowOff>
    </xdr:to>
    <xdr:sp macro="" textlink="">
      <xdr:nvSpPr>
        <xdr:cNvPr id="20" name="Rounded Rectangle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/>
      </xdr:nvSpPr>
      <xdr:spPr>
        <a:xfrm>
          <a:off x="5448300" y="1476376"/>
          <a:ext cx="1762125" cy="295274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तांदूळ अहवाल</a:t>
          </a:r>
          <a:endParaRPr lang="en-GB" sz="18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95250</xdr:colOff>
      <xdr:row>6</xdr:row>
      <xdr:rowOff>95250</xdr:rowOff>
    </xdr:from>
    <xdr:to>
      <xdr:col>13</xdr:col>
      <xdr:colOff>28575</xdr:colOff>
      <xdr:row>7</xdr:row>
      <xdr:rowOff>104775</xdr:rowOff>
    </xdr:to>
    <xdr:sp macro="" textlink="">
      <xdr:nvSpPr>
        <xdr:cNvPr id="23" name="Rounded Rectangl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/>
      </xdr:nvSpPr>
      <xdr:spPr>
        <a:xfrm>
          <a:off x="5448300" y="1809750"/>
          <a:ext cx="1762125" cy="295275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वार्षिक धान्यादी माल</a:t>
          </a:r>
          <a:endParaRPr lang="en-GB" sz="18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18</xdr:col>
      <xdr:colOff>104775</xdr:colOff>
      <xdr:row>0</xdr:row>
      <xdr:rowOff>219075</xdr:rowOff>
    </xdr:from>
    <xdr:to>
      <xdr:col>20</xdr:col>
      <xdr:colOff>9525</xdr:colOff>
      <xdr:row>2</xdr:row>
      <xdr:rowOff>171450</xdr:rowOff>
    </xdr:to>
    <xdr:sp macro="" textlink="">
      <xdr:nvSpPr>
        <xdr:cNvPr id="21" name="Down Arrow Callout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/>
      </xdr:nvSpPr>
      <xdr:spPr>
        <a:xfrm>
          <a:off x="10334625" y="219075"/>
          <a:ext cx="1123950" cy="523875"/>
        </a:xfrm>
        <a:prstGeom prst="down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प्रिंट काढा</a:t>
          </a:r>
          <a:endParaRPr lang="en-GB" sz="20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114300</xdr:colOff>
      <xdr:row>9</xdr:row>
      <xdr:rowOff>228600</xdr:rowOff>
    </xdr:from>
    <xdr:to>
      <xdr:col>19</xdr:col>
      <xdr:colOff>47625</xdr:colOff>
      <xdr:row>10</xdr:row>
      <xdr:rowOff>257174</xdr:rowOff>
    </xdr:to>
    <xdr:sp macro="" textlink="">
      <xdr:nvSpPr>
        <xdr:cNvPr id="22" name="Rounded Rectangle 2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9105900" y="2800350"/>
          <a:ext cx="1762125" cy="3143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चव रजिस्टर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95251</xdr:colOff>
      <xdr:row>8</xdr:row>
      <xdr:rowOff>190500</xdr:rowOff>
    </xdr:from>
    <xdr:to>
      <xdr:col>13</xdr:col>
      <xdr:colOff>38100</xdr:colOff>
      <xdr:row>9</xdr:row>
      <xdr:rowOff>219075</xdr:rowOff>
    </xdr:to>
    <xdr:sp macro="" textlink="">
      <xdr:nvSpPr>
        <xdr:cNvPr id="25" name="Rounded Rectangle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5448301" y="2476500"/>
          <a:ext cx="1771649" cy="314325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इंधन व भाजीपाला पावती</a:t>
          </a:r>
          <a:endParaRPr lang="en-GB" sz="16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95250</xdr:colOff>
      <xdr:row>8</xdr:row>
      <xdr:rowOff>209551</xdr:rowOff>
    </xdr:from>
    <xdr:to>
      <xdr:col>16</xdr:col>
      <xdr:colOff>66675</xdr:colOff>
      <xdr:row>9</xdr:row>
      <xdr:rowOff>228600</xdr:rowOff>
    </xdr:to>
    <xdr:sp macro="" textlink="">
      <xdr:nvSpPr>
        <xdr:cNvPr id="26" name="Rounded Rectangle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/>
      </xdr:nvSpPr>
      <xdr:spPr>
        <a:xfrm>
          <a:off x="7277100" y="2495551"/>
          <a:ext cx="1800225" cy="304799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इंधन व भाजीपाला पावती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123827</xdr:colOff>
      <xdr:row>9</xdr:row>
      <xdr:rowOff>266700</xdr:rowOff>
    </xdr:from>
    <xdr:to>
      <xdr:col>16</xdr:col>
      <xdr:colOff>57151</xdr:colOff>
      <xdr:row>10</xdr:row>
      <xdr:rowOff>247650</xdr:rowOff>
    </xdr:to>
    <xdr:sp macro="" textlink="">
      <xdr:nvSpPr>
        <xdr:cNvPr id="27" name="Rounded Rectangle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7305677" y="2838450"/>
          <a:ext cx="1762124" cy="266700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तेल व पूरक आहार पावती</a:t>
          </a:r>
          <a:endParaRPr lang="en-GB" sz="18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104776</xdr:colOff>
      <xdr:row>5</xdr:row>
      <xdr:rowOff>28575</xdr:rowOff>
    </xdr:from>
    <xdr:to>
      <xdr:col>19</xdr:col>
      <xdr:colOff>47626</xdr:colOff>
      <xdr:row>6</xdr:row>
      <xdr:rowOff>47625</xdr:rowOff>
    </xdr:to>
    <xdr:sp macro="" textlink="">
      <xdr:nvSpPr>
        <xdr:cNvPr id="28" name="Rounded Rectangle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9115426" y="1457325"/>
          <a:ext cx="1771650" cy="3048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स्वयंपाकी मानधन पावती</a:t>
          </a:r>
          <a:endParaRPr lang="en-GB" sz="16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114300</xdr:colOff>
      <xdr:row>6</xdr:row>
      <xdr:rowOff>95250</xdr:rowOff>
    </xdr:from>
    <xdr:to>
      <xdr:col>19</xdr:col>
      <xdr:colOff>57150</xdr:colOff>
      <xdr:row>7</xdr:row>
      <xdr:rowOff>104775</xdr:rowOff>
    </xdr:to>
    <xdr:sp macro="" textlink="">
      <xdr:nvSpPr>
        <xdr:cNvPr id="29" name="Rounded Rectangle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9124950" y="1809750"/>
          <a:ext cx="1771650" cy="2952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मदतनीस</a:t>
          </a:r>
          <a:r>
            <a:rPr lang="en-US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 2,3</a:t>
          </a:r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 मानधन पावती</a:t>
          </a:r>
          <a:endParaRPr lang="en-GB" sz="16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123826</xdr:colOff>
      <xdr:row>8</xdr:row>
      <xdr:rowOff>171450</xdr:rowOff>
    </xdr:from>
    <xdr:to>
      <xdr:col>19</xdr:col>
      <xdr:colOff>57150</xdr:colOff>
      <xdr:row>9</xdr:row>
      <xdr:rowOff>209550</xdr:rowOff>
    </xdr:to>
    <xdr:sp macro="" textlink="">
      <xdr:nvSpPr>
        <xdr:cNvPr id="30" name="Rounded Rectangle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/>
      </xdr:nvSpPr>
      <xdr:spPr>
        <a:xfrm>
          <a:off x="9115426" y="2457450"/>
          <a:ext cx="1762124" cy="3238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शिक्षक मानधन पावती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152401</xdr:colOff>
      <xdr:row>3</xdr:row>
      <xdr:rowOff>276226</xdr:rowOff>
    </xdr:from>
    <xdr:to>
      <xdr:col>19</xdr:col>
      <xdr:colOff>47625</xdr:colOff>
      <xdr:row>4</xdr:row>
      <xdr:rowOff>276226</xdr:rowOff>
    </xdr:to>
    <xdr:sp macro="" textlink="">
      <xdr:nvSpPr>
        <xdr:cNvPr id="31" name="Rounded Rectangle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/>
      </xdr:nvSpPr>
      <xdr:spPr>
        <a:xfrm>
          <a:off x="9163051" y="1133476"/>
          <a:ext cx="1724024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   </a:t>
          </a:r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मुख्याध्यापक डायरी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123825</xdr:colOff>
      <xdr:row>3</xdr:row>
      <xdr:rowOff>257175</xdr:rowOff>
    </xdr:from>
    <xdr:to>
      <xdr:col>16</xdr:col>
      <xdr:colOff>38100</xdr:colOff>
      <xdr:row>5</xdr:row>
      <xdr:rowOff>9525</xdr:rowOff>
    </xdr:to>
    <xdr:sp macro="" textlink="">
      <xdr:nvSpPr>
        <xdr:cNvPr id="32" name="Rounded Rectangle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/>
      </xdr:nvSpPr>
      <xdr:spPr>
        <a:xfrm>
          <a:off x="7305675" y="1114425"/>
          <a:ext cx="1743075" cy="323850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धान्यादी शिल्लक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95250</xdr:colOff>
      <xdr:row>6</xdr:row>
      <xdr:rowOff>85725</xdr:rowOff>
    </xdr:from>
    <xdr:to>
      <xdr:col>16</xdr:col>
      <xdr:colOff>47625</xdr:colOff>
      <xdr:row>7</xdr:row>
      <xdr:rowOff>123825</xdr:rowOff>
    </xdr:to>
    <xdr:sp macro="" textlink="">
      <xdr:nvSpPr>
        <xdr:cNvPr id="34" name="Rounded Rectangle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7277100" y="1800225"/>
          <a:ext cx="1781175" cy="323850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वार्षिक धान्यादी माल</a:t>
          </a:r>
          <a:endParaRPr lang="en-GB" sz="18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238126</xdr:colOff>
      <xdr:row>10</xdr:row>
      <xdr:rowOff>247650</xdr:rowOff>
    </xdr:from>
    <xdr:to>
      <xdr:col>2</xdr:col>
      <xdr:colOff>76200</xdr:colOff>
      <xdr:row>15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colorTemperature colorTemp="11200"/>
                  </a14:imgEffect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411" t="33333" r="6354"/>
        <a:stretch/>
      </xdr:blipFill>
      <xdr:spPr>
        <a:xfrm>
          <a:off x="238126" y="3105150"/>
          <a:ext cx="1057274" cy="1114425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5</xdr:col>
      <xdr:colOff>390525</xdr:colOff>
      <xdr:row>4</xdr:row>
      <xdr:rowOff>28575</xdr:rowOff>
    </xdr:from>
    <xdr:to>
      <xdr:col>5</xdr:col>
      <xdr:colOff>552450</xdr:colOff>
      <xdr:row>4</xdr:row>
      <xdr:rowOff>257175</xdr:rowOff>
    </xdr:to>
    <xdr:sp macro="" textlink="">
      <xdr:nvSpPr>
        <xdr:cNvPr id="24" name="Left Arrow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>
        <a:xfrm>
          <a:off x="3038475" y="1171575"/>
          <a:ext cx="161925" cy="228600"/>
        </a:xfrm>
        <a:prstGeom prst="lef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10</xdr:col>
      <xdr:colOff>95251</xdr:colOff>
      <xdr:row>7</xdr:row>
      <xdr:rowOff>142876</xdr:rowOff>
    </xdr:from>
    <xdr:to>
      <xdr:col>13</xdr:col>
      <xdr:colOff>28575</xdr:colOff>
      <xdr:row>8</xdr:row>
      <xdr:rowOff>142876</xdr:rowOff>
    </xdr:to>
    <xdr:sp macro="" textlink="">
      <xdr:nvSpPr>
        <xdr:cNvPr id="35" name="Rounded Rectangle 3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5448301" y="2143126"/>
          <a:ext cx="1762124" cy="285750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दै</a:t>
          </a:r>
          <a:r>
            <a:rPr lang="en-GB" sz="16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.</a:t>
          </a:r>
          <a:r>
            <a:rPr lang="mr-IN" sz="16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भाजीपाला,पूरक आहार</a:t>
          </a:r>
          <a:endParaRPr lang="en-GB" sz="16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95250</xdr:colOff>
      <xdr:row>7</xdr:row>
      <xdr:rowOff>161926</xdr:rowOff>
    </xdr:from>
    <xdr:to>
      <xdr:col>16</xdr:col>
      <xdr:colOff>66675</xdr:colOff>
      <xdr:row>8</xdr:row>
      <xdr:rowOff>161926</xdr:rowOff>
    </xdr:to>
    <xdr:sp macro="" textlink="">
      <xdr:nvSpPr>
        <xdr:cNvPr id="36" name="Rounded Rectangle 3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7277100" y="2162176"/>
          <a:ext cx="1800225" cy="285750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दै</a:t>
          </a:r>
          <a:r>
            <a:rPr lang="en-GB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.</a:t>
          </a:r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 भाजीपाला,पूरक आहार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85726</xdr:colOff>
      <xdr:row>9</xdr:row>
      <xdr:rowOff>257176</xdr:rowOff>
    </xdr:from>
    <xdr:to>
      <xdr:col>13</xdr:col>
      <xdr:colOff>38100</xdr:colOff>
      <xdr:row>10</xdr:row>
      <xdr:rowOff>238126</xdr:rowOff>
    </xdr:to>
    <xdr:sp macro="" textlink="">
      <xdr:nvSpPr>
        <xdr:cNvPr id="55" name="Rounded Rectangle 5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/>
      </xdr:nvSpPr>
      <xdr:spPr>
        <a:xfrm>
          <a:off x="5419726" y="2828926"/>
          <a:ext cx="1781174" cy="266700"/>
        </a:xfrm>
        <a:prstGeom prst="roundRect">
          <a:avLst/>
        </a:prstGeom>
        <a:solidFill>
          <a:srgbClr val="CC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tx1"/>
              </a:solidFill>
              <a:latin typeface="Kokila" panose="020B0604020202020204" pitchFamily="34" charset="0"/>
              <a:cs typeface="Kokila" panose="020B0604020202020204" pitchFamily="34" charset="0"/>
            </a:rPr>
            <a:t> तेल व पूरक आहार पावती</a:t>
          </a:r>
          <a:endParaRPr lang="en-GB" sz="1800" b="1">
            <a:solidFill>
              <a:schemeClr val="tx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19</xdr:col>
      <xdr:colOff>95250</xdr:colOff>
      <xdr:row>2</xdr:row>
      <xdr:rowOff>190500</xdr:rowOff>
    </xdr:from>
    <xdr:to>
      <xdr:col>21</xdr:col>
      <xdr:colOff>600075</xdr:colOff>
      <xdr:row>3</xdr:row>
      <xdr:rowOff>219075</xdr:rowOff>
    </xdr:to>
    <xdr:sp macro="" textlink="">
      <xdr:nvSpPr>
        <xdr:cNvPr id="42" name="Rounded Rectangle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/>
      </xdr:nvSpPr>
      <xdr:spPr>
        <a:xfrm>
          <a:off x="10934700" y="762000"/>
          <a:ext cx="1724025" cy="3143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स्वयंपाकी करारनामा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19</xdr:col>
      <xdr:colOff>95251</xdr:colOff>
      <xdr:row>3</xdr:row>
      <xdr:rowOff>266700</xdr:rowOff>
    </xdr:from>
    <xdr:to>
      <xdr:col>21</xdr:col>
      <xdr:colOff>590550</xdr:colOff>
      <xdr:row>5</xdr:row>
      <xdr:rowOff>0</xdr:rowOff>
    </xdr:to>
    <xdr:sp macro="" textlink="">
      <xdr:nvSpPr>
        <xdr:cNvPr id="43" name="Rounded Rectangle 4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10934701" y="1123950"/>
          <a:ext cx="1714499" cy="3048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स्वयंपाकी मासिक हजेरी</a:t>
          </a:r>
          <a:endParaRPr lang="en-GB" sz="16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19</xdr:col>
      <xdr:colOff>85726</xdr:colOff>
      <xdr:row>5</xdr:row>
      <xdr:rowOff>28576</xdr:rowOff>
    </xdr:from>
    <xdr:to>
      <xdr:col>21</xdr:col>
      <xdr:colOff>600075</xdr:colOff>
      <xdr:row>6</xdr:row>
      <xdr:rowOff>47625</xdr:rowOff>
    </xdr:to>
    <xdr:sp macro="" textlink="">
      <xdr:nvSpPr>
        <xdr:cNvPr id="44" name="Rounded Rectangle 4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10925176" y="1457326"/>
          <a:ext cx="1733549" cy="30479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मदतनीस मासिक हजेरी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19</xdr:col>
      <xdr:colOff>85725</xdr:colOff>
      <xdr:row>6</xdr:row>
      <xdr:rowOff>76200</xdr:rowOff>
    </xdr:from>
    <xdr:to>
      <xdr:col>21</xdr:col>
      <xdr:colOff>590550</xdr:colOff>
      <xdr:row>7</xdr:row>
      <xdr:rowOff>95250</xdr:rowOff>
    </xdr:to>
    <xdr:sp macro="" textlink="">
      <xdr:nvSpPr>
        <xdr:cNvPr id="45" name="Rounded Rectangle 4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10925175" y="1790700"/>
          <a:ext cx="1724025" cy="3048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शा.पो.आ. मासिक मिटिंग</a:t>
          </a:r>
          <a:endParaRPr lang="en-GB" sz="16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19</xdr:col>
      <xdr:colOff>104775</xdr:colOff>
      <xdr:row>7</xdr:row>
      <xdr:rowOff>142875</xdr:rowOff>
    </xdr:from>
    <xdr:to>
      <xdr:col>21</xdr:col>
      <xdr:colOff>590550</xdr:colOff>
      <xdr:row>8</xdr:row>
      <xdr:rowOff>180975</xdr:rowOff>
    </xdr:to>
    <xdr:sp macro="" textlink="">
      <xdr:nvSpPr>
        <xdr:cNvPr id="47" name="Rounded Rectangle 4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/>
      </xdr:nvSpPr>
      <xdr:spPr>
        <a:xfrm>
          <a:off x="10944225" y="2143125"/>
          <a:ext cx="1704975" cy="3238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mr-IN" sz="14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वजन</a:t>
          </a:r>
          <a:r>
            <a:rPr lang="en-US" sz="14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,</a:t>
          </a:r>
          <a:r>
            <a:rPr lang="mr-IN" sz="14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उंची त्रैमासिक अहवाल</a:t>
          </a:r>
          <a:endParaRPr lang="en-GB" sz="14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0</xdr:col>
      <xdr:colOff>123826</xdr:colOff>
      <xdr:row>9</xdr:row>
      <xdr:rowOff>76200</xdr:rowOff>
    </xdr:from>
    <xdr:to>
      <xdr:col>2</xdr:col>
      <xdr:colOff>314325</xdr:colOff>
      <xdr:row>10</xdr:row>
      <xdr:rowOff>142875</xdr:rowOff>
    </xdr:to>
    <xdr:sp macro="" textlink="">
      <xdr:nvSpPr>
        <xdr:cNvPr id="54" name="Flowchart: Terminator 5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/>
      </xdr:nvSpPr>
      <xdr:spPr>
        <a:xfrm>
          <a:off x="123826" y="2647950"/>
          <a:ext cx="1409699" cy="352425"/>
        </a:xfrm>
        <a:prstGeom prst="flowChartTerminator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बँक पासबुक</a:t>
          </a:r>
          <a:endParaRPr lang="en-GB" sz="20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114301</xdr:colOff>
      <xdr:row>5</xdr:row>
      <xdr:rowOff>57150</xdr:rowOff>
    </xdr:from>
    <xdr:to>
      <xdr:col>16</xdr:col>
      <xdr:colOff>57150</xdr:colOff>
      <xdr:row>6</xdr:row>
      <xdr:rowOff>38099</xdr:rowOff>
    </xdr:to>
    <xdr:sp macro="" textlink="">
      <xdr:nvSpPr>
        <xdr:cNvPr id="56" name="Rounded Rectangle 5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/>
      </xdr:nvSpPr>
      <xdr:spPr>
        <a:xfrm>
          <a:off x="7296151" y="1485900"/>
          <a:ext cx="1771649" cy="266699"/>
        </a:xfrm>
        <a:prstGeom prst="roundRect">
          <a:avLst/>
        </a:prstGeom>
        <a:solidFill>
          <a:srgbClr val="A60A8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तांदूळ अहवाल</a:t>
          </a:r>
          <a:endParaRPr lang="en-GB" sz="18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133351</xdr:colOff>
      <xdr:row>2</xdr:row>
      <xdr:rowOff>190501</xdr:rowOff>
    </xdr:from>
    <xdr:to>
      <xdr:col>19</xdr:col>
      <xdr:colOff>47625</xdr:colOff>
      <xdr:row>3</xdr:row>
      <xdr:rowOff>228600</xdr:rowOff>
    </xdr:to>
    <xdr:sp macro="" textlink="">
      <xdr:nvSpPr>
        <xdr:cNvPr id="57" name="Rounded Rectangle 56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9144001" y="762001"/>
          <a:ext cx="1743074" cy="3238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अनुदान मागणी</a:t>
          </a:r>
          <a:endParaRPr lang="en-GB" sz="18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10</xdr:col>
      <xdr:colOff>57151</xdr:colOff>
      <xdr:row>12</xdr:row>
      <xdr:rowOff>219075</xdr:rowOff>
    </xdr:from>
    <xdr:to>
      <xdr:col>12</xdr:col>
      <xdr:colOff>85725</xdr:colOff>
      <xdr:row>13</xdr:row>
      <xdr:rowOff>276225</xdr:rowOff>
    </xdr:to>
    <xdr:sp macro="" textlink="">
      <xdr:nvSpPr>
        <xdr:cNvPr id="58" name="Rounded Rectangle 5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/>
      </xdr:nvSpPr>
      <xdr:spPr>
        <a:xfrm>
          <a:off x="5410201" y="3648075"/>
          <a:ext cx="1247774" cy="323850"/>
        </a:xfrm>
        <a:prstGeom prst="roundRect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मासिक कॅशबुक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18</xdr:col>
      <xdr:colOff>447675</xdr:colOff>
      <xdr:row>12</xdr:row>
      <xdr:rowOff>238125</xdr:rowOff>
    </xdr:from>
    <xdr:to>
      <xdr:col>21</xdr:col>
      <xdr:colOff>361950</xdr:colOff>
      <xdr:row>13</xdr:row>
      <xdr:rowOff>276225</xdr:rowOff>
    </xdr:to>
    <xdr:sp macro="" textlink="">
      <xdr:nvSpPr>
        <xdr:cNvPr id="59" name="Rounded Rectangle 58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/>
      </xdr:nvSpPr>
      <xdr:spPr>
        <a:xfrm>
          <a:off x="10677525" y="3667125"/>
          <a:ext cx="1743075" cy="304800"/>
        </a:xfrm>
        <a:prstGeom prst="roundRect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बाबवार खतावणी(लेजर)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12</xdr:col>
      <xdr:colOff>133351</xdr:colOff>
      <xdr:row>12</xdr:row>
      <xdr:rowOff>228601</xdr:rowOff>
    </xdr:from>
    <xdr:to>
      <xdr:col>13</xdr:col>
      <xdr:colOff>438150</xdr:colOff>
      <xdr:row>14</xdr:row>
      <xdr:rowOff>0</xdr:rowOff>
    </xdr:to>
    <xdr:sp macro="" textlink="">
      <xdr:nvSpPr>
        <xdr:cNvPr id="60" name="Rounded Rectangle 5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/>
      </xdr:nvSpPr>
      <xdr:spPr>
        <a:xfrm>
          <a:off x="6705601" y="3657601"/>
          <a:ext cx="914399" cy="323849"/>
        </a:xfrm>
        <a:prstGeom prst="roundRect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चेक डायरी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180976</xdr:colOff>
      <xdr:row>12</xdr:row>
      <xdr:rowOff>257174</xdr:rowOff>
    </xdr:from>
    <xdr:to>
      <xdr:col>18</xdr:col>
      <xdr:colOff>390525</xdr:colOff>
      <xdr:row>13</xdr:row>
      <xdr:rowOff>285749</xdr:rowOff>
    </xdr:to>
    <xdr:sp macro="" textlink="">
      <xdr:nvSpPr>
        <xdr:cNvPr id="61" name="Rounded Rectangle 6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/>
      </xdr:nvSpPr>
      <xdr:spPr>
        <a:xfrm>
          <a:off x="9191626" y="3686174"/>
          <a:ext cx="1428749" cy="295275"/>
        </a:xfrm>
        <a:prstGeom prst="roundRect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कॅश</a:t>
          </a:r>
          <a:r>
            <a:rPr lang="mr-IN" sz="1600" b="1" baseline="0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पावती/ कॅशमेमो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476250</xdr:colOff>
      <xdr:row>12</xdr:row>
      <xdr:rowOff>238126</xdr:rowOff>
    </xdr:from>
    <xdr:to>
      <xdr:col>16</xdr:col>
      <xdr:colOff>142875</xdr:colOff>
      <xdr:row>14</xdr:row>
      <xdr:rowOff>9526</xdr:rowOff>
    </xdr:to>
    <xdr:sp macro="" textlink="">
      <xdr:nvSpPr>
        <xdr:cNvPr id="62" name="Rounded Rectangle 6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/>
      </xdr:nvSpPr>
      <xdr:spPr>
        <a:xfrm>
          <a:off x="7658100" y="3667126"/>
          <a:ext cx="1495425" cy="323850"/>
        </a:xfrm>
        <a:prstGeom prst="roundRect">
          <a:avLst/>
        </a:prstGeom>
        <a:solidFill>
          <a:srgbClr val="00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  <a:latin typeface="Kokila" panose="020B0604020202020204" pitchFamily="34" charset="0"/>
              <a:cs typeface="Kokila" panose="020B0604020202020204" pitchFamily="34" charset="0"/>
            </a:rPr>
            <a:t>बँक शिल्लक तपशील</a:t>
          </a:r>
          <a:endParaRPr lang="en-GB" sz="1600" b="1">
            <a:solidFill>
              <a:schemeClr val="bg1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16</xdr:col>
      <xdr:colOff>142874</xdr:colOff>
      <xdr:row>7</xdr:row>
      <xdr:rowOff>142875</xdr:rowOff>
    </xdr:from>
    <xdr:to>
      <xdr:col>19</xdr:col>
      <xdr:colOff>57149</xdr:colOff>
      <xdr:row>8</xdr:row>
      <xdr:rowOff>142875</xdr:rowOff>
    </xdr:to>
    <xdr:sp macro="" textlink="">
      <xdr:nvSpPr>
        <xdr:cNvPr id="48" name="Rounded Rectangle 4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/>
      </xdr:nvSpPr>
      <xdr:spPr>
        <a:xfrm>
          <a:off x="9134474" y="2143125"/>
          <a:ext cx="1743075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मदतनीस </a:t>
          </a:r>
          <a:r>
            <a:rPr lang="en-US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4,5 </a:t>
          </a:r>
          <a:r>
            <a:rPr lang="mr-IN" sz="1600" b="1">
              <a:solidFill>
                <a:srgbClr val="0000FF"/>
              </a:solidFill>
              <a:latin typeface="Kokila" panose="020B0604020202020204" pitchFamily="34" charset="0"/>
              <a:cs typeface="Kokila" panose="020B0604020202020204" pitchFamily="34" charset="0"/>
            </a:rPr>
            <a:t>मानधन पावती</a:t>
          </a:r>
          <a:endParaRPr lang="en-GB" sz="1600" b="1">
            <a:solidFill>
              <a:srgbClr val="0000FF"/>
            </a:solidFill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10585</xdr:colOff>
      <xdr:row>1</xdr:row>
      <xdr:rowOff>0</xdr:rowOff>
    </xdr:from>
    <xdr:to>
      <xdr:col>2</xdr:col>
      <xdr:colOff>412751</xdr:colOff>
      <xdr:row>2</xdr:row>
      <xdr:rowOff>74082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836085" y="275166"/>
          <a:ext cx="1227666" cy="497416"/>
        </a:xfrm>
        <a:prstGeom prst="rect">
          <a:avLst/>
        </a:prstGeom>
        <a:solidFill>
          <a:srgbClr val="CD76D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7</xdr:col>
      <xdr:colOff>433917</xdr:colOff>
      <xdr:row>1</xdr:row>
      <xdr:rowOff>0</xdr:rowOff>
    </xdr:from>
    <xdr:to>
      <xdr:col>14</xdr:col>
      <xdr:colOff>1820333</xdr:colOff>
      <xdr:row>2</xdr:row>
      <xdr:rowOff>95250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5386917" y="190500"/>
          <a:ext cx="6974416" cy="465667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800" b="1">
              <a:latin typeface="Kokila" panose="020B0604020202020204" pitchFamily="34" charset="0"/>
              <a:cs typeface="Kokila" panose="020B0604020202020204" pitchFamily="34" charset="0"/>
            </a:rPr>
            <a:t> फक्त पाढरया रंगातील सेलमधील माहिती दररोजची माहिती भरा</a:t>
          </a:r>
          <a:endParaRPr lang="en-GB" sz="2800" b="1">
            <a:latin typeface="Kokila" panose="020B0604020202020204" pitchFamily="34" charset="0"/>
            <a:cs typeface="Kokila" panose="020B0604020202020204" pitchFamily="34" charset="0"/>
          </a:endParaRPr>
        </a:p>
      </xdr:txBody>
    </xdr:sp>
    <xdr:clientData/>
  </xdr:twoCellAnchor>
  <xdr:twoCellAnchor>
    <xdr:from>
      <xdr:col>13</xdr:col>
      <xdr:colOff>857250</xdr:colOff>
      <xdr:row>388</xdr:row>
      <xdr:rowOff>179916</xdr:rowOff>
    </xdr:from>
    <xdr:to>
      <xdr:col>14</xdr:col>
      <xdr:colOff>1270000</xdr:colOff>
      <xdr:row>440</xdr:row>
      <xdr:rowOff>137584</xdr:rowOff>
    </xdr:to>
    <xdr:sp macro="" textlink="">
      <xdr:nvSpPr>
        <xdr:cNvPr id="6" name="Rounded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0138833" y="135191499"/>
          <a:ext cx="1312334" cy="30691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38101</xdr:rowOff>
    </xdr:from>
    <xdr:to>
      <xdr:col>2</xdr:col>
      <xdr:colOff>371475</xdr:colOff>
      <xdr:row>3</xdr:row>
      <xdr:rowOff>9526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619125" y="238126"/>
          <a:ext cx="1181100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  <xdr:twoCellAnchor>
    <xdr:from>
      <xdr:col>31</xdr:col>
      <xdr:colOff>581025</xdr:colOff>
      <xdr:row>1</xdr:row>
      <xdr:rowOff>76200</xdr:rowOff>
    </xdr:from>
    <xdr:to>
      <xdr:col>35</xdr:col>
      <xdr:colOff>161925</xdr:colOff>
      <xdr:row>3</xdr:row>
      <xdr:rowOff>38100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9945350" y="276225"/>
          <a:ext cx="1438275" cy="3714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433917</xdr:colOff>
      <xdr:row>0</xdr:row>
      <xdr:rowOff>105833</xdr:rowOff>
    </xdr:from>
    <xdr:to>
      <xdr:col>4</xdr:col>
      <xdr:colOff>762000</xdr:colOff>
      <xdr:row>2</xdr:row>
      <xdr:rowOff>169333</xdr:rowOff>
    </xdr:to>
    <xdr:sp macro="" textlink="">
      <xdr:nvSpPr>
        <xdr:cNvPr id="2" name="Flowchart: Termina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1174750" y="105833"/>
          <a:ext cx="1693333" cy="444500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6</xdr:col>
      <xdr:colOff>158750</xdr:colOff>
      <xdr:row>0</xdr:row>
      <xdr:rowOff>137583</xdr:rowOff>
    </xdr:from>
    <xdr:to>
      <xdr:col>11</xdr:col>
      <xdr:colOff>560917</xdr:colOff>
      <xdr:row>2</xdr:row>
      <xdr:rowOff>169333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3799417" y="137583"/>
          <a:ext cx="3376083" cy="412750"/>
        </a:xfrm>
        <a:prstGeom prst="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/>
            <a:t>महिना व वर्ष निवडून प्रिंट काढा</a:t>
          </a:r>
          <a:endParaRPr lang="en-GB" sz="1600" b="1"/>
        </a:p>
      </xdr:txBody>
    </xdr:sp>
    <xdr:clientData/>
  </xdr:twoCellAnchor>
  <xdr:twoCellAnchor>
    <xdr:from>
      <xdr:col>27</xdr:col>
      <xdr:colOff>433917</xdr:colOff>
      <xdr:row>0</xdr:row>
      <xdr:rowOff>137583</xdr:rowOff>
    </xdr:from>
    <xdr:to>
      <xdr:col>30</xdr:col>
      <xdr:colOff>359834</xdr:colOff>
      <xdr:row>2</xdr:row>
      <xdr:rowOff>127000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17219084" y="137583"/>
          <a:ext cx="1111250" cy="370417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304801</xdr:colOff>
      <xdr:row>0</xdr:row>
      <xdr:rowOff>142876</xdr:rowOff>
    </xdr:from>
    <xdr:to>
      <xdr:col>3</xdr:col>
      <xdr:colOff>1</xdr:colOff>
      <xdr:row>0</xdr:row>
      <xdr:rowOff>485776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790576" y="142876"/>
          <a:ext cx="104775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552450</xdr:colOff>
      <xdr:row>0</xdr:row>
      <xdr:rowOff>142875</xdr:rowOff>
    </xdr:from>
    <xdr:to>
      <xdr:col>27</xdr:col>
      <xdr:colOff>95250</xdr:colOff>
      <xdr:row>0</xdr:row>
      <xdr:rowOff>514350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>
          <a:off x="16497300" y="142875"/>
          <a:ext cx="1304925" cy="3714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/>
            <a:t>HOME</a:t>
          </a:r>
        </a:p>
      </xdr:txBody>
    </xdr:sp>
    <xdr:clientData/>
  </xdr:twoCellAnchor>
  <xdr:twoCellAnchor>
    <xdr:from>
      <xdr:col>3</xdr:col>
      <xdr:colOff>295275</xdr:colOff>
      <xdr:row>1</xdr:row>
      <xdr:rowOff>28575</xdr:rowOff>
    </xdr:from>
    <xdr:to>
      <xdr:col>3</xdr:col>
      <xdr:colOff>561975</xdr:colOff>
      <xdr:row>1</xdr:row>
      <xdr:rowOff>209550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2133600" y="361950"/>
          <a:ext cx="266700" cy="1809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361950</xdr:rowOff>
    </xdr:from>
    <xdr:to>
      <xdr:col>2</xdr:col>
      <xdr:colOff>571500</xdr:colOff>
      <xdr:row>1</xdr:row>
      <xdr:rowOff>361950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333375" y="361950"/>
          <a:ext cx="1257300" cy="3905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285750</xdr:colOff>
      <xdr:row>1</xdr:row>
      <xdr:rowOff>19048</xdr:rowOff>
    </xdr:from>
    <xdr:to>
      <xdr:col>9</xdr:col>
      <xdr:colOff>800100</xdr:colOff>
      <xdr:row>1</xdr:row>
      <xdr:rowOff>333373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 rot="10800000">
          <a:off x="5619750" y="409573"/>
          <a:ext cx="514350" cy="31432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666750</xdr:colOff>
      <xdr:row>0</xdr:row>
      <xdr:rowOff>381000</xdr:rowOff>
    </xdr:from>
    <xdr:to>
      <xdr:col>9</xdr:col>
      <xdr:colOff>57150</xdr:colOff>
      <xdr:row>1</xdr:row>
      <xdr:rowOff>342900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1685925" y="381000"/>
          <a:ext cx="3705225" cy="3524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</a:rPr>
            <a:t>फक्त महिना व वर्ष बदलून प्रिंट काढा.</a:t>
          </a:r>
        </a:p>
        <a:p>
          <a:pPr algn="ctr"/>
          <a:endParaRPr lang="en-GB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409577</xdr:colOff>
      <xdr:row>1</xdr:row>
      <xdr:rowOff>47625</xdr:rowOff>
    </xdr:from>
    <xdr:to>
      <xdr:col>19</xdr:col>
      <xdr:colOff>571501</xdr:colOff>
      <xdr:row>2</xdr:row>
      <xdr:rowOff>123825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10391777" y="438150"/>
          <a:ext cx="1381124" cy="4667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0</xdr:row>
      <xdr:rowOff>323850</xdr:rowOff>
    </xdr:from>
    <xdr:to>
      <xdr:col>3</xdr:col>
      <xdr:colOff>9525</xdr:colOff>
      <xdr:row>1</xdr:row>
      <xdr:rowOff>381000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>
          <a:off x="428625" y="323850"/>
          <a:ext cx="1295400" cy="4476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180975</xdr:colOff>
      <xdr:row>1</xdr:row>
      <xdr:rowOff>18206</xdr:rowOff>
    </xdr:from>
    <xdr:to>
      <xdr:col>9</xdr:col>
      <xdr:colOff>781050</xdr:colOff>
      <xdr:row>1</xdr:row>
      <xdr:rowOff>332531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10800000">
          <a:off x="5514975" y="408731"/>
          <a:ext cx="600075" cy="31432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190501</xdr:colOff>
      <xdr:row>1</xdr:row>
      <xdr:rowOff>19050</xdr:rowOff>
    </xdr:from>
    <xdr:to>
      <xdr:col>9</xdr:col>
      <xdr:colOff>19051</xdr:colOff>
      <xdr:row>1</xdr:row>
      <xdr:rowOff>371475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1905001" y="409575"/>
          <a:ext cx="3448050" cy="3524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</a:rPr>
            <a:t>फक्त महिना व वर्ष बदलून प्रिंट काढा.</a:t>
          </a:r>
        </a:p>
        <a:p>
          <a:pPr algn="ctr"/>
          <a:endParaRPr lang="en-GB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47626</xdr:colOff>
      <xdr:row>1</xdr:row>
      <xdr:rowOff>47625</xdr:rowOff>
    </xdr:from>
    <xdr:to>
      <xdr:col>18</xdr:col>
      <xdr:colOff>66675</xdr:colOff>
      <xdr:row>2</xdr:row>
      <xdr:rowOff>123825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>
          <a:off x="9420226" y="438150"/>
          <a:ext cx="1238249" cy="4667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600075</xdr:colOff>
      <xdr:row>1</xdr:row>
      <xdr:rowOff>266700</xdr:rowOff>
    </xdr:from>
    <xdr:to>
      <xdr:col>15</xdr:col>
      <xdr:colOff>19050</xdr:colOff>
      <xdr:row>2</xdr:row>
      <xdr:rowOff>266700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9677400" y="466725"/>
          <a:ext cx="1247775" cy="4381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  <xdr:twoCellAnchor>
    <xdr:from>
      <xdr:col>12</xdr:col>
      <xdr:colOff>581025</xdr:colOff>
      <xdr:row>5</xdr:row>
      <xdr:rowOff>0</xdr:rowOff>
    </xdr:from>
    <xdr:to>
      <xdr:col>16</xdr:col>
      <xdr:colOff>114300</xdr:colOff>
      <xdr:row>10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9658350" y="1609725"/>
          <a:ext cx="1971675" cy="1581150"/>
        </a:xfrm>
        <a:prstGeom prst="rect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महिना व वर्ष बदलून फक्त प्रिंट काढा</a:t>
          </a:r>
          <a:endParaRPr lang="en-GB" sz="20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0</xdr:row>
      <xdr:rowOff>83345</xdr:rowOff>
    </xdr:from>
    <xdr:to>
      <xdr:col>3</xdr:col>
      <xdr:colOff>47625</xdr:colOff>
      <xdr:row>1</xdr:row>
      <xdr:rowOff>47624</xdr:rowOff>
    </xdr:to>
    <xdr:sp macro="" textlink="">
      <xdr:nvSpPr>
        <xdr:cNvPr id="2" name="Flowchart: Termina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685800" y="83345"/>
          <a:ext cx="1064419" cy="369092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600" b="1"/>
            <a:t>HOME</a:t>
          </a:r>
        </a:p>
      </xdr:txBody>
    </xdr:sp>
    <xdr:clientData/>
  </xdr:twoCellAnchor>
  <xdr:twoCellAnchor>
    <xdr:from>
      <xdr:col>18</xdr:col>
      <xdr:colOff>333375</xdr:colOff>
      <xdr:row>0</xdr:row>
      <xdr:rowOff>85727</xdr:rowOff>
    </xdr:from>
    <xdr:to>
      <xdr:col>20</xdr:col>
      <xdr:colOff>428625</xdr:colOff>
      <xdr:row>0</xdr:row>
      <xdr:rowOff>552451</xdr:rowOff>
    </xdr:to>
    <xdr:sp macro="" textlink="">
      <xdr:nvSpPr>
        <xdr:cNvPr id="3" name="Flowchart: Terminato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12801600" y="85727"/>
          <a:ext cx="1314450" cy="466724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/>
            <a:t>HOME</a:t>
          </a:r>
        </a:p>
      </xdr:txBody>
    </xdr:sp>
    <xdr:clientData/>
  </xdr:twoCellAnchor>
  <xdr:twoCellAnchor>
    <xdr:from>
      <xdr:col>7</xdr:col>
      <xdr:colOff>476249</xdr:colOff>
      <xdr:row>0</xdr:row>
      <xdr:rowOff>95250</xdr:rowOff>
    </xdr:from>
    <xdr:to>
      <xdr:col>11</xdr:col>
      <xdr:colOff>133350</xdr:colOff>
      <xdr:row>0</xdr:row>
      <xdr:rowOff>533400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6238874" y="95250"/>
          <a:ext cx="2095501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फक्त प्रिंट काढा</a:t>
          </a:r>
          <a:endParaRPr lang="en-GB" sz="20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</xdr:row>
      <xdr:rowOff>66675</xdr:rowOff>
    </xdr:from>
    <xdr:to>
      <xdr:col>16</xdr:col>
      <xdr:colOff>466725</xdr:colOff>
      <xdr:row>2</xdr:row>
      <xdr:rowOff>161925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10287000" y="400050"/>
          <a:ext cx="1066800" cy="4286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15</xdr:col>
      <xdr:colOff>38100</xdr:colOff>
      <xdr:row>5</xdr:row>
      <xdr:rowOff>285751</xdr:rowOff>
    </xdr:from>
    <xdr:to>
      <xdr:col>17</xdr:col>
      <xdr:colOff>257175</xdr:colOff>
      <xdr:row>10</xdr:row>
      <xdr:rowOff>38101</xdr:rowOff>
    </xdr:to>
    <xdr:sp macro="" textlink="">
      <xdr:nvSpPr>
        <xdr:cNvPr id="3" name="Flowchart: Alternate Process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10315575" y="1924051"/>
          <a:ext cx="1438275" cy="201930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mr-IN" sz="2000" b="1"/>
            <a:t>फक्त महिना व वर्ष बदलून प्रिंट काढा</a:t>
          </a:r>
          <a:endParaRPr lang="en-GB" sz="2000" b="1"/>
        </a:p>
      </xdr:txBody>
    </xdr:sp>
    <xdr:clientData/>
  </xdr:twoCellAnchor>
  <xdr:twoCellAnchor>
    <xdr:from>
      <xdr:col>15</xdr:col>
      <xdr:colOff>333375</xdr:colOff>
      <xdr:row>3</xdr:row>
      <xdr:rowOff>247650</xdr:rowOff>
    </xdr:from>
    <xdr:to>
      <xdr:col>17</xdr:col>
      <xdr:colOff>0</xdr:colOff>
      <xdr:row>4</xdr:row>
      <xdr:rowOff>266700</xdr:rowOff>
    </xdr:to>
    <xdr:sp macro="" textlink="">
      <xdr:nvSpPr>
        <xdr:cNvPr id="4" name="Flowchart: Terminator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10610850" y="1209675"/>
          <a:ext cx="885825" cy="400050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/>
            <a:t>सूचना</a:t>
          </a:r>
          <a:endParaRPr lang="en-GB" sz="18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306917</xdr:colOff>
      <xdr:row>1</xdr:row>
      <xdr:rowOff>0</xdr:rowOff>
    </xdr:from>
    <xdr:to>
      <xdr:col>4</xdr:col>
      <xdr:colOff>0</xdr:colOff>
      <xdr:row>2</xdr:row>
      <xdr:rowOff>148167</xdr:rowOff>
    </xdr:to>
    <xdr:sp macro="" textlink="">
      <xdr:nvSpPr>
        <xdr:cNvPr id="2" name="Flowchart: Termina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1068917" y="190500"/>
          <a:ext cx="1259416" cy="338667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5</xdr:col>
      <xdr:colOff>31750</xdr:colOff>
      <xdr:row>0</xdr:row>
      <xdr:rowOff>158750</xdr:rowOff>
    </xdr:from>
    <xdr:to>
      <xdr:col>11</xdr:col>
      <xdr:colOff>592666</xdr:colOff>
      <xdr:row>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3460750" y="158750"/>
          <a:ext cx="4328583" cy="412750"/>
        </a:xfrm>
        <a:prstGeom prst="rect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/>
            <a:t>महिना व वर्ष निवडून प्रिंट काढा</a:t>
          </a:r>
          <a:endParaRPr lang="en-GB" sz="1800" b="1"/>
        </a:p>
      </xdr:txBody>
    </xdr:sp>
    <xdr:clientData/>
  </xdr:twoCellAnchor>
  <xdr:twoCellAnchor>
    <xdr:from>
      <xdr:col>27</xdr:col>
      <xdr:colOff>455083</xdr:colOff>
      <xdr:row>0</xdr:row>
      <xdr:rowOff>95249</xdr:rowOff>
    </xdr:from>
    <xdr:to>
      <xdr:col>30</xdr:col>
      <xdr:colOff>412750</xdr:colOff>
      <xdr:row>2</xdr:row>
      <xdr:rowOff>148166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/>
      </xdr:nvSpPr>
      <xdr:spPr>
        <a:xfrm>
          <a:off x="17822333" y="95249"/>
          <a:ext cx="1143000" cy="433917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400051</xdr:colOff>
      <xdr:row>0</xdr:row>
      <xdr:rowOff>257175</xdr:rowOff>
    </xdr:from>
    <xdr:to>
      <xdr:col>2</xdr:col>
      <xdr:colOff>933451</xdr:colOff>
      <xdr:row>2</xdr:row>
      <xdr:rowOff>9525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009651" y="257175"/>
          <a:ext cx="1143000" cy="3619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18</xdr:col>
      <xdr:colOff>133350</xdr:colOff>
      <xdr:row>7</xdr:row>
      <xdr:rowOff>57150</xdr:rowOff>
    </xdr:from>
    <xdr:to>
      <xdr:col>18</xdr:col>
      <xdr:colOff>561975</xdr:colOff>
      <xdr:row>7</xdr:row>
      <xdr:rowOff>228599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20726400" y="2676525"/>
          <a:ext cx="428625" cy="17144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438150</xdr:colOff>
      <xdr:row>27</xdr:row>
      <xdr:rowOff>209549</xdr:rowOff>
    </xdr:from>
    <xdr:to>
      <xdr:col>26</xdr:col>
      <xdr:colOff>742950</xdr:colOff>
      <xdr:row>36</xdr:row>
      <xdr:rowOff>76200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23355300" y="8486774"/>
          <a:ext cx="3267075" cy="235267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FFFF00"/>
              </a:solidFill>
            </a:rPr>
            <a:t>सूचना</a:t>
          </a:r>
        </a:p>
        <a:p>
          <a:pPr algn="ctr"/>
          <a:r>
            <a:rPr lang="mr-IN" sz="1800" b="1">
              <a:solidFill>
                <a:schemeClr val="bg1"/>
              </a:solidFill>
            </a:rPr>
            <a:t>फक्त पांढरया सेल मधील बँक व्यवहार तपशील संपूर्ण भरा</a:t>
          </a:r>
          <a:r>
            <a:rPr lang="en-US" sz="1800" b="1">
              <a:solidFill>
                <a:schemeClr val="bg1"/>
              </a:solidFill>
            </a:rPr>
            <a:t>.</a:t>
          </a:r>
          <a:r>
            <a:rPr lang="mr-IN" sz="1800" b="1">
              <a:solidFill>
                <a:schemeClr val="bg1"/>
              </a:solidFill>
            </a:rPr>
            <a:t>तसेच चेक डायरी हवी असल्यास तीही माहिती भरा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495300</xdr:colOff>
      <xdr:row>25</xdr:row>
      <xdr:rowOff>219075</xdr:rowOff>
    </xdr:from>
    <xdr:to>
      <xdr:col>23</xdr:col>
      <xdr:colOff>9525</xdr:colOff>
      <xdr:row>27</xdr:row>
      <xdr:rowOff>142875</xdr:rowOff>
    </xdr:to>
    <xdr:sp macro="" textlink="">
      <xdr:nvSpPr>
        <xdr:cNvPr id="5" name="Left Arrow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22802850" y="7896225"/>
          <a:ext cx="1228725" cy="4762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857251</xdr:colOff>
      <xdr:row>7</xdr:row>
      <xdr:rowOff>66675</xdr:rowOff>
    </xdr:from>
    <xdr:to>
      <xdr:col>12</xdr:col>
      <xdr:colOff>1066800</xdr:colOff>
      <xdr:row>7</xdr:row>
      <xdr:rowOff>228600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4687551" y="2686050"/>
          <a:ext cx="209549" cy="16192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581025</xdr:colOff>
      <xdr:row>1</xdr:row>
      <xdr:rowOff>161925</xdr:rowOff>
    </xdr:from>
    <xdr:to>
      <xdr:col>16</xdr:col>
      <xdr:colOff>428625</xdr:colOff>
      <xdr:row>2</xdr:row>
      <xdr:rowOff>257175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10201275" y="495300"/>
          <a:ext cx="1066800" cy="4286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HOME</a:t>
          </a:r>
          <a:endParaRPr lang="en-GB" sz="2000" b="1"/>
        </a:p>
      </xdr:txBody>
    </xdr:sp>
    <xdr:clientData/>
  </xdr:twoCellAnchor>
  <xdr:twoCellAnchor>
    <xdr:from>
      <xdr:col>15</xdr:col>
      <xdr:colOff>19050</xdr:colOff>
      <xdr:row>4</xdr:row>
      <xdr:rowOff>66674</xdr:rowOff>
    </xdr:from>
    <xdr:to>
      <xdr:col>16</xdr:col>
      <xdr:colOff>600075</xdr:colOff>
      <xdr:row>10</xdr:row>
      <xdr:rowOff>142875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/>
      </xdr:nvSpPr>
      <xdr:spPr>
        <a:xfrm>
          <a:off x="10868025" y="1409699"/>
          <a:ext cx="1190625" cy="254317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/>
            <a:t>फक्त महिना व वर्ष बदलून प्रिंट काढा</a:t>
          </a:r>
          <a:endParaRPr lang="en-GB" sz="18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1</xdr:row>
      <xdr:rowOff>85725</xdr:rowOff>
    </xdr:from>
    <xdr:to>
      <xdr:col>14</xdr:col>
      <xdr:colOff>171450</xdr:colOff>
      <xdr:row>2</xdr:row>
      <xdr:rowOff>95250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>
          <a:off x="9020175" y="285750"/>
          <a:ext cx="1009650" cy="4191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495301</xdr:colOff>
      <xdr:row>4</xdr:row>
      <xdr:rowOff>28575</xdr:rowOff>
    </xdr:from>
    <xdr:to>
      <xdr:col>14</xdr:col>
      <xdr:colOff>590551</xdr:colOff>
      <xdr:row>10</xdr:row>
      <xdr:rowOff>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>
          <a:off x="9134476" y="1228725"/>
          <a:ext cx="1314450" cy="1800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/>
            <a:t>फक्त महिना व वर्ष बदलून प्रिंट काढा</a:t>
          </a:r>
          <a:endParaRPr lang="en-GB" sz="18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180976</xdr:rowOff>
    </xdr:from>
    <xdr:to>
      <xdr:col>4</xdr:col>
      <xdr:colOff>190500</xdr:colOff>
      <xdr:row>1</xdr:row>
      <xdr:rowOff>209551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1057275" y="180976"/>
          <a:ext cx="1504950" cy="3619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HOME</a:t>
          </a:r>
          <a:endParaRPr lang="en-GB" sz="2000" b="1"/>
        </a:p>
      </xdr:txBody>
    </xdr:sp>
    <xdr:clientData/>
  </xdr:twoCellAnchor>
  <xdr:twoCellAnchor>
    <xdr:from>
      <xdr:col>24</xdr:col>
      <xdr:colOff>400050</xdr:colOff>
      <xdr:row>0</xdr:row>
      <xdr:rowOff>152400</xdr:rowOff>
    </xdr:from>
    <xdr:to>
      <xdr:col>26</xdr:col>
      <xdr:colOff>952500</xdr:colOff>
      <xdr:row>1</xdr:row>
      <xdr:rowOff>161925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/>
      </xdr:nvSpPr>
      <xdr:spPr>
        <a:xfrm>
          <a:off x="16021050" y="152400"/>
          <a:ext cx="116205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HOME</a:t>
          </a:r>
          <a:endParaRPr lang="en-GB" sz="2000" b="1"/>
        </a:p>
      </xdr:txBody>
    </xdr:sp>
    <xdr:clientData/>
  </xdr:twoCellAnchor>
  <xdr:twoCellAnchor>
    <xdr:from>
      <xdr:col>4</xdr:col>
      <xdr:colOff>485775</xdr:colOff>
      <xdr:row>0</xdr:row>
      <xdr:rowOff>238125</xdr:rowOff>
    </xdr:from>
    <xdr:to>
      <xdr:col>4</xdr:col>
      <xdr:colOff>714375</xdr:colOff>
      <xdr:row>1</xdr:row>
      <xdr:rowOff>228600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/>
      </xdr:nvSpPr>
      <xdr:spPr>
        <a:xfrm>
          <a:off x="3009900" y="238125"/>
          <a:ext cx="228600" cy="3048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104776</xdr:colOff>
      <xdr:row>1</xdr:row>
      <xdr:rowOff>19049</xdr:rowOff>
    </xdr:from>
    <xdr:to>
      <xdr:col>3</xdr:col>
      <xdr:colOff>76201</xdr:colOff>
      <xdr:row>2</xdr:row>
      <xdr:rowOff>19049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447676" y="409574"/>
          <a:ext cx="933450" cy="3905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438150</xdr:colOff>
      <xdr:row>1</xdr:row>
      <xdr:rowOff>19047</xdr:rowOff>
    </xdr:from>
    <xdr:to>
      <xdr:col>10</xdr:col>
      <xdr:colOff>114300</xdr:colOff>
      <xdr:row>1</xdr:row>
      <xdr:rowOff>333372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 rot="10800000">
          <a:off x="5362575" y="409572"/>
          <a:ext cx="381000" cy="31432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323850</xdr:colOff>
      <xdr:row>1</xdr:row>
      <xdr:rowOff>19050</xdr:rowOff>
    </xdr:from>
    <xdr:to>
      <xdr:col>9</xdr:col>
      <xdr:colOff>295275</xdr:colOff>
      <xdr:row>2</xdr:row>
      <xdr:rowOff>9525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1628775" y="409575"/>
          <a:ext cx="3590925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</a:rPr>
            <a:t>फक्त महिना व वर्ष बदलून प्रिंट काढा.</a:t>
          </a:r>
        </a:p>
        <a:p>
          <a:pPr algn="ctr"/>
          <a:endParaRPr lang="en-GB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209550</xdr:colOff>
      <xdr:row>0</xdr:row>
      <xdr:rowOff>381000</xdr:rowOff>
    </xdr:from>
    <xdr:to>
      <xdr:col>18</xdr:col>
      <xdr:colOff>161925</xdr:colOff>
      <xdr:row>2</xdr:row>
      <xdr:rowOff>28575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>
        <a:xfrm>
          <a:off x="8553450" y="381000"/>
          <a:ext cx="1171575" cy="4286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0</xdr:row>
      <xdr:rowOff>381000</xdr:rowOff>
    </xdr:from>
    <xdr:to>
      <xdr:col>3</xdr:col>
      <xdr:colOff>38100</xdr:colOff>
      <xdr:row>1</xdr:row>
      <xdr:rowOff>371475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381001" y="381000"/>
          <a:ext cx="962024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>
              <a:solidFill>
                <a:schemeClr val="bg1"/>
              </a:solidFill>
            </a:rPr>
            <a:t>HOME</a:t>
          </a:r>
          <a:endParaRPr lang="en-GB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76200</xdr:colOff>
      <xdr:row>1</xdr:row>
      <xdr:rowOff>19047</xdr:rowOff>
    </xdr:from>
    <xdr:to>
      <xdr:col>9</xdr:col>
      <xdr:colOff>638175</xdr:colOff>
      <xdr:row>1</xdr:row>
      <xdr:rowOff>333372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/>
      </xdr:nvSpPr>
      <xdr:spPr>
        <a:xfrm rot="10800000">
          <a:off x="5000625" y="409572"/>
          <a:ext cx="561975" cy="31432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209550</xdr:colOff>
      <xdr:row>0</xdr:row>
      <xdr:rowOff>381001</xdr:rowOff>
    </xdr:from>
    <xdr:to>
      <xdr:col>8</xdr:col>
      <xdr:colOff>561975</xdr:colOff>
      <xdr:row>1</xdr:row>
      <xdr:rowOff>371476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/>
      </xdr:nvSpPr>
      <xdr:spPr>
        <a:xfrm>
          <a:off x="1514475" y="381001"/>
          <a:ext cx="3324225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chemeClr val="bg1"/>
              </a:solidFill>
            </a:rPr>
            <a:t>फक्त महिना व वर्ष बदलून प्रिंट काढा.</a:t>
          </a:r>
        </a:p>
        <a:p>
          <a:pPr algn="ctr"/>
          <a:endParaRPr lang="en-GB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400051</xdr:colOff>
      <xdr:row>0</xdr:row>
      <xdr:rowOff>381001</xdr:rowOff>
    </xdr:from>
    <xdr:to>
      <xdr:col>17</xdr:col>
      <xdr:colOff>457201</xdr:colOff>
      <xdr:row>1</xdr:row>
      <xdr:rowOff>371476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/>
      </xdr:nvSpPr>
      <xdr:spPr>
        <a:xfrm>
          <a:off x="8467726" y="381001"/>
          <a:ext cx="1104900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0</xdr:row>
      <xdr:rowOff>114300</xdr:rowOff>
    </xdr:from>
    <xdr:to>
      <xdr:col>4</xdr:col>
      <xdr:colOff>790575</xdr:colOff>
      <xdr:row>0</xdr:row>
      <xdr:rowOff>504825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/>
      </xdr:nvSpPr>
      <xdr:spPr>
        <a:xfrm>
          <a:off x="1571625" y="114300"/>
          <a:ext cx="1362075" cy="3905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  <xdr:twoCellAnchor>
    <xdr:from>
      <xdr:col>8</xdr:col>
      <xdr:colOff>200026</xdr:colOff>
      <xdr:row>0</xdr:row>
      <xdr:rowOff>161925</xdr:rowOff>
    </xdr:from>
    <xdr:to>
      <xdr:col>11</xdr:col>
      <xdr:colOff>314326</xdr:colOff>
      <xdr:row>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/>
      </xdr:nvSpPr>
      <xdr:spPr>
        <a:xfrm>
          <a:off x="5734051" y="161925"/>
          <a:ext cx="1943100" cy="352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/>
            <a:t>फक्त प्रिंट काढा</a:t>
          </a:r>
          <a:endParaRPr lang="en-GB" sz="1800" b="1"/>
        </a:p>
      </xdr:txBody>
    </xdr:sp>
    <xdr:clientData/>
  </xdr:twoCellAnchor>
  <xdr:twoCellAnchor>
    <xdr:from>
      <xdr:col>20</xdr:col>
      <xdr:colOff>161926</xdr:colOff>
      <xdr:row>0</xdr:row>
      <xdr:rowOff>133350</xdr:rowOff>
    </xdr:from>
    <xdr:to>
      <xdr:col>22</xdr:col>
      <xdr:colOff>9526</xdr:colOff>
      <xdr:row>0</xdr:row>
      <xdr:rowOff>495300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/>
      </xdr:nvSpPr>
      <xdr:spPr>
        <a:xfrm>
          <a:off x="13011151" y="133350"/>
          <a:ext cx="1066800" cy="3619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2000" b="1"/>
            <a:t>HOME</a:t>
          </a:r>
          <a:endParaRPr lang="en-GB" sz="20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0</xdr:row>
      <xdr:rowOff>171450</xdr:rowOff>
    </xdr:from>
    <xdr:to>
      <xdr:col>3</xdr:col>
      <xdr:colOff>57150</xdr:colOff>
      <xdr:row>1</xdr:row>
      <xdr:rowOff>323850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/>
      </xdr:nvSpPr>
      <xdr:spPr>
        <a:xfrm>
          <a:off x="885825" y="171450"/>
          <a:ext cx="857250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6</xdr:col>
      <xdr:colOff>85725</xdr:colOff>
      <xdr:row>0</xdr:row>
      <xdr:rowOff>209550</xdr:rowOff>
    </xdr:from>
    <xdr:to>
      <xdr:col>11</xdr:col>
      <xdr:colOff>638175</xdr:colOff>
      <xdr:row>1</xdr:row>
      <xdr:rowOff>323850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/>
      </xdr:nvSpPr>
      <xdr:spPr>
        <a:xfrm>
          <a:off x="3800475" y="209550"/>
          <a:ext cx="3838575" cy="4762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      </a:t>
          </a:r>
          <a:r>
            <a:rPr lang="mr-IN" sz="1800" b="1">
              <a:solidFill>
                <a:schemeClr val="bg1"/>
              </a:solidFill>
            </a:rPr>
            <a:t>फक्त महिना व वर्ष बदलून प्रिंट काढा.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18</xdr:col>
      <xdr:colOff>514350</xdr:colOff>
      <xdr:row>0</xdr:row>
      <xdr:rowOff>238126</xdr:rowOff>
    </xdr:from>
    <xdr:to>
      <xdr:col>20</xdr:col>
      <xdr:colOff>295275</xdr:colOff>
      <xdr:row>1</xdr:row>
      <xdr:rowOff>276226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/>
      </xdr:nvSpPr>
      <xdr:spPr>
        <a:xfrm>
          <a:off x="13668375" y="238126"/>
          <a:ext cx="1000125" cy="4000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0</xdr:row>
      <xdr:rowOff>76200</xdr:rowOff>
    </xdr:from>
    <xdr:to>
      <xdr:col>3</xdr:col>
      <xdr:colOff>180975</xdr:colOff>
      <xdr:row>0</xdr:row>
      <xdr:rowOff>390526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/>
      </xdr:nvSpPr>
      <xdr:spPr>
        <a:xfrm>
          <a:off x="504825" y="76200"/>
          <a:ext cx="1285875" cy="314326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0</xdr:row>
      <xdr:rowOff>361950</xdr:rowOff>
    </xdr:from>
    <xdr:to>
      <xdr:col>18</xdr:col>
      <xdr:colOff>38100</xdr:colOff>
      <xdr:row>2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/>
      </xdr:nvSpPr>
      <xdr:spPr>
        <a:xfrm>
          <a:off x="9572624" y="361950"/>
          <a:ext cx="1247776" cy="4191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</xdr:row>
      <xdr:rowOff>19050</xdr:rowOff>
    </xdr:from>
    <xdr:to>
      <xdr:col>14</xdr:col>
      <xdr:colOff>190500</xdr:colOff>
      <xdr:row>1</xdr:row>
      <xdr:rowOff>485775</xdr:rowOff>
    </xdr:to>
    <xdr:sp macro="" textlink="">
      <xdr:nvSpPr>
        <xdr:cNvPr id="2" name="Flowchart: Alternate Proces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/>
      </xdr:nvSpPr>
      <xdr:spPr>
        <a:xfrm>
          <a:off x="10134600" y="466725"/>
          <a:ext cx="1133475" cy="428625"/>
        </a:xfrm>
        <a:prstGeom prst="flowChartAlternateProcess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57150</xdr:colOff>
      <xdr:row>3</xdr:row>
      <xdr:rowOff>161925</xdr:rowOff>
    </xdr:from>
    <xdr:to>
      <xdr:col>13</xdr:col>
      <xdr:colOff>542925</xdr:colOff>
      <xdr:row>10</xdr:row>
      <xdr:rowOff>171450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/>
      </xdr:nvSpPr>
      <xdr:spPr>
        <a:xfrm>
          <a:off x="9915525" y="1952625"/>
          <a:ext cx="1095375" cy="31432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FF0000"/>
              </a:solidFill>
            </a:rPr>
            <a:t>फक्त महिना व वर्ष बदलून प्रिंट काढा </a:t>
          </a:r>
          <a:endParaRPr lang="en-GB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0</xdr:row>
      <xdr:rowOff>114300</xdr:rowOff>
    </xdr:from>
    <xdr:to>
      <xdr:col>2</xdr:col>
      <xdr:colOff>962025</xdr:colOff>
      <xdr:row>0</xdr:row>
      <xdr:rowOff>476250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895350" y="114300"/>
          <a:ext cx="1285875" cy="3619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/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0</xdr:row>
      <xdr:rowOff>200025</xdr:rowOff>
    </xdr:from>
    <xdr:to>
      <xdr:col>2</xdr:col>
      <xdr:colOff>600075</xdr:colOff>
      <xdr:row>1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/>
      </xdr:nvSpPr>
      <xdr:spPr>
        <a:xfrm>
          <a:off x="714375" y="200025"/>
          <a:ext cx="1143000" cy="3048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542926</xdr:colOff>
      <xdr:row>0</xdr:row>
      <xdr:rowOff>209551</xdr:rowOff>
    </xdr:from>
    <xdr:to>
      <xdr:col>19</xdr:col>
      <xdr:colOff>561976</xdr:colOff>
      <xdr:row>2</xdr:row>
      <xdr:rowOff>1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7924801" y="209551"/>
          <a:ext cx="4286250" cy="342900"/>
        </a:xfrm>
        <a:prstGeom prst="roundRect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फक्त महिना व वर्ष निवडून प्रिंट काढा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114300</xdr:colOff>
      <xdr:row>1</xdr:row>
      <xdr:rowOff>0</xdr:rowOff>
    </xdr:from>
    <xdr:to>
      <xdr:col>12</xdr:col>
      <xdr:colOff>457200</xdr:colOff>
      <xdr:row>1</xdr:row>
      <xdr:rowOff>285750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/>
      </xdr:nvSpPr>
      <xdr:spPr>
        <a:xfrm>
          <a:off x="7496175" y="257175"/>
          <a:ext cx="342900" cy="285750"/>
        </a:xfrm>
        <a:prstGeom prst="leftArrow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0</xdr:row>
      <xdr:rowOff>200025</xdr:rowOff>
    </xdr:from>
    <xdr:to>
      <xdr:col>2</xdr:col>
      <xdr:colOff>600075</xdr:colOff>
      <xdr:row>1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/>
      </xdr:nvSpPr>
      <xdr:spPr>
        <a:xfrm>
          <a:off x="714375" y="200025"/>
          <a:ext cx="1143000" cy="3048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542926</xdr:colOff>
      <xdr:row>0</xdr:row>
      <xdr:rowOff>209551</xdr:rowOff>
    </xdr:from>
    <xdr:to>
      <xdr:col>19</xdr:col>
      <xdr:colOff>561976</xdr:colOff>
      <xdr:row>2</xdr:row>
      <xdr:rowOff>1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SpPr/>
      </xdr:nvSpPr>
      <xdr:spPr>
        <a:xfrm>
          <a:off x="8372476" y="209551"/>
          <a:ext cx="4286250" cy="342900"/>
        </a:xfrm>
        <a:prstGeom prst="roundRect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फक्त महिना व वर्ष निवडून प्रिंट काढा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114300</xdr:colOff>
      <xdr:row>1</xdr:row>
      <xdr:rowOff>0</xdr:rowOff>
    </xdr:from>
    <xdr:to>
      <xdr:col>12</xdr:col>
      <xdr:colOff>457200</xdr:colOff>
      <xdr:row>1</xdr:row>
      <xdr:rowOff>285750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/>
      </xdr:nvSpPr>
      <xdr:spPr>
        <a:xfrm>
          <a:off x="7943850" y="257175"/>
          <a:ext cx="342900" cy="285750"/>
        </a:xfrm>
        <a:prstGeom prst="leftArrow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0</xdr:row>
      <xdr:rowOff>200025</xdr:rowOff>
    </xdr:from>
    <xdr:to>
      <xdr:col>2</xdr:col>
      <xdr:colOff>600075</xdr:colOff>
      <xdr:row>1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SpPr/>
      </xdr:nvSpPr>
      <xdr:spPr>
        <a:xfrm>
          <a:off x="714375" y="200025"/>
          <a:ext cx="1143000" cy="3048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542926</xdr:colOff>
      <xdr:row>0</xdr:row>
      <xdr:rowOff>209551</xdr:rowOff>
    </xdr:from>
    <xdr:to>
      <xdr:col>19</xdr:col>
      <xdr:colOff>561976</xdr:colOff>
      <xdr:row>2</xdr:row>
      <xdr:rowOff>1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8372476" y="209551"/>
          <a:ext cx="4286250" cy="342900"/>
        </a:xfrm>
        <a:prstGeom prst="roundRect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फक्त महिना व वर्ष निवडून प्रिंट काढा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114300</xdr:colOff>
      <xdr:row>1</xdr:row>
      <xdr:rowOff>0</xdr:rowOff>
    </xdr:from>
    <xdr:to>
      <xdr:col>12</xdr:col>
      <xdr:colOff>457200</xdr:colOff>
      <xdr:row>1</xdr:row>
      <xdr:rowOff>285750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SpPr/>
      </xdr:nvSpPr>
      <xdr:spPr>
        <a:xfrm>
          <a:off x="7943850" y="257175"/>
          <a:ext cx="342900" cy="285750"/>
        </a:xfrm>
        <a:prstGeom prst="leftArrow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0</xdr:row>
      <xdr:rowOff>209550</xdr:rowOff>
    </xdr:from>
    <xdr:to>
      <xdr:col>2</xdr:col>
      <xdr:colOff>742950</xdr:colOff>
      <xdr:row>1</xdr:row>
      <xdr:rowOff>180975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/>
      </xdr:nvSpPr>
      <xdr:spPr>
        <a:xfrm>
          <a:off x="704850" y="209550"/>
          <a:ext cx="962025" cy="3905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2</xdr:col>
      <xdr:colOff>1752599</xdr:colOff>
      <xdr:row>0</xdr:row>
      <xdr:rowOff>161925</xdr:rowOff>
    </xdr:from>
    <xdr:to>
      <xdr:col>11</xdr:col>
      <xdr:colOff>190500</xdr:colOff>
      <xdr:row>1</xdr:row>
      <xdr:rowOff>190500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2800349" y="161925"/>
          <a:ext cx="5184776" cy="4730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फक्त इयत्ता बदलून अहवाल प्रिंट करून वापरा.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1047751</xdr:colOff>
      <xdr:row>0</xdr:row>
      <xdr:rowOff>295275</xdr:rowOff>
    </xdr:from>
    <xdr:to>
      <xdr:col>2</xdr:col>
      <xdr:colOff>1362075</xdr:colOff>
      <xdr:row>1</xdr:row>
      <xdr:rowOff>174625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/>
      </xdr:nvSpPr>
      <xdr:spPr>
        <a:xfrm>
          <a:off x="2095501" y="295275"/>
          <a:ext cx="314324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</xdr:row>
      <xdr:rowOff>19050</xdr:rowOff>
    </xdr:from>
    <xdr:to>
      <xdr:col>14</xdr:col>
      <xdr:colOff>190500</xdr:colOff>
      <xdr:row>1</xdr:row>
      <xdr:rowOff>485775</xdr:rowOff>
    </xdr:to>
    <xdr:sp macro="" textlink="">
      <xdr:nvSpPr>
        <xdr:cNvPr id="2" name="Flowchart: Alternate Proces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SpPr/>
      </xdr:nvSpPr>
      <xdr:spPr>
        <a:xfrm>
          <a:off x="11163300" y="409575"/>
          <a:ext cx="1133475" cy="466725"/>
        </a:xfrm>
        <a:prstGeom prst="flowChartAlternateProcess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57150</xdr:colOff>
      <xdr:row>2</xdr:row>
      <xdr:rowOff>161925</xdr:rowOff>
    </xdr:from>
    <xdr:to>
      <xdr:col>13</xdr:col>
      <xdr:colOff>542925</xdr:colOff>
      <xdr:row>9</xdr:row>
      <xdr:rowOff>171450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/>
      </xdr:nvSpPr>
      <xdr:spPr>
        <a:xfrm>
          <a:off x="11325225" y="1076325"/>
          <a:ext cx="1095375" cy="27146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FF0000"/>
              </a:solidFill>
            </a:rPr>
            <a:t>फक्त महिना व वर्ष बदलून प्रिंट काढा </a:t>
          </a:r>
          <a:endParaRPr lang="en-GB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</xdr:row>
      <xdr:rowOff>19050</xdr:rowOff>
    </xdr:from>
    <xdr:to>
      <xdr:col>14</xdr:col>
      <xdr:colOff>190500</xdr:colOff>
      <xdr:row>1</xdr:row>
      <xdr:rowOff>485775</xdr:rowOff>
    </xdr:to>
    <xdr:sp macro="" textlink="">
      <xdr:nvSpPr>
        <xdr:cNvPr id="2" name="Flowchart: Alternate Proces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/>
      </xdr:nvSpPr>
      <xdr:spPr>
        <a:xfrm>
          <a:off x="11544300" y="409575"/>
          <a:ext cx="1133475" cy="466725"/>
        </a:xfrm>
        <a:prstGeom prst="flowChartAlternateProcess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12</xdr:col>
      <xdr:colOff>57150</xdr:colOff>
      <xdr:row>3</xdr:row>
      <xdr:rowOff>161925</xdr:rowOff>
    </xdr:from>
    <xdr:to>
      <xdr:col>13</xdr:col>
      <xdr:colOff>542925</xdr:colOff>
      <xdr:row>10</xdr:row>
      <xdr:rowOff>171450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/>
      </xdr:nvSpPr>
      <xdr:spPr>
        <a:xfrm>
          <a:off x="11325225" y="1076325"/>
          <a:ext cx="1095375" cy="27146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FF0000"/>
              </a:solidFill>
            </a:rPr>
            <a:t>फक्त महिना व वर्ष बदलून प्रिंट काढा </a:t>
          </a:r>
          <a:endParaRPr lang="en-GB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0</xdr:row>
      <xdr:rowOff>133350</xdr:rowOff>
    </xdr:from>
    <xdr:to>
      <xdr:col>2</xdr:col>
      <xdr:colOff>923925</xdr:colOff>
      <xdr:row>1</xdr:row>
      <xdr:rowOff>190500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/>
      </xdr:nvSpPr>
      <xdr:spPr>
        <a:xfrm>
          <a:off x="1133475" y="133350"/>
          <a:ext cx="1009650" cy="381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HOME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228600</xdr:rowOff>
    </xdr:from>
    <xdr:to>
      <xdr:col>3</xdr:col>
      <xdr:colOff>95250</xdr:colOff>
      <xdr:row>1</xdr:row>
      <xdr:rowOff>123825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SpPr/>
      </xdr:nvSpPr>
      <xdr:spPr>
        <a:xfrm>
          <a:off x="752475" y="228600"/>
          <a:ext cx="1190625" cy="3714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4</xdr:col>
      <xdr:colOff>123825</xdr:colOff>
      <xdr:row>0</xdr:row>
      <xdr:rowOff>219075</xdr:rowOff>
    </xdr:from>
    <xdr:to>
      <xdr:col>13</xdr:col>
      <xdr:colOff>390525</xdr:colOff>
      <xdr:row>1</xdr:row>
      <xdr:rowOff>209550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SpPr/>
      </xdr:nvSpPr>
      <xdr:spPr>
        <a:xfrm>
          <a:off x="3848100" y="219075"/>
          <a:ext cx="5753100" cy="4667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करारनामा फक्त १०० रुपयाच्या स्टॅंप पेपरवर प्रिंट करा.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1162050</xdr:colOff>
      <xdr:row>0</xdr:row>
      <xdr:rowOff>323850</xdr:rowOff>
    </xdr:from>
    <xdr:to>
      <xdr:col>3</xdr:col>
      <xdr:colOff>1600200</xdr:colOff>
      <xdr:row>1</xdr:row>
      <xdr:rowOff>381000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SpPr/>
      </xdr:nvSpPr>
      <xdr:spPr>
        <a:xfrm>
          <a:off x="3009900" y="323850"/>
          <a:ext cx="438150" cy="533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352425</xdr:colOff>
      <xdr:row>66</xdr:row>
      <xdr:rowOff>352425</xdr:rowOff>
    </xdr:from>
    <xdr:to>
      <xdr:col>16</xdr:col>
      <xdr:colOff>66675</xdr:colOff>
      <xdr:row>67</xdr:row>
      <xdr:rowOff>219075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/>
      </xdr:nvSpPr>
      <xdr:spPr>
        <a:xfrm>
          <a:off x="10153650" y="31308675"/>
          <a:ext cx="93345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chemeClr val="bg1"/>
              </a:solidFill>
            </a:rPr>
            <a:t>HOME</a:t>
          </a:r>
          <a:endParaRPr lang="en-GB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0</xdr:row>
      <xdr:rowOff>76201</xdr:rowOff>
    </xdr:from>
    <xdr:to>
      <xdr:col>2</xdr:col>
      <xdr:colOff>1257300</xdr:colOff>
      <xdr:row>0</xdr:row>
      <xdr:rowOff>428625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1047750" y="76201"/>
          <a:ext cx="1266825" cy="352424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0</xdr:row>
      <xdr:rowOff>142875</xdr:rowOff>
    </xdr:from>
    <xdr:to>
      <xdr:col>3</xdr:col>
      <xdr:colOff>247650</xdr:colOff>
      <xdr:row>1</xdr:row>
      <xdr:rowOff>257175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762000" y="142875"/>
          <a:ext cx="1238250" cy="43815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3</xdr:col>
      <xdr:colOff>1238250</xdr:colOff>
      <xdr:row>0</xdr:row>
      <xdr:rowOff>152400</xdr:rowOff>
    </xdr:from>
    <xdr:to>
      <xdr:col>9</xdr:col>
      <xdr:colOff>571500</xdr:colOff>
      <xdr:row>1</xdr:row>
      <xdr:rowOff>257175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2990850" y="152400"/>
          <a:ext cx="6343650" cy="4286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FF0000"/>
              </a:solidFill>
            </a:rPr>
            <a:t>बाबवार खतावणी(लेजर) -</a:t>
          </a:r>
          <a:r>
            <a:rPr lang="mr-IN" sz="1600" b="1" baseline="0">
              <a:solidFill>
                <a:srgbClr val="FF0000"/>
              </a:solidFill>
            </a:rPr>
            <a:t> फक्त प्रिंट काढा.</a:t>
          </a:r>
          <a:endParaRPr lang="en-GB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123825</xdr:rowOff>
    </xdr:from>
    <xdr:to>
      <xdr:col>22</xdr:col>
      <xdr:colOff>809625</xdr:colOff>
      <xdr:row>1</xdr:row>
      <xdr:rowOff>180975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1790700" y="123825"/>
          <a:ext cx="154305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30</xdr:col>
      <xdr:colOff>1162050</xdr:colOff>
      <xdr:row>4</xdr:row>
      <xdr:rowOff>247650</xdr:rowOff>
    </xdr:from>
    <xdr:to>
      <xdr:col>33</xdr:col>
      <xdr:colOff>561975</xdr:colOff>
      <xdr:row>12</xdr:row>
      <xdr:rowOff>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8753475" y="1390650"/>
          <a:ext cx="2790825" cy="20383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600" b="1">
              <a:solidFill>
                <a:srgbClr val="FF0000"/>
              </a:solidFill>
            </a:rPr>
            <a:t>सूचना:-</a:t>
          </a:r>
        </a:p>
        <a:p>
          <a:pPr algn="ctr"/>
          <a:r>
            <a:rPr lang="mr-IN" sz="1600" b="1">
              <a:solidFill>
                <a:srgbClr val="0000FF"/>
              </a:solidFill>
            </a:rPr>
            <a:t>शालेय पोषण आहार </a:t>
          </a:r>
        </a:p>
        <a:p>
          <a:pPr algn="ctr"/>
          <a:r>
            <a:rPr lang="mr-IN" sz="1600" b="1">
              <a:solidFill>
                <a:srgbClr val="0000FF"/>
              </a:solidFill>
            </a:rPr>
            <a:t>चेकने केलेल्या व्यवहाराची सर्व बिले व्हाऊचर नं. बदलून अनुक्रमे प्रिंट काढा.</a:t>
          </a:r>
          <a:endParaRPr lang="en-GB" sz="1600" b="1">
            <a:solidFill>
              <a:srgbClr val="0000FF"/>
            </a:solidFill>
          </a:endParaRPr>
        </a:p>
      </xdr:txBody>
    </xdr:sp>
    <xdr:clientData/>
  </xdr:twoCellAnchor>
  <xdr:twoCellAnchor>
    <xdr:from>
      <xdr:col>30</xdr:col>
      <xdr:colOff>304801</xdr:colOff>
      <xdr:row>8</xdr:row>
      <xdr:rowOff>9525</xdr:rowOff>
    </xdr:from>
    <xdr:to>
      <xdr:col>30</xdr:col>
      <xdr:colOff>876301</xdr:colOff>
      <xdr:row>9</xdr:row>
      <xdr:rowOff>152400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7896226" y="2295525"/>
          <a:ext cx="571500" cy="42862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171450</xdr:rowOff>
    </xdr:from>
    <xdr:to>
      <xdr:col>3</xdr:col>
      <xdr:colOff>1152525</xdr:colOff>
      <xdr:row>1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971550" y="171450"/>
          <a:ext cx="1209675" cy="31432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5</xdr:col>
      <xdr:colOff>276225</xdr:colOff>
      <xdr:row>0</xdr:row>
      <xdr:rowOff>190500</xdr:rowOff>
    </xdr:from>
    <xdr:to>
      <xdr:col>7</xdr:col>
      <xdr:colOff>2762250</xdr:colOff>
      <xdr:row>1</xdr:row>
      <xdr:rowOff>209550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3190875" y="190500"/>
          <a:ext cx="4371975" cy="46672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mr-IN" sz="1800" b="1">
              <a:solidFill>
                <a:srgbClr val="FF0000"/>
              </a:solidFill>
            </a:rPr>
            <a:t>फक्त महिना व वर्ष निवडून प्रिंट काढा.</a:t>
          </a:r>
          <a:endParaRPr lang="en-GB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434975</xdr:colOff>
      <xdr:row>0</xdr:row>
      <xdr:rowOff>254000</xdr:rowOff>
    </xdr:from>
    <xdr:to>
      <xdr:col>5</xdr:col>
      <xdr:colOff>168275</xdr:colOff>
      <xdr:row>1</xdr:row>
      <xdr:rowOff>133350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2736850" y="254000"/>
          <a:ext cx="352425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5</xdr:row>
      <xdr:rowOff>257176</xdr:rowOff>
    </xdr:from>
    <xdr:to>
      <xdr:col>5</xdr:col>
      <xdr:colOff>1419225</xdr:colOff>
      <xdr:row>6</xdr:row>
      <xdr:rowOff>219076</xdr:rowOff>
    </xdr:to>
    <xdr:sp macro="" textlink="">
      <xdr:nvSpPr>
        <xdr:cNvPr id="2" name="Flowchart: Termina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7829550" y="2066926"/>
          <a:ext cx="1257300" cy="323850"/>
        </a:xfrm>
        <a:prstGeom prst="flowChartTermina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DOWNLOAD</a:t>
          </a:r>
        </a:p>
      </xdr:txBody>
    </xdr:sp>
    <xdr:clientData/>
  </xdr:twoCellAnchor>
  <xdr:twoCellAnchor>
    <xdr:from>
      <xdr:col>2</xdr:col>
      <xdr:colOff>276225</xdr:colOff>
      <xdr:row>1</xdr:row>
      <xdr:rowOff>9526</xdr:rowOff>
    </xdr:from>
    <xdr:to>
      <xdr:col>3</xdr:col>
      <xdr:colOff>0</xdr:colOff>
      <xdr:row>1</xdr:row>
      <xdr:rowOff>333376</xdr:rowOff>
    </xdr:to>
    <xdr:sp macro="" textlink="">
      <xdr:nvSpPr>
        <xdr:cNvPr id="3" name="Down Arrow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3133725" y="371476"/>
          <a:ext cx="752475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828675</xdr:colOff>
      <xdr:row>0</xdr:row>
      <xdr:rowOff>200025</xdr:rowOff>
    </xdr:from>
    <xdr:to>
      <xdr:col>5</xdr:col>
      <xdr:colOff>1133475</xdr:colOff>
      <xdr:row>1</xdr:row>
      <xdr:rowOff>209550</xdr:rowOff>
    </xdr:to>
    <xdr:sp macro="" textlink="">
      <xdr:nvSpPr>
        <xdr:cNvPr id="4" name="Flowchart: Terminato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7324725" y="200025"/>
          <a:ext cx="1476375" cy="371475"/>
        </a:xfrm>
        <a:prstGeom prst="flowChartTerminator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>
              <a:solidFill>
                <a:schemeClr val="bg1"/>
              </a:solidFill>
            </a:rPr>
            <a:t>HOME</a:t>
          </a:r>
        </a:p>
      </xdr:txBody>
    </xdr:sp>
    <xdr:clientData/>
  </xdr:twoCellAnchor>
  <xdr:twoCellAnchor>
    <xdr:from>
      <xdr:col>4</xdr:col>
      <xdr:colOff>304800</xdr:colOff>
      <xdr:row>35</xdr:row>
      <xdr:rowOff>28575</xdr:rowOff>
    </xdr:from>
    <xdr:to>
      <xdr:col>4</xdr:col>
      <xdr:colOff>790575</xdr:colOff>
      <xdr:row>36</xdr:row>
      <xdr:rowOff>285750</xdr:rowOff>
    </xdr:to>
    <xdr:sp macro="" textlink="">
      <xdr:nvSpPr>
        <xdr:cNvPr id="5" name="Arrow: Left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7658100" y="13049250"/>
          <a:ext cx="485775" cy="619125"/>
        </a:xfrm>
        <a:prstGeom prst="leftArrow">
          <a:avLst>
            <a:gd name="adj1" fmla="val 50000"/>
            <a:gd name="adj2" fmla="val 45349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190500</xdr:colOff>
      <xdr:row>32</xdr:row>
      <xdr:rowOff>257175</xdr:rowOff>
    </xdr:from>
    <xdr:to>
      <xdr:col>4</xdr:col>
      <xdr:colOff>657225</xdr:colOff>
      <xdr:row>33</xdr:row>
      <xdr:rowOff>247650</xdr:rowOff>
    </xdr:to>
    <xdr:sp macro="" textlink="">
      <xdr:nvSpPr>
        <xdr:cNvPr id="6" name="Arrow: Left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7543800" y="11839575"/>
          <a:ext cx="466725" cy="514350"/>
        </a:xfrm>
        <a:prstGeom prst="lef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171450</xdr:rowOff>
    </xdr:from>
    <xdr:to>
      <xdr:col>2</xdr:col>
      <xdr:colOff>476250</xdr:colOff>
      <xdr:row>1</xdr:row>
      <xdr:rowOff>219075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371475" y="171450"/>
          <a:ext cx="1323975" cy="3714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  <xdr:twoCellAnchor>
    <xdr:from>
      <xdr:col>26</xdr:col>
      <xdr:colOff>342900</xdr:colOff>
      <xdr:row>0</xdr:row>
      <xdr:rowOff>276225</xdr:rowOff>
    </xdr:from>
    <xdr:to>
      <xdr:col>28</xdr:col>
      <xdr:colOff>285750</xdr:colOff>
      <xdr:row>2</xdr:row>
      <xdr:rowOff>38100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18040350" y="276225"/>
          <a:ext cx="1162050" cy="40957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000" b="1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58;&#2366;.&#2346;&#2379;.&#2310;&#2361;&#2366;&#2352;%20Excel%20Software%20(&#2311;.&#2407;%20&#2340;&#2375;%20&#2411;%20&#2357;%206%20&#2340;&#2375;%20&#2414;)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दैनंदिन खर्च (इ.१ ते ५)"/>
      <sheetName val="SET UP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opatraochougule.blogspot.com/" TargetMode="External"/><Relationship Id="rId1" Type="http://schemas.openxmlformats.org/officeDocument/2006/relationships/hyperlink" Target="mailto:popatraochougule4@g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66"/>
  </sheetPr>
  <dimension ref="B1:U164"/>
  <sheetViews>
    <sheetView showRowColHeaders="0" showZeros="0" tabSelected="1" zoomScaleNormal="100" workbookViewId="0">
      <selection activeCell="D5" sqref="D5:J5"/>
    </sheetView>
  </sheetViews>
  <sheetFormatPr defaultRowHeight="22.5" customHeight="1" x14ac:dyDescent="0.3"/>
  <cols>
    <col min="1" max="2" width="9.140625" style="1061" customWidth="1"/>
    <col min="3" max="3" width="5" style="1061" customWidth="1"/>
    <col min="4" max="4" width="1.7109375" style="1061" customWidth="1"/>
    <col min="5" max="5" width="11.7109375" style="1062" customWidth="1"/>
    <col min="6" max="6" width="10.5703125" style="1061" customWidth="1"/>
    <col min="7" max="7" width="1.7109375" style="1061" customWidth="1"/>
    <col min="8" max="8" width="17.7109375" style="1062" customWidth="1"/>
    <col min="9" max="9" width="8.7109375" style="1061" customWidth="1"/>
    <col min="10" max="10" width="4.5703125" style="1061" customWidth="1"/>
    <col min="11" max="16384" width="9.140625" style="1061"/>
  </cols>
  <sheetData>
    <row r="1" spans="4:21" ht="22.5" customHeight="1" x14ac:dyDescent="0.3">
      <c r="E1" s="1307" t="s">
        <v>720</v>
      </c>
      <c r="F1" s="1307"/>
    </row>
    <row r="2" spans="4:21" ht="22.5" customHeight="1" thickBot="1" x14ac:dyDescent="0.35">
      <c r="D2" s="1060"/>
      <c r="E2" s="1065">
        <v>2022</v>
      </c>
      <c r="F2" s="1065">
        <v>2023</v>
      </c>
    </row>
    <row r="3" spans="4:21" ht="22.5" customHeight="1" thickBot="1" x14ac:dyDescent="0.35">
      <c r="E3" s="1319">
        <f ca="1">TODAY()</f>
        <v>44901</v>
      </c>
      <c r="F3" s="1320"/>
      <c r="G3" s="1321"/>
      <c r="H3" s="1317">
        <f ca="1">NOW()-TODAY()</f>
        <v>0.81044074073724914</v>
      </c>
      <c r="I3" s="1317"/>
      <c r="J3" s="1318"/>
    </row>
    <row r="4" spans="4:21" ht="22.5" customHeight="1" thickBot="1" x14ac:dyDescent="0.35">
      <c r="E4" s="1314" t="s">
        <v>174</v>
      </c>
      <c r="F4" s="1315"/>
      <c r="G4" s="1315"/>
      <c r="H4" s="1315"/>
      <c r="I4" s="1315"/>
      <c r="J4" s="1316"/>
    </row>
    <row r="5" spans="4:21" ht="22.5" customHeight="1" thickBot="1" x14ac:dyDescent="0.35">
      <c r="E5" s="858" t="s">
        <v>31</v>
      </c>
      <c r="F5" s="1322" t="s">
        <v>443</v>
      </c>
      <c r="G5" s="1323"/>
      <c r="H5" s="1323"/>
      <c r="I5" s="1323"/>
      <c r="J5" s="1324"/>
    </row>
    <row r="6" spans="4:21" ht="22.5" customHeight="1" x14ac:dyDescent="0.45">
      <c r="E6" s="1053" t="str">
        <f>' मासिक धान्यादी शिल्लक 1 ते 5'!C16</f>
        <v>तांदूळ</v>
      </c>
      <c r="F6" s="1325">
        <f>VLOOKUP(E5,'वार्षिक धान्यादी माल 6 ते 8'!AI55:BA57,2,0)</f>
        <v>20.89999999999992</v>
      </c>
      <c r="G6" s="1326"/>
      <c r="H6" s="1054" t="str">
        <f>' मासिक धान्यादी शिल्लक 1 ते 5'!C25</f>
        <v>जिरे</v>
      </c>
      <c r="I6" s="1325">
        <f>VLOOKUP(E5,'वार्षिक धान्यादी माल 6 ते 8'!AI55:BA57,11,0)</f>
        <v>0.22350000000000014</v>
      </c>
      <c r="J6" s="1326"/>
    </row>
    <row r="7" spans="4:21" ht="22.5" customHeight="1" thickBot="1" x14ac:dyDescent="0.5">
      <c r="E7" s="1055" t="str">
        <f>' मासिक धान्यादी शिल्लक 1 ते 5'!C17</f>
        <v>मुगडाळ</v>
      </c>
      <c r="F7" s="1304">
        <f>VLOOKUP(E5,'वार्षिक धान्यादी माल 6 ते 8'!AI55:BA57,3,0)</f>
        <v>1.7199999999999989</v>
      </c>
      <c r="G7" s="1305"/>
      <c r="H7" s="1056" t="str">
        <f>' मासिक धान्यादी शिल्लक 1 ते 5'!C26</f>
        <v>मोहरी</v>
      </c>
      <c r="I7" s="1304">
        <f>VLOOKUP(E5,'वार्षिक धान्यादी माल 6 ते 8'!AI55:BA57,12,0)</f>
        <v>4.4999999999995044E-3</v>
      </c>
      <c r="J7" s="1305"/>
    </row>
    <row r="8" spans="4:21" ht="22.5" customHeight="1" thickBot="1" x14ac:dyDescent="0.5">
      <c r="E8" s="1057" t="str">
        <f>' मासिक धान्यादी शिल्लक 1 ते 5'!C18</f>
        <v>तुरडाळ</v>
      </c>
      <c r="F8" s="1300">
        <f>VLOOKUP(E5,'वार्षिक धान्यादी माल 6 ते 8'!AI55:BA57,4,0)</f>
        <v>0</v>
      </c>
      <c r="G8" s="1301"/>
      <c r="H8" s="1058" t="str">
        <f>' मासिक धान्यादी शिल्लक 1 ते 5'!C27</f>
        <v>हळद</v>
      </c>
      <c r="I8" s="1300">
        <f>VLOOKUP(E5,'वार्षिक धान्यादी माल 6 ते 8'!AI55:BA57,13,0)</f>
        <v>0.32350000000000045</v>
      </c>
      <c r="J8" s="1301"/>
    </row>
    <row r="9" spans="4:21" ht="22.5" customHeight="1" thickBot="1" x14ac:dyDescent="0.5">
      <c r="E9" s="1058" t="str">
        <f>' मासिक धान्यादी शिल्लक 1 ते 5'!C19</f>
        <v>मसूरडाळ</v>
      </c>
      <c r="F9" s="1300">
        <f>VLOOKUP(E5,'वार्षिक धान्यादी माल 6 ते 8'!AI55:BA57,5,0)</f>
        <v>0</v>
      </c>
      <c r="G9" s="1301"/>
      <c r="H9" s="1058" t="str">
        <f>' मासिक धान्यादी शिल्लक 1 ते 5'!C28</f>
        <v>मिरची पावडर</v>
      </c>
      <c r="I9" s="1300">
        <f>VLOOKUP(E5,'वार्षिक धान्यादी माल 6 ते 8'!AI55:BA57,14,0)</f>
        <v>0</v>
      </c>
      <c r="J9" s="1301"/>
    </row>
    <row r="10" spans="4:21" ht="22.5" customHeight="1" thickBot="1" x14ac:dyDescent="0.5">
      <c r="E10" s="1058" t="str">
        <f>' मासिक धान्यादी शिल्लक 1 ते 5'!C20</f>
        <v>मटकी</v>
      </c>
      <c r="F10" s="1300">
        <f>VLOOKUP(E5,'वार्षिक धान्यादी माल 6 ते 8'!AI55:BA57,6,0)</f>
        <v>0</v>
      </c>
      <c r="G10" s="1301"/>
      <c r="H10" s="1058" t="str">
        <f>' मासिक धान्यादी शिल्लक 1 ते 5'!C29</f>
        <v>गरम मसाला</v>
      </c>
      <c r="I10" s="1300">
        <f>VLOOKUP(E5,'वार्षिक धान्यादी माल 6 ते 8'!AI55:BA57,15,0)</f>
        <v>0</v>
      </c>
      <c r="J10" s="1301"/>
    </row>
    <row r="11" spans="4:21" ht="22.5" customHeight="1" thickBot="1" x14ac:dyDescent="0.5">
      <c r="E11" s="1058" t="str">
        <f>' मासिक धान्यादी शिल्लक 1 ते 5'!C21</f>
        <v>मुग</v>
      </c>
      <c r="F11" s="1300">
        <f>VLOOKUP(E5,'वार्षिक धान्यादी माल 6 ते 8'!AI55:BA57,7,0)</f>
        <v>0</v>
      </c>
      <c r="G11" s="1301"/>
      <c r="H11" s="1058" t="str">
        <f>' मासिक धान्यादी शिल्लक 1 ते 5'!C30</f>
        <v>सोयाबीन तेल</v>
      </c>
      <c r="I11" s="1300">
        <f>VLOOKUP(E5,'वार्षिक धान्यादी माल 6 ते 8'!AI55:BA57,16,0)</f>
        <v>14.044999999999998</v>
      </c>
      <c r="J11" s="1301"/>
    </row>
    <row r="12" spans="4:21" ht="22.5" customHeight="1" thickBot="1" x14ac:dyDescent="0.5">
      <c r="E12" s="1058" t="str">
        <f>' मासिक धान्यादी शिल्लक 1 ते 5'!C22</f>
        <v>चवळी</v>
      </c>
      <c r="F12" s="1300">
        <f>VLOOKUP(E5,'वार्षिक धान्यादी माल 6 ते 8'!AI55:BA57,8,0)</f>
        <v>0</v>
      </c>
      <c r="G12" s="1301"/>
      <c r="H12" s="1058" t="str">
        <f>' मासिक धान्यादी शिल्लक 1 ते 5'!C31</f>
        <v>मीठ</v>
      </c>
      <c r="I12" s="1300">
        <f>VLOOKUP(E5,'वार्षिक धान्यादी माल 6 ते 8'!AI55:BA57,17,0)</f>
        <v>2.2139999999999977</v>
      </c>
      <c r="J12" s="1301"/>
    </row>
    <row r="13" spans="4:21" ht="22.5" customHeight="1" thickBot="1" x14ac:dyDescent="0.5">
      <c r="E13" s="1058" t="str">
        <f>' मासिक धान्यादी शिल्लक 1 ते 5'!C23</f>
        <v>हरभरा</v>
      </c>
      <c r="F13" s="1300">
        <f>VLOOKUP(E5,'वार्षिक धान्यादी माल 6 ते 8'!AI55:BA57,9,0)</f>
        <v>0.22000000000000242</v>
      </c>
      <c r="G13" s="1301"/>
      <c r="H13" s="1059" t="str">
        <f>' मासिक धान्यादी शिल्लक 1 ते 5'!C32</f>
        <v>कांदा लसून मसाला</v>
      </c>
      <c r="I13" s="1300">
        <f>VLOOKUP(E5,'वार्षिक धान्यादी माल 6 ते 8'!AI55:BA57,18,0)</f>
        <v>0.39080000000000092</v>
      </c>
      <c r="J13" s="1301"/>
    </row>
    <row r="14" spans="4:21" ht="22.5" customHeight="1" thickBot="1" x14ac:dyDescent="0.5">
      <c r="E14" s="1057" t="str">
        <f>' मासिक धान्यादी शिल्लक 1 ते 5'!C24</f>
        <v>वाटाणा</v>
      </c>
      <c r="F14" s="1302">
        <f>VLOOKUP(E5,'वार्षिक धान्यादी माल 6 ते 8'!AI55:BA57,10,0)</f>
        <v>-0.76000000000000156</v>
      </c>
      <c r="G14" s="1303"/>
      <c r="H14" s="1057">
        <f>' मासिक धान्यादी शिल्लक 1 ते 5'!C33</f>
        <v>0</v>
      </c>
      <c r="I14" s="1302">
        <f>VLOOKUP(E5,'वार्षिक धान्यादी माल 6 ते 8'!AI55:BA57,19,0)</f>
        <v>0</v>
      </c>
      <c r="J14" s="1303"/>
    </row>
    <row r="15" spans="4:21" ht="9.75" customHeight="1" x14ac:dyDescent="0.45">
      <c r="E15" s="1063"/>
      <c r="F15" s="1064"/>
      <c r="G15" s="1064"/>
      <c r="H15" s="1063"/>
      <c r="I15" s="1064"/>
      <c r="J15" s="1064"/>
    </row>
    <row r="16" spans="4:21" ht="22.5" customHeight="1" x14ac:dyDescent="0.3">
      <c r="D16" s="1308" t="s">
        <v>753</v>
      </c>
      <c r="E16" s="1309"/>
      <c r="F16" s="1309"/>
      <c r="G16" s="1309"/>
      <c r="H16" s="1309"/>
      <c r="I16" s="1309"/>
      <c r="J16" s="1309"/>
      <c r="K16" s="1309"/>
      <c r="L16" s="1309"/>
      <c r="M16" s="1309"/>
      <c r="N16" s="1309"/>
      <c r="O16" s="1309"/>
      <c r="P16" s="1309"/>
      <c r="Q16" s="1309"/>
      <c r="R16" s="1309"/>
      <c r="S16" s="1309"/>
      <c r="T16" s="1309"/>
      <c r="U16" s="1310"/>
    </row>
    <row r="17" spans="2:21" ht="22.5" customHeight="1" x14ac:dyDescent="0.3">
      <c r="D17" s="1311" t="s">
        <v>721</v>
      </c>
      <c r="E17" s="1312"/>
      <c r="F17" s="1312"/>
      <c r="G17" s="1312"/>
      <c r="H17" s="1312"/>
      <c r="I17" s="1312"/>
      <c r="J17" s="1312"/>
      <c r="K17" s="1312"/>
      <c r="L17" s="1312"/>
      <c r="M17" s="1313" t="s">
        <v>722</v>
      </c>
      <c r="N17" s="1313"/>
      <c r="O17" s="1313"/>
      <c r="P17" s="1313"/>
      <c r="Q17" s="1313"/>
      <c r="R17" s="1313"/>
      <c r="S17" s="1313"/>
      <c r="T17" s="1313"/>
      <c r="U17" s="1066"/>
    </row>
    <row r="18" spans="2:21" ht="22.5" customHeight="1" x14ac:dyDescent="0.3">
      <c r="B18" s="1299" t="s">
        <v>723</v>
      </c>
      <c r="C18" s="1299"/>
      <c r="D18" s="1067" t="s">
        <v>433</v>
      </c>
      <c r="E18" s="1068" t="s">
        <v>434</v>
      </c>
      <c r="F18" s="1068"/>
      <c r="G18" s="1068"/>
      <c r="H18" s="1068"/>
      <c r="I18" s="1068"/>
      <c r="J18" s="1068"/>
      <c r="K18" s="1068"/>
      <c r="L18" s="1068"/>
      <c r="M18" s="1068"/>
      <c r="N18" s="1068"/>
      <c r="O18" s="1068"/>
      <c r="P18" s="1068"/>
      <c r="Q18" s="1068"/>
      <c r="R18" s="1068"/>
      <c r="S18" s="1068"/>
      <c r="T18" s="1068"/>
      <c r="U18" s="1068"/>
    </row>
    <row r="19" spans="2:21" ht="22.5" customHeight="1" x14ac:dyDescent="0.3">
      <c r="B19" s="191"/>
      <c r="C19" s="191"/>
      <c r="D19" s="1067" t="s">
        <v>435</v>
      </c>
      <c r="E19" s="1068" t="s">
        <v>436</v>
      </c>
      <c r="F19" s="1068"/>
      <c r="G19" s="1068"/>
      <c r="H19" s="1068"/>
      <c r="I19" s="1068"/>
      <c r="J19" s="1068"/>
      <c r="K19" s="1068"/>
      <c r="L19" s="1068"/>
      <c r="M19" s="1068"/>
      <c r="N19" s="1068"/>
      <c r="O19" s="1068"/>
      <c r="P19" s="1068"/>
      <c r="Q19" s="1068"/>
      <c r="R19" s="1068"/>
      <c r="S19" s="1068"/>
      <c r="T19" s="1068"/>
      <c r="U19" s="1068"/>
    </row>
    <row r="20" spans="2:21" ht="22.5" customHeight="1" x14ac:dyDescent="0.3">
      <c r="B20" s="191"/>
      <c r="C20" s="191"/>
      <c r="D20" s="1067" t="s">
        <v>437</v>
      </c>
      <c r="E20" s="1068" t="s">
        <v>438</v>
      </c>
      <c r="F20" s="1068"/>
      <c r="G20" s="1068"/>
      <c r="H20" s="1068"/>
      <c r="I20" s="1068"/>
      <c r="J20" s="1068"/>
      <c r="K20" s="1068"/>
      <c r="L20" s="1068"/>
      <c r="M20" s="1068"/>
      <c r="N20" s="1068"/>
      <c r="O20" s="1068"/>
      <c r="P20" s="1068"/>
      <c r="Q20" s="1068"/>
      <c r="R20" s="1068"/>
      <c r="S20" s="1068"/>
      <c r="T20" s="1068"/>
      <c r="U20" s="1068"/>
    </row>
    <row r="21" spans="2:21" ht="22.5" customHeight="1" x14ac:dyDescent="0.3">
      <c r="B21" s="191"/>
      <c r="C21" s="191"/>
      <c r="D21" s="1067" t="s">
        <v>439</v>
      </c>
      <c r="E21" s="1068" t="s">
        <v>440</v>
      </c>
      <c r="F21" s="1068"/>
      <c r="G21" s="1068"/>
      <c r="H21" s="1068"/>
      <c r="I21" s="1068"/>
      <c r="J21" s="1068"/>
      <c r="K21" s="1068"/>
      <c r="L21" s="1068"/>
      <c r="M21" s="1068"/>
      <c r="N21" s="1068"/>
      <c r="O21" s="1068"/>
      <c r="P21" s="1068"/>
      <c r="Q21" s="1068"/>
      <c r="R21" s="1068"/>
      <c r="S21" s="1068"/>
      <c r="T21" s="1068"/>
      <c r="U21" s="1068"/>
    </row>
    <row r="22" spans="2:21" ht="22.5" customHeight="1" x14ac:dyDescent="0.3">
      <c r="B22" s="191"/>
      <c r="C22" s="191"/>
      <c r="D22" s="1067" t="s">
        <v>441</v>
      </c>
      <c r="E22" s="1068" t="s">
        <v>694</v>
      </c>
      <c r="F22" s="1068"/>
      <c r="G22" s="1068"/>
      <c r="H22" s="1068"/>
      <c r="I22" s="1068"/>
      <c r="J22" s="1068"/>
      <c r="K22" s="1068"/>
      <c r="L22" s="1068"/>
      <c r="M22" s="1068"/>
      <c r="N22" s="1068"/>
      <c r="O22" s="1068"/>
      <c r="P22" s="1068"/>
      <c r="Q22" s="1068"/>
      <c r="R22" s="1068"/>
      <c r="S22" s="1068"/>
      <c r="T22" s="1068"/>
      <c r="U22" s="1068"/>
    </row>
    <row r="23" spans="2:21" ht="22.5" customHeight="1" x14ac:dyDescent="0.3">
      <c r="B23" s="191"/>
      <c r="C23" s="191"/>
      <c r="D23" s="1067" t="s">
        <v>442</v>
      </c>
      <c r="E23" s="1068" t="s">
        <v>695</v>
      </c>
      <c r="F23" s="1068"/>
      <c r="G23" s="1068"/>
      <c r="H23" s="1068"/>
      <c r="I23" s="1068"/>
      <c r="J23" s="1068"/>
      <c r="K23" s="1068"/>
      <c r="L23" s="1068"/>
      <c r="M23" s="1068"/>
      <c r="N23" s="1068"/>
      <c r="O23" s="1068"/>
      <c r="P23" s="1068"/>
      <c r="Q23" s="1068"/>
      <c r="R23" s="1068"/>
      <c r="S23" s="1068"/>
      <c r="T23" s="1068"/>
      <c r="U23" s="1067"/>
    </row>
    <row r="24" spans="2:21" ht="22.5" customHeight="1" x14ac:dyDescent="0.3">
      <c r="B24" s="191"/>
      <c r="C24" s="191"/>
      <c r="D24" s="1067" t="s">
        <v>646</v>
      </c>
      <c r="E24" s="1306" t="s">
        <v>693</v>
      </c>
      <c r="F24" s="1306"/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067"/>
      <c r="S24" s="1067"/>
      <c r="T24" s="1067"/>
      <c r="U24" s="1067"/>
    </row>
    <row r="25" spans="2:21" ht="22.5" customHeight="1" x14ac:dyDescent="0.3">
      <c r="B25" s="191"/>
      <c r="C25" s="191"/>
      <c r="D25" s="1067" t="s">
        <v>645</v>
      </c>
      <c r="E25" s="1306" t="s">
        <v>697</v>
      </c>
      <c r="F25" s="1306"/>
      <c r="G25" s="1306"/>
      <c r="H25" s="1306"/>
      <c r="I25" s="1306"/>
      <c r="J25" s="1306"/>
      <c r="K25" s="1306"/>
      <c r="L25" s="1306"/>
      <c r="M25" s="1306"/>
      <c r="N25" s="1306"/>
      <c r="O25" s="1306"/>
      <c r="P25" s="1306"/>
      <c r="Q25" s="1067"/>
      <c r="R25" s="1067"/>
      <c r="S25" s="1067"/>
      <c r="T25" s="1067"/>
      <c r="U25" s="1067"/>
    </row>
    <row r="26" spans="2:21" ht="22.5" customHeight="1" x14ac:dyDescent="0.3">
      <c r="B26" s="191"/>
      <c r="C26" s="191"/>
      <c r="D26" s="1067" t="s">
        <v>644</v>
      </c>
      <c r="E26" s="1306" t="s">
        <v>724</v>
      </c>
      <c r="F26" s="1306"/>
      <c r="G26" s="1306"/>
      <c r="H26" s="1306"/>
      <c r="I26" s="1306"/>
      <c r="J26" s="1306"/>
      <c r="K26" s="1306"/>
      <c r="L26" s="1306"/>
      <c r="M26" s="1306"/>
      <c r="N26" s="1306"/>
      <c r="O26" s="1306"/>
      <c r="P26" s="1306"/>
      <c r="Q26" s="1067"/>
      <c r="R26" s="1067"/>
      <c r="S26" s="1067"/>
      <c r="T26" s="1067"/>
      <c r="U26" s="1067"/>
    </row>
    <row r="27" spans="2:21" ht="22.5" customHeight="1" x14ac:dyDescent="0.3">
      <c r="B27" s="191"/>
      <c r="C27" s="191"/>
      <c r="D27" s="1067" t="s">
        <v>643</v>
      </c>
      <c r="E27" s="1306" t="s">
        <v>698</v>
      </c>
      <c r="F27" s="1306"/>
      <c r="G27" s="1306"/>
      <c r="H27" s="1306"/>
      <c r="I27" s="1306"/>
      <c r="J27" s="1306"/>
      <c r="K27" s="1306"/>
      <c r="L27" s="1306"/>
      <c r="M27" s="1306"/>
      <c r="N27" s="1306"/>
      <c r="O27" s="1306"/>
      <c r="P27" s="1306"/>
      <c r="Q27" s="1067"/>
      <c r="R27" s="1067"/>
      <c r="S27" s="1067"/>
      <c r="T27" s="1067"/>
      <c r="U27" s="1067"/>
    </row>
    <row r="28" spans="2:21" ht="22.5" customHeight="1" x14ac:dyDescent="0.3">
      <c r="E28" s="1061"/>
      <c r="H28" s="1061"/>
    </row>
    <row r="29" spans="2:21" ht="22.5" customHeight="1" x14ac:dyDescent="0.3">
      <c r="E29" s="1061"/>
      <c r="H29" s="1061"/>
    </row>
    <row r="30" spans="2:21" ht="22.5" customHeight="1" x14ac:dyDescent="0.3">
      <c r="E30" s="1061"/>
      <c r="H30" s="1061"/>
    </row>
    <row r="31" spans="2:21" ht="22.5" customHeight="1" x14ac:dyDescent="0.3">
      <c r="E31" s="1061"/>
      <c r="H31" s="1061"/>
    </row>
    <row r="32" spans="2:21" ht="22.5" customHeight="1" x14ac:dyDescent="0.3">
      <c r="E32" s="1061"/>
      <c r="H32" s="1061"/>
    </row>
    <row r="33" s="1061" customFormat="1" ht="22.5" customHeight="1" x14ac:dyDescent="0.3"/>
    <row r="34" s="1061" customFormat="1" ht="22.5" customHeight="1" x14ac:dyDescent="0.3"/>
    <row r="35" s="1061" customFormat="1" ht="22.5" customHeight="1" x14ac:dyDescent="0.3"/>
    <row r="36" s="1061" customFormat="1" ht="22.5" customHeight="1" x14ac:dyDescent="0.3"/>
    <row r="37" s="1061" customFormat="1" ht="22.5" customHeight="1" x14ac:dyDescent="0.3"/>
    <row r="38" s="1061" customFormat="1" ht="22.5" customHeight="1" x14ac:dyDescent="0.3"/>
    <row r="39" s="1061" customFormat="1" ht="22.5" customHeight="1" x14ac:dyDescent="0.3"/>
    <row r="40" s="1061" customFormat="1" ht="22.5" customHeight="1" x14ac:dyDescent="0.3"/>
    <row r="41" s="1061" customFormat="1" ht="22.5" customHeight="1" x14ac:dyDescent="0.3"/>
    <row r="42" s="1061" customFormat="1" ht="22.5" customHeight="1" x14ac:dyDescent="0.3"/>
    <row r="43" s="1061" customFormat="1" ht="22.5" customHeight="1" x14ac:dyDescent="0.3"/>
    <row r="44" s="1061" customFormat="1" ht="22.5" customHeight="1" x14ac:dyDescent="0.3"/>
    <row r="45" s="1061" customFormat="1" ht="22.5" customHeight="1" x14ac:dyDescent="0.3"/>
    <row r="46" s="1061" customFormat="1" ht="22.5" customHeight="1" x14ac:dyDescent="0.3"/>
    <row r="47" s="1061" customFormat="1" ht="22.5" customHeight="1" x14ac:dyDescent="0.3"/>
    <row r="48" s="1061" customFormat="1" ht="22.5" customHeight="1" x14ac:dyDescent="0.3"/>
    <row r="49" s="1061" customFormat="1" ht="22.5" customHeight="1" x14ac:dyDescent="0.3"/>
    <row r="50" s="1061" customFormat="1" ht="22.5" customHeight="1" x14ac:dyDescent="0.3"/>
    <row r="51" s="1061" customFormat="1" ht="22.5" customHeight="1" x14ac:dyDescent="0.3"/>
    <row r="52" s="1061" customFormat="1" ht="22.5" customHeight="1" x14ac:dyDescent="0.3"/>
    <row r="53" s="1061" customFormat="1" ht="22.5" customHeight="1" x14ac:dyDescent="0.3"/>
    <row r="54" s="1061" customFormat="1" ht="22.5" customHeight="1" x14ac:dyDescent="0.3"/>
    <row r="55" s="1061" customFormat="1" ht="22.5" customHeight="1" x14ac:dyDescent="0.3"/>
    <row r="56" s="1061" customFormat="1" ht="22.5" customHeight="1" x14ac:dyDescent="0.3"/>
    <row r="57" s="1061" customFormat="1" ht="22.5" customHeight="1" x14ac:dyDescent="0.3"/>
    <row r="58" s="1061" customFormat="1" ht="22.5" customHeight="1" x14ac:dyDescent="0.3"/>
    <row r="59" s="1061" customFormat="1" ht="22.5" customHeight="1" x14ac:dyDescent="0.3"/>
    <row r="60" s="1061" customFormat="1" ht="22.5" customHeight="1" x14ac:dyDescent="0.3"/>
    <row r="61" s="1061" customFormat="1" ht="22.5" customHeight="1" x14ac:dyDescent="0.3"/>
    <row r="62" s="1061" customFormat="1" ht="22.5" customHeight="1" x14ac:dyDescent="0.3"/>
    <row r="63" s="1061" customFormat="1" ht="22.5" customHeight="1" x14ac:dyDescent="0.3"/>
    <row r="64" s="1061" customFormat="1" ht="22.5" customHeight="1" x14ac:dyDescent="0.3"/>
    <row r="65" s="1061" customFormat="1" ht="22.5" customHeight="1" x14ac:dyDescent="0.3"/>
    <row r="66" s="1061" customFormat="1" ht="22.5" customHeight="1" x14ac:dyDescent="0.3"/>
    <row r="67" s="1061" customFormat="1" ht="22.5" customHeight="1" x14ac:dyDescent="0.3"/>
    <row r="68" s="1061" customFormat="1" ht="22.5" customHeight="1" x14ac:dyDescent="0.3"/>
    <row r="69" s="1061" customFormat="1" ht="22.5" customHeight="1" x14ac:dyDescent="0.3"/>
    <row r="70" s="1061" customFormat="1" ht="22.5" customHeight="1" x14ac:dyDescent="0.3"/>
    <row r="71" s="1061" customFormat="1" ht="22.5" customHeight="1" x14ac:dyDescent="0.3"/>
    <row r="72" s="1061" customFormat="1" ht="22.5" customHeight="1" x14ac:dyDescent="0.3"/>
    <row r="73" s="1061" customFormat="1" ht="22.5" customHeight="1" x14ac:dyDescent="0.3"/>
    <row r="74" s="1061" customFormat="1" ht="22.5" customHeight="1" x14ac:dyDescent="0.3"/>
    <row r="75" s="1061" customFormat="1" ht="22.5" customHeight="1" x14ac:dyDescent="0.3"/>
    <row r="76" s="1061" customFormat="1" ht="22.5" customHeight="1" x14ac:dyDescent="0.3"/>
    <row r="77" s="1061" customFormat="1" ht="22.5" customHeight="1" x14ac:dyDescent="0.3"/>
    <row r="78" s="1061" customFormat="1" ht="22.5" customHeight="1" x14ac:dyDescent="0.3"/>
    <row r="79" s="1061" customFormat="1" ht="22.5" customHeight="1" x14ac:dyDescent="0.3"/>
    <row r="80" s="1061" customFormat="1" ht="22.5" customHeight="1" x14ac:dyDescent="0.3"/>
    <row r="81" s="1061" customFormat="1" ht="22.5" customHeight="1" x14ac:dyDescent="0.3"/>
    <row r="82" s="1061" customFormat="1" ht="22.5" customHeight="1" x14ac:dyDescent="0.3"/>
    <row r="83" s="1061" customFormat="1" ht="22.5" customHeight="1" x14ac:dyDescent="0.3"/>
    <row r="84" s="1061" customFormat="1" ht="22.5" customHeight="1" x14ac:dyDescent="0.3"/>
    <row r="85" s="1061" customFormat="1" ht="22.5" customHeight="1" x14ac:dyDescent="0.3"/>
    <row r="86" s="1061" customFormat="1" ht="22.5" customHeight="1" x14ac:dyDescent="0.3"/>
    <row r="87" s="1061" customFormat="1" ht="22.5" customHeight="1" x14ac:dyDescent="0.3"/>
    <row r="88" s="1061" customFormat="1" ht="22.5" customHeight="1" x14ac:dyDescent="0.3"/>
    <row r="89" s="1061" customFormat="1" ht="22.5" customHeight="1" x14ac:dyDescent="0.3"/>
    <row r="90" s="1061" customFormat="1" ht="22.5" customHeight="1" x14ac:dyDescent="0.3"/>
    <row r="91" s="1061" customFormat="1" ht="22.5" customHeight="1" x14ac:dyDescent="0.3"/>
    <row r="92" s="1061" customFormat="1" ht="22.5" customHeight="1" x14ac:dyDescent="0.3"/>
    <row r="93" s="1061" customFormat="1" ht="22.5" customHeight="1" x14ac:dyDescent="0.3"/>
    <row r="94" s="1061" customFormat="1" ht="22.5" customHeight="1" x14ac:dyDescent="0.3"/>
    <row r="95" s="1061" customFormat="1" ht="22.5" customHeight="1" x14ac:dyDescent="0.3"/>
    <row r="96" s="1061" customFormat="1" ht="22.5" customHeight="1" x14ac:dyDescent="0.3"/>
    <row r="97" s="1061" customFormat="1" ht="22.5" customHeight="1" x14ac:dyDescent="0.3"/>
    <row r="98" s="1061" customFormat="1" ht="22.5" customHeight="1" x14ac:dyDescent="0.3"/>
    <row r="99" s="1061" customFormat="1" ht="22.5" customHeight="1" x14ac:dyDescent="0.3"/>
    <row r="100" s="1061" customFormat="1" ht="22.5" customHeight="1" x14ac:dyDescent="0.3"/>
    <row r="101" s="1061" customFormat="1" ht="22.5" customHeight="1" x14ac:dyDescent="0.3"/>
    <row r="102" s="1061" customFormat="1" ht="22.5" customHeight="1" x14ac:dyDescent="0.3"/>
    <row r="103" s="1061" customFormat="1" ht="22.5" customHeight="1" x14ac:dyDescent="0.3"/>
    <row r="104" s="1061" customFormat="1" ht="22.5" customHeight="1" x14ac:dyDescent="0.3"/>
    <row r="105" s="1061" customFormat="1" ht="22.5" customHeight="1" x14ac:dyDescent="0.3"/>
    <row r="106" s="1061" customFormat="1" ht="22.5" customHeight="1" x14ac:dyDescent="0.3"/>
    <row r="107" s="1061" customFormat="1" ht="22.5" customHeight="1" x14ac:dyDescent="0.3"/>
    <row r="108" s="1061" customFormat="1" ht="22.5" customHeight="1" x14ac:dyDescent="0.3"/>
    <row r="109" s="1061" customFormat="1" ht="22.5" customHeight="1" x14ac:dyDescent="0.3"/>
    <row r="110" s="1061" customFormat="1" ht="22.5" customHeight="1" x14ac:dyDescent="0.3"/>
    <row r="111" s="1061" customFormat="1" ht="22.5" customHeight="1" x14ac:dyDescent="0.3"/>
    <row r="112" s="1061" customFormat="1" ht="22.5" customHeight="1" x14ac:dyDescent="0.3"/>
    <row r="113" s="1061" customFormat="1" ht="22.5" customHeight="1" x14ac:dyDescent="0.3"/>
    <row r="114" s="1061" customFormat="1" ht="22.5" customHeight="1" x14ac:dyDescent="0.3"/>
    <row r="115" s="1061" customFormat="1" ht="22.5" customHeight="1" x14ac:dyDescent="0.3"/>
    <row r="116" s="1061" customFormat="1" ht="22.5" customHeight="1" x14ac:dyDescent="0.3"/>
    <row r="117" s="1061" customFormat="1" ht="22.5" customHeight="1" x14ac:dyDescent="0.3"/>
    <row r="118" s="1061" customFormat="1" ht="22.5" customHeight="1" x14ac:dyDescent="0.3"/>
    <row r="119" s="1061" customFormat="1" ht="22.5" customHeight="1" x14ac:dyDescent="0.3"/>
    <row r="120" s="1061" customFormat="1" ht="22.5" customHeight="1" x14ac:dyDescent="0.3"/>
    <row r="121" s="1061" customFormat="1" ht="22.5" customHeight="1" x14ac:dyDescent="0.3"/>
    <row r="122" s="1061" customFormat="1" ht="22.5" customHeight="1" x14ac:dyDescent="0.3"/>
    <row r="123" s="1061" customFormat="1" ht="22.5" customHeight="1" x14ac:dyDescent="0.3"/>
    <row r="124" s="1061" customFormat="1" ht="22.5" customHeight="1" x14ac:dyDescent="0.3"/>
    <row r="125" s="1061" customFormat="1" ht="22.5" customHeight="1" x14ac:dyDescent="0.3"/>
    <row r="126" s="1061" customFormat="1" ht="22.5" customHeight="1" x14ac:dyDescent="0.3"/>
    <row r="127" s="1061" customFormat="1" ht="22.5" customHeight="1" x14ac:dyDescent="0.3"/>
    <row r="128" s="1061" customFormat="1" ht="22.5" customHeight="1" x14ac:dyDescent="0.3"/>
    <row r="129" s="1061" customFormat="1" ht="22.5" customHeight="1" x14ac:dyDescent="0.3"/>
    <row r="130" s="1061" customFormat="1" ht="22.5" customHeight="1" x14ac:dyDescent="0.3"/>
    <row r="131" s="1061" customFormat="1" ht="22.5" customHeight="1" x14ac:dyDescent="0.3"/>
    <row r="132" s="1061" customFormat="1" ht="22.5" customHeight="1" x14ac:dyDescent="0.3"/>
    <row r="133" s="1061" customFormat="1" ht="22.5" customHeight="1" x14ac:dyDescent="0.3"/>
    <row r="134" s="1061" customFormat="1" ht="22.5" customHeight="1" x14ac:dyDescent="0.3"/>
    <row r="135" s="1061" customFormat="1" ht="22.5" customHeight="1" x14ac:dyDescent="0.3"/>
    <row r="136" s="1061" customFormat="1" ht="22.5" customHeight="1" x14ac:dyDescent="0.3"/>
    <row r="137" s="1061" customFormat="1" ht="22.5" customHeight="1" x14ac:dyDescent="0.3"/>
    <row r="138" s="1061" customFormat="1" ht="22.5" customHeight="1" x14ac:dyDescent="0.3"/>
    <row r="139" s="1061" customFormat="1" ht="22.5" customHeight="1" x14ac:dyDescent="0.3"/>
    <row r="140" s="1061" customFormat="1" ht="22.5" customHeight="1" x14ac:dyDescent="0.3"/>
    <row r="141" s="1061" customFormat="1" ht="22.5" customHeight="1" x14ac:dyDescent="0.3"/>
    <row r="142" s="1061" customFormat="1" ht="22.5" customHeight="1" x14ac:dyDescent="0.3"/>
    <row r="143" s="1061" customFormat="1" ht="22.5" customHeight="1" x14ac:dyDescent="0.3"/>
    <row r="144" s="1061" customFormat="1" ht="22.5" customHeight="1" x14ac:dyDescent="0.3"/>
    <row r="145" s="1061" customFormat="1" ht="22.5" customHeight="1" x14ac:dyDescent="0.3"/>
    <row r="146" s="1061" customFormat="1" ht="22.5" customHeight="1" x14ac:dyDescent="0.3"/>
    <row r="147" s="1061" customFormat="1" ht="22.5" customHeight="1" x14ac:dyDescent="0.3"/>
    <row r="148" s="1061" customFormat="1" ht="22.5" customHeight="1" x14ac:dyDescent="0.3"/>
    <row r="149" s="1061" customFormat="1" ht="22.5" customHeight="1" x14ac:dyDescent="0.3"/>
    <row r="150" s="1061" customFormat="1" ht="22.5" customHeight="1" x14ac:dyDescent="0.3"/>
    <row r="151" s="1061" customFormat="1" ht="22.5" customHeight="1" x14ac:dyDescent="0.3"/>
    <row r="152" s="1061" customFormat="1" ht="22.5" customHeight="1" x14ac:dyDescent="0.3"/>
    <row r="153" s="1061" customFormat="1" ht="22.5" customHeight="1" x14ac:dyDescent="0.3"/>
    <row r="154" s="1061" customFormat="1" ht="22.5" customHeight="1" x14ac:dyDescent="0.3"/>
    <row r="155" s="1061" customFormat="1" ht="22.5" customHeight="1" x14ac:dyDescent="0.3"/>
    <row r="156" s="1061" customFormat="1" ht="22.5" customHeight="1" x14ac:dyDescent="0.3"/>
    <row r="157" s="1061" customFormat="1" ht="22.5" customHeight="1" x14ac:dyDescent="0.3"/>
    <row r="158" s="1061" customFormat="1" ht="22.5" customHeight="1" x14ac:dyDescent="0.3"/>
    <row r="159" s="1061" customFormat="1" ht="22.5" customHeight="1" x14ac:dyDescent="0.3"/>
    <row r="160" s="1061" customFormat="1" ht="22.5" customHeight="1" x14ac:dyDescent="0.3"/>
    <row r="161" s="1061" customFormat="1" ht="22.5" customHeight="1" x14ac:dyDescent="0.3"/>
    <row r="162" s="1061" customFormat="1" ht="22.5" customHeight="1" x14ac:dyDescent="0.3"/>
    <row r="163" s="1061" customFormat="1" ht="22.5" customHeight="1" x14ac:dyDescent="0.3"/>
    <row r="164" s="1061" customFormat="1" ht="22.5" customHeight="1" x14ac:dyDescent="0.3"/>
  </sheetData>
  <sheetProtection algorithmName="SHA-512" hashValue="GisAJ2XaTBF6att/P7GVqzzU6hRf0rWBl0UAvg4L+szYnQ5kenaBL8fmFxeBWuSix10IlTmaJLDu483vk4H7EA==" saltValue="N0ezg7wD9hE679HCMN1GnQ==" spinCount="100000" sheet="1" objects="1" scenarios="1" selectLockedCells="1"/>
  <protectedRanges>
    <protectedRange sqref="E5" name="Range1"/>
    <protectedRange sqref="E2:F2" name="Range2"/>
  </protectedRanges>
  <mergeCells count="31">
    <mergeCell ref="E1:F1"/>
    <mergeCell ref="D16:U16"/>
    <mergeCell ref="D17:L17"/>
    <mergeCell ref="M17:T17"/>
    <mergeCell ref="E25:P25"/>
    <mergeCell ref="E4:J4"/>
    <mergeCell ref="H3:J3"/>
    <mergeCell ref="E3:G3"/>
    <mergeCell ref="F5:J5"/>
    <mergeCell ref="F6:G6"/>
    <mergeCell ref="I6:J6"/>
    <mergeCell ref="E26:P26"/>
    <mergeCell ref="E27:P27"/>
    <mergeCell ref="E24:Q24"/>
    <mergeCell ref="F11:G11"/>
    <mergeCell ref="F12:G12"/>
    <mergeCell ref="B18:C18"/>
    <mergeCell ref="I12:J12"/>
    <mergeCell ref="I13:J13"/>
    <mergeCell ref="I14:J14"/>
    <mergeCell ref="I7:J7"/>
    <mergeCell ref="I8:J8"/>
    <mergeCell ref="I9:J9"/>
    <mergeCell ref="I10:J10"/>
    <mergeCell ref="I11:J11"/>
    <mergeCell ref="F7:G7"/>
    <mergeCell ref="F13:G13"/>
    <mergeCell ref="F14:G14"/>
    <mergeCell ref="F8:G8"/>
    <mergeCell ref="F9:G9"/>
    <mergeCell ref="F10:G10"/>
  </mergeCells>
  <conditionalFormatting sqref="F6:G14">
    <cfRule type="cellIs" dxfId="141" priority="7" operator="equal">
      <formula>0</formula>
    </cfRule>
    <cfRule type="cellIs" dxfId="140" priority="8" operator="lessThan">
      <formula>0</formula>
    </cfRule>
  </conditionalFormatting>
  <conditionalFormatting sqref="I6:J14">
    <cfRule type="cellIs" dxfId="139" priority="2" operator="lessThan">
      <formula>0</formula>
    </cfRule>
    <cfRule type="cellIs" dxfId="138" priority="3" operator="lessThan">
      <formula>0</formula>
    </cfRule>
  </conditionalFormatting>
  <conditionalFormatting sqref="I6:J14">
    <cfRule type="cellIs" dxfId="137" priority="1" operator="equal">
      <formula>0</formula>
    </cfRule>
  </conditionalFormatting>
  <dataValidations count="2">
    <dataValidation type="list" allowBlank="1" showInputMessage="1" showErrorMessage="1" sqref="E2">
      <formula1>"2019,2020,2021,2022"</formula1>
    </dataValidation>
    <dataValidation type="list" allowBlank="1" showInputMessage="1" showErrorMessage="1" sqref="F2">
      <formula1>"2020,2021,2022,2023"</formula1>
    </dataValidation>
  </dataValidations>
  <hyperlinks>
    <hyperlink ref="M17" r:id="rId1" display="popatraochougule4@gmail.com"/>
    <hyperlink ref="D17" r:id="rId2" display="https://popatraochougule.blogspot.com"/>
  </hyperlinks>
  <pageMargins left="0.7" right="0.7" top="0.75" bottom="0.75" header="0.3" footer="0.3"/>
  <pageSetup paperSize="5" scale="63" orientation="landscape" r:id="rId3"/>
  <rowBreaks count="1" manualBreakCount="1">
    <brk id="28" max="16383" man="1"/>
  </rowBreaks>
  <colBreaks count="1" manualBreakCount="1">
    <brk id="28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'शाळा माहिती'!$C$17:$C$19</xm:f>
          </x14:formula1>
          <xm:sqref>E5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00FF"/>
  </sheetPr>
  <dimension ref="A1:BV545"/>
  <sheetViews>
    <sheetView showRowColHeaders="0" zoomScale="90" zoomScaleNormal="90" workbookViewId="0">
      <pane xSplit="4" ySplit="8" topLeftCell="E9" activePane="bottomRight" state="frozen"/>
      <selection activeCell="D5" sqref="D5:J5"/>
      <selection pane="topRight" activeCell="D5" sqref="D5:J5"/>
      <selection pane="bottomLeft" activeCell="D5" sqref="D5:J5"/>
      <selection pane="bottomRight" activeCell="D5" sqref="D5:J5"/>
    </sheetView>
  </sheetViews>
  <sheetFormatPr defaultColWidth="12.42578125" defaultRowHeight="27.75" customHeight="1" x14ac:dyDescent="0.4"/>
  <cols>
    <col min="1" max="1" width="7.85546875" style="1" customWidth="1"/>
    <col min="2" max="2" width="13.7109375" style="21" customWidth="1"/>
    <col min="3" max="3" width="18.42578125" style="388" customWidth="1"/>
    <col min="4" max="4" width="13.42578125" style="21" customWidth="1"/>
    <col min="5" max="5" width="9" style="21" customWidth="1"/>
    <col min="6" max="6" width="11.140625" style="21" customWidth="1"/>
    <col min="7" max="7" width="11.5703125" style="21" customWidth="1"/>
    <col min="8" max="8" width="13.85546875" style="21" customWidth="1"/>
    <col min="9" max="9" width="15" style="21" customWidth="1"/>
    <col min="10" max="10" width="9.7109375" style="21" customWidth="1"/>
    <col min="11" max="11" width="11.28515625" style="21" customWidth="1"/>
    <col min="12" max="12" width="11" style="21" customWidth="1"/>
    <col min="13" max="13" width="13.42578125" style="21" customWidth="1"/>
    <col min="14" max="14" width="14.5703125" style="21" customWidth="1"/>
    <col min="15" max="15" width="41.28515625" style="21" customWidth="1"/>
    <col min="16" max="16" width="20.42578125" style="21" customWidth="1"/>
    <col min="17" max="17" width="0.28515625" style="21" hidden="1" customWidth="1"/>
    <col min="18" max="18" width="15.7109375" style="21" hidden="1" customWidth="1"/>
    <col min="19" max="19" width="12.42578125" style="21" hidden="1" customWidth="1"/>
    <col min="20" max="20" width="0.42578125" style="21" hidden="1" customWidth="1"/>
    <col min="21" max="21" width="0.28515625" style="21" hidden="1" customWidth="1"/>
    <col min="22" max="22" width="12.42578125" style="21" hidden="1" customWidth="1"/>
    <col min="23" max="24" width="12.42578125" style="1" hidden="1" customWidth="1"/>
    <col min="25" max="25" width="0.140625" style="1" hidden="1" customWidth="1"/>
    <col min="26" max="26" width="2.28515625" style="1" hidden="1" customWidth="1"/>
    <col min="27" max="31" width="12.42578125" style="1" hidden="1" customWidth="1"/>
    <col min="32" max="32" width="1.85546875" style="1" hidden="1" customWidth="1"/>
    <col min="33" max="38" width="12.42578125" style="1" hidden="1" customWidth="1"/>
    <col min="39" max="39" width="7.42578125" style="1" hidden="1" customWidth="1"/>
    <col min="40" max="46" width="12.42578125" style="1" hidden="1" customWidth="1"/>
    <col min="47" max="47" width="12.42578125" style="1"/>
    <col min="48" max="48" width="11.5703125" style="1" customWidth="1"/>
    <col min="49" max="53" width="12.42578125" style="1"/>
    <col min="54" max="54" width="11" style="1" hidden="1" customWidth="1"/>
    <col min="55" max="55" width="5.85546875" style="380" hidden="1" customWidth="1"/>
    <col min="56" max="56" width="13.7109375" style="380" hidden="1" customWidth="1"/>
    <col min="57" max="57" width="16.85546875" style="380" hidden="1" customWidth="1"/>
    <col min="58" max="58" width="15.140625" style="380" hidden="1" customWidth="1"/>
    <col min="59" max="59" width="11.140625" style="380" hidden="1" customWidth="1"/>
    <col min="60" max="60" width="12.28515625" style="380" hidden="1" customWidth="1"/>
    <col min="61" max="61" width="9.140625" style="380" hidden="1" customWidth="1"/>
    <col min="62" max="62" width="8.7109375" style="380" hidden="1" customWidth="1"/>
    <col min="63" max="63" width="9.28515625" style="380" hidden="1" customWidth="1"/>
    <col min="64" max="64" width="11.7109375" style="380" hidden="1" customWidth="1"/>
    <col min="65" max="65" width="8.42578125" style="380" hidden="1" customWidth="1"/>
    <col min="66" max="66" width="13" style="380" hidden="1" customWidth="1"/>
    <col min="67" max="67" width="11.28515625" style="380" hidden="1" customWidth="1"/>
    <col min="68" max="68" width="15.28515625" style="380" hidden="1" customWidth="1"/>
    <col min="69" max="69" width="5.85546875" style="380" hidden="1" customWidth="1"/>
    <col min="70" max="70" width="9.85546875" style="380" hidden="1" customWidth="1"/>
    <col min="71" max="71" width="10.5703125" style="380" hidden="1" customWidth="1"/>
    <col min="72" max="72" width="1.42578125" style="380" hidden="1" customWidth="1"/>
    <col min="73" max="73" width="9.5703125" style="380" hidden="1" customWidth="1"/>
    <col min="74" max="74" width="8.5703125" style="1" hidden="1" customWidth="1"/>
    <col min="75" max="76" width="0" style="1" hidden="1" customWidth="1"/>
    <col min="77" max="16384" width="12.42578125" style="1"/>
  </cols>
  <sheetData>
    <row r="1" spans="1:70" ht="15" customHeight="1" x14ac:dyDescent="0.4"/>
    <row r="2" spans="1:70" ht="29.25" customHeight="1" x14ac:dyDescent="0.4"/>
    <row r="3" spans="1:70" ht="13.5" customHeight="1" thickBot="1" x14ac:dyDescent="0.45"/>
    <row r="4" spans="1:70" ht="26.25" hidden="1" customHeight="1" thickBot="1" x14ac:dyDescent="0.45"/>
    <row r="5" spans="1:70" ht="0.75" hidden="1" customHeight="1" thickBot="1" x14ac:dyDescent="0.45"/>
    <row r="6" spans="1:70" ht="27.75" customHeight="1" thickBot="1" x14ac:dyDescent="0.45">
      <c r="A6" s="1549" t="str">
        <f>'शाळा माहिती'!$D$4</f>
        <v>जि.प.प्रा.शा.बोरजाई वस्ती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838" t="s">
        <v>36</v>
      </c>
      <c r="N6" s="839">
        <f>HOME!E2</f>
        <v>2022</v>
      </c>
      <c r="O6" s="840">
        <f>HOME!F2</f>
        <v>2023</v>
      </c>
      <c r="P6" s="171"/>
      <c r="Q6" s="170"/>
      <c r="R6" s="389"/>
      <c r="S6" s="389"/>
      <c r="T6" s="389"/>
      <c r="U6" s="1"/>
      <c r="V6" s="1"/>
      <c r="BJ6" s="380" t="s">
        <v>232</v>
      </c>
    </row>
    <row r="7" spans="1:70" ht="24.75" customHeight="1" x14ac:dyDescent="0.4">
      <c r="A7" s="1552" t="s">
        <v>86</v>
      </c>
      <c r="B7" s="1556"/>
      <c r="C7" s="1557"/>
      <c r="D7" s="1558"/>
      <c r="E7" s="1553" t="s">
        <v>31</v>
      </c>
      <c r="F7" s="1554"/>
      <c r="G7" s="1554"/>
      <c r="H7" s="1554"/>
      <c r="I7" s="1555"/>
      <c r="J7" s="1553" t="s">
        <v>30</v>
      </c>
      <c r="K7" s="1554"/>
      <c r="L7" s="1554"/>
      <c r="M7" s="1554"/>
      <c r="N7" s="1555"/>
      <c r="O7" s="1551" t="s">
        <v>420</v>
      </c>
      <c r="P7" s="1551"/>
      <c r="Q7" s="380"/>
      <c r="R7" s="380"/>
      <c r="S7" s="380"/>
      <c r="T7" s="1"/>
      <c r="U7" s="1"/>
      <c r="V7" s="1"/>
      <c r="BK7" s="380" t="s">
        <v>232</v>
      </c>
    </row>
    <row r="8" spans="1:70" ht="38.25" customHeight="1" x14ac:dyDescent="0.4">
      <c r="A8" s="1552"/>
      <c r="B8" s="1287" t="s">
        <v>106</v>
      </c>
      <c r="C8" s="1288" t="s">
        <v>17</v>
      </c>
      <c r="D8" s="1289" t="s">
        <v>18</v>
      </c>
      <c r="E8" s="831" t="s">
        <v>92</v>
      </c>
      <c r="F8" s="831" t="s">
        <v>19</v>
      </c>
      <c r="G8" s="845" t="s">
        <v>93</v>
      </c>
      <c r="H8" s="831" t="s">
        <v>32</v>
      </c>
      <c r="I8" s="836" t="s">
        <v>360</v>
      </c>
      <c r="J8" s="831" t="s">
        <v>92</v>
      </c>
      <c r="K8" s="831" t="s">
        <v>19</v>
      </c>
      <c r="L8" s="845" t="s">
        <v>93</v>
      </c>
      <c r="M8" s="831" t="s">
        <v>32</v>
      </c>
      <c r="N8" s="836" t="s">
        <v>360</v>
      </c>
      <c r="O8" s="831" t="s">
        <v>416</v>
      </c>
      <c r="P8" s="837" t="s">
        <v>417</v>
      </c>
      <c r="Q8" s="380"/>
      <c r="R8" s="1"/>
      <c r="S8" s="1"/>
      <c r="T8" s="1"/>
      <c r="U8" s="1"/>
      <c r="V8" s="1"/>
      <c r="BE8" s="38" t="s">
        <v>17</v>
      </c>
      <c r="BF8" s="390" t="s">
        <v>42</v>
      </c>
      <c r="BG8" s="390" t="s">
        <v>44</v>
      </c>
      <c r="BH8" s="390" t="s">
        <v>94</v>
      </c>
      <c r="BI8" s="390" t="s">
        <v>46</v>
      </c>
      <c r="BJ8" s="390" t="s">
        <v>34</v>
      </c>
      <c r="BK8" s="390" t="s">
        <v>37</v>
      </c>
      <c r="BL8" s="390" t="s">
        <v>47</v>
      </c>
      <c r="BM8" s="390" t="s">
        <v>38</v>
      </c>
      <c r="BN8" s="390" t="s">
        <v>39</v>
      </c>
      <c r="BO8" s="390" t="s">
        <v>33</v>
      </c>
      <c r="BP8" s="390" t="s">
        <v>40</v>
      </c>
      <c r="BQ8" s="390" t="s">
        <v>41</v>
      </c>
      <c r="BR8" s="192"/>
    </row>
    <row r="9" spans="1:70" ht="27.75" customHeight="1" x14ac:dyDescent="0.4">
      <c r="A9" s="872">
        <v>1</v>
      </c>
      <c r="B9" s="860" t="s">
        <v>42</v>
      </c>
      <c r="C9" s="841">
        <f>DATE(N6,"04","1")</f>
        <v>44652</v>
      </c>
      <c r="D9" s="842" t="str">
        <f>IF(C9="","",INDEX({"रविवार";"सोमवार";"मंगळवार";"बुधवार";"गुरूवार";"शुक्रवार";"शनिवार"},WEEKDAY(C9)))</f>
        <v>शुक्रवार</v>
      </c>
      <c r="E9" s="673">
        <v>22</v>
      </c>
      <c r="F9" s="673">
        <v>22</v>
      </c>
      <c r="G9" s="673">
        <v>22</v>
      </c>
      <c r="H9" s="673" t="s">
        <v>444</v>
      </c>
      <c r="I9" s="673" t="s">
        <v>384</v>
      </c>
      <c r="J9" s="673"/>
      <c r="K9" s="673"/>
      <c r="L9" s="673"/>
      <c r="M9" s="828"/>
      <c r="N9" s="828"/>
      <c r="O9" s="673" t="s">
        <v>777</v>
      </c>
      <c r="P9" s="673" t="s">
        <v>422</v>
      </c>
      <c r="Q9" s="1"/>
      <c r="R9" s="1"/>
      <c r="S9" s="1"/>
      <c r="T9" s="1"/>
      <c r="U9" s="1"/>
      <c r="V9" s="1"/>
      <c r="BE9" s="392">
        <v>1</v>
      </c>
      <c r="BF9" s="331">
        <f t="shared" ref="BF9:BF38" si="0">E9</f>
        <v>22</v>
      </c>
      <c r="BG9" s="331">
        <f t="shared" ref="BG9:BG40" si="1">E40</f>
        <v>0</v>
      </c>
      <c r="BH9" s="331">
        <f t="shared" ref="BH9:BH38" si="2">E72</f>
        <v>0</v>
      </c>
      <c r="BI9" s="331">
        <f t="shared" ref="BI9:BI40" si="3">E103</f>
        <v>17</v>
      </c>
      <c r="BJ9" s="331">
        <f t="shared" ref="BJ9:BJ40" si="4">E135</f>
        <v>15</v>
      </c>
      <c r="BK9" s="331">
        <f t="shared" ref="BK9:BK38" si="5">E167</f>
        <v>15</v>
      </c>
      <c r="BL9" s="331">
        <f t="shared" ref="BL9:BL40" si="6">E198</f>
        <v>22</v>
      </c>
      <c r="BM9" s="331">
        <f t="shared" ref="BM9:BM38" si="7">E230</f>
        <v>0</v>
      </c>
      <c r="BN9" s="331">
        <f t="shared" ref="BN9:BN40" si="8">E261</f>
        <v>22</v>
      </c>
      <c r="BO9" s="331">
        <f t="shared" ref="BO9:BO40" si="9">E293</f>
        <v>0</v>
      </c>
      <c r="BP9" s="331">
        <f t="shared" ref="BP9:BP37" si="10">E325</f>
        <v>0</v>
      </c>
      <c r="BQ9" s="331">
        <f t="shared" ref="BQ9:BQ40" si="11">E355</f>
        <v>0</v>
      </c>
      <c r="BR9" s="393"/>
    </row>
    <row r="10" spans="1:70" ht="27.75" customHeight="1" x14ac:dyDescent="0.4">
      <c r="A10" s="872">
        <v>2</v>
      </c>
      <c r="B10" s="860" t="s">
        <v>42</v>
      </c>
      <c r="C10" s="842">
        <f>C9+1</f>
        <v>44653</v>
      </c>
      <c r="D10" s="842" t="str">
        <f>IF(C10="","",INDEX({"रविवार";"सोमवार";"मंगळवार";"बुधवार";"गुरूवार";"शुक्रवार";"शनिवार"},WEEKDAY(C10)))</f>
        <v>शनिवार</v>
      </c>
      <c r="E10" s="673">
        <v>0</v>
      </c>
      <c r="F10" s="673">
        <v>0</v>
      </c>
      <c r="G10" s="673">
        <v>0</v>
      </c>
      <c r="H10" s="673"/>
      <c r="I10" s="673"/>
      <c r="J10" s="673"/>
      <c r="K10" s="673"/>
      <c r="L10" s="673"/>
      <c r="M10" s="828"/>
      <c r="N10" s="828"/>
      <c r="O10" s="673"/>
      <c r="P10" s="673"/>
      <c r="Q10" s="1"/>
      <c r="R10" s="1"/>
      <c r="S10" s="1"/>
      <c r="T10" s="1"/>
      <c r="U10" s="1"/>
      <c r="V10" s="1"/>
      <c r="Y10" s="394" t="s">
        <v>421</v>
      </c>
      <c r="BE10" s="392">
        <v>2</v>
      </c>
      <c r="BF10" s="331">
        <f t="shared" si="0"/>
        <v>0</v>
      </c>
      <c r="BG10" s="331">
        <f t="shared" si="1"/>
        <v>0</v>
      </c>
      <c r="BH10" s="331">
        <f t="shared" si="2"/>
        <v>0</v>
      </c>
      <c r="BI10" s="331">
        <f t="shared" si="3"/>
        <v>17</v>
      </c>
      <c r="BJ10" s="331">
        <f t="shared" si="4"/>
        <v>15</v>
      </c>
      <c r="BK10" s="331">
        <f t="shared" si="5"/>
        <v>15</v>
      </c>
      <c r="BL10" s="331">
        <f t="shared" si="6"/>
        <v>0</v>
      </c>
      <c r="BM10" s="331">
        <f t="shared" si="7"/>
        <v>0</v>
      </c>
      <c r="BN10" s="331">
        <f t="shared" si="8"/>
        <v>21</v>
      </c>
      <c r="BO10" s="331">
        <f t="shared" si="9"/>
        <v>0</v>
      </c>
      <c r="BP10" s="331">
        <f t="shared" si="10"/>
        <v>0</v>
      </c>
      <c r="BQ10" s="331">
        <f t="shared" si="11"/>
        <v>0</v>
      </c>
      <c r="BR10" s="393"/>
    </row>
    <row r="11" spans="1:70" ht="27.75" customHeight="1" x14ac:dyDescent="0.4">
      <c r="A11" s="872">
        <v>3</v>
      </c>
      <c r="B11" s="860" t="s">
        <v>42</v>
      </c>
      <c r="C11" s="842">
        <f t="shared" ref="C11:C44" si="12">C10+1</f>
        <v>44654</v>
      </c>
      <c r="D11" s="842" t="str">
        <f>IF(C11="","",INDEX({"रविवार";"सोमवार";"मंगळवार";"बुधवार";"गुरूवार";"शुक्रवार";"शनिवार"},WEEKDAY(C11)))</f>
        <v>रविवार</v>
      </c>
      <c r="E11" s="673">
        <v>0</v>
      </c>
      <c r="F11" s="673">
        <v>0</v>
      </c>
      <c r="G11" s="673">
        <v>0</v>
      </c>
      <c r="H11" s="673"/>
      <c r="I11" s="673"/>
      <c r="J11" s="673"/>
      <c r="K11" s="673"/>
      <c r="L11" s="673"/>
      <c r="M11" s="828"/>
      <c r="N11" s="828"/>
      <c r="O11" s="673"/>
      <c r="P11" s="673"/>
      <c r="Q11" s="1"/>
      <c r="R11" s="1"/>
      <c r="S11" s="1"/>
      <c r="T11" s="1"/>
      <c r="U11" s="1"/>
      <c r="V11" s="1"/>
      <c r="Y11" s="394" t="s">
        <v>422</v>
      </c>
      <c r="BE11" s="392">
        <v>3</v>
      </c>
      <c r="BF11" s="331">
        <f t="shared" si="0"/>
        <v>0</v>
      </c>
      <c r="BG11" s="331">
        <f t="shared" si="1"/>
        <v>0</v>
      </c>
      <c r="BH11" s="331">
        <f t="shared" si="2"/>
        <v>0</v>
      </c>
      <c r="BI11" s="331">
        <f t="shared" si="3"/>
        <v>0</v>
      </c>
      <c r="BJ11" s="331">
        <f t="shared" si="4"/>
        <v>15</v>
      </c>
      <c r="BK11" s="331">
        <f t="shared" si="5"/>
        <v>15</v>
      </c>
      <c r="BL11" s="331">
        <f t="shared" si="6"/>
        <v>22</v>
      </c>
      <c r="BM11" s="331">
        <f t="shared" si="7"/>
        <v>0</v>
      </c>
      <c r="BN11" s="331">
        <f t="shared" si="8"/>
        <v>21</v>
      </c>
      <c r="BO11" s="331">
        <f t="shared" si="9"/>
        <v>0</v>
      </c>
      <c r="BP11" s="331">
        <f t="shared" si="10"/>
        <v>0</v>
      </c>
      <c r="BQ11" s="331">
        <f t="shared" si="11"/>
        <v>0</v>
      </c>
      <c r="BR11" s="393"/>
    </row>
    <row r="12" spans="1:70" ht="27.75" customHeight="1" x14ac:dyDescent="0.4">
      <c r="A12" s="872">
        <v>4</v>
      </c>
      <c r="B12" s="860" t="s">
        <v>42</v>
      </c>
      <c r="C12" s="842">
        <f t="shared" si="12"/>
        <v>44655</v>
      </c>
      <c r="D12" s="842" t="str">
        <f>IF(C12="","",INDEX({"रविवार";"सोमवार";"मंगळवार";"बुधवार";"गुरूवार";"शुक्रवार";"शनिवार"},WEEKDAY(C12)))</f>
        <v>सोमवार</v>
      </c>
      <c r="E12" s="673">
        <v>22</v>
      </c>
      <c r="F12" s="673">
        <v>22</v>
      </c>
      <c r="G12" s="673">
        <v>22</v>
      </c>
      <c r="H12" s="673" t="s">
        <v>74</v>
      </c>
      <c r="I12" s="673" t="s">
        <v>359</v>
      </c>
      <c r="J12" s="673"/>
      <c r="K12" s="673"/>
      <c r="L12" s="673"/>
      <c r="M12" s="828"/>
      <c r="N12" s="828"/>
      <c r="O12" s="673" t="s">
        <v>778</v>
      </c>
      <c r="P12" s="673" t="s">
        <v>423</v>
      </c>
      <c r="Q12" s="1"/>
      <c r="R12" s="1"/>
      <c r="S12" s="1"/>
      <c r="T12" s="1"/>
      <c r="U12" s="1"/>
      <c r="V12" s="1"/>
      <c r="Y12" s="394" t="s">
        <v>423</v>
      </c>
      <c r="BE12" s="392">
        <v>4</v>
      </c>
      <c r="BF12" s="331">
        <f t="shared" si="0"/>
        <v>22</v>
      </c>
      <c r="BG12" s="331">
        <f t="shared" si="1"/>
        <v>0</v>
      </c>
      <c r="BH12" s="331">
        <f t="shared" si="2"/>
        <v>0</v>
      </c>
      <c r="BI12" s="331">
        <f t="shared" si="3"/>
        <v>17</v>
      </c>
      <c r="BJ12" s="331">
        <f t="shared" si="4"/>
        <v>15</v>
      </c>
      <c r="BK12" s="331">
        <f t="shared" si="5"/>
        <v>0</v>
      </c>
      <c r="BL12" s="331">
        <f t="shared" si="6"/>
        <v>0</v>
      </c>
      <c r="BM12" s="331">
        <f t="shared" si="7"/>
        <v>0</v>
      </c>
      <c r="BN12" s="331">
        <f t="shared" si="8"/>
        <v>0</v>
      </c>
      <c r="BO12" s="331">
        <f t="shared" si="9"/>
        <v>0</v>
      </c>
      <c r="BP12" s="331">
        <f t="shared" si="10"/>
        <v>0</v>
      </c>
      <c r="BQ12" s="331">
        <f t="shared" si="11"/>
        <v>0</v>
      </c>
      <c r="BR12" s="393"/>
    </row>
    <row r="13" spans="1:70" ht="27.75" customHeight="1" x14ac:dyDescent="0.4">
      <c r="A13" s="872">
        <v>5</v>
      </c>
      <c r="B13" s="860" t="s">
        <v>42</v>
      </c>
      <c r="C13" s="842">
        <f t="shared" si="12"/>
        <v>44656</v>
      </c>
      <c r="D13" s="842" t="str">
        <f>IF(C13="","",INDEX({"रविवार";"सोमवार";"मंगळवार";"बुधवार";"गुरूवार";"शुक्रवार";"शनिवार"},WEEKDAY(C13)))</f>
        <v>मंगळवार</v>
      </c>
      <c r="E13" s="673">
        <v>22</v>
      </c>
      <c r="F13" s="673">
        <v>22</v>
      </c>
      <c r="G13" s="673">
        <v>22</v>
      </c>
      <c r="H13" s="673" t="s">
        <v>67</v>
      </c>
      <c r="I13" s="673" t="s">
        <v>384</v>
      </c>
      <c r="J13" s="673"/>
      <c r="K13" s="673"/>
      <c r="L13" s="673"/>
      <c r="M13" s="828"/>
      <c r="N13" s="828"/>
      <c r="O13" s="673" t="s">
        <v>779</v>
      </c>
      <c r="P13" s="673" t="s">
        <v>424</v>
      </c>
      <c r="Q13" s="1"/>
      <c r="R13" s="1"/>
      <c r="S13" s="1"/>
      <c r="T13" s="1"/>
      <c r="U13" s="1"/>
      <c r="V13" s="1"/>
      <c r="Y13" s="394" t="s">
        <v>424</v>
      </c>
      <c r="BE13" s="392">
        <v>5</v>
      </c>
      <c r="BF13" s="331">
        <f t="shared" si="0"/>
        <v>22</v>
      </c>
      <c r="BG13" s="331">
        <f t="shared" si="1"/>
        <v>0</v>
      </c>
      <c r="BH13" s="331">
        <f t="shared" si="2"/>
        <v>0</v>
      </c>
      <c r="BI13" s="331">
        <f t="shared" si="3"/>
        <v>17</v>
      </c>
      <c r="BJ13" s="331">
        <f t="shared" si="4"/>
        <v>15</v>
      </c>
      <c r="BK13" s="331">
        <f t="shared" si="5"/>
        <v>15</v>
      </c>
      <c r="BL13" s="331">
        <f t="shared" si="6"/>
        <v>0</v>
      </c>
      <c r="BM13" s="331">
        <f t="shared" si="7"/>
        <v>0</v>
      </c>
      <c r="BN13" s="331">
        <f t="shared" si="8"/>
        <v>21</v>
      </c>
      <c r="BO13" s="331">
        <f t="shared" si="9"/>
        <v>0</v>
      </c>
      <c r="BP13" s="331">
        <f t="shared" si="10"/>
        <v>0</v>
      </c>
      <c r="BQ13" s="331">
        <f t="shared" si="11"/>
        <v>0</v>
      </c>
      <c r="BR13" s="393"/>
    </row>
    <row r="14" spans="1:70" ht="27.75" customHeight="1" x14ac:dyDescent="0.4">
      <c r="A14" s="872">
        <v>6</v>
      </c>
      <c r="B14" s="860" t="s">
        <v>42</v>
      </c>
      <c r="C14" s="842">
        <f t="shared" si="12"/>
        <v>44657</v>
      </c>
      <c r="D14" s="842" t="str">
        <f>IF(C14="","",INDEX({"रविवार";"सोमवार";"मंगळवार";"बुधवार";"गुरूवार";"शुक्रवार";"शनिवार"},WEEKDAY(C14)))</f>
        <v>बुधवार</v>
      </c>
      <c r="E14" s="673">
        <v>22</v>
      </c>
      <c r="F14" s="673">
        <v>22</v>
      </c>
      <c r="G14" s="673">
        <v>22</v>
      </c>
      <c r="H14" s="673" t="s">
        <v>444</v>
      </c>
      <c r="I14" s="673" t="s">
        <v>384</v>
      </c>
      <c r="J14" s="673"/>
      <c r="K14" s="673"/>
      <c r="L14" s="673"/>
      <c r="M14" s="828"/>
      <c r="N14" s="828"/>
      <c r="O14" s="673" t="s">
        <v>780</v>
      </c>
      <c r="P14" s="673" t="s">
        <v>425</v>
      </c>
      <c r="Q14" s="1"/>
      <c r="R14" s="1"/>
      <c r="S14" s="1"/>
      <c r="T14" s="1"/>
      <c r="U14" s="1"/>
      <c r="V14" s="1"/>
      <c r="Y14" s="394" t="s">
        <v>425</v>
      </c>
      <c r="BE14" s="392">
        <v>6</v>
      </c>
      <c r="BF14" s="331">
        <f t="shared" si="0"/>
        <v>22</v>
      </c>
      <c r="BG14" s="331">
        <f t="shared" si="1"/>
        <v>0</v>
      </c>
      <c r="BH14" s="331">
        <f t="shared" si="2"/>
        <v>0</v>
      </c>
      <c r="BI14" s="331">
        <f t="shared" si="3"/>
        <v>17</v>
      </c>
      <c r="BJ14" s="331">
        <f t="shared" si="4"/>
        <v>15</v>
      </c>
      <c r="BK14" s="331">
        <f t="shared" si="5"/>
        <v>15</v>
      </c>
      <c r="BL14" s="331">
        <f t="shared" si="6"/>
        <v>16</v>
      </c>
      <c r="BM14" s="331">
        <f t="shared" si="7"/>
        <v>0</v>
      </c>
      <c r="BN14" s="331">
        <f t="shared" si="8"/>
        <v>0</v>
      </c>
      <c r="BO14" s="331">
        <f t="shared" si="9"/>
        <v>0</v>
      </c>
      <c r="BP14" s="331">
        <f t="shared" si="10"/>
        <v>0</v>
      </c>
      <c r="BQ14" s="331">
        <f t="shared" si="11"/>
        <v>0</v>
      </c>
      <c r="BR14" s="393"/>
    </row>
    <row r="15" spans="1:70" ht="27.75" customHeight="1" x14ac:dyDescent="0.4">
      <c r="A15" s="872">
        <v>7</v>
      </c>
      <c r="B15" s="860" t="s">
        <v>42</v>
      </c>
      <c r="C15" s="842">
        <f t="shared" si="12"/>
        <v>44658</v>
      </c>
      <c r="D15" s="842" t="str">
        <f>IF(C15="","",INDEX({"रविवार";"सोमवार";"मंगळवार";"बुधवार";"गुरूवार";"शुक्रवार";"शनिवार"},WEEKDAY(C15)))</f>
        <v>गुरूवार</v>
      </c>
      <c r="E15" s="673">
        <v>22</v>
      </c>
      <c r="F15" s="673">
        <v>22</v>
      </c>
      <c r="G15" s="673">
        <v>22</v>
      </c>
      <c r="H15" s="673" t="s">
        <v>67</v>
      </c>
      <c r="I15" s="673" t="s">
        <v>384</v>
      </c>
      <c r="J15" s="673"/>
      <c r="K15" s="673"/>
      <c r="L15" s="673"/>
      <c r="M15" s="828"/>
      <c r="N15" s="828"/>
      <c r="O15" s="673" t="s">
        <v>777</v>
      </c>
      <c r="P15" s="673" t="s">
        <v>422</v>
      </c>
      <c r="Q15" s="1"/>
      <c r="R15" s="1"/>
      <c r="S15" s="1"/>
      <c r="T15" s="1"/>
      <c r="U15" s="1"/>
      <c r="V15" s="1"/>
      <c r="Y15" s="395"/>
      <c r="BE15" s="392">
        <v>7</v>
      </c>
      <c r="BF15" s="331">
        <f t="shared" si="0"/>
        <v>22</v>
      </c>
      <c r="BG15" s="331">
        <f t="shared" si="1"/>
        <v>0</v>
      </c>
      <c r="BH15" s="331">
        <f t="shared" si="2"/>
        <v>0</v>
      </c>
      <c r="BI15" s="331">
        <f t="shared" si="3"/>
        <v>17</v>
      </c>
      <c r="BJ15" s="331">
        <f t="shared" si="4"/>
        <v>0</v>
      </c>
      <c r="BK15" s="331">
        <f t="shared" si="5"/>
        <v>15</v>
      </c>
      <c r="BL15" s="331">
        <f t="shared" si="6"/>
        <v>22</v>
      </c>
      <c r="BM15" s="331">
        <f t="shared" si="7"/>
        <v>0</v>
      </c>
      <c r="BN15" s="331">
        <f t="shared" si="8"/>
        <v>21</v>
      </c>
      <c r="BO15" s="331">
        <f t="shared" si="9"/>
        <v>0</v>
      </c>
      <c r="BP15" s="331">
        <f t="shared" si="10"/>
        <v>0</v>
      </c>
      <c r="BQ15" s="331">
        <f t="shared" si="11"/>
        <v>0</v>
      </c>
      <c r="BR15" s="393"/>
    </row>
    <row r="16" spans="1:70" ht="27.75" customHeight="1" x14ac:dyDescent="0.4">
      <c r="A16" s="872">
        <v>8</v>
      </c>
      <c r="B16" s="860" t="s">
        <v>42</v>
      </c>
      <c r="C16" s="842">
        <f t="shared" si="12"/>
        <v>44659</v>
      </c>
      <c r="D16" s="842" t="str">
        <f>IF(C16="","",INDEX({"रविवार";"सोमवार";"मंगळवार";"बुधवार";"गुरूवार";"शुक्रवार";"शनिवार"},WEEKDAY(C16)))</f>
        <v>शुक्रवार</v>
      </c>
      <c r="E16" s="673">
        <v>22</v>
      </c>
      <c r="F16" s="673">
        <v>22</v>
      </c>
      <c r="G16" s="673">
        <v>22</v>
      </c>
      <c r="H16" s="673" t="s">
        <v>444</v>
      </c>
      <c r="I16" s="673" t="s">
        <v>384</v>
      </c>
      <c r="J16" s="673"/>
      <c r="K16" s="673"/>
      <c r="L16" s="673"/>
      <c r="M16" s="828"/>
      <c r="N16" s="828"/>
      <c r="O16" s="673" t="s">
        <v>778</v>
      </c>
      <c r="P16" s="673" t="s">
        <v>423</v>
      </c>
      <c r="Q16" s="1"/>
      <c r="R16" s="1"/>
      <c r="S16" s="1"/>
      <c r="T16" s="1"/>
      <c r="U16" s="1"/>
      <c r="V16" s="1"/>
      <c r="BE16" s="392">
        <v>8</v>
      </c>
      <c r="BF16" s="331">
        <f t="shared" si="0"/>
        <v>22</v>
      </c>
      <c r="BG16" s="331">
        <f t="shared" si="1"/>
        <v>0</v>
      </c>
      <c r="BH16" s="331">
        <f t="shared" si="2"/>
        <v>0</v>
      </c>
      <c r="BI16" s="331">
        <f t="shared" si="3"/>
        <v>17</v>
      </c>
      <c r="BJ16" s="331">
        <f t="shared" si="4"/>
        <v>15</v>
      </c>
      <c r="BK16" s="331">
        <f t="shared" si="5"/>
        <v>15</v>
      </c>
      <c r="BL16" s="331">
        <f t="shared" si="6"/>
        <v>22</v>
      </c>
      <c r="BM16" s="331">
        <f t="shared" si="7"/>
        <v>0</v>
      </c>
      <c r="BN16" s="331">
        <f t="shared" si="8"/>
        <v>21</v>
      </c>
      <c r="BO16" s="331">
        <f t="shared" si="9"/>
        <v>0</v>
      </c>
      <c r="BP16" s="331">
        <f t="shared" si="10"/>
        <v>0</v>
      </c>
      <c r="BQ16" s="331">
        <f t="shared" si="11"/>
        <v>0</v>
      </c>
      <c r="BR16" s="393"/>
    </row>
    <row r="17" spans="1:70" ht="27.75" customHeight="1" x14ac:dyDescent="0.4">
      <c r="A17" s="872">
        <v>9</v>
      </c>
      <c r="B17" s="860" t="s">
        <v>42</v>
      </c>
      <c r="C17" s="842">
        <f t="shared" si="12"/>
        <v>44660</v>
      </c>
      <c r="D17" s="842" t="str">
        <f>IF(C17="","",INDEX({"रविवार";"सोमवार";"मंगळवार";"बुधवार";"गुरूवार";"शुक्रवार";"शनिवार"},WEEKDAY(C17)))</f>
        <v>शनिवार</v>
      </c>
      <c r="E17" s="673">
        <v>22</v>
      </c>
      <c r="F17" s="673">
        <v>22</v>
      </c>
      <c r="G17" s="673">
        <v>22</v>
      </c>
      <c r="H17" s="673" t="s">
        <v>74</v>
      </c>
      <c r="I17" s="673" t="s">
        <v>359</v>
      </c>
      <c r="J17" s="673"/>
      <c r="K17" s="673"/>
      <c r="L17" s="673"/>
      <c r="M17" s="828"/>
      <c r="N17" s="828"/>
      <c r="O17" s="673" t="s">
        <v>781</v>
      </c>
      <c r="P17" s="673" t="s">
        <v>424</v>
      </c>
      <c r="Q17" s="1"/>
      <c r="R17" s="1"/>
      <c r="S17" s="1"/>
      <c r="T17" s="1"/>
      <c r="U17" s="1"/>
      <c r="V17" s="1"/>
      <c r="BE17" s="392">
        <v>9</v>
      </c>
      <c r="BF17" s="331">
        <f t="shared" si="0"/>
        <v>22</v>
      </c>
      <c r="BG17" s="331">
        <f t="shared" si="1"/>
        <v>0</v>
      </c>
      <c r="BH17" s="331">
        <f t="shared" si="2"/>
        <v>0</v>
      </c>
      <c r="BI17" s="331">
        <f t="shared" si="3"/>
        <v>17</v>
      </c>
      <c r="BJ17" s="331">
        <f t="shared" si="4"/>
        <v>0</v>
      </c>
      <c r="BK17" s="331">
        <f t="shared" si="5"/>
        <v>0</v>
      </c>
      <c r="BL17" s="331">
        <f t="shared" si="6"/>
        <v>0</v>
      </c>
      <c r="BM17" s="331">
        <f t="shared" si="7"/>
        <v>22</v>
      </c>
      <c r="BN17" s="331">
        <f t="shared" si="8"/>
        <v>21</v>
      </c>
      <c r="BO17" s="331">
        <f t="shared" si="9"/>
        <v>0</v>
      </c>
      <c r="BP17" s="331">
        <f t="shared" si="10"/>
        <v>0</v>
      </c>
      <c r="BQ17" s="331">
        <f t="shared" si="11"/>
        <v>0</v>
      </c>
      <c r="BR17" s="393"/>
    </row>
    <row r="18" spans="1:70" ht="27.75" customHeight="1" x14ac:dyDescent="0.4">
      <c r="A18" s="872">
        <v>10</v>
      </c>
      <c r="B18" s="860" t="s">
        <v>42</v>
      </c>
      <c r="C18" s="842">
        <f t="shared" si="12"/>
        <v>44661</v>
      </c>
      <c r="D18" s="842" t="str">
        <f>IF(C18="","",INDEX({"रविवार";"सोमवार";"मंगळवार";"बुधवार";"गुरूवार";"शुक्रवार";"शनिवार"},WEEKDAY(C18)))</f>
        <v>रविवार</v>
      </c>
      <c r="E18" s="673">
        <v>0</v>
      </c>
      <c r="F18" s="673">
        <v>0</v>
      </c>
      <c r="G18" s="673">
        <v>0</v>
      </c>
      <c r="H18" s="673"/>
      <c r="I18" s="673"/>
      <c r="J18" s="673"/>
      <c r="K18" s="673"/>
      <c r="L18" s="673"/>
      <c r="M18" s="828"/>
      <c r="N18" s="828"/>
      <c r="O18" s="673"/>
      <c r="P18" s="673"/>
      <c r="Q18" s="1"/>
      <c r="R18" s="1"/>
      <c r="S18" s="1"/>
      <c r="T18" s="1"/>
      <c r="U18" s="1"/>
      <c r="V18" s="1"/>
      <c r="BE18" s="392">
        <v>10</v>
      </c>
      <c r="BF18" s="331">
        <f t="shared" si="0"/>
        <v>0</v>
      </c>
      <c r="BG18" s="331">
        <f t="shared" si="1"/>
        <v>0</v>
      </c>
      <c r="BH18" s="331">
        <f t="shared" si="2"/>
        <v>0</v>
      </c>
      <c r="BI18" s="331">
        <f t="shared" si="3"/>
        <v>0</v>
      </c>
      <c r="BJ18" s="331">
        <f t="shared" si="4"/>
        <v>15</v>
      </c>
      <c r="BK18" s="331">
        <f t="shared" si="5"/>
        <v>15</v>
      </c>
      <c r="BL18" s="331">
        <f t="shared" si="6"/>
        <v>22</v>
      </c>
      <c r="BM18" s="331">
        <f t="shared" si="7"/>
        <v>22</v>
      </c>
      <c r="BN18" s="331">
        <f t="shared" si="8"/>
        <v>21</v>
      </c>
      <c r="BO18" s="331">
        <f t="shared" si="9"/>
        <v>0</v>
      </c>
      <c r="BP18" s="331">
        <f t="shared" si="10"/>
        <v>0</v>
      </c>
      <c r="BQ18" s="331">
        <f t="shared" si="11"/>
        <v>0</v>
      </c>
      <c r="BR18" s="393"/>
    </row>
    <row r="19" spans="1:70" ht="27.75" customHeight="1" x14ac:dyDescent="0.4">
      <c r="A19" s="872">
        <v>11</v>
      </c>
      <c r="B19" s="860" t="s">
        <v>42</v>
      </c>
      <c r="C19" s="842">
        <f t="shared" si="12"/>
        <v>44662</v>
      </c>
      <c r="D19" s="842" t="str">
        <f>IF(C19="","",INDEX({"रविवार";"सोमवार";"मंगळवार";"बुधवार";"गुरूवार";"शुक्रवार";"शनिवार"},WEEKDAY(C19)))</f>
        <v>सोमवार</v>
      </c>
      <c r="E19" s="673">
        <v>22</v>
      </c>
      <c r="F19" s="673">
        <v>22</v>
      </c>
      <c r="G19" s="673">
        <v>22</v>
      </c>
      <c r="H19" s="673" t="s">
        <v>74</v>
      </c>
      <c r="I19" s="673" t="s">
        <v>359</v>
      </c>
      <c r="J19" s="673"/>
      <c r="K19" s="673"/>
      <c r="L19" s="673"/>
      <c r="M19" s="828"/>
      <c r="N19" s="828"/>
      <c r="O19" s="673" t="s">
        <v>778</v>
      </c>
      <c r="P19" s="673" t="s">
        <v>421</v>
      </c>
      <c r="Q19" s="1"/>
      <c r="R19" s="1"/>
      <c r="S19" s="1"/>
      <c r="T19" s="1"/>
      <c r="U19" s="1"/>
      <c r="V19" s="1"/>
      <c r="BE19" s="392">
        <v>11</v>
      </c>
      <c r="BF19" s="331">
        <f t="shared" si="0"/>
        <v>22</v>
      </c>
      <c r="BG19" s="331">
        <f t="shared" si="1"/>
        <v>0</v>
      </c>
      <c r="BH19" s="331">
        <f t="shared" si="2"/>
        <v>0</v>
      </c>
      <c r="BI19" s="331">
        <f t="shared" si="3"/>
        <v>17</v>
      </c>
      <c r="BJ19" s="331">
        <f t="shared" si="4"/>
        <v>15</v>
      </c>
      <c r="BK19" s="331">
        <f t="shared" si="5"/>
        <v>0</v>
      </c>
      <c r="BL19" s="331">
        <f t="shared" si="6"/>
        <v>22</v>
      </c>
      <c r="BM19" s="331">
        <f t="shared" si="7"/>
        <v>22</v>
      </c>
      <c r="BN19" s="331">
        <f t="shared" si="8"/>
        <v>0</v>
      </c>
      <c r="BO19" s="331">
        <f t="shared" si="9"/>
        <v>0</v>
      </c>
      <c r="BP19" s="331">
        <f t="shared" si="10"/>
        <v>0</v>
      </c>
      <c r="BQ19" s="331">
        <f t="shared" si="11"/>
        <v>0</v>
      </c>
      <c r="BR19" s="393"/>
    </row>
    <row r="20" spans="1:70" ht="27.75" customHeight="1" x14ac:dyDescent="0.4">
      <c r="A20" s="872">
        <v>12</v>
      </c>
      <c r="B20" s="860" t="s">
        <v>42</v>
      </c>
      <c r="C20" s="842">
        <f t="shared" si="12"/>
        <v>44663</v>
      </c>
      <c r="D20" s="842" t="str">
        <f>IF(C20="","",INDEX({"रविवार";"सोमवार";"मंगळवार";"बुधवार";"गुरूवार";"शुक्रवार";"शनिवार"},WEEKDAY(C20)))</f>
        <v>मंगळवार</v>
      </c>
      <c r="E20" s="673">
        <v>22</v>
      </c>
      <c r="F20" s="673">
        <v>22</v>
      </c>
      <c r="G20" s="673">
        <v>22</v>
      </c>
      <c r="H20" s="673" t="s">
        <v>67</v>
      </c>
      <c r="I20" s="673" t="s">
        <v>384</v>
      </c>
      <c r="J20" s="673"/>
      <c r="K20" s="673"/>
      <c r="L20" s="673"/>
      <c r="M20" s="828"/>
      <c r="N20" s="828"/>
      <c r="O20" s="673" t="s">
        <v>779</v>
      </c>
      <c r="P20" s="673" t="s">
        <v>423</v>
      </c>
      <c r="Q20" s="1"/>
      <c r="R20" s="1"/>
      <c r="S20" s="1"/>
      <c r="T20" s="1"/>
      <c r="U20" s="1"/>
      <c r="V20" s="1"/>
      <c r="BE20" s="392">
        <v>12</v>
      </c>
      <c r="BF20" s="331">
        <f t="shared" si="0"/>
        <v>22</v>
      </c>
      <c r="BG20" s="331">
        <f t="shared" si="1"/>
        <v>0</v>
      </c>
      <c r="BH20" s="331">
        <f t="shared" si="2"/>
        <v>0</v>
      </c>
      <c r="BI20" s="331">
        <f t="shared" si="3"/>
        <v>17</v>
      </c>
      <c r="BJ20" s="331">
        <f t="shared" si="4"/>
        <v>15</v>
      </c>
      <c r="BK20" s="331">
        <f t="shared" si="5"/>
        <v>16</v>
      </c>
      <c r="BL20" s="331">
        <f t="shared" si="6"/>
        <v>22</v>
      </c>
      <c r="BM20" s="331">
        <f t="shared" si="7"/>
        <v>22</v>
      </c>
      <c r="BN20" s="331">
        <f t="shared" si="8"/>
        <v>21</v>
      </c>
      <c r="BO20" s="331">
        <f t="shared" si="9"/>
        <v>0</v>
      </c>
      <c r="BP20" s="331">
        <f t="shared" si="10"/>
        <v>0</v>
      </c>
      <c r="BQ20" s="331">
        <f t="shared" si="11"/>
        <v>0</v>
      </c>
      <c r="BR20" s="393"/>
    </row>
    <row r="21" spans="1:70" ht="27.75" customHeight="1" x14ac:dyDescent="0.4">
      <c r="A21" s="872">
        <v>13</v>
      </c>
      <c r="B21" s="860" t="s">
        <v>42</v>
      </c>
      <c r="C21" s="842">
        <f t="shared" si="12"/>
        <v>44664</v>
      </c>
      <c r="D21" s="842" t="str">
        <f>IF(C21="","",INDEX({"रविवार";"सोमवार";"मंगळवार";"बुधवार";"गुरूवार";"शुक्रवार";"शनिवार"},WEEKDAY(C21)))</f>
        <v>बुधवार</v>
      </c>
      <c r="E21" s="673">
        <v>22</v>
      </c>
      <c r="F21" s="673">
        <v>22</v>
      </c>
      <c r="G21" s="673">
        <v>22</v>
      </c>
      <c r="H21" s="673" t="s">
        <v>444</v>
      </c>
      <c r="I21" s="673" t="s">
        <v>384</v>
      </c>
      <c r="J21" s="673"/>
      <c r="K21" s="673"/>
      <c r="L21" s="673"/>
      <c r="M21" s="828"/>
      <c r="N21" s="828"/>
      <c r="O21" s="673" t="s">
        <v>780</v>
      </c>
      <c r="P21" s="673" t="s">
        <v>425</v>
      </c>
      <c r="Q21" s="1"/>
      <c r="R21" s="1"/>
      <c r="S21" s="1"/>
      <c r="T21" s="1"/>
      <c r="U21" s="1"/>
      <c r="V21" s="1"/>
      <c r="BE21" s="392">
        <v>13</v>
      </c>
      <c r="BF21" s="331">
        <f t="shared" si="0"/>
        <v>22</v>
      </c>
      <c r="BG21" s="331">
        <f t="shared" si="1"/>
        <v>0</v>
      </c>
      <c r="BH21" s="331">
        <f t="shared" si="2"/>
        <v>0</v>
      </c>
      <c r="BI21" s="331">
        <f t="shared" si="3"/>
        <v>17</v>
      </c>
      <c r="BJ21" s="331">
        <f t="shared" si="4"/>
        <v>15</v>
      </c>
      <c r="BK21" s="331">
        <f t="shared" si="5"/>
        <v>16</v>
      </c>
      <c r="BL21" s="331">
        <f t="shared" si="6"/>
        <v>22</v>
      </c>
      <c r="BM21" s="331">
        <f t="shared" si="7"/>
        <v>0</v>
      </c>
      <c r="BN21" s="331">
        <f t="shared" si="8"/>
        <v>21</v>
      </c>
      <c r="BO21" s="331">
        <f t="shared" si="9"/>
        <v>0</v>
      </c>
      <c r="BP21" s="331">
        <f t="shared" si="10"/>
        <v>0</v>
      </c>
      <c r="BQ21" s="331">
        <f t="shared" si="11"/>
        <v>0</v>
      </c>
      <c r="BR21" s="393"/>
    </row>
    <row r="22" spans="1:70" ht="27.75" customHeight="1" x14ac:dyDescent="0.4">
      <c r="A22" s="872">
        <v>14</v>
      </c>
      <c r="B22" s="860" t="s">
        <v>42</v>
      </c>
      <c r="C22" s="842">
        <f t="shared" si="12"/>
        <v>44665</v>
      </c>
      <c r="D22" s="842" t="str">
        <f>IF(C22="","",INDEX({"रविवार";"सोमवार";"मंगळवार";"बुधवार";"गुरूवार";"शुक्रवार";"शनिवार"},WEEKDAY(C22)))</f>
        <v>गुरूवार</v>
      </c>
      <c r="E22" s="673">
        <v>0</v>
      </c>
      <c r="F22" s="673">
        <v>0</v>
      </c>
      <c r="G22" s="673">
        <v>0</v>
      </c>
      <c r="H22" s="673"/>
      <c r="I22" s="673"/>
      <c r="J22" s="673"/>
      <c r="K22" s="673"/>
      <c r="L22" s="673"/>
      <c r="M22" s="828"/>
      <c r="N22" s="828"/>
      <c r="O22" s="673"/>
      <c r="P22" s="673"/>
      <c r="Q22" s="1"/>
      <c r="R22" s="1"/>
      <c r="S22" s="1"/>
      <c r="T22" s="1"/>
      <c r="U22" s="1"/>
      <c r="V22" s="1"/>
      <c r="BE22" s="392">
        <v>14</v>
      </c>
      <c r="BF22" s="331">
        <f t="shared" si="0"/>
        <v>0</v>
      </c>
      <c r="BG22" s="331">
        <f t="shared" si="1"/>
        <v>0</v>
      </c>
      <c r="BH22" s="331">
        <f t="shared" si="2"/>
        <v>0</v>
      </c>
      <c r="BI22" s="331">
        <f t="shared" si="3"/>
        <v>17</v>
      </c>
      <c r="BJ22" s="331">
        <f t="shared" si="4"/>
        <v>0</v>
      </c>
      <c r="BK22" s="331">
        <f t="shared" si="5"/>
        <v>16</v>
      </c>
      <c r="BL22" s="331">
        <f t="shared" si="6"/>
        <v>22</v>
      </c>
      <c r="BM22" s="331">
        <f t="shared" si="7"/>
        <v>22</v>
      </c>
      <c r="BN22" s="331">
        <f t="shared" si="8"/>
        <v>21</v>
      </c>
      <c r="BO22" s="331">
        <f t="shared" si="9"/>
        <v>0</v>
      </c>
      <c r="BP22" s="331">
        <f t="shared" si="10"/>
        <v>0</v>
      </c>
      <c r="BQ22" s="331">
        <f t="shared" si="11"/>
        <v>0</v>
      </c>
      <c r="BR22" s="393"/>
    </row>
    <row r="23" spans="1:70" ht="27.75" customHeight="1" x14ac:dyDescent="0.4">
      <c r="A23" s="872">
        <v>15</v>
      </c>
      <c r="B23" s="860" t="s">
        <v>42</v>
      </c>
      <c r="C23" s="842">
        <f t="shared" si="12"/>
        <v>44666</v>
      </c>
      <c r="D23" s="842" t="str">
        <f>IF(C23="","",INDEX({"रविवार";"सोमवार";"मंगळवार";"बुधवार";"गुरूवार";"शुक्रवार";"शनिवार"},WEEKDAY(C23)))</f>
        <v>शुक्रवार</v>
      </c>
      <c r="E23" s="673">
        <v>0</v>
      </c>
      <c r="F23" s="673">
        <v>0</v>
      </c>
      <c r="G23" s="673">
        <v>0</v>
      </c>
      <c r="H23" s="673"/>
      <c r="I23" s="673"/>
      <c r="J23" s="673"/>
      <c r="K23" s="673"/>
      <c r="L23" s="673"/>
      <c r="M23" s="828"/>
      <c r="N23" s="828"/>
      <c r="O23" s="673"/>
      <c r="P23" s="673"/>
      <c r="Q23" s="1"/>
      <c r="R23" s="1"/>
      <c r="S23" s="1"/>
      <c r="T23" s="1"/>
      <c r="U23" s="1"/>
      <c r="V23" s="1"/>
      <c r="BE23" s="392">
        <v>15</v>
      </c>
      <c r="BF23" s="331">
        <f t="shared" si="0"/>
        <v>0</v>
      </c>
      <c r="BG23" s="331">
        <f t="shared" si="1"/>
        <v>0</v>
      </c>
      <c r="BH23" s="331">
        <f t="shared" si="2"/>
        <v>16</v>
      </c>
      <c r="BI23" s="331">
        <f t="shared" si="3"/>
        <v>17</v>
      </c>
      <c r="BJ23" s="331">
        <f t="shared" si="4"/>
        <v>0</v>
      </c>
      <c r="BK23" s="331">
        <f t="shared" si="5"/>
        <v>16</v>
      </c>
      <c r="BL23" s="331">
        <f t="shared" si="6"/>
        <v>22</v>
      </c>
      <c r="BM23" s="331">
        <f t="shared" si="7"/>
        <v>22</v>
      </c>
      <c r="BN23" s="331">
        <f t="shared" si="8"/>
        <v>21</v>
      </c>
      <c r="BO23" s="331">
        <f t="shared" si="9"/>
        <v>0</v>
      </c>
      <c r="BP23" s="331">
        <f t="shared" si="10"/>
        <v>0</v>
      </c>
      <c r="BQ23" s="331">
        <f t="shared" si="11"/>
        <v>0</v>
      </c>
      <c r="BR23" s="393"/>
    </row>
    <row r="24" spans="1:70" ht="27.75" customHeight="1" x14ac:dyDescent="0.4">
      <c r="A24" s="872">
        <v>16</v>
      </c>
      <c r="B24" s="860" t="s">
        <v>42</v>
      </c>
      <c r="C24" s="842">
        <f t="shared" si="12"/>
        <v>44667</v>
      </c>
      <c r="D24" s="842" t="str">
        <f>IF(C24="","",INDEX({"रविवार";"सोमवार";"मंगळवार";"बुधवार";"गुरूवार";"शुक्रवार";"शनिवार"},WEEKDAY(C24)))</f>
        <v>शनिवार</v>
      </c>
      <c r="E24" s="673">
        <v>22</v>
      </c>
      <c r="F24" s="673">
        <v>22</v>
      </c>
      <c r="G24" s="673">
        <v>22</v>
      </c>
      <c r="H24" s="673" t="s">
        <v>74</v>
      </c>
      <c r="I24" s="673" t="s">
        <v>359</v>
      </c>
      <c r="J24" s="673"/>
      <c r="K24" s="673"/>
      <c r="L24" s="673"/>
      <c r="M24" s="828"/>
      <c r="N24" s="828"/>
      <c r="O24" s="673" t="s">
        <v>781</v>
      </c>
      <c r="P24" s="673" t="s">
        <v>421</v>
      </c>
      <c r="Q24" s="1"/>
      <c r="R24" s="1"/>
      <c r="S24" s="1"/>
      <c r="T24" s="1"/>
      <c r="U24" s="1"/>
      <c r="V24" s="1"/>
      <c r="BE24" s="392">
        <v>16</v>
      </c>
      <c r="BF24" s="331">
        <f t="shared" si="0"/>
        <v>22</v>
      </c>
      <c r="BG24" s="331">
        <f t="shared" si="1"/>
        <v>0</v>
      </c>
      <c r="BH24" s="331">
        <f t="shared" si="2"/>
        <v>16</v>
      </c>
      <c r="BI24" s="331">
        <f t="shared" si="3"/>
        <v>17</v>
      </c>
      <c r="BJ24" s="331">
        <f t="shared" si="4"/>
        <v>0</v>
      </c>
      <c r="BK24" s="331">
        <f t="shared" si="5"/>
        <v>16</v>
      </c>
      <c r="BL24" s="331">
        <f t="shared" si="6"/>
        <v>0</v>
      </c>
      <c r="BM24" s="331">
        <f t="shared" si="7"/>
        <v>22</v>
      </c>
      <c r="BN24" s="331">
        <f t="shared" si="8"/>
        <v>21</v>
      </c>
      <c r="BO24" s="331">
        <f t="shared" si="9"/>
        <v>0</v>
      </c>
      <c r="BP24" s="331">
        <f t="shared" si="10"/>
        <v>0</v>
      </c>
      <c r="BQ24" s="331">
        <f t="shared" si="11"/>
        <v>0</v>
      </c>
      <c r="BR24" s="393"/>
    </row>
    <row r="25" spans="1:70" ht="27.75" customHeight="1" x14ac:dyDescent="0.4">
      <c r="A25" s="872">
        <v>17</v>
      </c>
      <c r="B25" s="860" t="s">
        <v>42</v>
      </c>
      <c r="C25" s="842">
        <f t="shared" si="12"/>
        <v>44668</v>
      </c>
      <c r="D25" s="842" t="str">
        <f>IF(C25="","",INDEX({"रविवार";"सोमवार";"मंगळवार";"बुधवार";"गुरूवार";"शुक्रवार";"शनिवार"},WEEKDAY(C25)))</f>
        <v>रविवार</v>
      </c>
      <c r="E25" s="673">
        <v>0</v>
      </c>
      <c r="F25" s="673">
        <v>0</v>
      </c>
      <c r="G25" s="673">
        <v>0</v>
      </c>
      <c r="H25" s="673"/>
      <c r="I25" s="673"/>
      <c r="J25" s="673"/>
      <c r="K25" s="673"/>
      <c r="L25" s="673"/>
      <c r="M25" s="828"/>
      <c r="N25" s="828"/>
      <c r="O25" s="673"/>
      <c r="P25" s="673"/>
      <c r="Q25" s="1"/>
      <c r="R25" s="1"/>
      <c r="S25" s="1"/>
      <c r="T25" s="1"/>
      <c r="U25" s="1"/>
      <c r="V25" s="1"/>
      <c r="BE25" s="392">
        <v>17</v>
      </c>
      <c r="BF25" s="331">
        <f t="shared" si="0"/>
        <v>0</v>
      </c>
      <c r="BG25" s="331">
        <f t="shared" si="1"/>
        <v>0</v>
      </c>
      <c r="BH25" s="331">
        <f t="shared" si="2"/>
        <v>16</v>
      </c>
      <c r="BI25" s="331">
        <f t="shared" si="3"/>
        <v>0</v>
      </c>
      <c r="BJ25" s="331">
        <f t="shared" si="4"/>
        <v>15</v>
      </c>
      <c r="BK25" s="331">
        <f t="shared" si="5"/>
        <v>0</v>
      </c>
      <c r="BL25" s="331">
        <f t="shared" si="6"/>
        <v>0</v>
      </c>
      <c r="BM25" s="331">
        <f t="shared" si="7"/>
        <v>22</v>
      </c>
      <c r="BN25" s="331">
        <f t="shared" si="8"/>
        <v>21</v>
      </c>
      <c r="BO25" s="331">
        <f t="shared" si="9"/>
        <v>0</v>
      </c>
      <c r="BP25" s="331">
        <f t="shared" si="10"/>
        <v>0</v>
      </c>
      <c r="BQ25" s="331">
        <f t="shared" si="11"/>
        <v>0</v>
      </c>
      <c r="BR25" s="393"/>
    </row>
    <row r="26" spans="1:70" ht="27.75" customHeight="1" x14ac:dyDescent="0.4">
      <c r="A26" s="872">
        <v>18</v>
      </c>
      <c r="B26" s="860" t="s">
        <v>42</v>
      </c>
      <c r="C26" s="842">
        <f t="shared" si="12"/>
        <v>44669</v>
      </c>
      <c r="D26" s="842" t="str">
        <f>IF(C26="","",INDEX({"रविवार";"सोमवार";"मंगळवार";"बुधवार";"गुरूवार";"शुक्रवार";"शनिवार"},WEEKDAY(C26)))</f>
        <v>सोमवार</v>
      </c>
      <c r="E26" s="673">
        <v>22</v>
      </c>
      <c r="F26" s="673">
        <v>22</v>
      </c>
      <c r="G26" s="673">
        <v>22</v>
      </c>
      <c r="H26" s="673" t="s">
        <v>74</v>
      </c>
      <c r="I26" s="673" t="s">
        <v>359</v>
      </c>
      <c r="J26" s="673"/>
      <c r="K26" s="673"/>
      <c r="L26" s="673"/>
      <c r="M26" s="828"/>
      <c r="N26" s="828"/>
      <c r="O26" s="673" t="s">
        <v>778</v>
      </c>
      <c r="P26" s="673" t="s">
        <v>421</v>
      </c>
      <c r="Q26" s="1"/>
      <c r="R26" s="1"/>
      <c r="S26" s="1"/>
      <c r="T26" s="1"/>
      <c r="U26" s="1"/>
      <c r="V26" s="1"/>
      <c r="BE26" s="392">
        <v>18</v>
      </c>
      <c r="BF26" s="331">
        <f t="shared" si="0"/>
        <v>22</v>
      </c>
      <c r="BG26" s="331">
        <f t="shared" si="1"/>
        <v>0</v>
      </c>
      <c r="BH26" s="331">
        <f t="shared" si="2"/>
        <v>16</v>
      </c>
      <c r="BI26" s="331">
        <f t="shared" si="3"/>
        <v>17</v>
      </c>
      <c r="BJ26" s="331">
        <f t="shared" si="4"/>
        <v>15</v>
      </c>
      <c r="BK26" s="331">
        <f t="shared" si="5"/>
        <v>0</v>
      </c>
      <c r="BL26" s="331">
        <f t="shared" si="6"/>
        <v>0</v>
      </c>
      <c r="BM26" s="331">
        <f t="shared" si="7"/>
        <v>22</v>
      </c>
      <c r="BN26" s="331">
        <f t="shared" si="8"/>
        <v>0</v>
      </c>
      <c r="BO26" s="331">
        <f t="shared" si="9"/>
        <v>0</v>
      </c>
      <c r="BP26" s="331">
        <f t="shared" si="10"/>
        <v>0</v>
      </c>
      <c r="BQ26" s="331">
        <f t="shared" si="11"/>
        <v>0</v>
      </c>
      <c r="BR26" s="393"/>
    </row>
    <row r="27" spans="1:70" ht="27.75" customHeight="1" x14ac:dyDescent="0.4">
      <c r="A27" s="872">
        <v>19</v>
      </c>
      <c r="B27" s="860" t="s">
        <v>42</v>
      </c>
      <c r="C27" s="842">
        <f t="shared" si="12"/>
        <v>44670</v>
      </c>
      <c r="D27" s="842" t="str">
        <f>IF(C27="","",INDEX({"रविवार";"सोमवार";"मंगळवार";"बुधवार";"गुरूवार";"शुक्रवार";"शनिवार"},WEEKDAY(C27)))</f>
        <v>मंगळवार</v>
      </c>
      <c r="E27" s="673">
        <v>22</v>
      </c>
      <c r="F27" s="673">
        <v>22</v>
      </c>
      <c r="G27" s="673">
        <v>22</v>
      </c>
      <c r="H27" s="673" t="s">
        <v>67</v>
      </c>
      <c r="I27" s="673" t="s">
        <v>384</v>
      </c>
      <c r="J27" s="673"/>
      <c r="K27" s="673"/>
      <c r="L27" s="673"/>
      <c r="M27" s="828"/>
      <c r="N27" s="828"/>
      <c r="O27" s="673" t="s">
        <v>779</v>
      </c>
      <c r="P27" s="673" t="s">
        <v>422</v>
      </c>
      <c r="Q27" s="1"/>
      <c r="R27" s="1"/>
      <c r="S27" s="1"/>
      <c r="T27" s="1"/>
      <c r="U27" s="1"/>
      <c r="V27" s="1"/>
      <c r="BE27" s="392">
        <v>19</v>
      </c>
      <c r="BF27" s="331">
        <f t="shared" si="0"/>
        <v>22</v>
      </c>
      <c r="BG27" s="331">
        <f t="shared" si="1"/>
        <v>0</v>
      </c>
      <c r="BH27" s="331">
        <f t="shared" si="2"/>
        <v>0</v>
      </c>
      <c r="BI27" s="331">
        <f t="shared" si="3"/>
        <v>17</v>
      </c>
      <c r="BJ27" s="331">
        <f t="shared" si="4"/>
        <v>15</v>
      </c>
      <c r="BK27" s="331">
        <f t="shared" si="5"/>
        <v>16</v>
      </c>
      <c r="BL27" s="331">
        <f t="shared" si="6"/>
        <v>0</v>
      </c>
      <c r="BM27" s="331">
        <f t="shared" si="7"/>
        <v>22</v>
      </c>
      <c r="BN27" s="331">
        <f t="shared" si="8"/>
        <v>21</v>
      </c>
      <c r="BO27" s="331">
        <f t="shared" si="9"/>
        <v>0</v>
      </c>
      <c r="BP27" s="331">
        <f t="shared" si="10"/>
        <v>0</v>
      </c>
      <c r="BQ27" s="331">
        <f t="shared" si="11"/>
        <v>0</v>
      </c>
      <c r="BR27" s="393"/>
    </row>
    <row r="28" spans="1:70" ht="27.75" customHeight="1" x14ac:dyDescent="0.4">
      <c r="A28" s="872">
        <v>20</v>
      </c>
      <c r="B28" s="860" t="s">
        <v>42</v>
      </c>
      <c r="C28" s="842">
        <f t="shared" si="12"/>
        <v>44671</v>
      </c>
      <c r="D28" s="842" t="str">
        <f>IF(C28="","",INDEX({"रविवार";"सोमवार";"मंगळवार";"बुधवार";"गुरूवार";"शुक्रवार";"शनिवार"},WEEKDAY(C28)))</f>
        <v>बुधवार</v>
      </c>
      <c r="E28" s="673">
        <v>22</v>
      </c>
      <c r="F28" s="673">
        <v>22</v>
      </c>
      <c r="G28" s="673">
        <v>22</v>
      </c>
      <c r="H28" s="673" t="s">
        <v>444</v>
      </c>
      <c r="I28" s="673" t="s">
        <v>384</v>
      </c>
      <c r="J28" s="673"/>
      <c r="K28" s="673"/>
      <c r="L28" s="673"/>
      <c r="M28" s="828"/>
      <c r="N28" s="828"/>
      <c r="O28" s="673" t="s">
        <v>780</v>
      </c>
      <c r="P28" s="673" t="s">
        <v>422</v>
      </c>
      <c r="Q28" s="1"/>
      <c r="R28" s="1"/>
      <c r="S28" s="1"/>
      <c r="T28" s="1"/>
      <c r="U28" s="1"/>
      <c r="V28" s="1"/>
      <c r="BE28" s="392">
        <v>20</v>
      </c>
      <c r="BF28" s="331">
        <f t="shared" si="0"/>
        <v>22</v>
      </c>
      <c r="BG28" s="331">
        <f t="shared" si="1"/>
        <v>0</v>
      </c>
      <c r="BH28" s="331">
        <f t="shared" si="2"/>
        <v>17</v>
      </c>
      <c r="BI28" s="331">
        <f t="shared" si="3"/>
        <v>17</v>
      </c>
      <c r="BJ28" s="331">
        <f t="shared" si="4"/>
        <v>15</v>
      </c>
      <c r="BK28" s="331">
        <f t="shared" si="5"/>
        <v>16</v>
      </c>
      <c r="BL28" s="331">
        <f t="shared" si="6"/>
        <v>0</v>
      </c>
      <c r="BM28" s="331">
        <f t="shared" si="7"/>
        <v>0</v>
      </c>
      <c r="BN28" s="331">
        <f t="shared" si="8"/>
        <v>21</v>
      </c>
      <c r="BO28" s="331">
        <f t="shared" si="9"/>
        <v>0</v>
      </c>
      <c r="BP28" s="331">
        <f t="shared" si="10"/>
        <v>0</v>
      </c>
      <c r="BQ28" s="331">
        <f t="shared" si="11"/>
        <v>0</v>
      </c>
      <c r="BR28" s="393"/>
    </row>
    <row r="29" spans="1:70" ht="27.75" customHeight="1" x14ac:dyDescent="0.4">
      <c r="A29" s="872">
        <v>21</v>
      </c>
      <c r="B29" s="860" t="s">
        <v>42</v>
      </c>
      <c r="C29" s="842">
        <f t="shared" si="12"/>
        <v>44672</v>
      </c>
      <c r="D29" s="842" t="str">
        <f>IF(C29="","",INDEX({"रविवार";"सोमवार";"मंगळवार";"बुधवार";"गुरूवार";"शुक्रवार";"शनिवार"},WEEKDAY(C29)))</f>
        <v>गुरूवार</v>
      </c>
      <c r="E29" s="673">
        <v>22</v>
      </c>
      <c r="F29" s="673">
        <v>22</v>
      </c>
      <c r="G29" s="673">
        <v>22</v>
      </c>
      <c r="H29" s="673" t="s">
        <v>67</v>
      </c>
      <c r="I29" s="673" t="s">
        <v>384</v>
      </c>
      <c r="J29" s="673"/>
      <c r="K29" s="673"/>
      <c r="L29" s="673"/>
      <c r="M29" s="828"/>
      <c r="N29" s="828"/>
      <c r="O29" s="673" t="s">
        <v>777</v>
      </c>
      <c r="P29" s="673" t="s">
        <v>423</v>
      </c>
      <c r="Q29" s="1"/>
      <c r="R29" s="1"/>
      <c r="S29" s="1"/>
      <c r="T29" s="1"/>
      <c r="U29" s="1"/>
      <c r="V29" s="1"/>
      <c r="BE29" s="392">
        <v>21</v>
      </c>
      <c r="BF29" s="331">
        <f t="shared" si="0"/>
        <v>22</v>
      </c>
      <c r="BG29" s="331">
        <f t="shared" si="1"/>
        <v>0</v>
      </c>
      <c r="BH29" s="331">
        <f t="shared" si="2"/>
        <v>17</v>
      </c>
      <c r="BI29" s="331">
        <f t="shared" si="3"/>
        <v>17</v>
      </c>
      <c r="BJ29" s="331">
        <f t="shared" si="4"/>
        <v>0</v>
      </c>
      <c r="BK29" s="331">
        <f t="shared" si="5"/>
        <v>16</v>
      </c>
      <c r="BL29" s="331">
        <f t="shared" si="6"/>
        <v>0</v>
      </c>
      <c r="BM29" s="331">
        <f t="shared" si="7"/>
        <v>22</v>
      </c>
      <c r="BN29" s="331">
        <f t="shared" si="8"/>
        <v>21</v>
      </c>
      <c r="BO29" s="331">
        <f t="shared" si="9"/>
        <v>0</v>
      </c>
      <c r="BP29" s="331">
        <f t="shared" si="10"/>
        <v>0</v>
      </c>
      <c r="BQ29" s="331">
        <f t="shared" si="11"/>
        <v>0</v>
      </c>
      <c r="BR29" s="393"/>
    </row>
    <row r="30" spans="1:70" ht="27.75" customHeight="1" x14ac:dyDescent="0.4">
      <c r="A30" s="872">
        <v>22</v>
      </c>
      <c r="B30" s="860" t="s">
        <v>42</v>
      </c>
      <c r="C30" s="842">
        <f t="shared" si="12"/>
        <v>44673</v>
      </c>
      <c r="D30" s="842" t="str">
        <f>IF(C30="","",INDEX({"रविवार";"सोमवार";"मंगळवार";"बुधवार";"गुरूवार";"शुक्रवार";"शनिवार"},WEEKDAY(C30)))</f>
        <v>शुक्रवार</v>
      </c>
      <c r="E30" s="673">
        <v>22</v>
      </c>
      <c r="F30" s="673">
        <v>22</v>
      </c>
      <c r="G30" s="673">
        <v>22</v>
      </c>
      <c r="H30" s="673" t="s">
        <v>444</v>
      </c>
      <c r="I30" s="673" t="s">
        <v>384</v>
      </c>
      <c r="J30" s="673"/>
      <c r="K30" s="673"/>
      <c r="L30" s="673"/>
      <c r="M30" s="828"/>
      <c r="N30" s="828"/>
      <c r="O30" s="673" t="s">
        <v>778</v>
      </c>
      <c r="P30" s="673" t="s">
        <v>425</v>
      </c>
      <c r="Q30" s="1"/>
      <c r="R30" s="1"/>
      <c r="S30" s="1"/>
      <c r="T30" s="1"/>
      <c r="U30" s="1"/>
      <c r="V30" s="1"/>
      <c r="BE30" s="392">
        <v>22</v>
      </c>
      <c r="BF30" s="331">
        <f t="shared" si="0"/>
        <v>22</v>
      </c>
      <c r="BG30" s="331">
        <f t="shared" si="1"/>
        <v>0</v>
      </c>
      <c r="BH30" s="331">
        <f t="shared" si="2"/>
        <v>17</v>
      </c>
      <c r="BI30" s="331">
        <f t="shared" si="3"/>
        <v>17</v>
      </c>
      <c r="BJ30" s="331">
        <f t="shared" si="4"/>
        <v>15</v>
      </c>
      <c r="BK30" s="331">
        <f t="shared" si="5"/>
        <v>16</v>
      </c>
      <c r="BL30" s="331">
        <f t="shared" si="6"/>
        <v>0</v>
      </c>
      <c r="BM30" s="331">
        <f t="shared" si="7"/>
        <v>22</v>
      </c>
      <c r="BN30" s="331">
        <f t="shared" si="8"/>
        <v>21</v>
      </c>
      <c r="BO30" s="331">
        <f t="shared" si="9"/>
        <v>0</v>
      </c>
      <c r="BP30" s="331">
        <f t="shared" si="10"/>
        <v>0</v>
      </c>
      <c r="BQ30" s="331">
        <f t="shared" si="11"/>
        <v>0</v>
      </c>
      <c r="BR30" s="393"/>
    </row>
    <row r="31" spans="1:70" ht="27.75" customHeight="1" x14ac:dyDescent="0.4">
      <c r="A31" s="872">
        <v>23</v>
      </c>
      <c r="B31" s="860" t="s">
        <v>42</v>
      </c>
      <c r="C31" s="842">
        <f t="shared" si="12"/>
        <v>44674</v>
      </c>
      <c r="D31" s="842" t="str">
        <f>IF(C31="","",INDEX({"रविवार";"सोमवार";"मंगळवार";"बुधवार";"गुरूवार";"शुक्रवार";"शनिवार"},WEEKDAY(C31)))</f>
        <v>शनिवार</v>
      </c>
      <c r="E31" s="673">
        <v>22</v>
      </c>
      <c r="F31" s="673">
        <v>22</v>
      </c>
      <c r="G31" s="673">
        <v>22</v>
      </c>
      <c r="H31" s="673" t="s">
        <v>74</v>
      </c>
      <c r="I31" s="673" t="s">
        <v>359</v>
      </c>
      <c r="J31" s="673"/>
      <c r="K31" s="673"/>
      <c r="L31" s="673"/>
      <c r="M31" s="828"/>
      <c r="N31" s="828"/>
      <c r="O31" s="673" t="s">
        <v>781</v>
      </c>
      <c r="P31" s="673" t="s">
        <v>424</v>
      </c>
      <c r="Q31" s="1"/>
      <c r="R31" s="1"/>
      <c r="S31" s="1"/>
      <c r="T31" s="1"/>
      <c r="U31" s="1"/>
      <c r="V31" s="1"/>
      <c r="BE31" s="392">
        <v>23</v>
      </c>
      <c r="BF31" s="331">
        <f t="shared" si="0"/>
        <v>22</v>
      </c>
      <c r="BG31" s="331">
        <f t="shared" si="1"/>
        <v>0</v>
      </c>
      <c r="BH31" s="331">
        <f t="shared" si="2"/>
        <v>17</v>
      </c>
      <c r="BI31" s="331">
        <f t="shared" si="3"/>
        <v>17</v>
      </c>
      <c r="BJ31" s="331">
        <f t="shared" si="4"/>
        <v>15</v>
      </c>
      <c r="BK31" s="331">
        <f t="shared" si="5"/>
        <v>16</v>
      </c>
      <c r="BL31" s="331">
        <f t="shared" si="6"/>
        <v>0</v>
      </c>
      <c r="BM31" s="331">
        <f t="shared" si="7"/>
        <v>22</v>
      </c>
      <c r="BN31" s="331">
        <f t="shared" si="8"/>
        <v>21</v>
      </c>
      <c r="BO31" s="331">
        <f t="shared" si="9"/>
        <v>0</v>
      </c>
      <c r="BP31" s="331">
        <f t="shared" si="10"/>
        <v>0</v>
      </c>
      <c r="BQ31" s="331">
        <f t="shared" si="11"/>
        <v>0</v>
      </c>
      <c r="BR31" s="393"/>
    </row>
    <row r="32" spans="1:70" ht="27.75" customHeight="1" x14ac:dyDescent="0.4">
      <c r="A32" s="872">
        <v>24</v>
      </c>
      <c r="B32" s="860" t="s">
        <v>42</v>
      </c>
      <c r="C32" s="842">
        <f t="shared" si="12"/>
        <v>44675</v>
      </c>
      <c r="D32" s="842" t="str">
        <f>IF(C32="","",INDEX({"रविवार";"सोमवार";"मंगळवार";"बुधवार";"गुरूवार";"शुक्रवार";"शनिवार"},WEEKDAY(C32)))</f>
        <v>रविवार</v>
      </c>
      <c r="E32" s="673">
        <v>0</v>
      </c>
      <c r="F32" s="673">
        <v>0</v>
      </c>
      <c r="G32" s="673">
        <v>0</v>
      </c>
      <c r="H32" s="673"/>
      <c r="I32" s="673"/>
      <c r="J32" s="673"/>
      <c r="K32" s="673"/>
      <c r="L32" s="673"/>
      <c r="M32" s="828"/>
      <c r="N32" s="828"/>
      <c r="O32" s="673"/>
      <c r="P32" s="673"/>
      <c r="Q32" s="1"/>
      <c r="R32" s="1"/>
      <c r="S32" s="1"/>
      <c r="T32" s="1"/>
      <c r="U32" s="1"/>
      <c r="V32" s="1"/>
      <c r="BE32" s="392">
        <v>24</v>
      </c>
      <c r="BF32" s="331">
        <f t="shared" si="0"/>
        <v>0</v>
      </c>
      <c r="BG32" s="331">
        <f t="shared" si="1"/>
        <v>0</v>
      </c>
      <c r="BH32" s="331">
        <f t="shared" si="2"/>
        <v>17</v>
      </c>
      <c r="BI32" s="331">
        <f t="shared" si="3"/>
        <v>0</v>
      </c>
      <c r="BJ32" s="331">
        <f t="shared" si="4"/>
        <v>15</v>
      </c>
      <c r="BK32" s="331">
        <f t="shared" si="5"/>
        <v>16</v>
      </c>
      <c r="BL32" s="331">
        <f t="shared" si="6"/>
        <v>0</v>
      </c>
      <c r="BM32" s="331">
        <f t="shared" si="7"/>
        <v>22</v>
      </c>
      <c r="BN32" s="331">
        <f t="shared" si="8"/>
        <v>21</v>
      </c>
      <c r="BO32" s="331">
        <f t="shared" si="9"/>
        <v>0</v>
      </c>
      <c r="BP32" s="331">
        <f t="shared" si="10"/>
        <v>0</v>
      </c>
      <c r="BQ32" s="331">
        <f t="shared" si="11"/>
        <v>0</v>
      </c>
      <c r="BR32" s="393"/>
    </row>
    <row r="33" spans="1:70" ht="27.75" customHeight="1" x14ac:dyDescent="0.4">
      <c r="A33" s="872">
        <v>25</v>
      </c>
      <c r="B33" s="860" t="s">
        <v>42</v>
      </c>
      <c r="C33" s="842">
        <f t="shared" si="12"/>
        <v>44676</v>
      </c>
      <c r="D33" s="842" t="str">
        <f>IF(C33="","",INDEX({"रविवार";"सोमवार";"मंगळवार";"बुधवार";"गुरूवार";"शुक्रवार";"शनिवार"},WEEKDAY(C33)))</f>
        <v>सोमवार</v>
      </c>
      <c r="E33" s="673">
        <v>22</v>
      </c>
      <c r="F33" s="673">
        <v>22</v>
      </c>
      <c r="G33" s="673">
        <v>22</v>
      </c>
      <c r="H33" s="673" t="s">
        <v>74</v>
      </c>
      <c r="I33" s="673" t="s">
        <v>359</v>
      </c>
      <c r="J33" s="673"/>
      <c r="K33" s="673"/>
      <c r="L33" s="673"/>
      <c r="M33" s="828"/>
      <c r="N33" s="828"/>
      <c r="O33" s="673" t="s">
        <v>778</v>
      </c>
      <c r="P33" s="673" t="s">
        <v>423</v>
      </c>
      <c r="Q33" s="1"/>
      <c r="R33" s="1"/>
      <c r="S33" s="1"/>
      <c r="T33" s="1"/>
      <c r="U33" s="1"/>
      <c r="V33" s="1"/>
      <c r="BE33" s="392">
        <v>25</v>
      </c>
      <c r="BF33" s="331">
        <f t="shared" si="0"/>
        <v>22</v>
      </c>
      <c r="BG33" s="331">
        <f t="shared" si="1"/>
        <v>0</v>
      </c>
      <c r="BH33" s="331">
        <f t="shared" si="2"/>
        <v>17</v>
      </c>
      <c r="BI33" s="331">
        <f t="shared" si="3"/>
        <v>17</v>
      </c>
      <c r="BJ33" s="331">
        <f t="shared" si="4"/>
        <v>15</v>
      </c>
      <c r="BK33" s="331">
        <f t="shared" si="5"/>
        <v>0</v>
      </c>
      <c r="BL33" s="331">
        <f t="shared" si="6"/>
        <v>0</v>
      </c>
      <c r="BM33" s="331">
        <f t="shared" si="7"/>
        <v>22</v>
      </c>
      <c r="BN33" s="331">
        <f t="shared" si="8"/>
        <v>0</v>
      </c>
      <c r="BO33" s="331">
        <f t="shared" si="9"/>
        <v>0</v>
      </c>
      <c r="BP33" s="331">
        <f t="shared" si="10"/>
        <v>0</v>
      </c>
      <c r="BQ33" s="331">
        <f t="shared" si="11"/>
        <v>0</v>
      </c>
      <c r="BR33" s="393"/>
    </row>
    <row r="34" spans="1:70" ht="27.75" customHeight="1" x14ac:dyDescent="0.4">
      <c r="A34" s="872">
        <v>26</v>
      </c>
      <c r="B34" s="860" t="s">
        <v>42</v>
      </c>
      <c r="C34" s="842">
        <f t="shared" si="12"/>
        <v>44677</v>
      </c>
      <c r="D34" s="842" t="str">
        <f>IF(C34="","",INDEX({"रविवार";"सोमवार";"मंगळवार";"बुधवार";"गुरूवार";"शुक्रवार";"शनिवार"},WEEKDAY(C34)))</f>
        <v>मंगळवार</v>
      </c>
      <c r="E34" s="673">
        <v>22</v>
      </c>
      <c r="F34" s="673">
        <v>22</v>
      </c>
      <c r="G34" s="673">
        <v>22</v>
      </c>
      <c r="H34" s="673" t="s">
        <v>67</v>
      </c>
      <c r="I34" s="673" t="s">
        <v>384</v>
      </c>
      <c r="J34" s="673"/>
      <c r="K34" s="673"/>
      <c r="L34" s="673"/>
      <c r="M34" s="673"/>
      <c r="N34" s="673"/>
      <c r="O34" s="673" t="s">
        <v>779</v>
      </c>
      <c r="P34" s="673" t="s">
        <v>424</v>
      </c>
      <c r="Q34" s="1"/>
      <c r="R34" s="1"/>
      <c r="S34" s="1"/>
      <c r="T34" s="1"/>
      <c r="U34" s="1"/>
      <c r="V34" s="1"/>
      <c r="BE34" s="392">
        <v>26</v>
      </c>
      <c r="BF34" s="331">
        <f t="shared" si="0"/>
        <v>22</v>
      </c>
      <c r="BG34" s="331">
        <f t="shared" si="1"/>
        <v>0</v>
      </c>
      <c r="BH34" s="331">
        <f t="shared" si="2"/>
        <v>0</v>
      </c>
      <c r="BI34" s="331">
        <f t="shared" si="3"/>
        <v>17</v>
      </c>
      <c r="BJ34" s="331">
        <f t="shared" si="4"/>
        <v>0</v>
      </c>
      <c r="BK34" s="331">
        <f t="shared" si="5"/>
        <v>0</v>
      </c>
      <c r="BL34" s="331">
        <f t="shared" si="6"/>
        <v>0</v>
      </c>
      <c r="BM34" s="331">
        <f t="shared" si="7"/>
        <v>22</v>
      </c>
      <c r="BN34" s="331">
        <f t="shared" si="8"/>
        <v>21</v>
      </c>
      <c r="BO34" s="331">
        <f t="shared" si="9"/>
        <v>0</v>
      </c>
      <c r="BP34" s="331">
        <f t="shared" si="10"/>
        <v>0</v>
      </c>
      <c r="BQ34" s="331">
        <f t="shared" si="11"/>
        <v>0</v>
      </c>
      <c r="BR34" s="393"/>
    </row>
    <row r="35" spans="1:70" ht="27.75" customHeight="1" x14ac:dyDescent="0.4">
      <c r="A35" s="872">
        <v>27</v>
      </c>
      <c r="B35" s="860" t="s">
        <v>42</v>
      </c>
      <c r="C35" s="842">
        <f t="shared" si="12"/>
        <v>44678</v>
      </c>
      <c r="D35" s="842" t="str">
        <f>IF(C35="","",INDEX({"रविवार";"सोमवार";"मंगळवार";"बुधवार";"गुरूवार";"शुक्रवार";"शनिवार"},WEEKDAY(C35)))</f>
        <v>बुधवार</v>
      </c>
      <c r="E35" s="673">
        <v>22</v>
      </c>
      <c r="F35" s="673">
        <v>22</v>
      </c>
      <c r="G35" s="673">
        <v>22</v>
      </c>
      <c r="H35" s="673" t="s">
        <v>444</v>
      </c>
      <c r="I35" s="673" t="s">
        <v>384</v>
      </c>
      <c r="J35" s="673"/>
      <c r="K35" s="673"/>
      <c r="L35" s="673"/>
      <c r="M35" s="673"/>
      <c r="N35" s="673"/>
      <c r="O35" s="673" t="s">
        <v>780</v>
      </c>
      <c r="P35" s="673" t="s">
        <v>425</v>
      </c>
      <c r="Q35" s="1"/>
      <c r="R35" s="1"/>
      <c r="S35" s="1"/>
      <c r="T35" s="1"/>
      <c r="U35" s="1"/>
      <c r="V35" s="1"/>
      <c r="BE35" s="392">
        <v>27</v>
      </c>
      <c r="BF35" s="331">
        <f t="shared" si="0"/>
        <v>22</v>
      </c>
      <c r="BG35" s="331">
        <f t="shared" si="1"/>
        <v>0</v>
      </c>
      <c r="BH35" s="331">
        <f t="shared" si="2"/>
        <v>17</v>
      </c>
      <c r="BI35" s="331">
        <f t="shared" si="3"/>
        <v>17</v>
      </c>
      <c r="BJ35" s="331">
        <f t="shared" si="4"/>
        <v>15</v>
      </c>
      <c r="BK35" s="331">
        <f t="shared" si="5"/>
        <v>22</v>
      </c>
      <c r="BL35" s="331">
        <f t="shared" si="6"/>
        <v>0</v>
      </c>
      <c r="BM35" s="331">
        <f t="shared" si="7"/>
        <v>0</v>
      </c>
      <c r="BN35" s="331">
        <f t="shared" si="8"/>
        <v>21</v>
      </c>
      <c r="BO35" s="331">
        <f t="shared" si="9"/>
        <v>0</v>
      </c>
      <c r="BP35" s="331">
        <f t="shared" si="10"/>
        <v>0</v>
      </c>
      <c r="BQ35" s="331">
        <f t="shared" si="11"/>
        <v>0</v>
      </c>
      <c r="BR35" s="393"/>
    </row>
    <row r="36" spans="1:70" ht="27.75" customHeight="1" x14ac:dyDescent="0.4">
      <c r="A36" s="872">
        <v>28</v>
      </c>
      <c r="B36" s="860" t="s">
        <v>42</v>
      </c>
      <c r="C36" s="842">
        <f t="shared" si="12"/>
        <v>44679</v>
      </c>
      <c r="D36" s="842" t="str">
        <f>IF(C36="","",INDEX({"रविवार";"सोमवार";"मंगळवार";"बुधवार";"गुरूवार";"शुक्रवार";"शनिवार"},WEEKDAY(C36)))</f>
        <v>गुरूवार</v>
      </c>
      <c r="E36" s="673">
        <v>22</v>
      </c>
      <c r="F36" s="673">
        <v>22</v>
      </c>
      <c r="G36" s="673">
        <v>22</v>
      </c>
      <c r="H36" s="673" t="s">
        <v>67</v>
      </c>
      <c r="I36" s="673" t="s">
        <v>384</v>
      </c>
      <c r="J36" s="673"/>
      <c r="K36" s="673"/>
      <c r="L36" s="673"/>
      <c r="M36" s="673"/>
      <c r="N36" s="673"/>
      <c r="O36" s="673" t="s">
        <v>777</v>
      </c>
      <c r="P36" s="673" t="s">
        <v>422</v>
      </c>
      <c r="Q36" s="1"/>
      <c r="R36" s="1"/>
      <c r="S36" s="1"/>
      <c r="T36" s="1"/>
      <c r="U36" s="1"/>
      <c r="V36" s="1"/>
      <c r="BE36" s="392">
        <v>28</v>
      </c>
      <c r="BF36" s="331">
        <f t="shared" si="0"/>
        <v>22</v>
      </c>
      <c r="BG36" s="331">
        <f t="shared" si="1"/>
        <v>0</v>
      </c>
      <c r="BH36" s="331">
        <f t="shared" si="2"/>
        <v>17</v>
      </c>
      <c r="BI36" s="331">
        <f t="shared" si="3"/>
        <v>17</v>
      </c>
      <c r="BJ36" s="331">
        <f t="shared" si="4"/>
        <v>0</v>
      </c>
      <c r="BK36" s="331">
        <f t="shared" si="5"/>
        <v>22</v>
      </c>
      <c r="BL36" s="331">
        <f t="shared" si="6"/>
        <v>0</v>
      </c>
      <c r="BM36" s="331">
        <f t="shared" si="7"/>
        <v>22</v>
      </c>
      <c r="BN36" s="331">
        <f t="shared" si="8"/>
        <v>21</v>
      </c>
      <c r="BO36" s="331">
        <f t="shared" si="9"/>
        <v>0</v>
      </c>
      <c r="BP36" s="331">
        <f t="shared" si="10"/>
        <v>0</v>
      </c>
      <c r="BQ36" s="331">
        <f t="shared" si="11"/>
        <v>0</v>
      </c>
      <c r="BR36" s="393"/>
    </row>
    <row r="37" spans="1:70" ht="27.75" customHeight="1" x14ac:dyDescent="0.4">
      <c r="A37" s="872">
        <v>29</v>
      </c>
      <c r="B37" s="860" t="s">
        <v>42</v>
      </c>
      <c r="C37" s="842">
        <f t="shared" si="12"/>
        <v>44680</v>
      </c>
      <c r="D37" s="842" t="str">
        <f>IF(C37="","",INDEX({"रविवार";"सोमवार";"मंगळवार";"बुधवार";"गुरूवार";"शुक्रवार";"शनिवार"},WEEKDAY(C37)))</f>
        <v>शुक्रवार</v>
      </c>
      <c r="E37" s="673">
        <v>22</v>
      </c>
      <c r="F37" s="673">
        <v>22</v>
      </c>
      <c r="G37" s="673">
        <v>22</v>
      </c>
      <c r="H37" s="673" t="s">
        <v>444</v>
      </c>
      <c r="I37" s="673" t="s">
        <v>384</v>
      </c>
      <c r="J37" s="673"/>
      <c r="K37" s="673"/>
      <c r="L37" s="673"/>
      <c r="M37" s="673"/>
      <c r="N37" s="673"/>
      <c r="O37" s="673" t="s">
        <v>778</v>
      </c>
      <c r="P37" s="673" t="s">
        <v>423</v>
      </c>
      <c r="Q37" s="1"/>
      <c r="R37" s="1"/>
      <c r="S37" s="1"/>
      <c r="T37" s="1"/>
      <c r="U37" s="1"/>
      <c r="V37" s="1"/>
      <c r="BE37" s="392">
        <v>29</v>
      </c>
      <c r="BF37" s="331">
        <f t="shared" si="0"/>
        <v>22</v>
      </c>
      <c r="BG37" s="331">
        <f t="shared" si="1"/>
        <v>0</v>
      </c>
      <c r="BH37" s="331">
        <f t="shared" si="2"/>
        <v>17</v>
      </c>
      <c r="BI37" s="331">
        <f t="shared" si="3"/>
        <v>17</v>
      </c>
      <c r="BJ37" s="331">
        <f t="shared" si="4"/>
        <v>15</v>
      </c>
      <c r="BK37" s="331">
        <f t="shared" si="5"/>
        <v>22</v>
      </c>
      <c r="BL37" s="331">
        <f t="shared" si="6"/>
        <v>0</v>
      </c>
      <c r="BM37" s="331">
        <f t="shared" si="7"/>
        <v>22</v>
      </c>
      <c r="BN37" s="331">
        <f t="shared" si="8"/>
        <v>21</v>
      </c>
      <c r="BO37" s="331">
        <f t="shared" si="9"/>
        <v>0</v>
      </c>
      <c r="BP37" s="331">
        <f t="shared" si="10"/>
        <v>0</v>
      </c>
      <c r="BQ37" s="331">
        <f t="shared" si="11"/>
        <v>0</v>
      </c>
      <c r="BR37" s="393"/>
    </row>
    <row r="38" spans="1:70" ht="27.75" customHeight="1" x14ac:dyDescent="0.4">
      <c r="A38" s="872">
        <v>30</v>
      </c>
      <c r="B38" s="860" t="s">
        <v>42</v>
      </c>
      <c r="C38" s="842">
        <f t="shared" si="12"/>
        <v>44681</v>
      </c>
      <c r="D38" s="842" t="str">
        <f>IF(C38="","",INDEX({"रविवार";"सोमवार";"मंगळवार";"बुधवार";"गुरूवार";"शुक्रवार";"शनिवार"},WEEKDAY(C38)))</f>
        <v>शनिवार</v>
      </c>
      <c r="E38" s="673">
        <v>22</v>
      </c>
      <c r="F38" s="673">
        <v>22</v>
      </c>
      <c r="G38" s="673">
        <v>22</v>
      </c>
      <c r="H38" s="673" t="s">
        <v>74</v>
      </c>
      <c r="I38" s="673" t="s">
        <v>359</v>
      </c>
      <c r="J38" s="673"/>
      <c r="K38" s="673"/>
      <c r="L38" s="673"/>
      <c r="M38" s="673"/>
      <c r="N38" s="673"/>
      <c r="O38" s="673" t="s">
        <v>781</v>
      </c>
      <c r="P38" s="673" t="s">
        <v>424</v>
      </c>
      <c r="Q38" s="1"/>
      <c r="R38" s="1"/>
      <c r="S38" s="1"/>
      <c r="T38" s="1"/>
      <c r="U38" s="1"/>
      <c r="V38" s="1"/>
      <c r="BE38" s="392">
        <v>30</v>
      </c>
      <c r="BF38" s="331">
        <f t="shared" si="0"/>
        <v>22</v>
      </c>
      <c r="BG38" s="331">
        <f t="shared" si="1"/>
        <v>0</v>
      </c>
      <c r="BH38" s="331">
        <f t="shared" si="2"/>
        <v>17</v>
      </c>
      <c r="BI38" s="331">
        <f t="shared" si="3"/>
        <v>17</v>
      </c>
      <c r="BJ38" s="331">
        <f t="shared" si="4"/>
        <v>15</v>
      </c>
      <c r="BK38" s="331">
        <f t="shared" si="5"/>
        <v>22</v>
      </c>
      <c r="BL38" s="331">
        <f t="shared" si="6"/>
        <v>0</v>
      </c>
      <c r="BM38" s="331">
        <f t="shared" si="7"/>
        <v>22</v>
      </c>
      <c r="BN38" s="331">
        <f t="shared" si="8"/>
        <v>21</v>
      </c>
      <c r="BO38" s="331">
        <f t="shared" si="9"/>
        <v>0</v>
      </c>
      <c r="BP38" s="393"/>
      <c r="BQ38" s="331">
        <f t="shared" si="11"/>
        <v>0</v>
      </c>
      <c r="BR38" s="393"/>
    </row>
    <row r="39" spans="1:70" ht="27.75" customHeight="1" x14ac:dyDescent="0.4">
      <c r="A39" s="872">
        <v>31</v>
      </c>
      <c r="B39" s="860" t="s">
        <v>42</v>
      </c>
      <c r="C39" s="841" t="s">
        <v>35</v>
      </c>
      <c r="D39" s="829"/>
      <c r="E39" s="829">
        <f>IF(SUM(E9:E38)&gt;0,SUM(E9:E38),"")</f>
        <v>506</v>
      </c>
      <c r="F39" s="829">
        <f t="shared" ref="F39:G39" si="13">IF(SUM(F9:F38)&gt;0,SUM(F9:F38),"")</f>
        <v>506</v>
      </c>
      <c r="G39" s="829">
        <f t="shared" si="13"/>
        <v>506</v>
      </c>
      <c r="H39" s="829" t="str">
        <f t="shared" ref="H39" si="14">IF(SUM(H9:H38)&gt;0,SUM(H9:H38),"")</f>
        <v/>
      </c>
      <c r="I39" s="829" t="str">
        <f t="shared" ref="I39" si="15">IF(SUM(I9:I38)&gt;0,SUM(I9:I38),"")</f>
        <v/>
      </c>
      <c r="J39" s="830" t="str">
        <f>IF(SUM(J9:J38)&gt;0,SUM(J9:J38),"")</f>
        <v/>
      </c>
      <c r="K39" s="830" t="str">
        <f t="shared" ref="K39:L39" si="16">IF(SUM(K9:K38)&gt;0,SUM(K9:K38),"")</f>
        <v/>
      </c>
      <c r="L39" s="830" t="str">
        <f t="shared" si="16"/>
        <v/>
      </c>
      <c r="M39" s="830" t="str">
        <f t="shared" ref="M39" si="17">IF(SUM(M9:M38)&gt;0,SUM(M9:M38),"")</f>
        <v/>
      </c>
      <c r="N39" s="830" t="str">
        <f t="shared" ref="N39" si="18">IF(SUM(N9:N38)&gt;0,SUM(N9:N38),"")</f>
        <v/>
      </c>
      <c r="O39" s="830"/>
      <c r="P39" s="830"/>
      <c r="Q39" s="1"/>
      <c r="R39" s="1"/>
      <c r="S39" s="1"/>
      <c r="T39" s="1"/>
      <c r="U39" s="1"/>
      <c r="V39" s="1"/>
      <c r="BE39" s="392">
        <v>31</v>
      </c>
      <c r="BF39" s="393"/>
      <c r="BG39" s="331">
        <f t="shared" si="1"/>
        <v>0</v>
      </c>
      <c r="BH39" s="393"/>
      <c r="BI39" s="331">
        <f t="shared" si="3"/>
        <v>0</v>
      </c>
      <c r="BJ39" s="331">
        <f t="shared" si="4"/>
        <v>0</v>
      </c>
      <c r="BK39" s="393"/>
      <c r="BL39" s="331">
        <f t="shared" si="6"/>
        <v>0</v>
      </c>
      <c r="BM39" s="393"/>
      <c r="BN39" s="331">
        <f t="shared" si="8"/>
        <v>21</v>
      </c>
      <c r="BO39" s="331">
        <f t="shared" si="9"/>
        <v>0</v>
      </c>
      <c r="BP39" s="393"/>
      <c r="BQ39" s="331">
        <f t="shared" si="11"/>
        <v>0</v>
      </c>
      <c r="BR39" s="393"/>
    </row>
    <row r="40" spans="1:70" ht="27.75" customHeight="1" x14ac:dyDescent="0.45">
      <c r="A40" s="872">
        <v>32</v>
      </c>
      <c r="B40" s="859" t="s">
        <v>44</v>
      </c>
      <c r="C40" s="842">
        <f>DATE(N6,"5","1")</f>
        <v>44682</v>
      </c>
      <c r="D40" s="842" t="str">
        <f>IF(C40="","",INDEX({"रविवार";"सोमवार";"मंगळवार";"बुधवार";"गुरूवार";"शुक्रवार";"शनिवार"},WEEKDAY(C40)))</f>
        <v>रविवार</v>
      </c>
      <c r="E40" s="673"/>
      <c r="F40" s="673"/>
      <c r="G40" s="673"/>
      <c r="H40" s="673"/>
      <c r="I40" s="673"/>
      <c r="J40" s="673"/>
      <c r="K40" s="673"/>
      <c r="L40" s="673"/>
      <c r="M40" s="828"/>
      <c r="N40" s="828"/>
      <c r="O40" s="673"/>
      <c r="P40" s="673"/>
      <c r="Q40" s="1"/>
      <c r="R40" s="1"/>
      <c r="S40" s="1"/>
      <c r="T40" s="1"/>
      <c r="U40" s="1"/>
      <c r="V40" s="1"/>
      <c r="BE40" s="40" t="s">
        <v>35</v>
      </c>
      <c r="BF40" s="331">
        <f>E39</f>
        <v>506</v>
      </c>
      <c r="BG40" s="331" t="str">
        <f t="shared" si="1"/>
        <v/>
      </c>
      <c r="BH40" s="331">
        <f>E102</f>
        <v>234</v>
      </c>
      <c r="BI40" s="331">
        <f t="shared" si="3"/>
        <v>442</v>
      </c>
      <c r="BJ40" s="331">
        <f t="shared" si="4"/>
        <v>330</v>
      </c>
      <c r="BK40" s="331">
        <f>E197</f>
        <v>384</v>
      </c>
      <c r="BL40" s="331">
        <f t="shared" si="6"/>
        <v>236</v>
      </c>
      <c r="BM40" s="331">
        <f>E260</f>
        <v>418</v>
      </c>
      <c r="BN40" s="331">
        <f t="shared" si="8"/>
        <v>547</v>
      </c>
      <c r="BO40" s="331" t="str">
        <f t="shared" si="9"/>
        <v/>
      </c>
      <c r="BP40" s="331" t="str">
        <f>E354</f>
        <v/>
      </c>
      <c r="BQ40" s="331" t="str">
        <f t="shared" si="11"/>
        <v/>
      </c>
      <c r="BR40" s="393"/>
    </row>
    <row r="41" spans="1:70" ht="27.75" customHeight="1" x14ac:dyDescent="0.4">
      <c r="A41" s="872">
        <v>33</v>
      </c>
      <c r="B41" s="859" t="s">
        <v>44</v>
      </c>
      <c r="C41" s="842">
        <f t="shared" si="12"/>
        <v>44683</v>
      </c>
      <c r="D41" s="842" t="str">
        <f>IF(C41="","",INDEX({"रविवार";"सोमवार";"मंगळवार";"बुधवार";"गुरूवार";"शुक्रवार";"शनिवार"},WEEKDAY(C41)))</f>
        <v>सोमवार</v>
      </c>
      <c r="E41" s="673"/>
      <c r="F41" s="673"/>
      <c r="G41" s="673"/>
      <c r="H41" s="673"/>
      <c r="I41" s="673"/>
      <c r="J41" s="673"/>
      <c r="K41" s="673"/>
      <c r="L41" s="673"/>
      <c r="M41" s="828"/>
      <c r="N41" s="828"/>
      <c r="O41" s="673"/>
      <c r="P41" s="673"/>
      <c r="Q41" s="1"/>
      <c r="R41" s="1"/>
      <c r="S41" s="1"/>
      <c r="T41" s="1"/>
      <c r="U41" s="1"/>
      <c r="V41" s="1"/>
    </row>
    <row r="42" spans="1:70" ht="27.75" customHeight="1" x14ac:dyDescent="0.4">
      <c r="A42" s="872">
        <v>34</v>
      </c>
      <c r="B42" s="859" t="s">
        <v>44</v>
      </c>
      <c r="C42" s="842">
        <f t="shared" si="12"/>
        <v>44684</v>
      </c>
      <c r="D42" s="842" t="str">
        <f>IF(C42="","",INDEX({"रविवार";"सोमवार";"मंगळवार";"बुधवार";"गुरूवार";"शुक्रवार";"शनिवार"},WEEKDAY(C42)))</f>
        <v>मंगळवार</v>
      </c>
      <c r="E42" s="673"/>
      <c r="F42" s="673"/>
      <c r="G42" s="673"/>
      <c r="H42" s="673"/>
      <c r="I42" s="673"/>
      <c r="J42" s="673"/>
      <c r="K42" s="673"/>
      <c r="L42" s="673"/>
      <c r="M42" s="828"/>
      <c r="N42" s="828"/>
      <c r="O42" s="673"/>
      <c r="P42" s="673"/>
      <c r="Q42" s="1"/>
      <c r="R42" s="1"/>
      <c r="S42" s="1"/>
      <c r="T42" s="1"/>
      <c r="U42" s="1"/>
      <c r="V42" s="1"/>
    </row>
    <row r="43" spans="1:70" ht="27.75" customHeight="1" x14ac:dyDescent="0.4">
      <c r="A43" s="872">
        <v>35</v>
      </c>
      <c r="B43" s="859" t="s">
        <v>44</v>
      </c>
      <c r="C43" s="842">
        <f t="shared" si="12"/>
        <v>44685</v>
      </c>
      <c r="D43" s="842" t="str">
        <f>IF(C43="","",INDEX({"रविवार";"सोमवार";"मंगळवार";"बुधवार";"गुरूवार";"शुक्रवार";"शनिवार"},WEEKDAY(C43)))</f>
        <v>बुधवार</v>
      </c>
      <c r="E43" s="673"/>
      <c r="F43" s="673"/>
      <c r="G43" s="673"/>
      <c r="H43" s="673"/>
      <c r="I43" s="673"/>
      <c r="J43" s="673"/>
      <c r="K43" s="673"/>
      <c r="L43" s="673"/>
      <c r="M43" s="828"/>
      <c r="N43" s="828"/>
      <c r="O43" s="673"/>
      <c r="P43" s="673"/>
      <c r="Q43" s="1"/>
      <c r="R43" s="1"/>
      <c r="S43" s="1"/>
      <c r="T43" s="1"/>
      <c r="U43" s="1"/>
      <c r="V43" s="1"/>
    </row>
    <row r="44" spans="1:70" ht="27.75" customHeight="1" x14ac:dyDescent="0.4">
      <c r="A44" s="872">
        <v>36</v>
      </c>
      <c r="B44" s="859" t="s">
        <v>44</v>
      </c>
      <c r="C44" s="842">
        <f t="shared" si="12"/>
        <v>44686</v>
      </c>
      <c r="D44" s="842" t="str">
        <f>IF(C44="","",INDEX({"रविवार";"सोमवार";"मंगळवार";"बुधवार";"गुरूवार";"शुक्रवार";"शनिवार"},WEEKDAY(C44)))</f>
        <v>गुरूवार</v>
      </c>
      <c r="E44" s="673"/>
      <c r="F44" s="673"/>
      <c r="G44" s="673"/>
      <c r="H44" s="673"/>
      <c r="I44" s="673"/>
      <c r="J44" s="673"/>
      <c r="K44" s="673"/>
      <c r="L44" s="673"/>
      <c r="M44" s="828"/>
      <c r="N44" s="828"/>
      <c r="O44" s="673"/>
      <c r="P44" s="673"/>
      <c r="Q44" s="1"/>
      <c r="R44" s="1"/>
      <c r="S44" s="1"/>
      <c r="T44" s="1"/>
      <c r="U44" s="1"/>
      <c r="V44" s="1"/>
    </row>
    <row r="45" spans="1:70" ht="27.75" customHeight="1" x14ac:dyDescent="0.4">
      <c r="A45" s="872">
        <v>37</v>
      </c>
      <c r="B45" s="859" t="s">
        <v>44</v>
      </c>
      <c r="C45" s="842">
        <f t="shared" ref="C45:C70" si="19">C44+1</f>
        <v>44687</v>
      </c>
      <c r="D45" s="842" t="str">
        <f>IF(C45="","",INDEX({"रविवार";"सोमवार";"मंगळवार";"बुधवार";"गुरूवार";"शुक्रवार";"शनिवार"},WEEKDAY(C45)))</f>
        <v>शुक्रवार</v>
      </c>
      <c r="E45" s="673"/>
      <c r="F45" s="673"/>
      <c r="G45" s="673"/>
      <c r="H45" s="673"/>
      <c r="I45" s="673"/>
      <c r="J45" s="673"/>
      <c r="K45" s="673"/>
      <c r="L45" s="673"/>
      <c r="M45" s="828"/>
      <c r="N45" s="828"/>
      <c r="O45" s="673"/>
      <c r="P45" s="673"/>
      <c r="Q45" s="1"/>
      <c r="R45" s="1"/>
      <c r="S45" s="1"/>
      <c r="T45" s="1"/>
      <c r="U45" s="1"/>
      <c r="V45" s="1"/>
      <c r="BK45" s="380" t="s">
        <v>233</v>
      </c>
    </row>
    <row r="46" spans="1:70" ht="27.75" customHeight="1" x14ac:dyDescent="0.4">
      <c r="A46" s="872">
        <v>38</v>
      </c>
      <c r="B46" s="859" t="s">
        <v>44</v>
      </c>
      <c r="C46" s="842">
        <f t="shared" si="19"/>
        <v>44688</v>
      </c>
      <c r="D46" s="842" t="str">
        <f>IF(C46="","",INDEX({"रविवार";"सोमवार";"मंगळवार";"बुधवार";"गुरूवार";"शुक्रवार";"शनिवार"},WEEKDAY(C46)))</f>
        <v>शनिवार</v>
      </c>
      <c r="E46" s="673"/>
      <c r="F46" s="673"/>
      <c r="G46" s="673"/>
      <c r="H46" s="673"/>
      <c r="I46" s="673"/>
      <c r="J46" s="673"/>
      <c r="K46" s="673"/>
      <c r="L46" s="673"/>
      <c r="M46" s="828"/>
      <c r="N46" s="828"/>
      <c r="O46" s="673"/>
      <c r="P46" s="673"/>
      <c r="Q46" s="1"/>
      <c r="R46" s="1"/>
      <c r="S46" s="1"/>
      <c r="T46" s="1"/>
      <c r="U46" s="1"/>
      <c r="V46" s="1"/>
      <c r="BE46" s="38" t="s">
        <v>17</v>
      </c>
      <c r="BF46" s="390" t="s">
        <v>42</v>
      </c>
      <c r="BG46" s="390" t="s">
        <v>44</v>
      </c>
      <c r="BH46" s="390" t="s">
        <v>94</v>
      </c>
      <c r="BI46" s="390" t="s">
        <v>46</v>
      </c>
      <c r="BJ46" s="390" t="s">
        <v>34</v>
      </c>
      <c r="BK46" s="390" t="s">
        <v>37</v>
      </c>
      <c r="BL46" s="390" t="s">
        <v>47</v>
      </c>
      <c r="BM46" s="390" t="s">
        <v>38</v>
      </c>
      <c r="BN46" s="390" t="s">
        <v>39</v>
      </c>
      <c r="BO46" s="396" t="s">
        <v>33</v>
      </c>
      <c r="BP46" s="390" t="s">
        <v>40</v>
      </c>
      <c r="BQ46" s="390" t="s">
        <v>41</v>
      </c>
      <c r="BR46" s="192"/>
    </row>
    <row r="47" spans="1:70" ht="27.75" customHeight="1" x14ac:dyDescent="0.4">
      <c r="A47" s="872">
        <v>39</v>
      </c>
      <c r="B47" s="859" t="s">
        <v>44</v>
      </c>
      <c r="C47" s="842">
        <f t="shared" si="19"/>
        <v>44689</v>
      </c>
      <c r="D47" s="842" t="str">
        <f>IF(C47="","",INDEX({"रविवार";"सोमवार";"मंगळवार";"बुधवार";"गुरूवार";"शुक्रवार";"शनिवार"},WEEKDAY(C47)))</f>
        <v>रविवार</v>
      </c>
      <c r="E47" s="673"/>
      <c r="F47" s="673"/>
      <c r="G47" s="673"/>
      <c r="H47" s="673"/>
      <c r="I47" s="673"/>
      <c r="J47" s="673"/>
      <c r="K47" s="673"/>
      <c r="L47" s="673"/>
      <c r="M47" s="828"/>
      <c r="N47" s="828"/>
      <c r="O47" s="673"/>
      <c r="P47" s="673"/>
      <c r="Q47" s="1"/>
      <c r="R47" s="1"/>
      <c r="S47" s="1"/>
      <c r="T47" s="1"/>
      <c r="U47" s="1"/>
      <c r="V47" s="1"/>
      <c r="BE47" s="392">
        <v>1</v>
      </c>
      <c r="BF47" s="331">
        <f t="shared" ref="BF47:BF76" si="20">F9</f>
        <v>22</v>
      </c>
      <c r="BG47" s="331">
        <f t="shared" ref="BG47:BG78" si="21">F40</f>
        <v>0</v>
      </c>
      <c r="BH47" s="331">
        <f t="shared" ref="BH47:BH76" si="22">F72</f>
        <v>0</v>
      </c>
      <c r="BI47" s="331">
        <f t="shared" ref="BI47:BI78" si="23">F103</f>
        <v>17</v>
      </c>
      <c r="BJ47" s="331">
        <f t="shared" ref="BJ47:BJ78" si="24">F135</f>
        <v>15</v>
      </c>
      <c r="BK47" s="331">
        <f t="shared" ref="BK47:BK76" si="25">F167</f>
        <v>15</v>
      </c>
      <c r="BL47" s="331">
        <f t="shared" ref="BL47:BL78" si="26">F198</f>
        <v>22</v>
      </c>
      <c r="BM47" s="331">
        <f t="shared" ref="BM47:BM76" si="27">F230</f>
        <v>0</v>
      </c>
      <c r="BN47" s="331">
        <f t="shared" ref="BN47:BN78" si="28">F261</f>
        <v>22</v>
      </c>
      <c r="BO47" s="331">
        <f t="shared" ref="BO47:BO78" si="29">F293</f>
        <v>0</v>
      </c>
      <c r="BP47" s="331">
        <f t="shared" ref="BP47:BP75" si="30">F325</f>
        <v>0</v>
      </c>
      <c r="BQ47" s="331">
        <f t="shared" ref="BQ47:BQ78" si="31">F355</f>
        <v>0</v>
      </c>
      <c r="BR47" s="393"/>
    </row>
    <row r="48" spans="1:70" ht="27.75" customHeight="1" x14ac:dyDescent="0.4">
      <c r="A48" s="872">
        <v>40</v>
      </c>
      <c r="B48" s="859" t="s">
        <v>44</v>
      </c>
      <c r="C48" s="842">
        <f t="shared" si="19"/>
        <v>44690</v>
      </c>
      <c r="D48" s="842" t="str">
        <f>IF(C48="","",INDEX({"रविवार";"सोमवार";"मंगळवार";"बुधवार";"गुरूवार";"शुक्रवार";"शनिवार"},WEEKDAY(C48)))</f>
        <v>सोमवार</v>
      </c>
      <c r="E48" s="673"/>
      <c r="F48" s="673"/>
      <c r="G48" s="673"/>
      <c r="H48" s="673"/>
      <c r="I48" s="673"/>
      <c r="J48" s="673"/>
      <c r="K48" s="673"/>
      <c r="L48" s="673"/>
      <c r="M48" s="828"/>
      <c r="N48" s="828"/>
      <c r="O48" s="673"/>
      <c r="P48" s="673"/>
      <c r="Q48" s="1"/>
      <c r="R48" s="1"/>
      <c r="S48" s="1"/>
      <c r="T48" s="1"/>
      <c r="U48" s="1"/>
      <c r="V48" s="1"/>
      <c r="BE48" s="392">
        <v>2</v>
      </c>
      <c r="BF48" s="331">
        <f t="shared" si="20"/>
        <v>0</v>
      </c>
      <c r="BG48" s="331">
        <f t="shared" si="21"/>
        <v>0</v>
      </c>
      <c r="BH48" s="331">
        <f t="shared" si="22"/>
        <v>0</v>
      </c>
      <c r="BI48" s="331">
        <f t="shared" si="23"/>
        <v>17</v>
      </c>
      <c r="BJ48" s="331">
        <f t="shared" si="24"/>
        <v>15</v>
      </c>
      <c r="BK48" s="331">
        <f t="shared" si="25"/>
        <v>15</v>
      </c>
      <c r="BL48" s="331">
        <f t="shared" si="26"/>
        <v>0</v>
      </c>
      <c r="BM48" s="331">
        <f t="shared" si="27"/>
        <v>0</v>
      </c>
      <c r="BN48" s="331">
        <f t="shared" si="28"/>
        <v>21</v>
      </c>
      <c r="BO48" s="331">
        <f t="shared" si="29"/>
        <v>0</v>
      </c>
      <c r="BP48" s="331">
        <f t="shared" si="30"/>
        <v>0</v>
      </c>
      <c r="BQ48" s="331">
        <f t="shared" si="31"/>
        <v>0</v>
      </c>
      <c r="BR48" s="393"/>
    </row>
    <row r="49" spans="1:70" ht="27.75" customHeight="1" x14ac:dyDescent="0.4">
      <c r="A49" s="872">
        <v>41</v>
      </c>
      <c r="B49" s="859" t="s">
        <v>44</v>
      </c>
      <c r="C49" s="842">
        <f t="shared" si="19"/>
        <v>44691</v>
      </c>
      <c r="D49" s="842" t="str">
        <f>IF(C49="","",INDEX({"रविवार";"सोमवार";"मंगळवार";"बुधवार";"गुरूवार";"शुक्रवार";"शनिवार"},WEEKDAY(C49)))</f>
        <v>मंगळवार</v>
      </c>
      <c r="E49" s="673"/>
      <c r="F49" s="673"/>
      <c r="G49" s="673"/>
      <c r="H49" s="673"/>
      <c r="I49" s="673"/>
      <c r="J49" s="673"/>
      <c r="K49" s="673"/>
      <c r="L49" s="673"/>
      <c r="M49" s="828"/>
      <c r="N49" s="828"/>
      <c r="O49" s="673"/>
      <c r="P49" s="673"/>
      <c r="Q49" s="1"/>
      <c r="R49" s="1"/>
      <c r="S49" s="1"/>
      <c r="T49" s="1"/>
      <c r="U49" s="1"/>
      <c r="V49" s="1"/>
      <c r="BE49" s="392">
        <v>3</v>
      </c>
      <c r="BF49" s="331">
        <f t="shared" si="20"/>
        <v>0</v>
      </c>
      <c r="BG49" s="331">
        <f t="shared" si="21"/>
        <v>0</v>
      </c>
      <c r="BH49" s="331">
        <f t="shared" si="22"/>
        <v>0</v>
      </c>
      <c r="BI49" s="331">
        <f t="shared" si="23"/>
        <v>0</v>
      </c>
      <c r="BJ49" s="331">
        <f t="shared" si="24"/>
        <v>15</v>
      </c>
      <c r="BK49" s="331">
        <f t="shared" si="25"/>
        <v>15</v>
      </c>
      <c r="BL49" s="331">
        <f t="shared" si="26"/>
        <v>22</v>
      </c>
      <c r="BM49" s="331">
        <f t="shared" si="27"/>
        <v>0</v>
      </c>
      <c r="BN49" s="331">
        <f t="shared" si="28"/>
        <v>21</v>
      </c>
      <c r="BO49" s="331">
        <f t="shared" si="29"/>
        <v>0</v>
      </c>
      <c r="BP49" s="331">
        <f t="shared" si="30"/>
        <v>0</v>
      </c>
      <c r="BQ49" s="331">
        <f t="shared" si="31"/>
        <v>0</v>
      </c>
      <c r="BR49" s="393"/>
    </row>
    <row r="50" spans="1:70" ht="27.75" customHeight="1" x14ac:dyDescent="0.4">
      <c r="A50" s="872">
        <v>42</v>
      </c>
      <c r="B50" s="859" t="s">
        <v>44</v>
      </c>
      <c r="C50" s="842">
        <f t="shared" si="19"/>
        <v>44692</v>
      </c>
      <c r="D50" s="842" t="str">
        <f>IF(C50="","",INDEX({"रविवार";"सोमवार";"मंगळवार";"बुधवार";"गुरूवार";"शुक्रवार";"शनिवार"},WEEKDAY(C50)))</f>
        <v>बुधवार</v>
      </c>
      <c r="E50" s="673"/>
      <c r="F50" s="673"/>
      <c r="G50" s="673"/>
      <c r="H50" s="673"/>
      <c r="I50" s="673"/>
      <c r="J50" s="673"/>
      <c r="K50" s="673"/>
      <c r="L50" s="673"/>
      <c r="M50" s="828"/>
      <c r="N50" s="828"/>
      <c r="O50" s="673"/>
      <c r="P50" s="673"/>
      <c r="Q50" s="1"/>
      <c r="R50" s="1"/>
      <c r="S50" s="1"/>
      <c r="T50" s="1"/>
      <c r="U50" s="1"/>
      <c r="V50" s="1"/>
      <c r="BE50" s="392">
        <v>4</v>
      </c>
      <c r="BF50" s="331">
        <f t="shared" si="20"/>
        <v>22</v>
      </c>
      <c r="BG50" s="331">
        <f t="shared" si="21"/>
        <v>0</v>
      </c>
      <c r="BH50" s="331">
        <f t="shared" si="22"/>
        <v>0</v>
      </c>
      <c r="BI50" s="331">
        <f t="shared" si="23"/>
        <v>17</v>
      </c>
      <c r="BJ50" s="331">
        <f t="shared" si="24"/>
        <v>15</v>
      </c>
      <c r="BK50" s="331">
        <f t="shared" si="25"/>
        <v>0</v>
      </c>
      <c r="BL50" s="331">
        <f t="shared" si="26"/>
        <v>0</v>
      </c>
      <c r="BM50" s="331">
        <f t="shared" si="27"/>
        <v>0</v>
      </c>
      <c r="BN50" s="331">
        <f t="shared" si="28"/>
        <v>0</v>
      </c>
      <c r="BO50" s="331">
        <f t="shared" si="29"/>
        <v>0</v>
      </c>
      <c r="BP50" s="331">
        <f t="shared" si="30"/>
        <v>0</v>
      </c>
      <c r="BQ50" s="331">
        <f t="shared" si="31"/>
        <v>0</v>
      </c>
      <c r="BR50" s="393"/>
    </row>
    <row r="51" spans="1:70" ht="27.75" customHeight="1" x14ac:dyDescent="0.4">
      <c r="A51" s="872">
        <v>43</v>
      </c>
      <c r="B51" s="859" t="s">
        <v>44</v>
      </c>
      <c r="C51" s="842">
        <f t="shared" si="19"/>
        <v>44693</v>
      </c>
      <c r="D51" s="842" t="str">
        <f>IF(C51="","",INDEX({"रविवार";"सोमवार";"मंगळवार";"बुधवार";"गुरूवार";"शुक्रवार";"शनिवार"},WEEKDAY(C51)))</f>
        <v>गुरूवार</v>
      </c>
      <c r="E51" s="673"/>
      <c r="F51" s="673"/>
      <c r="G51" s="673"/>
      <c r="H51" s="673"/>
      <c r="I51" s="673"/>
      <c r="J51" s="673"/>
      <c r="K51" s="673"/>
      <c r="L51" s="673"/>
      <c r="M51" s="828"/>
      <c r="N51" s="828"/>
      <c r="O51" s="673"/>
      <c r="P51" s="673"/>
      <c r="Q51" s="1"/>
      <c r="R51" s="1"/>
      <c r="S51" s="1"/>
      <c r="T51" s="1"/>
      <c r="U51" s="1"/>
      <c r="V51" s="1"/>
      <c r="BE51" s="392">
        <v>5</v>
      </c>
      <c r="BF51" s="331">
        <f t="shared" si="20"/>
        <v>22</v>
      </c>
      <c r="BG51" s="331">
        <f t="shared" si="21"/>
        <v>0</v>
      </c>
      <c r="BH51" s="331">
        <f t="shared" si="22"/>
        <v>0</v>
      </c>
      <c r="BI51" s="331">
        <f t="shared" si="23"/>
        <v>17</v>
      </c>
      <c r="BJ51" s="331">
        <f t="shared" si="24"/>
        <v>15</v>
      </c>
      <c r="BK51" s="331">
        <f t="shared" si="25"/>
        <v>15</v>
      </c>
      <c r="BL51" s="331">
        <f t="shared" si="26"/>
        <v>0</v>
      </c>
      <c r="BM51" s="331">
        <f t="shared" si="27"/>
        <v>0</v>
      </c>
      <c r="BN51" s="331">
        <f t="shared" si="28"/>
        <v>21</v>
      </c>
      <c r="BO51" s="331">
        <f t="shared" si="29"/>
        <v>0</v>
      </c>
      <c r="BP51" s="331">
        <f t="shared" si="30"/>
        <v>0</v>
      </c>
      <c r="BQ51" s="331">
        <f t="shared" si="31"/>
        <v>0</v>
      </c>
      <c r="BR51" s="393"/>
    </row>
    <row r="52" spans="1:70" ht="27.75" customHeight="1" x14ac:dyDescent="0.4">
      <c r="A52" s="872">
        <v>44</v>
      </c>
      <c r="B52" s="859" t="s">
        <v>44</v>
      </c>
      <c r="C52" s="842">
        <f t="shared" si="19"/>
        <v>44694</v>
      </c>
      <c r="D52" s="842" t="str">
        <f>IF(C52="","",INDEX({"रविवार";"सोमवार";"मंगळवार";"बुधवार";"गुरूवार";"शुक्रवार";"शनिवार"},WEEKDAY(C52)))</f>
        <v>शुक्रवार</v>
      </c>
      <c r="E52" s="673"/>
      <c r="F52" s="673"/>
      <c r="G52" s="673"/>
      <c r="H52" s="673"/>
      <c r="I52" s="673"/>
      <c r="J52" s="673"/>
      <c r="K52" s="673"/>
      <c r="L52" s="673"/>
      <c r="M52" s="828"/>
      <c r="N52" s="828"/>
      <c r="O52" s="673"/>
      <c r="P52" s="673"/>
      <c r="Q52" s="1"/>
      <c r="R52" s="1"/>
      <c r="S52" s="1"/>
      <c r="T52" s="1"/>
      <c r="U52" s="1"/>
      <c r="V52" s="1"/>
      <c r="BE52" s="392">
        <v>6</v>
      </c>
      <c r="BF52" s="331">
        <f t="shared" si="20"/>
        <v>22</v>
      </c>
      <c r="BG52" s="331">
        <f t="shared" si="21"/>
        <v>0</v>
      </c>
      <c r="BH52" s="331">
        <f t="shared" si="22"/>
        <v>0</v>
      </c>
      <c r="BI52" s="331">
        <f t="shared" si="23"/>
        <v>17</v>
      </c>
      <c r="BJ52" s="331">
        <f t="shared" si="24"/>
        <v>15</v>
      </c>
      <c r="BK52" s="331">
        <f t="shared" si="25"/>
        <v>15</v>
      </c>
      <c r="BL52" s="331">
        <f t="shared" si="26"/>
        <v>16</v>
      </c>
      <c r="BM52" s="331">
        <f t="shared" si="27"/>
        <v>0</v>
      </c>
      <c r="BN52" s="331">
        <f t="shared" si="28"/>
        <v>0</v>
      </c>
      <c r="BO52" s="331">
        <f t="shared" si="29"/>
        <v>0</v>
      </c>
      <c r="BP52" s="331">
        <f t="shared" si="30"/>
        <v>0</v>
      </c>
      <c r="BQ52" s="331">
        <f t="shared" si="31"/>
        <v>0</v>
      </c>
      <c r="BR52" s="393"/>
    </row>
    <row r="53" spans="1:70" ht="27.75" customHeight="1" x14ac:dyDescent="0.4">
      <c r="A53" s="872">
        <v>45</v>
      </c>
      <c r="B53" s="859" t="s">
        <v>44</v>
      </c>
      <c r="C53" s="842">
        <f t="shared" si="19"/>
        <v>44695</v>
      </c>
      <c r="D53" s="842" t="str">
        <f>IF(C53="","",INDEX({"रविवार";"सोमवार";"मंगळवार";"बुधवार";"गुरूवार";"शुक्रवार";"शनिवार"},WEEKDAY(C53)))</f>
        <v>शनिवार</v>
      </c>
      <c r="E53" s="673"/>
      <c r="F53" s="673"/>
      <c r="G53" s="673"/>
      <c r="H53" s="673"/>
      <c r="I53" s="673"/>
      <c r="J53" s="673"/>
      <c r="K53" s="673"/>
      <c r="L53" s="673"/>
      <c r="M53" s="828"/>
      <c r="N53" s="828"/>
      <c r="O53" s="673"/>
      <c r="P53" s="673"/>
      <c r="Q53" s="1"/>
      <c r="R53" s="1"/>
      <c r="S53" s="1"/>
      <c r="T53" s="1"/>
      <c r="U53" s="1"/>
      <c r="V53" s="1"/>
      <c r="BE53" s="392">
        <v>7</v>
      </c>
      <c r="BF53" s="331">
        <f t="shared" si="20"/>
        <v>22</v>
      </c>
      <c r="BG53" s="331">
        <f t="shared" si="21"/>
        <v>0</v>
      </c>
      <c r="BH53" s="331">
        <f t="shared" si="22"/>
        <v>0</v>
      </c>
      <c r="BI53" s="331">
        <f t="shared" si="23"/>
        <v>17</v>
      </c>
      <c r="BJ53" s="331">
        <f t="shared" si="24"/>
        <v>0</v>
      </c>
      <c r="BK53" s="331">
        <f t="shared" si="25"/>
        <v>15</v>
      </c>
      <c r="BL53" s="331">
        <f t="shared" si="26"/>
        <v>22</v>
      </c>
      <c r="BM53" s="331">
        <f t="shared" si="27"/>
        <v>0</v>
      </c>
      <c r="BN53" s="331">
        <f t="shared" si="28"/>
        <v>21</v>
      </c>
      <c r="BO53" s="331">
        <f t="shared" si="29"/>
        <v>0</v>
      </c>
      <c r="BP53" s="331">
        <f t="shared" si="30"/>
        <v>0</v>
      </c>
      <c r="BQ53" s="331">
        <f t="shared" si="31"/>
        <v>0</v>
      </c>
      <c r="BR53" s="393"/>
    </row>
    <row r="54" spans="1:70" ht="27.75" customHeight="1" x14ac:dyDescent="0.4">
      <c r="A54" s="872">
        <v>46</v>
      </c>
      <c r="B54" s="859" t="s">
        <v>44</v>
      </c>
      <c r="C54" s="842">
        <f t="shared" si="19"/>
        <v>44696</v>
      </c>
      <c r="D54" s="842" t="str">
        <f>IF(C54="","",INDEX({"रविवार";"सोमवार";"मंगळवार";"बुधवार";"गुरूवार";"शुक्रवार";"शनिवार"},WEEKDAY(C54)))</f>
        <v>रविवार</v>
      </c>
      <c r="E54" s="673"/>
      <c r="F54" s="673"/>
      <c r="G54" s="673"/>
      <c r="H54" s="673"/>
      <c r="I54" s="673"/>
      <c r="J54" s="673"/>
      <c r="K54" s="673"/>
      <c r="L54" s="673"/>
      <c r="M54" s="828"/>
      <c r="N54" s="828"/>
      <c r="O54" s="673"/>
      <c r="P54" s="673"/>
      <c r="Q54" s="1"/>
      <c r="R54" s="1"/>
      <c r="S54" s="1"/>
      <c r="T54" s="1"/>
      <c r="U54" s="1"/>
      <c r="V54" s="1"/>
      <c r="BE54" s="392">
        <v>8</v>
      </c>
      <c r="BF54" s="331">
        <f t="shared" si="20"/>
        <v>22</v>
      </c>
      <c r="BG54" s="331">
        <f t="shared" si="21"/>
        <v>0</v>
      </c>
      <c r="BH54" s="331">
        <f t="shared" si="22"/>
        <v>0</v>
      </c>
      <c r="BI54" s="331">
        <f t="shared" si="23"/>
        <v>17</v>
      </c>
      <c r="BJ54" s="331">
        <f t="shared" si="24"/>
        <v>15</v>
      </c>
      <c r="BK54" s="331">
        <f t="shared" si="25"/>
        <v>15</v>
      </c>
      <c r="BL54" s="331">
        <f t="shared" si="26"/>
        <v>22</v>
      </c>
      <c r="BM54" s="331">
        <f t="shared" si="27"/>
        <v>0</v>
      </c>
      <c r="BN54" s="331">
        <f t="shared" si="28"/>
        <v>21</v>
      </c>
      <c r="BO54" s="331">
        <f t="shared" si="29"/>
        <v>0</v>
      </c>
      <c r="BP54" s="331">
        <f t="shared" si="30"/>
        <v>0</v>
      </c>
      <c r="BQ54" s="331">
        <f t="shared" si="31"/>
        <v>0</v>
      </c>
      <c r="BR54" s="393"/>
    </row>
    <row r="55" spans="1:70" ht="27.75" customHeight="1" x14ac:dyDescent="0.4">
      <c r="A55" s="872">
        <v>47</v>
      </c>
      <c r="B55" s="859" t="s">
        <v>44</v>
      </c>
      <c r="C55" s="842">
        <f t="shared" si="19"/>
        <v>44697</v>
      </c>
      <c r="D55" s="842" t="str">
        <f>IF(C55="","",INDEX({"रविवार";"सोमवार";"मंगळवार";"बुधवार";"गुरूवार";"शुक्रवार";"शनिवार"},WEEKDAY(C55)))</f>
        <v>सोमवार</v>
      </c>
      <c r="E55" s="673"/>
      <c r="F55" s="673"/>
      <c r="G55" s="673"/>
      <c r="H55" s="673"/>
      <c r="I55" s="673"/>
      <c r="J55" s="673"/>
      <c r="K55" s="673"/>
      <c r="L55" s="673"/>
      <c r="M55" s="828"/>
      <c r="N55" s="828"/>
      <c r="O55" s="673"/>
      <c r="P55" s="673"/>
      <c r="Q55" s="1"/>
      <c r="R55" s="1"/>
      <c r="S55" s="1"/>
      <c r="T55" s="1"/>
      <c r="U55" s="1"/>
      <c r="V55" s="1"/>
      <c r="BE55" s="392">
        <v>9</v>
      </c>
      <c r="BF55" s="331">
        <f t="shared" si="20"/>
        <v>22</v>
      </c>
      <c r="BG55" s="331">
        <f t="shared" si="21"/>
        <v>0</v>
      </c>
      <c r="BH55" s="331">
        <f t="shared" si="22"/>
        <v>0</v>
      </c>
      <c r="BI55" s="331">
        <f t="shared" si="23"/>
        <v>17</v>
      </c>
      <c r="BJ55" s="331">
        <f t="shared" si="24"/>
        <v>0</v>
      </c>
      <c r="BK55" s="331">
        <f t="shared" si="25"/>
        <v>0</v>
      </c>
      <c r="BL55" s="331">
        <f t="shared" si="26"/>
        <v>0</v>
      </c>
      <c r="BM55" s="331">
        <f t="shared" si="27"/>
        <v>22</v>
      </c>
      <c r="BN55" s="331">
        <f t="shared" si="28"/>
        <v>21</v>
      </c>
      <c r="BO55" s="331">
        <f t="shared" si="29"/>
        <v>0</v>
      </c>
      <c r="BP55" s="331">
        <f t="shared" si="30"/>
        <v>0</v>
      </c>
      <c r="BQ55" s="331">
        <f t="shared" si="31"/>
        <v>0</v>
      </c>
      <c r="BR55" s="393"/>
    </row>
    <row r="56" spans="1:70" ht="27.75" customHeight="1" x14ac:dyDescent="0.4">
      <c r="A56" s="872">
        <v>48</v>
      </c>
      <c r="B56" s="859" t="s">
        <v>44</v>
      </c>
      <c r="C56" s="842">
        <f t="shared" si="19"/>
        <v>44698</v>
      </c>
      <c r="D56" s="842" t="str">
        <f>IF(C56="","",INDEX({"रविवार";"सोमवार";"मंगळवार";"बुधवार";"गुरूवार";"शुक्रवार";"शनिवार"},WEEKDAY(C56)))</f>
        <v>मंगळवार</v>
      </c>
      <c r="E56" s="673"/>
      <c r="F56" s="673"/>
      <c r="G56" s="673"/>
      <c r="H56" s="673"/>
      <c r="I56" s="673"/>
      <c r="J56" s="673"/>
      <c r="K56" s="673"/>
      <c r="L56" s="673"/>
      <c r="M56" s="828"/>
      <c r="N56" s="828"/>
      <c r="O56" s="673"/>
      <c r="P56" s="673"/>
      <c r="Q56" s="1"/>
      <c r="R56" s="1"/>
      <c r="S56" s="1"/>
      <c r="T56" s="1"/>
      <c r="U56" s="1"/>
      <c r="V56" s="1"/>
      <c r="BE56" s="392">
        <v>10</v>
      </c>
      <c r="BF56" s="331">
        <f t="shared" si="20"/>
        <v>0</v>
      </c>
      <c r="BG56" s="331">
        <f t="shared" si="21"/>
        <v>0</v>
      </c>
      <c r="BH56" s="331">
        <f t="shared" si="22"/>
        <v>0</v>
      </c>
      <c r="BI56" s="331">
        <f t="shared" si="23"/>
        <v>0</v>
      </c>
      <c r="BJ56" s="331">
        <f t="shared" si="24"/>
        <v>15</v>
      </c>
      <c r="BK56" s="331">
        <f t="shared" si="25"/>
        <v>15</v>
      </c>
      <c r="BL56" s="331">
        <f t="shared" si="26"/>
        <v>22</v>
      </c>
      <c r="BM56" s="331">
        <f t="shared" si="27"/>
        <v>22</v>
      </c>
      <c r="BN56" s="331">
        <f t="shared" si="28"/>
        <v>21</v>
      </c>
      <c r="BO56" s="331">
        <f t="shared" si="29"/>
        <v>0</v>
      </c>
      <c r="BP56" s="331">
        <f t="shared" si="30"/>
        <v>0</v>
      </c>
      <c r="BQ56" s="331">
        <f t="shared" si="31"/>
        <v>0</v>
      </c>
      <c r="BR56" s="393"/>
    </row>
    <row r="57" spans="1:70" ht="27.75" customHeight="1" x14ac:dyDescent="0.4">
      <c r="A57" s="872">
        <v>49</v>
      </c>
      <c r="B57" s="859" t="s">
        <v>44</v>
      </c>
      <c r="C57" s="842">
        <f t="shared" si="19"/>
        <v>44699</v>
      </c>
      <c r="D57" s="842" t="str">
        <f>IF(C57="","",INDEX({"रविवार";"सोमवार";"मंगळवार";"बुधवार";"गुरूवार";"शुक्रवार";"शनिवार"},WEEKDAY(C57)))</f>
        <v>बुधवार</v>
      </c>
      <c r="E57" s="673"/>
      <c r="F57" s="673"/>
      <c r="G57" s="673"/>
      <c r="H57" s="673"/>
      <c r="I57" s="673"/>
      <c r="J57" s="673"/>
      <c r="K57" s="673"/>
      <c r="L57" s="673"/>
      <c r="M57" s="828"/>
      <c r="N57" s="828"/>
      <c r="O57" s="673"/>
      <c r="P57" s="673"/>
      <c r="Q57" s="1"/>
      <c r="R57" s="1"/>
      <c r="S57" s="1"/>
      <c r="T57" s="1"/>
      <c r="U57" s="1"/>
      <c r="V57" s="1"/>
      <c r="BE57" s="392">
        <v>11</v>
      </c>
      <c r="BF57" s="331">
        <f t="shared" si="20"/>
        <v>22</v>
      </c>
      <c r="BG57" s="331">
        <f t="shared" si="21"/>
        <v>0</v>
      </c>
      <c r="BH57" s="331">
        <f t="shared" si="22"/>
        <v>0</v>
      </c>
      <c r="BI57" s="331">
        <f t="shared" si="23"/>
        <v>17</v>
      </c>
      <c r="BJ57" s="331">
        <f t="shared" si="24"/>
        <v>15</v>
      </c>
      <c r="BK57" s="331">
        <f t="shared" si="25"/>
        <v>0</v>
      </c>
      <c r="BL57" s="331">
        <f t="shared" si="26"/>
        <v>22</v>
      </c>
      <c r="BM57" s="331">
        <f t="shared" si="27"/>
        <v>22</v>
      </c>
      <c r="BN57" s="331">
        <f t="shared" si="28"/>
        <v>0</v>
      </c>
      <c r="BO57" s="331">
        <f t="shared" si="29"/>
        <v>0</v>
      </c>
      <c r="BP57" s="331">
        <f t="shared" si="30"/>
        <v>0</v>
      </c>
      <c r="BQ57" s="331">
        <f t="shared" si="31"/>
        <v>0</v>
      </c>
      <c r="BR57" s="393"/>
    </row>
    <row r="58" spans="1:70" ht="27.75" customHeight="1" x14ac:dyDescent="0.4">
      <c r="A58" s="872">
        <v>50</v>
      </c>
      <c r="B58" s="859" t="s">
        <v>44</v>
      </c>
      <c r="C58" s="842">
        <f t="shared" si="19"/>
        <v>44700</v>
      </c>
      <c r="D58" s="842" t="str">
        <f>IF(C58="","",INDEX({"रविवार";"सोमवार";"मंगळवार";"बुधवार";"गुरूवार";"शुक्रवार";"शनिवार"},WEEKDAY(C58)))</f>
        <v>गुरूवार</v>
      </c>
      <c r="E58" s="673"/>
      <c r="F58" s="673"/>
      <c r="G58" s="673"/>
      <c r="H58" s="673"/>
      <c r="I58" s="673"/>
      <c r="J58" s="673"/>
      <c r="K58" s="673"/>
      <c r="L58" s="673"/>
      <c r="M58" s="828"/>
      <c r="N58" s="828"/>
      <c r="O58" s="673"/>
      <c r="P58" s="673"/>
      <c r="Q58" s="1"/>
      <c r="R58" s="1"/>
      <c r="S58" s="1"/>
      <c r="T58" s="1"/>
      <c r="U58" s="1"/>
      <c r="V58" s="1"/>
      <c r="BE58" s="392">
        <v>12</v>
      </c>
      <c r="BF58" s="331">
        <f t="shared" si="20"/>
        <v>22</v>
      </c>
      <c r="BG58" s="331">
        <f t="shared" si="21"/>
        <v>0</v>
      </c>
      <c r="BH58" s="331">
        <f t="shared" si="22"/>
        <v>0</v>
      </c>
      <c r="BI58" s="331">
        <f t="shared" si="23"/>
        <v>17</v>
      </c>
      <c r="BJ58" s="331">
        <f t="shared" si="24"/>
        <v>15</v>
      </c>
      <c r="BK58" s="331">
        <f t="shared" si="25"/>
        <v>16</v>
      </c>
      <c r="BL58" s="331">
        <f t="shared" si="26"/>
        <v>22</v>
      </c>
      <c r="BM58" s="331">
        <f t="shared" si="27"/>
        <v>22</v>
      </c>
      <c r="BN58" s="331">
        <f t="shared" si="28"/>
        <v>21</v>
      </c>
      <c r="BO58" s="331">
        <f t="shared" si="29"/>
        <v>0</v>
      </c>
      <c r="BP58" s="331">
        <f t="shared" si="30"/>
        <v>0</v>
      </c>
      <c r="BQ58" s="331">
        <f t="shared" si="31"/>
        <v>0</v>
      </c>
      <c r="BR58" s="393"/>
    </row>
    <row r="59" spans="1:70" ht="27.75" customHeight="1" x14ac:dyDescent="0.4">
      <c r="A59" s="872">
        <v>51</v>
      </c>
      <c r="B59" s="859" t="s">
        <v>44</v>
      </c>
      <c r="C59" s="842">
        <f t="shared" si="19"/>
        <v>44701</v>
      </c>
      <c r="D59" s="842" t="str">
        <f>IF(C59="","",INDEX({"रविवार";"सोमवार";"मंगळवार";"बुधवार";"गुरूवार";"शुक्रवार";"शनिवार"},WEEKDAY(C59)))</f>
        <v>शुक्रवार</v>
      </c>
      <c r="E59" s="673"/>
      <c r="F59" s="673"/>
      <c r="G59" s="673"/>
      <c r="H59" s="673"/>
      <c r="I59" s="673"/>
      <c r="J59" s="673"/>
      <c r="K59" s="673"/>
      <c r="L59" s="673"/>
      <c r="M59" s="828"/>
      <c r="N59" s="828"/>
      <c r="O59" s="673"/>
      <c r="P59" s="673"/>
      <c r="Q59" s="1"/>
      <c r="R59" s="1"/>
      <c r="S59" s="1"/>
      <c r="T59" s="1"/>
      <c r="U59" s="1"/>
      <c r="V59" s="1"/>
      <c r="BE59" s="392">
        <v>13</v>
      </c>
      <c r="BF59" s="331">
        <f t="shared" si="20"/>
        <v>22</v>
      </c>
      <c r="BG59" s="331">
        <f t="shared" si="21"/>
        <v>0</v>
      </c>
      <c r="BH59" s="331">
        <f t="shared" si="22"/>
        <v>0</v>
      </c>
      <c r="BI59" s="331">
        <f t="shared" si="23"/>
        <v>17</v>
      </c>
      <c r="BJ59" s="331">
        <f t="shared" si="24"/>
        <v>15</v>
      </c>
      <c r="BK59" s="331">
        <f t="shared" si="25"/>
        <v>16</v>
      </c>
      <c r="BL59" s="331">
        <f t="shared" si="26"/>
        <v>22</v>
      </c>
      <c r="BM59" s="331">
        <f t="shared" si="27"/>
        <v>0</v>
      </c>
      <c r="BN59" s="331">
        <f t="shared" si="28"/>
        <v>21</v>
      </c>
      <c r="BO59" s="331">
        <f t="shared" si="29"/>
        <v>0</v>
      </c>
      <c r="BP59" s="331">
        <f t="shared" si="30"/>
        <v>0</v>
      </c>
      <c r="BQ59" s="331">
        <f t="shared" si="31"/>
        <v>0</v>
      </c>
      <c r="BR59" s="393"/>
    </row>
    <row r="60" spans="1:70" ht="27.75" customHeight="1" x14ac:dyDescent="0.4">
      <c r="A60" s="872">
        <v>52</v>
      </c>
      <c r="B60" s="859" t="s">
        <v>44</v>
      </c>
      <c r="C60" s="842">
        <f t="shared" si="19"/>
        <v>44702</v>
      </c>
      <c r="D60" s="842" t="str">
        <f>IF(C60="","",INDEX({"रविवार";"सोमवार";"मंगळवार";"बुधवार";"गुरूवार";"शुक्रवार";"शनिवार"},WEEKDAY(C60)))</f>
        <v>शनिवार</v>
      </c>
      <c r="E60" s="673"/>
      <c r="F60" s="673"/>
      <c r="G60" s="673"/>
      <c r="H60" s="673"/>
      <c r="I60" s="673"/>
      <c r="J60" s="673"/>
      <c r="K60" s="673"/>
      <c r="L60" s="673"/>
      <c r="M60" s="828"/>
      <c r="N60" s="828"/>
      <c r="O60" s="673"/>
      <c r="P60" s="673"/>
      <c r="Q60" s="1"/>
      <c r="R60" s="1"/>
      <c r="S60" s="1"/>
      <c r="T60" s="1"/>
      <c r="U60" s="1"/>
      <c r="V60" s="1"/>
      <c r="BE60" s="392">
        <v>14</v>
      </c>
      <c r="BF60" s="331">
        <f t="shared" si="20"/>
        <v>0</v>
      </c>
      <c r="BG60" s="331">
        <f t="shared" si="21"/>
        <v>0</v>
      </c>
      <c r="BH60" s="331">
        <f t="shared" si="22"/>
        <v>0</v>
      </c>
      <c r="BI60" s="331">
        <f t="shared" si="23"/>
        <v>17</v>
      </c>
      <c r="BJ60" s="331">
        <f t="shared" si="24"/>
        <v>0</v>
      </c>
      <c r="BK60" s="331">
        <f t="shared" si="25"/>
        <v>16</v>
      </c>
      <c r="BL60" s="331">
        <f t="shared" si="26"/>
        <v>22</v>
      </c>
      <c r="BM60" s="331">
        <f t="shared" si="27"/>
        <v>22</v>
      </c>
      <c r="BN60" s="331">
        <f t="shared" si="28"/>
        <v>21</v>
      </c>
      <c r="BO60" s="331">
        <f t="shared" si="29"/>
        <v>0</v>
      </c>
      <c r="BP60" s="331">
        <f t="shared" si="30"/>
        <v>0</v>
      </c>
      <c r="BQ60" s="331">
        <f t="shared" si="31"/>
        <v>0</v>
      </c>
      <c r="BR60" s="393"/>
    </row>
    <row r="61" spans="1:70" ht="27.75" customHeight="1" x14ac:dyDescent="0.4">
      <c r="A61" s="872">
        <v>53</v>
      </c>
      <c r="B61" s="859" t="s">
        <v>44</v>
      </c>
      <c r="C61" s="842">
        <f t="shared" si="19"/>
        <v>44703</v>
      </c>
      <c r="D61" s="842" t="str">
        <f>IF(C61="","",INDEX({"रविवार";"सोमवार";"मंगळवार";"बुधवार";"गुरूवार";"शुक्रवार";"शनिवार"},WEEKDAY(C61)))</f>
        <v>रविवार</v>
      </c>
      <c r="E61" s="673"/>
      <c r="F61" s="673"/>
      <c r="G61" s="673"/>
      <c r="H61" s="673"/>
      <c r="I61" s="673"/>
      <c r="J61" s="673"/>
      <c r="K61" s="673"/>
      <c r="L61" s="673"/>
      <c r="M61" s="828"/>
      <c r="N61" s="828"/>
      <c r="O61" s="673"/>
      <c r="P61" s="673"/>
      <c r="Q61" s="1"/>
      <c r="R61" s="1"/>
      <c r="S61" s="1"/>
      <c r="T61" s="1"/>
      <c r="U61" s="1"/>
      <c r="V61" s="1"/>
      <c r="BE61" s="392">
        <v>15</v>
      </c>
      <c r="BF61" s="331">
        <f t="shared" si="20"/>
        <v>0</v>
      </c>
      <c r="BG61" s="331">
        <f t="shared" si="21"/>
        <v>0</v>
      </c>
      <c r="BH61" s="331">
        <f t="shared" si="22"/>
        <v>16</v>
      </c>
      <c r="BI61" s="331">
        <f t="shared" si="23"/>
        <v>17</v>
      </c>
      <c r="BJ61" s="331">
        <f t="shared" si="24"/>
        <v>0</v>
      </c>
      <c r="BK61" s="331">
        <f t="shared" si="25"/>
        <v>16</v>
      </c>
      <c r="BL61" s="331">
        <f t="shared" si="26"/>
        <v>22</v>
      </c>
      <c r="BM61" s="331">
        <f t="shared" si="27"/>
        <v>22</v>
      </c>
      <c r="BN61" s="331">
        <f t="shared" si="28"/>
        <v>21</v>
      </c>
      <c r="BO61" s="331">
        <f t="shared" si="29"/>
        <v>0</v>
      </c>
      <c r="BP61" s="331">
        <f t="shared" si="30"/>
        <v>0</v>
      </c>
      <c r="BQ61" s="331">
        <f t="shared" si="31"/>
        <v>0</v>
      </c>
      <c r="BR61" s="393"/>
    </row>
    <row r="62" spans="1:70" ht="27.75" customHeight="1" x14ac:dyDescent="0.4">
      <c r="A62" s="872">
        <v>54</v>
      </c>
      <c r="B62" s="859" t="s">
        <v>44</v>
      </c>
      <c r="C62" s="842">
        <f t="shared" si="19"/>
        <v>44704</v>
      </c>
      <c r="D62" s="842" t="str">
        <f>IF(C62="","",INDEX({"रविवार";"सोमवार";"मंगळवार";"बुधवार";"गुरूवार";"शुक्रवार";"शनिवार"},WEEKDAY(C62)))</f>
        <v>सोमवार</v>
      </c>
      <c r="E62" s="673"/>
      <c r="F62" s="673"/>
      <c r="G62" s="673"/>
      <c r="H62" s="673"/>
      <c r="I62" s="673"/>
      <c r="J62" s="673"/>
      <c r="K62" s="673"/>
      <c r="L62" s="673"/>
      <c r="M62" s="828"/>
      <c r="N62" s="828"/>
      <c r="O62" s="673"/>
      <c r="P62" s="673"/>
      <c r="Q62" s="1"/>
      <c r="R62" s="1"/>
      <c r="S62" s="1"/>
      <c r="T62" s="1"/>
      <c r="U62" s="1"/>
      <c r="V62" s="1"/>
      <c r="BE62" s="392">
        <v>16</v>
      </c>
      <c r="BF62" s="331">
        <f t="shared" si="20"/>
        <v>22</v>
      </c>
      <c r="BG62" s="331">
        <f t="shared" si="21"/>
        <v>0</v>
      </c>
      <c r="BH62" s="331">
        <f t="shared" si="22"/>
        <v>16</v>
      </c>
      <c r="BI62" s="331">
        <f t="shared" si="23"/>
        <v>17</v>
      </c>
      <c r="BJ62" s="331">
        <f t="shared" si="24"/>
        <v>0</v>
      </c>
      <c r="BK62" s="331">
        <f t="shared" si="25"/>
        <v>16</v>
      </c>
      <c r="BL62" s="331">
        <f t="shared" si="26"/>
        <v>0</v>
      </c>
      <c r="BM62" s="331">
        <f t="shared" si="27"/>
        <v>22</v>
      </c>
      <c r="BN62" s="331">
        <f t="shared" si="28"/>
        <v>21</v>
      </c>
      <c r="BO62" s="331">
        <f t="shared" si="29"/>
        <v>0</v>
      </c>
      <c r="BP62" s="331">
        <f t="shared" si="30"/>
        <v>0</v>
      </c>
      <c r="BQ62" s="331">
        <f t="shared" si="31"/>
        <v>0</v>
      </c>
      <c r="BR62" s="393"/>
    </row>
    <row r="63" spans="1:70" ht="27.75" customHeight="1" x14ac:dyDescent="0.4">
      <c r="A63" s="872">
        <v>55</v>
      </c>
      <c r="B63" s="859" t="s">
        <v>44</v>
      </c>
      <c r="C63" s="842">
        <f t="shared" si="19"/>
        <v>44705</v>
      </c>
      <c r="D63" s="842" t="str">
        <f>IF(C63="","",INDEX({"रविवार";"सोमवार";"मंगळवार";"बुधवार";"गुरूवार";"शुक्रवार";"शनिवार"},WEEKDAY(C63)))</f>
        <v>मंगळवार</v>
      </c>
      <c r="E63" s="673"/>
      <c r="F63" s="673"/>
      <c r="G63" s="673"/>
      <c r="H63" s="673"/>
      <c r="I63" s="673"/>
      <c r="J63" s="673"/>
      <c r="K63" s="673"/>
      <c r="L63" s="673"/>
      <c r="M63" s="828"/>
      <c r="N63" s="828"/>
      <c r="O63" s="673"/>
      <c r="P63" s="673"/>
      <c r="Q63" s="1"/>
      <c r="R63" s="1"/>
      <c r="S63" s="1"/>
      <c r="T63" s="1"/>
      <c r="U63" s="1"/>
      <c r="V63" s="1"/>
      <c r="BE63" s="392">
        <v>17</v>
      </c>
      <c r="BF63" s="331">
        <f t="shared" si="20"/>
        <v>0</v>
      </c>
      <c r="BG63" s="331">
        <f t="shared" si="21"/>
        <v>0</v>
      </c>
      <c r="BH63" s="331">
        <f t="shared" si="22"/>
        <v>16</v>
      </c>
      <c r="BI63" s="331">
        <f t="shared" si="23"/>
        <v>0</v>
      </c>
      <c r="BJ63" s="331">
        <f t="shared" si="24"/>
        <v>15</v>
      </c>
      <c r="BK63" s="331">
        <f t="shared" si="25"/>
        <v>0</v>
      </c>
      <c r="BL63" s="331">
        <f t="shared" si="26"/>
        <v>0</v>
      </c>
      <c r="BM63" s="331">
        <f t="shared" si="27"/>
        <v>22</v>
      </c>
      <c r="BN63" s="331">
        <f t="shared" si="28"/>
        <v>21</v>
      </c>
      <c r="BO63" s="331">
        <f t="shared" si="29"/>
        <v>0</v>
      </c>
      <c r="BP63" s="331">
        <f t="shared" si="30"/>
        <v>0</v>
      </c>
      <c r="BQ63" s="331">
        <f t="shared" si="31"/>
        <v>0</v>
      </c>
      <c r="BR63" s="393"/>
    </row>
    <row r="64" spans="1:70" ht="27.75" customHeight="1" x14ac:dyDescent="0.4">
      <c r="A64" s="872">
        <v>56</v>
      </c>
      <c r="B64" s="859" t="s">
        <v>44</v>
      </c>
      <c r="C64" s="842">
        <f t="shared" si="19"/>
        <v>44706</v>
      </c>
      <c r="D64" s="842" t="str">
        <f>IF(C64="","",INDEX({"रविवार";"सोमवार";"मंगळवार";"बुधवार";"गुरूवार";"शुक्रवार";"शनिवार"},WEEKDAY(C64)))</f>
        <v>बुधवार</v>
      </c>
      <c r="E64" s="673"/>
      <c r="F64" s="673"/>
      <c r="G64" s="673"/>
      <c r="H64" s="673"/>
      <c r="I64" s="673"/>
      <c r="J64" s="673"/>
      <c r="K64" s="673"/>
      <c r="L64" s="673"/>
      <c r="M64" s="828"/>
      <c r="N64" s="828"/>
      <c r="O64" s="673"/>
      <c r="P64" s="673"/>
      <c r="Q64" s="1"/>
      <c r="R64" s="1"/>
      <c r="S64" s="1"/>
      <c r="T64" s="1"/>
      <c r="U64" s="1"/>
      <c r="V64" s="1"/>
      <c r="BE64" s="392">
        <v>18</v>
      </c>
      <c r="BF64" s="331">
        <f t="shared" si="20"/>
        <v>22</v>
      </c>
      <c r="BG64" s="331">
        <f t="shared" si="21"/>
        <v>0</v>
      </c>
      <c r="BH64" s="331">
        <f t="shared" si="22"/>
        <v>16</v>
      </c>
      <c r="BI64" s="331">
        <f t="shared" si="23"/>
        <v>17</v>
      </c>
      <c r="BJ64" s="331">
        <f t="shared" si="24"/>
        <v>15</v>
      </c>
      <c r="BK64" s="331">
        <f t="shared" si="25"/>
        <v>0</v>
      </c>
      <c r="BL64" s="331">
        <f t="shared" si="26"/>
        <v>0</v>
      </c>
      <c r="BM64" s="331">
        <f t="shared" si="27"/>
        <v>22</v>
      </c>
      <c r="BN64" s="331">
        <f t="shared" si="28"/>
        <v>0</v>
      </c>
      <c r="BO64" s="331">
        <f t="shared" si="29"/>
        <v>0</v>
      </c>
      <c r="BP64" s="331">
        <f t="shared" si="30"/>
        <v>0</v>
      </c>
      <c r="BQ64" s="331">
        <f t="shared" si="31"/>
        <v>0</v>
      </c>
      <c r="BR64" s="393"/>
    </row>
    <row r="65" spans="1:70" ht="27.75" customHeight="1" x14ac:dyDescent="0.4">
      <c r="A65" s="872">
        <v>57</v>
      </c>
      <c r="B65" s="859" t="s">
        <v>44</v>
      </c>
      <c r="C65" s="842">
        <f t="shared" si="19"/>
        <v>44707</v>
      </c>
      <c r="D65" s="842" t="str">
        <f>IF(C65="","",INDEX({"रविवार";"सोमवार";"मंगळवार";"बुधवार";"गुरूवार";"शुक्रवार";"शनिवार"},WEEKDAY(C65)))</f>
        <v>गुरूवार</v>
      </c>
      <c r="E65" s="673"/>
      <c r="F65" s="673"/>
      <c r="G65" s="673"/>
      <c r="H65" s="673"/>
      <c r="I65" s="673"/>
      <c r="J65" s="673"/>
      <c r="K65" s="673"/>
      <c r="L65" s="673"/>
      <c r="M65" s="828"/>
      <c r="N65" s="828"/>
      <c r="O65" s="673"/>
      <c r="P65" s="673"/>
      <c r="Q65" s="1"/>
      <c r="R65" s="1"/>
      <c r="S65" s="1"/>
      <c r="T65" s="1"/>
      <c r="U65" s="1"/>
      <c r="V65" s="1"/>
      <c r="BE65" s="392">
        <v>19</v>
      </c>
      <c r="BF65" s="331">
        <f t="shared" si="20"/>
        <v>22</v>
      </c>
      <c r="BG65" s="331">
        <f t="shared" si="21"/>
        <v>0</v>
      </c>
      <c r="BH65" s="331">
        <f t="shared" si="22"/>
        <v>0</v>
      </c>
      <c r="BI65" s="331">
        <f t="shared" si="23"/>
        <v>17</v>
      </c>
      <c r="BJ65" s="331">
        <f t="shared" si="24"/>
        <v>15</v>
      </c>
      <c r="BK65" s="331">
        <f t="shared" si="25"/>
        <v>16</v>
      </c>
      <c r="BL65" s="331">
        <f t="shared" si="26"/>
        <v>0</v>
      </c>
      <c r="BM65" s="331">
        <f t="shared" si="27"/>
        <v>22</v>
      </c>
      <c r="BN65" s="331">
        <f t="shared" si="28"/>
        <v>21</v>
      </c>
      <c r="BO65" s="331">
        <f t="shared" si="29"/>
        <v>0</v>
      </c>
      <c r="BP65" s="331">
        <f t="shared" si="30"/>
        <v>0</v>
      </c>
      <c r="BQ65" s="331">
        <f t="shared" si="31"/>
        <v>0</v>
      </c>
      <c r="BR65" s="393"/>
    </row>
    <row r="66" spans="1:70" ht="27.75" customHeight="1" x14ac:dyDescent="0.4">
      <c r="A66" s="872">
        <v>58</v>
      </c>
      <c r="B66" s="859" t="s">
        <v>44</v>
      </c>
      <c r="C66" s="842">
        <f t="shared" si="19"/>
        <v>44708</v>
      </c>
      <c r="D66" s="842" t="str">
        <f>IF(C66="","",INDEX({"रविवार";"सोमवार";"मंगळवार";"बुधवार";"गुरूवार";"शुक्रवार";"शनिवार"},WEEKDAY(C66)))</f>
        <v>शुक्रवार</v>
      </c>
      <c r="E66" s="673"/>
      <c r="F66" s="673"/>
      <c r="G66" s="673"/>
      <c r="H66" s="673"/>
      <c r="I66" s="673"/>
      <c r="J66" s="673"/>
      <c r="K66" s="673"/>
      <c r="L66" s="673"/>
      <c r="M66" s="828"/>
      <c r="N66" s="828"/>
      <c r="O66" s="673"/>
      <c r="P66" s="673"/>
      <c r="Q66" s="1"/>
      <c r="R66" s="1"/>
      <c r="S66" s="1"/>
      <c r="T66" s="1"/>
      <c r="U66" s="1"/>
      <c r="V66" s="1"/>
      <c r="BE66" s="392">
        <v>20</v>
      </c>
      <c r="BF66" s="331">
        <f t="shared" si="20"/>
        <v>22</v>
      </c>
      <c r="BG66" s="331">
        <f t="shared" si="21"/>
        <v>0</v>
      </c>
      <c r="BH66" s="331">
        <f t="shared" si="22"/>
        <v>17</v>
      </c>
      <c r="BI66" s="331">
        <f t="shared" si="23"/>
        <v>17</v>
      </c>
      <c r="BJ66" s="331">
        <f t="shared" si="24"/>
        <v>15</v>
      </c>
      <c r="BK66" s="331">
        <f t="shared" si="25"/>
        <v>16</v>
      </c>
      <c r="BL66" s="331">
        <f t="shared" si="26"/>
        <v>0</v>
      </c>
      <c r="BM66" s="331">
        <f t="shared" si="27"/>
        <v>0</v>
      </c>
      <c r="BN66" s="331">
        <f t="shared" si="28"/>
        <v>21</v>
      </c>
      <c r="BO66" s="331">
        <f t="shared" si="29"/>
        <v>0</v>
      </c>
      <c r="BP66" s="331">
        <f t="shared" si="30"/>
        <v>0</v>
      </c>
      <c r="BQ66" s="331">
        <f t="shared" si="31"/>
        <v>0</v>
      </c>
      <c r="BR66" s="393"/>
    </row>
    <row r="67" spans="1:70" ht="27.75" customHeight="1" x14ac:dyDescent="0.4">
      <c r="A67" s="872">
        <v>59</v>
      </c>
      <c r="B67" s="859" t="s">
        <v>44</v>
      </c>
      <c r="C67" s="842">
        <f t="shared" si="19"/>
        <v>44709</v>
      </c>
      <c r="D67" s="842" t="str">
        <f>IF(C67="","",INDEX({"रविवार";"सोमवार";"मंगळवार";"बुधवार";"गुरूवार";"शुक्रवार";"शनिवार"},WEEKDAY(C67)))</f>
        <v>शनिवार</v>
      </c>
      <c r="E67" s="673"/>
      <c r="F67" s="673"/>
      <c r="G67" s="673"/>
      <c r="H67" s="673"/>
      <c r="I67" s="673"/>
      <c r="J67" s="673"/>
      <c r="K67" s="673"/>
      <c r="L67" s="673"/>
      <c r="M67" s="828"/>
      <c r="N67" s="828"/>
      <c r="O67" s="673"/>
      <c r="P67" s="673"/>
      <c r="Q67" s="1"/>
      <c r="R67" s="1"/>
      <c r="S67" s="1"/>
      <c r="T67" s="1"/>
      <c r="U67" s="1"/>
      <c r="V67" s="1"/>
      <c r="BE67" s="392">
        <v>21</v>
      </c>
      <c r="BF67" s="331">
        <f t="shared" si="20"/>
        <v>22</v>
      </c>
      <c r="BG67" s="331">
        <f t="shared" si="21"/>
        <v>0</v>
      </c>
      <c r="BH67" s="331">
        <f t="shared" si="22"/>
        <v>17</v>
      </c>
      <c r="BI67" s="331">
        <f t="shared" si="23"/>
        <v>17</v>
      </c>
      <c r="BJ67" s="331">
        <f t="shared" si="24"/>
        <v>0</v>
      </c>
      <c r="BK67" s="331">
        <f t="shared" si="25"/>
        <v>16</v>
      </c>
      <c r="BL67" s="331">
        <f t="shared" si="26"/>
        <v>0</v>
      </c>
      <c r="BM67" s="331">
        <f t="shared" si="27"/>
        <v>22</v>
      </c>
      <c r="BN67" s="331">
        <f t="shared" si="28"/>
        <v>21</v>
      </c>
      <c r="BO67" s="331">
        <f t="shared" si="29"/>
        <v>0</v>
      </c>
      <c r="BP67" s="331">
        <f t="shared" si="30"/>
        <v>0</v>
      </c>
      <c r="BQ67" s="331">
        <f t="shared" si="31"/>
        <v>0</v>
      </c>
      <c r="BR67" s="393"/>
    </row>
    <row r="68" spans="1:70" ht="27.75" customHeight="1" x14ac:dyDescent="0.4">
      <c r="A68" s="872">
        <v>60</v>
      </c>
      <c r="B68" s="859" t="s">
        <v>44</v>
      </c>
      <c r="C68" s="842">
        <f t="shared" si="19"/>
        <v>44710</v>
      </c>
      <c r="D68" s="842" t="str">
        <f>IF(C68="","",INDEX({"रविवार";"सोमवार";"मंगळवार";"बुधवार";"गुरूवार";"शुक्रवार";"शनिवार"},WEEKDAY(C68)))</f>
        <v>रविवार</v>
      </c>
      <c r="E68" s="673"/>
      <c r="F68" s="673"/>
      <c r="G68" s="673"/>
      <c r="H68" s="673"/>
      <c r="I68" s="673"/>
      <c r="J68" s="673"/>
      <c r="K68" s="673"/>
      <c r="L68" s="673"/>
      <c r="M68" s="828"/>
      <c r="N68" s="828"/>
      <c r="O68" s="673"/>
      <c r="P68" s="673"/>
      <c r="Q68" s="1"/>
      <c r="R68" s="1"/>
      <c r="S68" s="1"/>
      <c r="T68" s="1"/>
      <c r="U68" s="1"/>
      <c r="V68" s="1"/>
      <c r="BE68" s="392">
        <v>22</v>
      </c>
      <c r="BF68" s="331">
        <f t="shared" si="20"/>
        <v>22</v>
      </c>
      <c r="BG68" s="331">
        <f t="shared" si="21"/>
        <v>0</v>
      </c>
      <c r="BH68" s="331">
        <f t="shared" si="22"/>
        <v>17</v>
      </c>
      <c r="BI68" s="331">
        <f t="shared" si="23"/>
        <v>17</v>
      </c>
      <c r="BJ68" s="331">
        <f t="shared" si="24"/>
        <v>15</v>
      </c>
      <c r="BK68" s="331">
        <f t="shared" si="25"/>
        <v>16</v>
      </c>
      <c r="BL68" s="331">
        <f t="shared" si="26"/>
        <v>0</v>
      </c>
      <c r="BM68" s="331">
        <f t="shared" si="27"/>
        <v>22</v>
      </c>
      <c r="BN68" s="331">
        <f t="shared" si="28"/>
        <v>21</v>
      </c>
      <c r="BO68" s="331">
        <f t="shared" si="29"/>
        <v>0</v>
      </c>
      <c r="BP68" s="331">
        <f t="shared" si="30"/>
        <v>0</v>
      </c>
      <c r="BQ68" s="331">
        <f t="shared" si="31"/>
        <v>0</v>
      </c>
      <c r="BR68" s="393"/>
    </row>
    <row r="69" spans="1:70" ht="27.75" customHeight="1" x14ac:dyDescent="0.4">
      <c r="A69" s="872">
        <v>61</v>
      </c>
      <c r="B69" s="859" t="s">
        <v>44</v>
      </c>
      <c r="C69" s="842">
        <f t="shared" si="19"/>
        <v>44711</v>
      </c>
      <c r="D69" s="842" t="str">
        <f>IF(C69="","",INDEX({"रविवार";"सोमवार";"मंगळवार";"बुधवार";"गुरूवार";"शुक्रवार";"शनिवार"},WEEKDAY(C69)))</f>
        <v>सोमवार</v>
      </c>
      <c r="E69" s="673"/>
      <c r="F69" s="673"/>
      <c r="G69" s="673"/>
      <c r="H69" s="673"/>
      <c r="I69" s="673"/>
      <c r="J69" s="673"/>
      <c r="K69" s="673"/>
      <c r="L69" s="673"/>
      <c r="M69" s="828"/>
      <c r="N69" s="828"/>
      <c r="O69" s="673"/>
      <c r="P69" s="673"/>
      <c r="Q69" s="1"/>
      <c r="R69" s="1"/>
      <c r="S69" s="1"/>
      <c r="T69" s="1"/>
      <c r="U69" s="1"/>
      <c r="V69" s="1"/>
      <c r="BE69" s="392">
        <v>23</v>
      </c>
      <c r="BF69" s="331">
        <f t="shared" si="20"/>
        <v>22</v>
      </c>
      <c r="BG69" s="331">
        <f t="shared" si="21"/>
        <v>0</v>
      </c>
      <c r="BH69" s="331">
        <f t="shared" si="22"/>
        <v>17</v>
      </c>
      <c r="BI69" s="331">
        <f t="shared" si="23"/>
        <v>17</v>
      </c>
      <c r="BJ69" s="331">
        <f t="shared" si="24"/>
        <v>15</v>
      </c>
      <c r="BK69" s="331">
        <f t="shared" si="25"/>
        <v>16</v>
      </c>
      <c r="BL69" s="331">
        <f t="shared" si="26"/>
        <v>0</v>
      </c>
      <c r="BM69" s="331">
        <f t="shared" si="27"/>
        <v>22</v>
      </c>
      <c r="BN69" s="331">
        <f t="shared" si="28"/>
        <v>21</v>
      </c>
      <c r="BO69" s="331">
        <f t="shared" si="29"/>
        <v>0</v>
      </c>
      <c r="BP69" s="331">
        <f t="shared" si="30"/>
        <v>0</v>
      </c>
      <c r="BQ69" s="331">
        <f t="shared" si="31"/>
        <v>0</v>
      </c>
      <c r="BR69" s="393"/>
    </row>
    <row r="70" spans="1:70" ht="27.75" customHeight="1" x14ac:dyDescent="0.4">
      <c r="A70" s="872">
        <v>62</v>
      </c>
      <c r="B70" s="859" t="s">
        <v>44</v>
      </c>
      <c r="C70" s="842">
        <f t="shared" si="19"/>
        <v>44712</v>
      </c>
      <c r="D70" s="842" t="str">
        <f>IF(C70="","",INDEX({"रविवार";"सोमवार";"मंगळवार";"बुधवार";"गुरूवार";"शुक्रवार";"शनिवार"},WEEKDAY(C70)))</f>
        <v>मंगळवार</v>
      </c>
      <c r="E70" s="673"/>
      <c r="F70" s="673"/>
      <c r="G70" s="673"/>
      <c r="H70" s="673"/>
      <c r="I70" s="673"/>
      <c r="J70" s="673"/>
      <c r="K70" s="673"/>
      <c r="L70" s="673"/>
      <c r="M70" s="828"/>
      <c r="N70" s="828"/>
      <c r="O70" s="673"/>
      <c r="P70" s="673"/>
      <c r="Q70" s="1"/>
      <c r="R70" s="1"/>
      <c r="S70" s="1"/>
      <c r="T70" s="1"/>
      <c r="U70" s="1"/>
      <c r="V70" s="1"/>
      <c r="BE70" s="392">
        <v>24</v>
      </c>
      <c r="BF70" s="331">
        <f t="shared" si="20"/>
        <v>0</v>
      </c>
      <c r="BG70" s="331">
        <f t="shared" si="21"/>
        <v>0</v>
      </c>
      <c r="BH70" s="331">
        <f t="shared" si="22"/>
        <v>17</v>
      </c>
      <c r="BI70" s="331">
        <f t="shared" si="23"/>
        <v>0</v>
      </c>
      <c r="BJ70" s="331">
        <f t="shared" si="24"/>
        <v>15</v>
      </c>
      <c r="BK70" s="331">
        <f t="shared" si="25"/>
        <v>16</v>
      </c>
      <c r="BL70" s="331">
        <f t="shared" si="26"/>
        <v>0</v>
      </c>
      <c r="BM70" s="331">
        <f t="shared" si="27"/>
        <v>22</v>
      </c>
      <c r="BN70" s="331">
        <f t="shared" si="28"/>
        <v>21</v>
      </c>
      <c r="BO70" s="331">
        <f t="shared" si="29"/>
        <v>0</v>
      </c>
      <c r="BP70" s="331">
        <f t="shared" si="30"/>
        <v>0</v>
      </c>
      <c r="BQ70" s="331">
        <f t="shared" si="31"/>
        <v>0</v>
      </c>
      <c r="BR70" s="393"/>
    </row>
    <row r="71" spans="1:70" ht="27.75" customHeight="1" x14ac:dyDescent="0.4">
      <c r="A71" s="872">
        <v>63</v>
      </c>
      <c r="B71" s="859" t="s">
        <v>44</v>
      </c>
      <c r="C71" s="841" t="s">
        <v>35</v>
      </c>
      <c r="D71" s="829"/>
      <c r="E71" s="829" t="str">
        <f>IF(SUM(E40:E70)&gt;0,SUM(E40:E70),"")</f>
        <v/>
      </c>
      <c r="F71" s="829" t="str">
        <f t="shared" ref="F71:L71" si="32">IF(SUM(F40:F70)&gt;0,SUM(F40:F70),"")</f>
        <v/>
      </c>
      <c r="G71" s="829" t="str">
        <f t="shared" si="32"/>
        <v/>
      </c>
      <c r="H71" s="829" t="str">
        <f t="shared" ref="H71" si="33">IF(SUM(H40:H70)&gt;0,SUM(H40:H70),"")</f>
        <v/>
      </c>
      <c r="I71" s="829" t="str">
        <f t="shared" ref="I71" si="34">IF(SUM(I40:I70)&gt;0,SUM(I40:I70),"")</f>
        <v/>
      </c>
      <c r="J71" s="829" t="str">
        <f t="shared" si="32"/>
        <v/>
      </c>
      <c r="K71" s="829" t="str">
        <f t="shared" si="32"/>
        <v/>
      </c>
      <c r="L71" s="829" t="str">
        <f t="shared" si="32"/>
        <v/>
      </c>
      <c r="M71" s="829" t="str">
        <f t="shared" ref="M71" si="35">IF(SUM(M40:M70)&gt;0,SUM(M40:M70),"")</f>
        <v/>
      </c>
      <c r="N71" s="829" t="str">
        <f t="shared" ref="N71" si="36">IF(SUM(N40:N70)&gt;0,SUM(N40:N70),"")</f>
        <v/>
      </c>
      <c r="O71" s="830"/>
      <c r="P71" s="830"/>
      <c r="BE71" s="392">
        <v>25</v>
      </c>
      <c r="BF71" s="331">
        <f t="shared" si="20"/>
        <v>22</v>
      </c>
      <c r="BG71" s="331">
        <f t="shared" si="21"/>
        <v>0</v>
      </c>
      <c r="BH71" s="331">
        <f t="shared" si="22"/>
        <v>17</v>
      </c>
      <c r="BI71" s="331">
        <f t="shared" si="23"/>
        <v>17</v>
      </c>
      <c r="BJ71" s="331">
        <f t="shared" si="24"/>
        <v>15</v>
      </c>
      <c r="BK71" s="331">
        <f t="shared" si="25"/>
        <v>0</v>
      </c>
      <c r="BL71" s="331">
        <f t="shared" si="26"/>
        <v>0</v>
      </c>
      <c r="BM71" s="331">
        <f t="shared" si="27"/>
        <v>22</v>
      </c>
      <c r="BN71" s="331">
        <f t="shared" si="28"/>
        <v>0</v>
      </c>
      <c r="BO71" s="331">
        <f t="shared" si="29"/>
        <v>0</v>
      </c>
      <c r="BP71" s="331">
        <f t="shared" si="30"/>
        <v>0</v>
      </c>
      <c r="BQ71" s="331">
        <f t="shared" si="31"/>
        <v>0</v>
      </c>
      <c r="BR71" s="393"/>
    </row>
    <row r="72" spans="1:70" ht="27.75" customHeight="1" x14ac:dyDescent="0.4">
      <c r="A72" s="872">
        <v>64</v>
      </c>
      <c r="B72" s="861" t="s">
        <v>94</v>
      </c>
      <c r="C72" s="841">
        <f>DATE(N6,"6","1")</f>
        <v>44713</v>
      </c>
      <c r="D72" s="842" t="str">
        <f>IF(C72="","",INDEX({"रविवार";"सोमवार";"मंगळवार";"बुधवार";"गुरूवार";"शुक्रवार";"शनिवार"},WEEKDAY(C72)))</f>
        <v>बुधवार</v>
      </c>
      <c r="E72" s="673"/>
      <c r="F72" s="673"/>
      <c r="G72" s="673"/>
      <c r="H72" s="673"/>
      <c r="I72" s="673"/>
      <c r="J72" s="673"/>
      <c r="K72" s="673"/>
      <c r="L72" s="673"/>
      <c r="M72" s="828"/>
      <c r="N72" s="828"/>
      <c r="O72" s="673"/>
      <c r="P72" s="673"/>
      <c r="BE72" s="392">
        <v>26</v>
      </c>
      <c r="BF72" s="331">
        <f t="shared" si="20"/>
        <v>22</v>
      </c>
      <c r="BG72" s="331">
        <f t="shared" si="21"/>
        <v>0</v>
      </c>
      <c r="BH72" s="331">
        <f t="shared" si="22"/>
        <v>0</v>
      </c>
      <c r="BI72" s="331">
        <f t="shared" si="23"/>
        <v>17</v>
      </c>
      <c r="BJ72" s="331">
        <f t="shared" si="24"/>
        <v>0</v>
      </c>
      <c r="BK72" s="331">
        <f t="shared" si="25"/>
        <v>0</v>
      </c>
      <c r="BL72" s="331">
        <f t="shared" si="26"/>
        <v>0</v>
      </c>
      <c r="BM72" s="331">
        <f t="shared" si="27"/>
        <v>22</v>
      </c>
      <c r="BN72" s="331">
        <f t="shared" si="28"/>
        <v>21</v>
      </c>
      <c r="BO72" s="331">
        <f t="shared" si="29"/>
        <v>0</v>
      </c>
      <c r="BP72" s="331">
        <f t="shared" si="30"/>
        <v>0</v>
      </c>
      <c r="BQ72" s="331">
        <f t="shared" si="31"/>
        <v>0</v>
      </c>
      <c r="BR72" s="393"/>
    </row>
    <row r="73" spans="1:70" ht="27.75" customHeight="1" x14ac:dyDescent="0.4">
      <c r="A73" s="872">
        <v>65</v>
      </c>
      <c r="B73" s="861" t="s">
        <v>94</v>
      </c>
      <c r="C73" s="841">
        <f>C72+1</f>
        <v>44714</v>
      </c>
      <c r="D73" s="842" t="str">
        <f>IF(C73="","",INDEX({"रविवार";"सोमवार";"मंगळवार";"बुधवार";"गुरूवार";"शुक्रवार";"शनिवार"},WEEKDAY(C73)))</f>
        <v>गुरूवार</v>
      </c>
      <c r="E73" s="673"/>
      <c r="F73" s="673"/>
      <c r="G73" s="673"/>
      <c r="H73" s="673"/>
      <c r="I73" s="673"/>
      <c r="J73" s="673"/>
      <c r="K73" s="673"/>
      <c r="L73" s="673"/>
      <c r="M73" s="828"/>
      <c r="N73" s="828"/>
      <c r="O73" s="673"/>
      <c r="P73" s="673"/>
      <c r="BE73" s="392">
        <v>27</v>
      </c>
      <c r="BF73" s="331">
        <f t="shared" si="20"/>
        <v>22</v>
      </c>
      <c r="BG73" s="331">
        <f t="shared" si="21"/>
        <v>0</v>
      </c>
      <c r="BH73" s="331">
        <f t="shared" si="22"/>
        <v>17</v>
      </c>
      <c r="BI73" s="331">
        <f t="shared" si="23"/>
        <v>17</v>
      </c>
      <c r="BJ73" s="331">
        <f t="shared" si="24"/>
        <v>15</v>
      </c>
      <c r="BK73" s="331">
        <f t="shared" si="25"/>
        <v>22</v>
      </c>
      <c r="BL73" s="331">
        <f t="shared" si="26"/>
        <v>0</v>
      </c>
      <c r="BM73" s="331">
        <f t="shared" si="27"/>
        <v>0</v>
      </c>
      <c r="BN73" s="331">
        <f t="shared" si="28"/>
        <v>21</v>
      </c>
      <c r="BO73" s="331">
        <f t="shared" si="29"/>
        <v>0</v>
      </c>
      <c r="BP73" s="331">
        <f t="shared" si="30"/>
        <v>0</v>
      </c>
      <c r="BQ73" s="331">
        <f t="shared" si="31"/>
        <v>0</v>
      </c>
      <c r="BR73" s="393"/>
    </row>
    <row r="74" spans="1:70" ht="27.75" customHeight="1" x14ac:dyDescent="0.4">
      <c r="A74" s="872">
        <v>66</v>
      </c>
      <c r="B74" s="861" t="s">
        <v>94</v>
      </c>
      <c r="C74" s="841">
        <f t="shared" ref="C74:C101" si="37">C73+1</f>
        <v>44715</v>
      </c>
      <c r="D74" s="842" t="str">
        <f>IF(C74="","",INDEX({"रविवार";"सोमवार";"मंगळवार";"बुधवार";"गुरूवार";"शुक्रवार";"शनिवार"},WEEKDAY(C74)))</f>
        <v>शुक्रवार</v>
      </c>
      <c r="E74" s="673"/>
      <c r="F74" s="673"/>
      <c r="G74" s="673"/>
      <c r="H74" s="673"/>
      <c r="I74" s="673"/>
      <c r="J74" s="673"/>
      <c r="K74" s="673"/>
      <c r="L74" s="673"/>
      <c r="M74" s="828"/>
      <c r="N74" s="828"/>
      <c r="O74" s="673"/>
      <c r="P74" s="673"/>
      <c r="BE74" s="392">
        <v>28</v>
      </c>
      <c r="BF74" s="331">
        <f t="shared" si="20"/>
        <v>22</v>
      </c>
      <c r="BG74" s="331">
        <f t="shared" si="21"/>
        <v>0</v>
      </c>
      <c r="BH74" s="331">
        <f t="shared" si="22"/>
        <v>17</v>
      </c>
      <c r="BI74" s="331">
        <f t="shared" si="23"/>
        <v>17</v>
      </c>
      <c r="BJ74" s="331">
        <f t="shared" si="24"/>
        <v>0</v>
      </c>
      <c r="BK74" s="331">
        <f t="shared" si="25"/>
        <v>22</v>
      </c>
      <c r="BL74" s="331">
        <f t="shared" si="26"/>
        <v>0</v>
      </c>
      <c r="BM74" s="331">
        <f t="shared" si="27"/>
        <v>22</v>
      </c>
      <c r="BN74" s="331">
        <f t="shared" si="28"/>
        <v>21</v>
      </c>
      <c r="BO74" s="331">
        <f t="shared" si="29"/>
        <v>0</v>
      </c>
      <c r="BP74" s="331">
        <f t="shared" si="30"/>
        <v>0</v>
      </c>
      <c r="BQ74" s="331">
        <f t="shared" si="31"/>
        <v>0</v>
      </c>
      <c r="BR74" s="393"/>
    </row>
    <row r="75" spans="1:70" ht="27.75" customHeight="1" x14ac:dyDescent="0.4">
      <c r="A75" s="872">
        <v>67</v>
      </c>
      <c r="B75" s="861" t="s">
        <v>94</v>
      </c>
      <c r="C75" s="841">
        <f t="shared" si="37"/>
        <v>44716</v>
      </c>
      <c r="D75" s="842" t="str">
        <f>IF(C75="","",INDEX({"रविवार";"सोमवार";"मंगळवार";"बुधवार";"गुरूवार";"शुक्रवार";"शनिवार"},WEEKDAY(C75)))</f>
        <v>शनिवार</v>
      </c>
      <c r="E75" s="673"/>
      <c r="F75" s="673"/>
      <c r="G75" s="673"/>
      <c r="H75" s="673"/>
      <c r="I75" s="673"/>
      <c r="J75" s="673"/>
      <c r="K75" s="673"/>
      <c r="L75" s="673"/>
      <c r="M75" s="828"/>
      <c r="N75" s="828"/>
      <c r="O75" s="673"/>
      <c r="P75" s="673"/>
      <c r="BE75" s="392">
        <v>29</v>
      </c>
      <c r="BF75" s="331">
        <f t="shared" si="20"/>
        <v>22</v>
      </c>
      <c r="BG75" s="331">
        <f t="shared" si="21"/>
        <v>0</v>
      </c>
      <c r="BH75" s="331">
        <f t="shared" si="22"/>
        <v>17</v>
      </c>
      <c r="BI75" s="331">
        <f t="shared" si="23"/>
        <v>17</v>
      </c>
      <c r="BJ75" s="331">
        <f t="shared" si="24"/>
        <v>15</v>
      </c>
      <c r="BK75" s="331">
        <f t="shared" si="25"/>
        <v>22</v>
      </c>
      <c r="BL75" s="331">
        <f t="shared" si="26"/>
        <v>0</v>
      </c>
      <c r="BM75" s="331">
        <f t="shared" si="27"/>
        <v>22</v>
      </c>
      <c r="BN75" s="331">
        <f t="shared" si="28"/>
        <v>21</v>
      </c>
      <c r="BO75" s="331">
        <f t="shared" si="29"/>
        <v>0</v>
      </c>
      <c r="BP75" s="331">
        <f t="shared" si="30"/>
        <v>0</v>
      </c>
      <c r="BQ75" s="331">
        <f t="shared" si="31"/>
        <v>0</v>
      </c>
      <c r="BR75" s="393"/>
    </row>
    <row r="76" spans="1:70" ht="27.75" customHeight="1" x14ac:dyDescent="0.4">
      <c r="A76" s="872">
        <v>68</v>
      </c>
      <c r="B76" s="861" t="s">
        <v>94</v>
      </c>
      <c r="C76" s="841">
        <f t="shared" si="37"/>
        <v>44717</v>
      </c>
      <c r="D76" s="842" t="str">
        <f>IF(C76="","",INDEX({"रविवार";"सोमवार";"मंगळवार";"बुधवार";"गुरूवार";"शुक्रवार";"शनिवार"},WEEKDAY(C76)))</f>
        <v>रविवार</v>
      </c>
      <c r="E76" s="673"/>
      <c r="F76" s="673"/>
      <c r="G76" s="673"/>
      <c r="H76" s="673"/>
      <c r="I76" s="673"/>
      <c r="J76" s="673"/>
      <c r="K76" s="673"/>
      <c r="L76" s="673"/>
      <c r="M76" s="828"/>
      <c r="N76" s="828"/>
      <c r="O76" s="673"/>
      <c r="P76" s="673"/>
      <c r="BE76" s="392">
        <v>30</v>
      </c>
      <c r="BF76" s="331">
        <f t="shared" si="20"/>
        <v>22</v>
      </c>
      <c r="BG76" s="331">
        <f t="shared" si="21"/>
        <v>0</v>
      </c>
      <c r="BH76" s="331">
        <f t="shared" si="22"/>
        <v>17</v>
      </c>
      <c r="BI76" s="331">
        <f t="shared" si="23"/>
        <v>17</v>
      </c>
      <c r="BJ76" s="331">
        <f t="shared" si="24"/>
        <v>15</v>
      </c>
      <c r="BK76" s="331">
        <f t="shared" si="25"/>
        <v>22</v>
      </c>
      <c r="BL76" s="331">
        <f t="shared" si="26"/>
        <v>0</v>
      </c>
      <c r="BM76" s="331">
        <f t="shared" si="27"/>
        <v>22</v>
      </c>
      <c r="BN76" s="331">
        <f t="shared" si="28"/>
        <v>21</v>
      </c>
      <c r="BO76" s="331">
        <f t="shared" si="29"/>
        <v>0</v>
      </c>
      <c r="BP76" s="393"/>
      <c r="BQ76" s="331">
        <f t="shared" si="31"/>
        <v>0</v>
      </c>
      <c r="BR76" s="393"/>
    </row>
    <row r="77" spans="1:70" ht="27.75" customHeight="1" x14ac:dyDescent="0.4">
      <c r="A77" s="872">
        <v>69</v>
      </c>
      <c r="B77" s="861" t="s">
        <v>94</v>
      </c>
      <c r="C77" s="841">
        <f t="shared" si="37"/>
        <v>44718</v>
      </c>
      <c r="D77" s="842" t="str">
        <f>IF(C77="","",INDEX({"रविवार";"सोमवार";"मंगळवार";"बुधवार";"गुरूवार";"शुक्रवार";"शनिवार"},WEEKDAY(C77)))</f>
        <v>सोमवार</v>
      </c>
      <c r="E77" s="673"/>
      <c r="F77" s="673"/>
      <c r="G77" s="673"/>
      <c r="H77" s="673"/>
      <c r="I77" s="673"/>
      <c r="J77" s="673"/>
      <c r="K77" s="673"/>
      <c r="L77" s="673"/>
      <c r="M77" s="828"/>
      <c r="N77" s="828"/>
      <c r="O77" s="673"/>
      <c r="P77" s="673"/>
      <c r="BE77" s="392">
        <v>31</v>
      </c>
      <c r="BF77" s="393"/>
      <c r="BG77" s="331">
        <f t="shared" si="21"/>
        <v>0</v>
      </c>
      <c r="BH77" s="393"/>
      <c r="BI77" s="331">
        <f t="shared" si="23"/>
        <v>0</v>
      </c>
      <c r="BJ77" s="331">
        <f t="shared" si="24"/>
        <v>0</v>
      </c>
      <c r="BK77" s="393"/>
      <c r="BL77" s="331">
        <f t="shared" si="26"/>
        <v>0</v>
      </c>
      <c r="BM77" s="393"/>
      <c r="BN77" s="331">
        <f t="shared" si="28"/>
        <v>21</v>
      </c>
      <c r="BO77" s="331">
        <f t="shared" si="29"/>
        <v>0</v>
      </c>
      <c r="BP77" s="393"/>
      <c r="BQ77" s="331">
        <f t="shared" si="31"/>
        <v>0</v>
      </c>
      <c r="BR77" s="393"/>
    </row>
    <row r="78" spans="1:70" ht="27.75" customHeight="1" x14ac:dyDescent="0.45">
      <c r="A78" s="872">
        <v>70</v>
      </c>
      <c r="B78" s="861" t="s">
        <v>94</v>
      </c>
      <c r="C78" s="841">
        <f t="shared" si="37"/>
        <v>44719</v>
      </c>
      <c r="D78" s="842" t="str">
        <f>IF(C78="","",INDEX({"रविवार";"सोमवार";"मंगळवार";"बुधवार";"गुरूवार";"शुक्रवार";"शनिवार"},WEEKDAY(C78)))</f>
        <v>मंगळवार</v>
      </c>
      <c r="E78" s="673"/>
      <c r="F78" s="673"/>
      <c r="G78" s="673"/>
      <c r="H78" s="673"/>
      <c r="I78" s="673"/>
      <c r="J78" s="673"/>
      <c r="K78" s="673"/>
      <c r="L78" s="673"/>
      <c r="M78" s="828"/>
      <c r="N78" s="828"/>
      <c r="O78" s="673"/>
      <c r="P78" s="673"/>
      <c r="BE78" s="40" t="s">
        <v>35</v>
      </c>
      <c r="BF78" s="331">
        <f>F39</f>
        <v>506</v>
      </c>
      <c r="BG78" s="331" t="str">
        <f t="shared" si="21"/>
        <v/>
      </c>
      <c r="BH78" s="331">
        <f>F102</f>
        <v>234</v>
      </c>
      <c r="BI78" s="331">
        <f t="shared" si="23"/>
        <v>442</v>
      </c>
      <c r="BJ78" s="331">
        <f t="shared" si="24"/>
        <v>330</v>
      </c>
      <c r="BK78" s="331">
        <f>F197</f>
        <v>384</v>
      </c>
      <c r="BL78" s="331">
        <f t="shared" si="26"/>
        <v>236</v>
      </c>
      <c r="BM78" s="331">
        <f>F260</f>
        <v>418</v>
      </c>
      <c r="BN78" s="331">
        <f t="shared" si="28"/>
        <v>547</v>
      </c>
      <c r="BO78" s="331" t="str">
        <f t="shared" si="29"/>
        <v/>
      </c>
      <c r="BP78" s="331" t="str">
        <f>F354</f>
        <v/>
      </c>
      <c r="BQ78" s="331" t="str">
        <f t="shared" si="31"/>
        <v/>
      </c>
      <c r="BR78" s="393"/>
    </row>
    <row r="79" spans="1:70" ht="27.75" customHeight="1" x14ac:dyDescent="0.4">
      <c r="A79" s="872">
        <v>71</v>
      </c>
      <c r="B79" s="861" t="s">
        <v>94</v>
      </c>
      <c r="C79" s="841">
        <f t="shared" si="37"/>
        <v>44720</v>
      </c>
      <c r="D79" s="842" t="str">
        <f>IF(C79="","",INDEX({"रविवार";"सोमवार";"मंगळवार";"बुधवार";"गुरूवार";"शुक्रवार";"शनिवार"},WEEKDAY(C79)))</f>
        <v>बुधवार</v>
      </c>
      <c r="E79" s="673"/>
      <c r="F79" s="673"/>
      <c r="G79" s="673"/>
      <c r="H79" s="673"/>
      <c r="I79" s="673"/>
      <c r="J79" s="673"/>
      <c r="K79" s="673"/>
      <c r="L79" s="673"/>
      <c r="M79" s="828"/>
      <c r="N79" s="828"/>
      <c r="O79" s="673"/>
      <c r="P79" s="673"/>
    </row>
    <row r="80" spans="1:70" ht="27.75" customHeight="1" x14ac:dyDescent="0.4">
      <c r="A80" s="872">
        <v>72</v>
      </c>
      <c r="B80" s="861" t="s">
        <v>94</v>
      </c>
      <c r="C80" s="841">
        <f t="shared" si="37"/>
        <v>44721</v>
      </c>
      <c r="D80" s="842" t="str">
        <f>IF(C80="","",INDEX({"रविवार";"सोमवार";"मंगळवार";"बुधवार";"गुरूवार";"शुक्रवार";"शनिवार"},WEEKDAY(C80)))</f>
        <v>गुरूवार</v>
      </c>
      <c r="E80" s="673"/>
      <c r="F80" s="673"/>
      <c r="G80" s="673"/>
      <c r="H80" s="673"/>
      <c r="I80" s="673"/>
      <c r="J80" s="673"/>
      <c r="K80" s="673"/>
      <c r="L80" s="673"/>
      <c r="M80" s="828"/>
      <c r="N80" s="828"/>
      <c r="O80" s="673"/>
      <c r="P80" s="673"/>
    </row>
    <row r="81" spans="1:70" ht="27.75" customHeight="1" x14ac:dyDescent="0.4">
      <c r="A81" s="872">
        <v>73</v>
      </c>
      <c r="B81" s="861" t="s">
        <v>94</v>
      </c>
      <c r="C81" s="841">
        <f t="shared" si="37"/>
        <v>44722</v>
      </c>
      <c r="D81" s="842" t="str">
        <f>IF(C81="","",INDEX({"रविवार";"सोमवार";"मंगळवार";"बुधवार";"गुरूवार";"शुक्रवार";"शनिवार"},WEEKDAY(C81)))</f>
        <v>शुक्रवार</v>
      </c>
      <c r="E81" s="673"/>
      <c r="F81" s="673"/>
      <c r="G81" s="673"/>
      <c r="H81" s="673"/>
      <c r="I81" s="673"/>
      <c r="J81" s="673"/>
      <c r="K81" s="673"/>
      <c r="L81" s="673"/>
      <c r="M81" s="828"/>
      <c r="N81" s="828"/>
      <c r="O81" s="673"/>
      <c r="P81" s="673"/>
    </row>
    <row r="82" spans="1:70" ht="27.75" customHeight="1" x14ac:dyDescent="0.4">
      <c r="A82" s="872">
        <v>74</v>
      </c>
      <c r="B82" s="861" t="s">
        <v>94</v>
      </c>
      <c r="C82" s="841">
        <f t="shared" si="37"/>
        <v>44723</v>
      </c>
      <c r="D82" s="842" t="str">
        <f>IF(C82="","",INDEX({"रविवार";"सोमवार";"मंगळवार";"बुधवार";"गुरूवार";"शुक्रवार";"शनिवार"},WEEKDAY(C82)))</f>
        <v>शनिवार</v>
      </c>
      <c r="E82" s="673"/>
      <c r="F82" s="673"/>
      <c r="G82" s="673"/>
      <c r="H82" s="673"/>
      <c r="I82" s="673"/>
      <c r="J82" s="673"/>
      <c r="K82" s="673"/>
      <c r="L82" s="673"/>
      <c r="M82" s="828"/>
      <c r="N82" s="828"/>
      <c r="O82" s="673"/>
      <c r="P82" s="673"/>
      <c r="BK82" s="380" t="s">
        <v>234</v>
      </c>
    </row>
    <row r="83" spans="1:70" ht="27.75" customHeight="1" x14ac:dyDescent="0.4">
      <c r="A83" s="872">
        <v>75</v>
      </c>
      <c r="B83" s="861" t="s">
        <v>94</v>
      </c>
      <c r="C83" s="841">
        <f t="shared" si="37"/>
        <v>44724</v>
      </c>
      <c r="D83" s="842" t="str">
        <f>IF(C83="","",INDEX({"रविवार";"सोमवार";"मंगळवार";"बुधवार";"गुरूवार";"शुक्रवार";"शनिवार"},WEEKDAY(C83)))</f>
        <v>रविवार</v>
      </c>
      <c r="E83" s="673"/>
      <c r="F83" s="673"/>
      <c r="G83" s="673"/>
      <c r="H83" s="673"/>
      <c r="I83" s="673"/>
      <c r="J83" s="673"/>
      <c r="K83" s="673"/>
      <c r="L83" s="673"/>
      <c r="M83" s="828"/>
      <c r="N83" s="828"/>
      <c r="O83" s="673"/>
      <c r="P83" s="673"/>
      <c r="BE83" s="38" t="s">
        <v>17</v>
      </c>
      <c r="BF83" s="390" t="s">
        <v>42</v>
      </c>
      <c r="BG83" s="390" t="s">
        <v>44</v>
      </c>
      <c r="BH83" s="390" t="s">
        <v>94</v>
      </c>
      <c r="BI83" s="390" t="s">
        <v>46</v>
      </c>
      <c r="BJ83" s="390" t="s">
        <v>34</v>
      </c>
      <c r="BK83" s="390" t="s">
        <v>37</v>
      </c>
      <c r="BL83" s="390" t="s">
        <v>47</v>
      </c>
      <c r="BM83" s="390" t="s">
        <v>38</v>
      </c>
      <c r="BN83" s="390" t="s">
        <v>39</v>
      </c>
      <c r="BO83" s="396" t="s">
        <v>33</v>
      </c>
      <c r="BP83" s="390" t="s">
        <v>40</v>
      </c>
      <c r="BQ83" s="390" t="s">
        <v>41</v>
      </c>
      <c r="BR83" s="192"/>
    </row>
    <row r="84" spans="1:70" ht="27.75" customHeight="1" x14ac:dyDescent="0.4">
      <c r="A84" s="872">
        <v>76</v>
      </c>
      <c r="B84" s="861" t="s">
        <v>94</v>
      </c>
      <c r="C84" s="841">
        <f t="shared" si="37"/>
        <v>44725</v>
      </c>
      <c r="D84" s="842" t="str">
        <f>IF(C84="","",INDEX({"रविवार";"सोमवार";"मंगळवार";"बुधवार";"गुरूवार";"शुक्रवार";"शनिवार"},WEEKDAY(C84)))</f>
        <v>सोमवार</v>
      </c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BE84" s="392">
        <v>1</v>
      </c>
      <c r="BF84" s="331">
        <f t="shared" ref="BF84:BF113" si="38">G9</f>
        <v>22</v>
      </c>
      <c r="BG84" s="331">
        <f t="shared" ref="BG84:BG115" si="39">G40</f>
        <v>0</v>
      </c>
      <c r="BH84" s="331">
        <f t="shared" ref="BH84:BH113" si="40">G72</f>
        <v>0</v>
      </c>
      <c r="BI84" s="331">
        <f t="shared" ref="BI84:BI115" si="41">G103</f>
        <v>17</v>
      </c>
      <c r="BJ84" s="331">
        <f t="shared" ref="BJ84:BJ115" si="42">G135</f>
        <v>15</v>
      </c>
      <c r="BK84" s="331">
        <f t="shared" ref="BK84:BK113" si="43">G167</f>
        <v>15</v>
      </c>
      <c r="BL84" s="331">
        <f t="shared" ref="BL84:BL115" si="44">G198</f>
        <v>22</v>
      </c>
      <c r="BM84" s="331">
        <f t="shared" ref="BM84:BM113" si="45">G230</f>
        <v>0</v>
      </c>
      <c r="BN84" s="331">
        <f t="shared" ref="BN84:BN115" si="46">G261</f>
        <v>22</v>
      </c>
      <c r="BO84" s="331">
        <f t="shared" ref="BO84:BO115" si="47">G293</f>
        <v>0</v>
      </c>
      <c r="BP84" s="331">
        <f t="shared" ref="BP84:BP112" si="48">G325</f>
        <v>0</v>
      </c>
      <c r="BQ84" s="331">
        <f t="shared" ref="BQ84:BQ115" si="49">G355</f>
        <v>0</v>
      </c>
      <c r="BR84" s="393"/>
    </row>
    <row r="85" spans="1:70" ht="27.75" customHeight="1" x14ac:dyDescent="0.4">
      <c r="A85" s="872">
        <v>77</v>
      </c>
      <c r="B85" s="861" t="s">
        <v>94</v>
      </c>
      <c r="C85" s="841">
        <f t="shared" si="37"/>
        <v>44726</v>
      </c>
      <c r="D85" s="842" t="str">
        <f>IF(C85="","",INDEX({"रविवार";"सोमवार";"मंगळवार";"बुधवार";"गुरूवार";"शुक्रवार";"शनिवार"},WEEKDAY(C85)))</f>
        <v>मंगळवार</v>
      </c>
      <c r="E85" s="673"/>
      <c r="F85" s="673"/>
      <c r="G85" s="673"/>
      <c r="H85" s="673"/>
      <c r="I85" s="673"/>
      <c r="J85" s="673"/>
      <c r="K85" s="673"/>
      <c r="L85" s="673"/>
      <c r="M85" s="673"/>
      <c r="N85" s="673"/>
      <c r="O85" s="673"/>
      <c r="P85" s="673"/>
      <c r="BE85" s="392">
        <v>2</v>
      </c>
      <c r="BF85" s="331">
        <f t="shared" si="38"/>
        <v>0</v>
      </c>
      <c r="BG85" s="331">
        <f t="shared" si="39"/>
        <v>0</v>
      </c>
      <c r="BH85" s="331">
        <f t="shared" si="40"/>
        <v>0</v>
      </c>
      <c r="BI85" s="331">
        <f t="shared" si="41"/>
        <v>17</v>
      </c>
      <c r="BJ85" s="331">
        <f t="shared" si="42"/>
        <v>15</v>
      </c>
      <c r="BK85" s="331">
        <f t="shared" si="43"/>
        <v>15</v>
      </c>
      <c r="BL85" s="331">
        <f t="shared" si="44"/>
        <v>0</v>
      </c>
      <c r="BM85" s="331">
        <f t="shared" si="45"/>
        <v>0</v>
      </c>
      <c r="BN85" s="331">
        <f t="shared" si="46"/>
        <v>21</v>
      </c>
      <c r="BO85" s="331">
        <f t="shared" si="47"/>
        <v>0</v>
      </c>
      <c r="BP85" s="331">
        <f t="shared" si="48"/>
        <v>0</v>
      </c>
      <c r="BQ85" s="331">
        <f t="shared" si="49"/>
        <v>0</v>
      </c>
      <c r="BR85" s="393"/>
    </row>
    <row r="86" spans="1:70" ht="27.75" customHeight="1" x14ac:dyDescent="0.4">
      <c r="A86" s="872">
        <v>78</v>
      </c>
      <c r="B86" s="861" t="s">
        <v>94</v>
      </c>
      <c r="C86" s="841">
        <f t="shared" si="37"/>
        <v>44727</v>
      </c>
      <c r="D86" s="842" t="str">
        <f>IF(C86="","",INDEX({"रविवार";"सोमवार";"मंगळवार";"बुधवार";"गुरूवार";"शुक्रवार";"शनिवार"},WEEKDAY(C86)))</f>
        <v>बुधवार</v>
      </c>
      <c r="E86" s="673">
        <v>16</v>
      </c>
      <c r="F86" s="673">
        <v>16</v>
      </c>
      <c r="G86" s="673">
        <v>16</v>
      </c>
      <c r="H86" s="673" t="s">
        <v>444</v>
      </c>
      <c r="I86" s="673" t="s">
        <v>384</v>
      </c>
      <c r="J86" s="673"/>
      <c r="K86" s="673"/>
      <c r="L86" s="673"/>
      <c r="M86" s="673"/>
      <c r="N86" s="673"/>
      <c r="O86" s="673" t="s">
        <v>778</v>
      </c>
      <c r="P86" s="673" t="s">
        <v>423</v>
      </c>
      <c r="BE86" s="392">
        <v>3</v>
      </c>
      <c r="BF86" s="331">
        <f t="shared" si="38"/>
        <v>0</v>
      </c>
      <c r="BG86" s="331">
        <f t="shared" si="39"/>
        <v>0</v>
      </c>
      <c r="BH86" s="331">
        <f t="shared" si="40"/>
        <v>0</v>
      </c>
      <c r="BI86" s="331">
        <f t="shared" si="41"/>
        <v>0</v>
      </c>
      <c r="BJ86" s="331">
        <f t="shared" si="42"/>
        <v>15</v>
      </c>
      <c r="BK86" s="331">
        <f t="shared" si="43"/>
        <v>15</v>
      </c>
      <c r="BL86" s="331">
        <f t="shared" si="44"/>
        <v>22</v>
      </c>
      <c r="BM86" s="331">
        <f t="shared" si="45"/>
        <v>0</v>
      </c>
      <c r="BN86" s="331">
        <f t="shared" si="46"/>
        <v>21</v>
      </c>
      <c r="BO86" s="331">
        <f t="shared" si="47"/>
        <v>0</v>
      </c>
      <c r="BP86" s="331">
        <f t="shared" si="48"/>
        <v>0</v>
      </c>
      <c r="BQ86" s="331">
        <f t="shared" si="49"/>
        <v>0</v>
      </c>
      <c r="BR86" s="393"/>
    </row>
    <row r="87" spans="1:70" ht="27.75" customHeight="1" x14ac:dyDescent="0.4">
      <c r="A87" s="872">
        <v>79</v>
      </c>
      <c r="B87" s="861" t="s">
        <v>94</v>
      </c>
      <c r="C87" s="841">
        <f t="shared" si="37"/>
        <v>44728</v>
      </c>
      <c r="D87" s="842" t="str">
        <f>IF(C87="","",INDEX({"रविवार";"सोमवार";"मंगळवार";"बुधवार";"गुरूवार";"शुक्रवार";"शनिवार"},WEEKDAY(C87)))</f>
        <v>गुरूवार</v>
      </c>
      <c r="E87" s="673">
        <v>16</v>
      </c>
      <c r="F87" s="673">
        <v>16</v>
      </c>
      <c r="G87" s="673">
        <v>16</v>
      </c>
      <c r="H87" s="673" t="s">
        <v>67</v>
      </c>
      <c r="I87" s="673" t="s">
        <v>384</v>
      </c>
      <c r="J87" s="673"/>
      <c r="K87" s="673"/>
      <c r="L87" s="673"/>
      <c r="M87" s="673"/>
      <c r="N87" s="673"/>
      <c r="O87" s="673" t="s">
        <v>777</v>
      </c>
      <c r="P87" s="673" t="s">
        <v>422</v>
      </c>
      <c r="BE87" s="392">
        <v>4</v>
      </c>
      <c r="BF87" s="331">
        <f t="shared" si="38"/>
        <v>22</v>
      </c>
      <c r="BG87" s="331">
        <f t="shared" si="39"/>
        <v>0</v>
      </c>
      <c r="BH87" s="331">
        <f t="shared" si="40"/>
        <v>0</v>
      </c>
      <c r="BI87" s="331">
        <f t="shared" si="41"/>
        <v>17</v>
      </c>
      <c r="BJ87" s="331">
        <f t="shared" si="42"/>
        <v>15</v>
      </c>
      <c r="BK87" s="331">
        <f t="shared" si="43"/>
        <v>0</v>
      </c>
      <c r="BL87" s="331">
        <f t="shared" si="44"/>
        <v>0</v>
      </c>
      <c r="BM87" s="331">
        <f t="shared" si="45"/>
        <v>0</v>
      </c>
      <c r="BN87" s="331">
        <f t="shared" si="46"/>
        <v>0</v>
      </c>
      <c r="BO87" s="331">
        <f t="shared" si="47"/>
        <v>0</v>
      </c>
      <c r="BP87" s="331">
        <f t="shared" si="48"/>
        <v>0</v>
      </c>
      <c r="BQ87" s="331">
        <f t="shared" si="49"/>
        <v>0</v>
      </c>
      <c r="BR87" s="393"/>
    </row>
    <row r="88" spans="1:70" ht="27.75" customHeight="1" x14ac:dyDescent="0.4">
      <c r="A88" s="872">
        <v>80</v>
      </c>
      <c r="B88" s="861" t="s">
        <v>94</v>
      </c>
      <c r="C88" s="841">
        <f t="shared" si="37"/>
        <v>44729</v>
      </c>
      <c r="D88" s="842" t="str">
        <f>IF(C88="","",INDEX({"रविवार";"सोमवार";"मंगळवार";"बुधवार";"गुरूवार";"शुक्रवार";"शनिवार"},WEEKDAY(C88)))</f>
        <v>शुक्रवार</v>
      </c>
      <c r="E88" s="673">
        <v>16</v>
      </c>
      <c r="F88" s="673">
        <v>16</v>
      </c>
      <c r="G88" s="673">
        <v>16</v>
      </c>
      <c r="H88" s="673" t="s">
        <v>444</v>
      </c>
      <c r="I88" s="673" t="s">
        <v>384</v>
      </c>
      <c r="J88" s="673"/>
      <c r="K88" s="673"/>
      <c r="L88" s="673"/>
      <c r="M88" s="673"/>
      <c r="N88" s="673"/>
      <c r="O88" s="673" t="s">
        <v>781</v>
      </c>
      <c r="P88" s="673" t="s">
        <v>425</v>
      </c>
      <c r="BE88" s="392">
        <v>5</v>
      </c>
      <c r="BF88" s="331">
        <f t="shared" si="38"/>
        <v>22</v>
      </c>
      <c r="BG88" s="331">
        <f t="shared" si="39"/>
        <v>0</v>
      </c>
      <c r="BH88" s="331">
        <f t="shared" si="40"/>
        <v>0</v>
      </c>
      <c r="BI88" s="331">
        <f t="shared" si="41"/>
        <v>17</v>
      </c>
      <c r="BJ88" s="331">
        <f t="shared" si="42"/>
        <v>15</v>
      </c>
      <c r="BK88" s="331">
        <f t="shared" si="43"/>
        <v>15</v>
      </c>
      <c r="BL88" s="331">
        <f t="shared" si="44"/>
        <v>0</v>
      </c>
      <c r="BM88" s="331">
        <f t="shared" si="45"/>
        <v>0</v>
      </c>
      <c r="BN88" s="331">
        <f t="shared" si="46"/>
        <v>21</v>
      </c>
      <c r="BO88" s="331">
        <f t="shared" si="47"/>
        <v>0</v>
      </c>
      <c r="BP88" s="331">
        <f t="shared" si="48"/>
        <v>0</v>
      </c>
      <c r="BQ88" s="331">
        <f t="shared" si="49"/>
        <v>0</v>
      </c>
      <c r="BR88" s="393"/>
    </row>
    <row r="89" spans="1:70" ht="27.75" customHeight="1" x14ac:dyDescent="0.4">
      <c r="A89" s="872">
        <v>81</v>
      </c>
      <c r="B89" s="861" t="s">
        <v>94</v>
      </c>
      <c r="C89" s="841">
        <f t="shared" si="37"/>
        <v>44730</v>
      </c>
      <c r="D89" s="842" t="str">
        <f>IF(C89="","",INDEX({"रविवार";"सोमवार";"मंगळवार";"बुधवार";"गुरूवार";"शुक्रवार";"शनिवार"},WEEKDAY(C89)))</f>
        <v>शनिवार</v>
      </c>
      <c r="E89" s="673">
        <v>16</v>
      </c>
      <c r="F89" s="673">
        <v>16</v>
      </c>
      <c r="G89" s="673">
        <v>16</v>
      </c>
      <c r="H89" s="673" t="s">
        <v>74</v>
      </c>
      <c r="I89" s="673" t="s">
        <v>359</v>
      </c>
      <c r="J89" s="673"/>
      <c r="K89" s="673"/>
      <c r="L89" s="673"/>
      <c r="M89" s="673"/>
      <c r="N89" s="673"/>
      <c r="O89" s="673" t="s">
        <v>780</v>
      </c>
      <c r="P89" s="673" t="s">
        <v>424</v>
      </c>
      <c r="BE89" s="392">
        <v>6</v>
      </c>
      <c r="BF89" s="331">
        <f t="shared" si="38"/>
        <v>22</v>
      </c>
      <c r="BG89" s="331">
        <f t="shared" si="39"/>
        <v>0</v>
      </c>
      <c r="BH89" s="331">
        <f t="shared" si="40"/>
        <v>0</v>
      </c>
      <c r="BI89" s="331">
        <f t="shared" si="41"/>
        <v>17</v>
      </c>
      <c r="BJ89" s="331">
        <f t="shared" si="42"/>
        <v>15</v>
      </c>
      <c r="BK89" s="331">
        <f t="shared" si="43"/>
        <v>15</v>
      </c>
      <c r="BL89" s="331">
        <f t="shared" si="44"/>
        <v>16</v>
      </c>
      <c r="BM89" s="331">
        <f t="shared" si="45"/>
        <v>0</v>
      </c>
      <c r="BN89" s="331">
        <f t="shared" si="46"/>
        <v>0</v>
      </c>
      <c r="BO89" s="331">
        <f t="shared" si="47"/>
        <v>0</v>
      </c>
      <c r="BP89" s="331">
        <f t="shared" si="48"/>
        <v>0</v>
      </c>
      <c r="BQ89" s="331">
        <f t="shared" si="49"/>
        <v>0</v>
      </c>
      <c r="BR89" s="393"/>
    </row>
    <row r="90" spans="1:70" ht="27.75" customHeight="1" x14ac:dyDescent="0.4">
      <c r="A90" s="872">
        <v>82</v>
      </c>
      <c r="B90" s="861" t="s">
        <v>94</v>
      </c>
      <c r="C90" s="841">
        <f t="shared" si="37"/>
        <v>44731</v>
      </c>
      <c r="D90" s="842" t="str">
        <f>IF(C90="","",INDEX({"रविवार";"सोमवार";"मंगळवार";"बुधवार";"गुरूवार";"शुक्रवार";"शनिवार"},WEEKDAY(C90)))</f>
        <v>रविवार</v>
      </c>
      <c r="E90" s="673">
        <v>0</v>
      </c>
      <c r="F90" s="673">
        <v>0</v>
      </c>
      <c r="G90" s="673">
        <v>0</v>
      </c>
      <c r="H90" s="673"/>
      <c r="I90" s="673"/>
      <c r="J90" s="673"/>
      <c r="K90" s="673"/>
      <c r="L90" s="673"/>
      <c r="M90" s="828"/>
      <c r="N90" s="828"/>
      <c r="O90" s="673"/>
      <c r="P90" s="673"/>
      <c r="BE90" s="392">
        <v>7</v>
      </c>
      <c r="BF90" s="331">
        <f t="shared" si="38"/>
        <v>22</v>
      </c>
      <c r="BG90" s="331">
        <f t="shared" si="39"/>
        <v>0</v>
      </c>
      <c r="BH90" s="331">
        <f t="shared" si="40"/>
        <v>0</v>
      </c>
      <c r="BI90" s="331">
        <f t="shared" si="41"/>
        <v>17</v>
      </c>
      <c r="BJ90" s="331">
        <f t="shared" si="42"/>
        <v>0</v>
      </c>
      <c r="BK90" s="331">
        <f t="shared" si="43"/>
        <v>15</v>
      </c>
      <c r="BL90" s="331">
        <f t="shared" si="44"/>
        <v>22</v>
      </c>
      <c r="BM90" s="331">
        <f t="shared" si="45"/>
        <v>0</v>
      </c>
      <c r="BN90" s="331">
        <f t="shared" si="46"/>
        <v>21</v>
      </c>
      <c r="BO90" s="331">
        <f t="shared" si="47"/>
        <v>0</v>
      </c>
      <c r="BP90" s="331">
        <f t="shared" si="48"/>
        <v>0</v>
      </c>
      <c r="BQ90" s="331">
        <f t="shared" si="49"/>
        <v>0</v>
      </c>
      <c r="BR90" s="393"/>
    </row>
    <row r="91" spans="1:70" ht="27.75" customHeight="1" x14ac:dyDescent="0.4">
      <c r="A91" s="872">
        <v>83</v>
      </c>
      <c r="B91" s="861" t="s">
        <v>94</v>
      </c>
      <c r="C91" s="841">
        <f t="shared" si="37"/>
        <v>44732</v>
      </c>
      <c r="D91" s="842" t="str">
        <f>IF(C91="","",INDEX({"रविवार";"सोमवार";"मंगळवार";"बुधवार";"गुरूवार";"शुक्रवार";"शनिवार"},WEEKDAY(C91)))</f>
        <v>सोमवार</v>
      </c>
      <c r="E91" s="673">
        <v>17</v>
      </c>
      <c r="F91" s="673">
        <v>17</v>
      </c>
      <c r="G91" s="673">
        <v>17</v>
      </c>
      <c r="H91" s="673" t="s">
        <v>74</v>
      </c>
      <c r="I91" s="673" t="s">
        <v>359</v>
      </c>
      <c r="J91" s="673"/>
      <c r="K91" s="673"/>
      <c r="L91" s="673"/>
      <c r="M91" s="828"/>
      <c r="N91" s="828"/>
      <c r="O91" s="673" t="s">
        <v>778</v>
      </c>
      <c r="P91" s="673" t="s">
        <v>423</v>
      </c>
      <c r="BE91" s="392">
        <v>8</v>
      </c>
      <c r="BF91" s="331">
        <f t="shared" si="38"/>
        <v>22</v>
      </c>
      <c r="BG91" s="331">
        <f t="shared" si="39"/>
        <v>0</v>
      </c>
      <c r="BH91" s="331">
        <f t="shared" si="40"/>
        <v>0</v>
      </c>
      <c r="BI91" s="331">
        <f t="shared" si="41"/>
        <v>17</v>
      </c>
      <c r="BJ91" s="331">
        <f t="shared" si="42"/>
        <v>15</v>
      </c>
      <c r="BK91" s="331">
        <f t="shared" si="43"/>
        <v>15</v>
      </c>
      <c r="BL91" s="331">
        <f t="shared" si="44"/>
        <v>22</v>
      </c>
      <c r="BM91" s="331">
        <f t="shared" si="45"/>
        <v>0</v>
      </c>
      <c r="BN91" s="331">
        <f t="shared" si="46"/>
        <v>21</v>
      </c>
      <c r="BO91" s="331">
        <f t="shared" si="47"/>
        <v>0</v>
      </c>
      <c r="BP91" s="331">
        <f t="shared" si="48"/>
        <v>0</v>
      </c>
      <c r="BQ91" s="331">
        <f t="shared" si="49"/>
        <v>0</v>
      </c>
      <c r="BR91" s="393"/>
    </row>
    <row r="92" spans="1:70" ht="27.75" customHeight="1" x14ac:dyDescent="0.4">
      <c r="A92" s="872">
        <v>84</v>
      </c>
      <c r="B92" s="861" t="s">
        <v>94</v>
      </c>
      <c r="C92" s="841">
        <f t="shared" si="37"/>
        <v>44733</v>
      </c>
      <c r="D92" s="842" t="str">
        <f>IF(C92="","",INDEX({"रविवार";"सोमवार";"मंगळवार";"बुधवार";"गुरूवार";"शुक्रवार";"शनिवार"},WEEKDAY(C92)))</f>
        <v>मंगळवार</v>
      </c>
      <c r="E92" s="673">
        <v>17</v>
      </c>
      <c r="F92" s="673">
        <v>17</v>
      </c>
      <c r="G92" s="673">
        <v>17</v>
      </c>
      <c r="H92" s="673" t="s">
        <v>67</v>
      </c>
      <c r="I92" s="673" t="s">
        <v>384</v>
      </c>
      <c r="J92" s="673"/>
      <c r="K92" s="673"/>
      <c r="L92" s="673"/>
      <c r="M92" s="828"/>
      <c r="N92" s="828"/>
      <c r="O92" s="673" t="s">
        <v>777</v>
      </c>
      <c r="P92" s="673" t="s">
        <v>421</v>
      </c>
      <c r="BE92" s="392">
        <v>9</v>
      </c>
      <c r="BF92" s="331">
        <f t="shared" si="38"/>
        <v>22</v>
      </c>
      <c r="BG92" s="331">
        <f t="shared" si="39"/>
        <v>0</v>
      </c>
      <c r="BH92" s="331">
        <f t="shared" si="40"/>
        <v>0</v>
      </c>
      <c r="BI92" s="331">
        <f t="shared" si="41"/>
        <v>17</v>
      </c>
      <c r="BJ92" s="331">
        <f t="shared" si="42"/>
        <v>0</v>
      </c>
      <c r="BK92" s="331">
        <f t="shared" si="43"/>
        <v>0</v>
      </c>
      <c r="BL92" s="331">
        <f t="shared" si="44"/>
        <v>0</v>
      </c>
      <c r="BM92" s="331">
        <f t="shared" si="45"/>
        <v>22</v>
      </c>
      <c r="BN92" s="331">
        <f t="shared" si="46"/>
        <v>21</v>
      </c>
      <c r="BO92" s="331">
        <f t="shared" si="47"/>
        <v>0</v>
      </c>
      <c r="BP92" s="331">
        <f t="shared" si="48"/>
        <v>0</v>
      </c>
      <c r="BQ92" s="331">
        <f t="shared" si="49"/>
        <v>0</v>
      </c>
      <c r="BR92" s="393"/>
    </row>
    <row r="93" spans="1:70" ht="27.75" customHeight="1" x14ac:dyDescent="0.4">
      <c r="A93" s="872">
        <v>85</v>
      </c>
      <c r="B93" s="861" t="s">
        <v>94</v>
      </c>
      <c r="C93" s="841">
        <f t="shared" si="37"/>
        <v>44734</v>
      </c>
      <c r="D93" s="842" t="str">
        <f>IF(C93="","",INDEX({"रविवार";"सोमवार";"मंगळवार";"बुधवार";"गुरूवार";"शुक्रवार";"शनिवार"},WEEKDAY(C93)))</f>
        <v>बुधवार</v>
      </c>
      <c r="E93" s="673">
        <v>17</v>
      </c>
      <c r="F93" s="673">
        <v>17</v>
      </c>
      <c r="G93" s="673">
        <v>17</v>
      </c>
      <c r="H93" s="673" t="s">
        <v>444</v>
      </c>
      <c r="I93" s="673" t="s">
        <v>384</v>
      </c>
      <c r="J93" s="673"/>
      <c r="K93" s="673"/>
      <c r="L93" s="673"/>
      <c r="M93" s="828"/>
      <c r="N93" s="828"/>
      <c r="O93" s="673" t="s">
        <v>780</v>
      </c>
      <c r="P93" s="673" t="s">
        <v>425</v>
      </c>
      <c r="BE93" s="392">
        <v>10</v>
      </c>
      <c r="BF93" s="331">
        <f t="shared" si="38"/>
        <v>0</v>
      </c>
      <c r="BG93" s="331">
        <f t="shared" si="39"/>
        <v>0</v>
      </c>
      <c r="BH93" s="331">
        <f t="shared" si="40"/>
        <v>0</v>
      </c>
      <c r="BI93" s="331">
        <f t="shared" si="41"/>
        <v>0</v>
      </c>
      <c r="BJ93" s="331">
        <f t="shared" si="42"/>
        <v>15</v>
      </c>
      <c r="BK93" s="331">
        <f t="shared" si="43"/>
        <v>15</v>
      </c>
      <c r="BL93" s="331">
        <f t="shared" si="44"/>
        <v>22</v>
      </c>
      <c r="BM93" s="331">
        <f t="shared" si="45"/>
        <v>22</v>
      </c>
      <c r="BN93" s="331">
        <f t="shared" si="46"/>
        <v>21</v>
      </c>
      <c r="BO93" s="331">
        <f t="shared" si="47"/>
        <v>0</v>
      </c>
      <c r="BP93" s="331">
        <f t="shared" si="48"/>
        <v>0</v>
      </c>
      <c r="BQ93" s="331">
        <f t="shared" si="49"/>
        <v>0</v>
      </c>
      <c r="BR93" s="393"/>
    </row>
    <row r="94" spans="1:70" ht="27.75" customHeight="1" x14ac:dyDescent="0.4">
      <c r="A94" s="872">
        <v>86</v>
      </c>
      <c r="B94" s="861" t="s">
        <v>94</v>
      </c>
      <c r="C94" s="841">
        <f t="shared" si="37"/>
        <v>44735</v>
      </c>
      <c r="D94" s="842" t="str">
        <f>IF(C94="","",INDEX({"रविवार";"सोमवार";"मंगळवार";"बुधवार";"गुरूवार";"शुक्रवार";"शनिवार"},WEEKDAY(C94)))</f>
        <v>गुरूवार</v>
      </c>
      <c r="E94" s="673">
        <v>17</v>
      </c>
      <c r="F94" s="673">
        <v>17</v>
      </c>
      <c r="G94" s="673">
        <v>17</v>
      </c>
      <c r="H94" s="673" t="s">
        <v>67</v>
      </c>
      <c r="I94" s="673" t="s">
        <v>384</v>
      </c>
      <c r="J94" s="673"/>
      <c r="K94" s="673"/>
      <c r="L94" s="673"/>
      <c r="M94" s="828"/>
      <c r="N94" s="828"/>
      <c r="O94" s="673" t="s">
        <v>778</v>
      </c>
      <c r="P94" s="673" t="s">
        <v>424</v>
      </c>
      <c r="BE94" s="392">
        <v>11</v>
      </c>
      <c r="BF94" s="331">
        <f t="shared" si="38"/>
        <v>22</v>
      </c>
      <c r="BG94" s="331">
        <f t="shared" si="39"/>
        <v>0</v>
      </c>
      <c r="BH94" s="331">
        <f t="shared" si="40"/>
        <v>0</v>
      </c>
      <c r="BI94" s="331">
        <f t="shared" si="41"/>
        <v>17</v>
      </c>
      <c r="BJ94" s="331">
        <f t="shared" si="42"/>
        <v>15</v>
      </c>
      <c r="BK94" s="331">
        <f t="shared" si="43"/>
        <v>0</v>
      </c>
      <c r="BL94" s="331">
        <f t="shared" si="44"/>
        <v>22</v>
      </c>
      <c r="BM94" s="331">
        <f t="shared" si="45"/>
        <v>22</v>
      </c>
      <c r="BN94" s="331">
        <f t="shared" si="46"/>
        <v>0</v>
      </c>
      <c r="BO94" s="331">
        <f t="shared" si="47"/>
        <v>0</v>
      </c>
      <c r="BP94" s="331">
        <f t="shared" si="48"/>
        <v>0</v>
      </c>
      <c r="BQ94" s="331">
        <f t="shared" si="49"/>
        <v>0</v>
      </c>
      <c r="BR94" s="393"/>
    </row>
    <row r="95" spans="1:70" ht="27.75" customHeight="1" x14ac:dyDescent="0.4">
      <c r="A95" s="872">
        <v>87</v>
      </c>
      <c r="B95" s="861" t="s">
        <v>94</v>
      </c>
      <c r="C95" s="841">
        <f t="shared" si="37"/>
        <v>44736</v>
      </c>
      <c r="D95" s="842" t="str">
        <f>IF(C95="","",INDEX({"रविवार";"सोमवार";"मंगळवार";"बुधवार";"गुरूवार";"शुक्रवार";"शनिवार"},WEEKDAY(C95)))</f>
        <v>शुक्रवार</v>
      </c>
      <c r="E95" s="673">
        <v>17</v>
      </c>
      <c r="F95" s="673">
        <v>17</v>
      </c>
      <c r="G95" s="673">
        <v>17</v>
      </c>
      <c r="H95" s="673" t="s">
        <v>444</v>
      </c>
      <c r="I95" s="673" t="s">
        <v>384</v>
      </c>
      <c r="J95" s="673"/>
      <c r="K95" s="673"/>
      <c r="L95" s="673"/>
      <c r="M95" s="828"/>
      <c r="N95" s="828"/>
      <c r="O95" s="673" t="s">
        <v>779</v>
      </c>
      <c r="P95" s="673" t="s">
        <v>422</v>
      </c>
      <c r="BE95" s="392">
        <v>12</v>
      </c>
      <c r="BF95" s="331">
        <f t="shared" si="38"/>
        <v>22</v>
      </c>
      <c r="BG95" s="331">
        <f t="shared" si="39"/>
        <v>0</v>
      </c>
      <c r="BH95" s="331">
        <f t="shared" si="40"/>
        <v>0</v>
      </c>
      <c r="BI95" s="331">
        <f t="shared" si="41"/>
        <v>17</v>
      </c>
      <c r="BJ95" s="331">
        <f t="shared" si="42"/>
        <v>15</v>
      </c>
      <c r="BK95" s="331">
        <f t="shared" si="43"/>
        <v>16</v>
      </c>
      <c r="BL95" s="331">
        <f t="shared" si="44"/>
        <v>22</v>
      </c>
      <c r="BM95" s="331">
        <f t="shared" si="45"/>
        <v>22</v>
      </c>
      <c r="BN95" s="331">
        <f t="shared" si="46"/>
        <v>21</v>
      </c>
      <c r="BO95" s="331">
        <f t="shared" si="47"/>
        <v>0</v>
      </c>
      <c r="BP95" s="331">
        <f t="shared" si="48"/>
        <v>0</v>
      </c>
      <c r="BQ95" s="331">
        <f t="shared" si="49"/>
        <v>0</v>
      </c>
      <c r="BR95" s="393"/>
    </row>
    <row r="96" spans="1:70" ht="27.75" customHeight="1" x14ac:dyDescent="0.4">
      <c r="A96" s="872">
        <v>88</v>
      </c>
      <c r="B96" s="861" t="s">
        <v>94</v>
      </c>
      <c r="C96" s="841">
        <f t="shared" si="37"/>
        <v>44737</v>
      </c>
      <c r="D96" s="842" t="str">
        <f>IF(C96="","",INDEX({"रविवार";"सोमवार";"मंगळवार";"बुधवार";"गुरूवार";"शुक्रवार";"शनिवार"},WEEKDAY(C96)))</f>
        <v>शनिवार</v>
      </c>
      <c r="E96" s="673">
        <v>17</v>
      </c>
      <c r="F96" s="673">
        <v>17</v>
      </c>
      <c r="G96" s="673">
        <v>17</v>
      </c>
      <c r="H96" s="673" t="s">
        <v>74</v>
      </c>
      <c r="I96" s="673" t="s">
        <v>359</v>
      </c>
      <c r="J96" s="673"/>
      <c r="K96" s="673"/>
      <c r="L96" s="673"/>
      <c r="M96" s="828"/>
      <c r="N96" s="828"/>
      <c r="O96" s="673" t="s">
        <v>777</v>
      </c>
      <c r="P96" s="673" t="s">
        <v>421</v>
      </c>
      <c r="BE96" s="392">
        <v>13</v>
      </c>
      <c r="BF96" s="331">
        <f t="shared" si="38"/>
        <v>22</v>
      </c>
      <c r="BG96" s="331">
        <f t="shared" si="39"/>
        <v>0</v>
      </c>
      <c r="BH96" s="331">
        <f t="shared" si="40"/>
        <v>0</v>
      </c>
      <c r="BI96" s="331">
        <f t="shared" si="41"/>
        <v>17</v>
      </c>
      <c r="BJ96" s="331">
        <f t="shared" si="42"/>
        <v>15</v>
      </c>
      <c r="BK96" s="331">
        <f t="shared" si="43"/>
        <v>16</v>
      </c>
      <c r="BL96" s="331">
        <f t="shared" si="44"/>
        <v>22</v>
      </c>
      <c r="BM96" s="331">
        <f t="shared" si="45"/>
        <v>0</v>
      </c>
      <c r="BN96" s="331">
        <f t="shared" si="46"/>
        <v>21</v>
      </c>
      <c r="BO96" s="331">
        <f t="shared" si="47"/>
        <v>0</v>
      </c>
      <c r="BP96" s="331">
        <f t="shared" si="48"/>
        <v>0</v>
      </c>
      <c r="BQ96" s="331">
        <f t="shared" si="49"/>
        <v>0</v>
      </c>
      <c r="BR96" s="393"/>
    </row>
    <row r="97" spans="1:70" ht="27.75" customHeight="1" x14ac:dyDescent="0.4">
      <c r="A97" s="872">
        <v>89</v>
      </c>
      <c r="B97" s="861" t="s">
        <v>94</v>
      </c>
      <c r="C97" s="841">
        <f t="shared" si="37"/>
        <v>44738</v>
      </c>
      <c r="D97" s="842" t="str">
        <f>IF(C97="","",INDEX({"रविवार";"सोमवार";"मंगळवार";"बुधवार";"गुरूवार";"शुक्रवार";"शनिवार"},WEEKDAY(C97)))</f>
        <v>रविवार</v>
      </c>
      <c r="E97" s="673">
        <v>0</v>
      </c>
      <c r="F97" s="673">
        <v>0</v>
      </c>
      <c r="G97" s="673">
        <v>0</v>
      </c>
      <c r="H97" s="673"/>
      <c r="I97" s="673"/>
      <c r="J97" s="673"/>
      <c r="K97" s="673"/>
      <c r="L97" s="673"/>
      <c r="M97" s="828"/>
      <c r="N97" s="828"/>
      <c r="O97" s="673"/>
      <c r="P97" s="673"/>
      <c r="BE97" s="392">
        <v>14</v>
      </c>
      <c r="BF97" s="331">
        <f t="shared" si="38"/>
        <v>0</v>
      </c>
      <c r="BG97" s="331">
        <f t="shared" si="39"/>
        <v>0</v>
      </c>
      <c r="BH97" s="331">
        <f t="shared" si="40"/>
        <v>0</v>
      </c>
      <c r="BI97" s="331">
        <f t="shared" si="41"/>
        <v>17</v>
      </c>
      <c r="BJ97" s="331">
        <f t="shared" si="42"/>
        <v>0</v>
      </c>
      <c r="BK97" s="331">
        <f t="shared" si="43"/>
        <v>16</v>
      </c>
      <c r="BL97" s="331">
        <f t="shared" si="44"/>
        <v>22</v>
      </c>
      <c r="BM97" s="331">
        <f t="shared" si="45"/>
        <v>22</v>
      </c>
      <c r="BN97" s="331">
        <f t="shared" si="46"/>
        <v>21</v>
      </c>
      <c r="BO97" s="331">
        <f t="shared" si="47"/>
        <v>0</v>
      </c>
      <c r="BP97" s="331">
        <f t="shared" si="48"/>
        <v>0</v>
      </c>
      <c r="BQ97" s="331">
        <f t="shared" si="49"/>
        <v>0</v>
      </c>
      <c r="BR97" s="393"/>
    </row>
    <row r="98" spans="1:70" ht="27.75" customHeight="1" x14ac:dyDescent="0.4">
      <c r="A98" s="872">
        <v>90</v>
      </c>
      <c r="B98" s="861" t="s">
        <v>94</v>
      </c>
      <c r="C98" s="841">
        <f t="shared" si="37"/>
        <v>44739</v>
      </c>
      <c r="D98" s="842" t="str">
        <f>IF(C98="","",INDEX({"रविवार";"सोमवार";"मंगळवार";"बुधवार";"गुरूवार";"शुक्रवार";"शनिवार"},WEEKDAY(C98)))</f>
        <v>सोमवार</v>
      </c>
      <c r="E98" s="673">
        <v>17</v>
      </c>
      <c r="F98" s="673">
        <v>17</v>
      </c>
      <c r="G98" s="673">
        <v>17</v>
      </c>
      <c r="H98" s="673" t="s">
        <v>74</v>
      </c>
      <c r="I98" s="673" t="s">
        <v>359</v>
      </c>
      <c r="J98" s="673"/>
      <c r="K98" s="673"/>
      <c r="L98" s="673"/>
      <c r="M98" s="828"/>
      <c r="N98" s="828"/>
      <c r="O98" s="673" t="s">
        <v>780</v>
      </c>
      <c r="P98" s="673" t="s">
        <v>425</v>
      </c>
      <c r="BE98" s="392">
        <v>15</v>
      </c>
      <c r="BF98" s="331">
        <f t="shared" si="38"/>
        <v>0</v>
      </c>
      <c r="BG98" s="331">
        <f t="shared" si="39"/>
        <v>0</v>
      </c>
      <c r="BH98" s="331">
        <f t="shared" si="40"/>
        <v>16</v>
      </c>
      <c r="BI98" s="331">
        <f t="shared" si="41"/>
        <v>17</v>
      </c>
      <c r="BJ98" s="331">
        <f t="shared" si="42"/>
        <v>0</v>
      </c>
      <c r="BK98" s="331">
        <f t="shared" si="43"/>
        <v>16</v>
      </c>
      <c r="BL98" s="331">
        <f t="shared" si="44"/>
        <v>22</v>
      </c>
      <c r="BM98" s="331">
        <f t="shared" si="45"/>
        <v>22</v>
      </c>
      <c r="BN98" s="331">
        <f t="shared" si="46"/>
        <v>21</v>
      </c>
      <c r="BO98" s="331">
        <f t="shared" si="47"/>
        <v>0</v>
      </c>
      <c r="BP98" s="331">
        <f t="shared" si="48"/>
        <v>0</v>
      </c>
      <c r="BQ98" s="331">
        <f t="shared" si="49"/>
        <v>0</v>
      </c>
      <c r="BR98" s="393"/>
    </row>
    <row r="99" spans="1:70" ht="27.75" customHeight="1" x14ac:dyDescent="0.4">
      <c r="A99" s="872">
        <v>91</v>
      </c>
      <c r="B99" s="861" t="s">
        <v>94</v>
      </c>
      <c r="C99" s="841">
        <f t="shared" si="37"/>
        <v>44740</v>
      </c>
      <c r="D99" s="842" t="str">
        <f>IF(C99="","",INDEX({"रविवार";"सोमवार";"मंगळवार";"बुधवार";"गुरूवार";"शुक्रवार";"शनिवार"},WEEKDAY(C99)))</f>
        <v>मंगळवार</v>
      </c>
      <c r="E99" s="673">
        <v>17</v>
      </c>
      <c r="F99" s="673">
        <v>17</v>
      </c>
      <c r="G99" s="673">
        <v>17</v>
      </c>
      <c r="H99" s="673" t="s">
        <v>67</v>
      </c>
      <c r="I99" s="673" t="s">
        <v>384</v>
      </c>
      <c r="J99" s="673"/>
      <c r="K99" s="673"/>
      <c r="L99" s="673"/>
      <c r="M99" s="828"/>
      <c r="N99" s="828"/>
      <c r="O99" s="673" t="s">
        <v>778</v>
      </c>
      <c r="P99" s="673" t="s">
        <v>424</v>
      </c>
      <c r="BE99" s="392">
        <v>16</v>
      </c>
      <c r="BF99" s="331">
        <f t="shared" si="38"/>
        <v>22</v>
      </c>
      <c r="BG99" s="331">
        <f t="shared" si="39"/>
        <v>0</v>
      </c>
      <c r="BH99" s="331">
        <f t="shared" si="40"/>
        <v>16</v>
      </c>
      <c r="BI99" s="331">
        <f t="shared" si="41"/>
        <v>17</v>
      </c>
      <c r="BJ99" s="331">
        <f t="shared" si="42"/>
        <v>0</v>
      </c>
      <c r="BK99" s="331">
        <f t="shared" si="43"/>
        <v>16</v>
      </c>
      <c r="BL99" s="331">
        <f t="shared" si="44"/>
        <v>0</v>
      </c>
      <c r="BM99" s="331">
        <f t="shared" si="45"/>
        <v>22</v>
      </c>
      <c r="BN99" s="331">
        <f t="shared" si="46"/>
        <v>21</v>
      </c>
      <c r="BO99" s="331">
        <f t="shared" si="47"/>
        <v>0</v>
      </c>
      <c r="BP99" s="331">
        <f t="shared" si="48"/>
        <v>0</v>
      </c>
      <c r="BQ99" s="331">
        <f t="shared" si="49"/>
        <v>0</v>
      </c>
      <c r="BR99" s="393"/>
    </row>
    <row r="100" spans="1:70" ht="27.75" customHeight="1" x14ac:dyDescent="0.4">
      <c r="A100" s="872">
        <v>92</v>
      </c>
      <c r="B100" s="861" t="s">
        <v>94</v>
      </c>
      <c r="C100" s="841">
        <f t="shared" si="37"/>
        <v>44741</v>
      </c>
      <c r="D100" s="842" t="str">
        <f>IF(C100="","",INDEX({"रविवार";"सोमवार";"मंगळवार";"बुधवार";"गुरूवार";"शुक्रवार";"शनिवार"},WEEKDAY(C100)))</f>
        <v>बुधवार</v>
      </c>
      <c r="E100" s="673">
        <v>17</v>
      </c>
      <c r="F100" s="673">
        <v>17</v>
      </c>
      <c r="G100" s="673">
        <v>17</v>
      </c>
      <c r="H100" s="673" t="s">
        <v>444</v>
      </c>
      <c r="I100" s="673" t="s">
        <v>384</v>
      </c>
      <c r="J100" s="673"/>
      <c r="K100" s="673"/>
      <c r="L100" s="673"/>
      <c r="M100" s="828"/>
      <c r="N100" s="828"/>
      <c r="O100" s="673" t="s">
        <v>779</v>
      </c>
      <c r="P100" s="673" t="s">
        <v>422</v>
      </c>
      <c r="BE100" s="392">
        <v>17</v>
      </c>
      <c r="BF100" s="331">
        <f t="shared" si="38"/>
        <v>0</v>
      </c>
      <c r="BG100" s="331">
        <f t="shared" si="39"/>
        <v>0</v>
      </c>
      <c r="BH100" s="331">
        <f t="shared" si="40"/>
        <v>16</v>
      </c>
      <c r="BI100" s="331">
        <f t="shared" si="41"/>
        <v>0</v>
      </c>
      <c r="BJ100" s="331">
        <f t="shared" si="42"/>
        <v>15</v>
      </c>
      <c r="BK100" s="331">
        <f t="shared" si="43"/>
        <v>0</v>
      </c>
      <c r="BL100" s="331">
        <f t="shared" si="44"/>
        <v>0</v>
      </c>
      <c r="BM100" s="331">
        <f t="shared" si="45"/>
        <v>22</v>
      </c>
      <c r="BN100" s="331">
        <f t="shared" si="46"/>
        <v>21</v>
      </c>
      <c r="BO100" s="331">
        <f t="shared" si="47"/>
        <v>0</v>
      </c>
      <c r="BP100" s="331">
        <f t="shared" si="48"/>
        <v>0</v>
      </c>
      <c r="BQ100" s="331">
        <f t="shared" si="49"/>
        <v>0</v>
      </c>
      <c r="BR100" s="393"/>
    </row>
    <row r="101" spans="1:70" ht="27.75" customHeight="1" x14ac:dyDescent="0.4">
      <c r="A101" s="872">
        <v>93</v>
      </c>
      <c r="B101" s="861" t="s">
        <v>94</v>
      </c>
      <c r="C101" s="841">
        <f t="shared" si="37"/>
        <v>44742</v>
      </c>
      <c r="D101" s="842" t="str">
        <f>IF(C101="","",INDEX({"रविवार";"सोमवार";"मंगळवार";"बुधवार";"गुरूवार";"शुक्रवार";"शनिवार"},WEEKDAY(C101)))</f>
        <v>गुरूवार</v>
      </c>
      <c r="E101" s="673">
        <v>17</v>
      </c>
      <c r="F101" s="673">
        <v>17</v>
      </c>
      <c r="G101" s="673">
        <v>17</v>
      </c>
      <c r="H101" s="673" t="s">
        <v>67</v>
      </c>
      <c r="I101" s="673" t="s">
        <v>384</v>
      </c>
      <c r="J101" s="673"/>
      <c r="K101" s="673"/>
      <c r="L101" s="673"/>
      <c r="M101" s="828"/>
      <c r="N101" s="828"/>
      <c r="O101" s="673" t="s">
        <v>777</v>
      </c>
      <c r="P101" s="673" t="s">
        <v>421</v>
      </c>
      <c r="BE101" s="392">
        <v>18</v>
      </c>
      <c r="BF101" s="331">
        <f t="shared" si="38"/>
        <v>22</v>
      </c>
      <c r="BG101" s="331">
        <f t="shared" si="39"/>
        <v>0</v>
      </c>
      <c r="BH101" s="331">
        <f t="shared" si="40"/>
        <v>16</v>
      </c>
      <c r="BI101" s="331">
        <f t="shared" si="41"/>
        <v>17</v>
      </c>
      <c r="BJ101" s="331">
        <f t="shared" si="42"/>
        <v>15</v>
      </c>
      <c r="BK101" s="331">
        <f t="shared" si="43"/>
        <v>0</v>
      </c>
      <c r="BL101" s="331">
        <f t="shared" si="44"/>
        <v>0</v>
      </c>
      <c r="BM101" s="331">
        <f t="shared" si="45"/>
        <v>22</v>
      </c>
      <c r="BN101" s="331">
        <f t="shared" si="46"/>
        <v>0</v>
      </c>
      <c r="BO101" s="331">
        <f t="shared" si="47"/>
        <v>0</v>
      </c>
      <c r="BP101" s="331">
        <f t="shared" si="48"/>
        <v>0</v>
      </c>
      <c r="BQ101" s="331">
        <f t="shared" si="49"/>
        <v>0</v>
      </c>
      <c r="BR101" s="393"/>
    </row>
    <row r="102" spans="1:70" ht="27.75" customHeight="1" x14ac:dyDescent="0.4">
      <c r="A102" s="872">
        <v>94</v>
      </c>
      <c r="B102" s="861" t="s">
        <v>94</v>
      </c>
      <c r="C102" s="841" t="s">
        <v>35</v>
      </c>
      <c r="D102" s="841"/>
      <c r="E102" s="832">
        <f>IF(SUM(E72:E101)&gt;0,SUM(E72:E101),"")</f>
        <v>234</v>
      </c>
      <c r="F102" s="827">
        <f t="shared" ref="F102:N102" si="50">IF(SUM(F72:F101)&gt;0,SUM(F72:F101),"")</f>
        <v>234</v>
      </c>
      <c r="G102" s="827">
        <f t="shared" si="50"/>
        <v>234</v>
      </c>
      <c r="H102" s="827" t="str">
        <f t="shared" si="50"/>
        <v/>
      </c>
      <c r="I102" s="827" t="str">
        <f t="shared" si="50"/>
        <v/>
      </c>
      <c r="J102" s="827" t="str">
        <f t="shared" si="50"/>
        <v/>
      </c>
      <c r="K102" s="827" t="str">
        <f t="shared" si="50"/>
        <v/>
      </c>
      <c r="L102" s="827" t="str">
        <f t="shared" si="50"/>
        <v/>
      </c>
      <c r="M102" s="827" t="str">
        <f t="shared" si="50"/>
        <v/>
      </c>
      <c r="N102" s="827" t="str">
        <f t="shared" si="50"/>
        <v/>
      </c>
      <c r="O102" s="827"/>
      <c r="P102" s="827"/>
      <c r="BE102" s="392">
        <v>19</v>
      </c>
      <c r="BF102" s="331">
        <f t="shared" si="38"/>
        <v>22</v>
      </c>
      <c r="BG102" s="331">
        <f t="shared" si="39"/>
        <v>0</v>
      </c>
      <c r="BH102" s="331">
        <f t="shared" si="40"/>
        <v>0</v>
      </c>
      <c r="BI102" s="331">
        <f t="shared" si="41"/>
        <v>17</v>
      </c>
      <c r="BJ102" s="331">
        <f t="shared" si="42"/>
        <v>15</v>
      </c>
      <c r="BK102" s="331">
        <f t="shared" si="43"/>
        <v>16</v>
      </c>
      <c r="BL102" s="331">
        <f t="shared" si="44"/>
        <v>0</v>
      </c>
      <c r="BM102" s="331">
        <f t="shared" si="45"/>
        <v>22</v>
      </c>
      <c r="BN102" s="331">
        <f t="shared" si="46"/>
        <v>21</v>
      </c>
      <c r="BO102" s="331">
        <f t="shared" si="47"/>
        <v>0</v>
      </c>
      <c r="BP102" s="331">
        <f t="shared" si="48"/>
        <v>0</v>
      </c>
      <c r="BQ102" s="331">
        <f t="shared" si="49"/>
        <v>0</v>
      </c>
      <c r="BR102" s="393"/>
    </row>
    <row r="103" spans="1:70" ht="27.75" customHeight="1" x14ac:dyDescent="0.4">
      <c r="A103" s="872">
        <v>95</v>
      </c>
      <c r="B103" s="862" t="s">
        <v>46</v>
      </c>
      <c r="C103" s="841">
        <f>DATE(N6,"7","1")</f>
        <v>44743</v>
      </c>
      <c r="D103" s="842" t="str">
        <f>IF(C103="","",INDEX({"रविवार";"सोमवार";"मंगळवार";"बुधवार";"गुरूवार";"शुक्रवार";"शनिवार"},WEEKDAY(C103)))</f>
        <v>शुक्रवार</v>
      </c>
      <c r="E103" s="673">
        <v>17</v>
      </c>
      <c r="F103" s="673">
        <v>17</v>
      </c>
      <c r="G103" s="673">
        <v>17</v>
      </c>
      <c r="H103" s="673" t="s">
        <v>444</v>
      </c>
      <c r="I103" s="673" t="s">
        <v>384</v>
      </c>
      <c r="J103" s="673"/>
      <c r="K103" s="673"/>
      <c r="L103" s="673"/>
      <c r="M103" s="828"/>
      <c r="N103" s="828"/>
      <c r="O103" s="673" t="s">
        <v>778</v>
      </c>
      <c r="P103" s="673" t="s">
        <v>424</v>
      </c>
      <c r="BE103" s="392">
        <v>20</v>
      </c>
      <c r="BF103" s="331">
        <f t="shared" si="38"/>
        <v>22</v>
      </c>
      <c r="BG103" s="331">
        <f t="shared" si="39"/>
        <v>0</v>
      </c>
      <c r="BH103" s="331">
        <f t="shared" si="40"/>
        <v>17</v>
      </c>
      <c r="BI103" s="331">
        <f t="shared" si="41"/>
        <v>17</v>
      </c>
      <c r="BJ103" s="331">
        <f t="shared" si="42"/>
        <v>15</v>
      </c>
      <c r="BK103" s="331">
        <f t="shared" si="43"/>
        <v>16</v>
      </c>
      <c r="BL103" s="331">
        <f t="shared" si="44"/>
        <v>0</v>
      </c>
      <c r="BM103" s="331">
        <f t="shared" si="45"/>
        <v>0</v>
      </c>
      <c r="BN103" s="331">
        <f t="shared" si="46"/>
        <v>21</v>
      </c>
      <c r="BO103" s="331">
        <f t="shared" si="47"/>
        <v>0</v>
      </c>
      <c r="BP103" s="331">
        <f t="shared" si="48"/>
        <v>0</v>
      </c>
      <c r="BQ103" s="331">
        <f t="shared" si="49"/>
        <v>0</v>
      </c>
      <c r="BR103" s="393"/>
    </row>
    <row r="104" spans="1:70" ht="27.75" customHeight="1" x14ac:dyDescent="0.4">
      <c r="A104" s="872">
        <v>96</v>
      </c>
      <c r="B104" s="862" t="s">
        <v>46</v>
      </c>
      <c r="C104" s="841">
        <f>C103+1</f>
        <v>44744</v>
      </c>
      <c r="D104" s="842" t="str">
        <f>IF(C104="","",INDEX({"रविवार";"सोमवार";"मंगळवार";"बुधवार";"गुरूवार";"शुक्रवार";"शनिवार"},WEEKDAY(C104)))</f>
        <v>शनिवार</v>
      </c>
      <c r="E104" s="673">
        <v>17</v>
      </c>
      <c r="F104" s="673">
        <v>17</v>
      </c>
      <c r="G104" s="673">
        <v>17</v>
      </c>
      <c r="H104" s="673" t="s">
        <v>74</v>
      </c>
      <c r="I104" s="673" t="s">
        <v>359</v>
      </c>
      <c r="J104" s="673"/>
      <c r="K104" s="673"/>
      <c r="L104" s="673"/>
      <c r="M104" s="828"/>
      <c r="N104" s="828"/>
      <c r="O104" s="673" t="s">
        <v>779</v>
      </c>
      <c r="P104" s="673" t="s">
        <v>422</v>
      </c>
      <c r="BE104" s="392">
        <v>21</v>
      </c>
      <c r="BF104" s="331">
        <f t="shared" si="38"/>
        <v>22</v>
      </c>
      <c r="BG104" s="331">
        <f t="shared" si="39"/>
        <v>0</v>
      </c>
      <c r="BH104" s="331">
        <f t="shared" si="40"/>
        <v>17</v>
      </c>
      <c r="BI104" s="331">
        <f t="shared" si="41"/>
        <v>17</v>
      </c>
      <c r="BJ104" s="331">
        <f t="shared" si="42"/>
        <v>0</v>
      </c>
      <c r="BK104" s="331">
        <f t="shared" si="43"/>
        <v>16</v>
      </c>
      <c r="BL104" s="331">
        <f t="shared" si="44"/>
        <v>0</v>
      </c>
      <c r="BM104" s="331">
        <f t="shared" si="45"/>
        <v>22</v>
      </c>
      <c r="BN104" s="331">
        <f t="shared" si="46"/>
        <v>21</v>
      </c>
      <c r="BO104" s="331">
        <f t="shared" si="47"/>
        <v>0</v>
      </c>
      <c r="BP104" s="331">
        <f t="shared" si="48"/>
        <v>0</v>
      </c>
      <c r="BQ104" s="331">
        <f t="shared" si="49"/>
        <v>0</v>
      </c>
      <c r="BR104" s="393"/>
    </row>
    <row r="105" spans="1:70" ht="27.75" customHeight="1" x14ac:dyDescent="0.4">
      <c r="A105" s="872">
        <v>97</v>
      </c>
      <c r="B105" s="862" t="s">
        <v>46</v>
      </c>
      <c r="C105" s="841">
        <f t="shared" ref="C105:C133" si="51">C104+1</f>
        <v>44745</v>
      </c>
      <c r="D105" s="842" t="str">
        <f>IF(C105="","",INDEX({"रविवार";"सोमवार";"मंगळवार";"बुधवार";"गुरूवार";"शुक्रवार";"शनिवार"},WEEKDAY(C105)))</f>
        <v>रविवार</v>
      </c>
      <c r="E105" s="673">
        <v>0</v>
      </c>
      <c r="F105" s="673">
        <v>0</v>
      </c>
      <c r="G105" s="673">
        <v>0</v>
      </c>
      <c r="H105" s="673"/>
      <c r="I105" s="673"/>
      <c r="J105" s="673"/>
      <c r="K105" s="673"/>
      <c r="L105" s="673"/>
      <c r="M105" s="828"/>
      <c r="N105" s="828"/>
      <c r="O105" s="673"/>
      <c r="P105" s="673"/>
      <c r="BE105" s="392">
        <v>22</v>
      </c>
      <c r="BF105" s="331">
        <f t="shared" si="38"/>
        <v>22</v>
      </c>
      <c r="BG105" s="331">
        <f t="shared" si="39"/>
        <v>0</v>
      </c>
      <c r="BH105" s="331">
        <f t="shared" si="40"/>
        <v>17</v>
      </c>
      <c r="BI105" s="331">
        <f t="shared" si="41"/>
        <v>17</v>
      </c>
      <c r="BJ105" s="331">
        <f t="shared" si="42"/>
        <v>15</v>
      </c>
      <c r="BK105" s="331">
        <f t="shared" si="43"/>
        <v>16</v>
      </c>
      <c r="BL105" s="331">
        <f t="shared" si="44"/>
        <v>0</v>
      </c>
      <c r="BM105" s="331">
        <f t="shared" si="45"/>
        <v>22</v>
      </c>
      <c r="BN105" s="331">
        <f t="shared" si="46"/>
        <v>21</v>
      </c>
      <c r="BO105" s="331">
        <f t="shared" si="47"/>
        <v>0</v>
      </c>
      <c r="BP105" s="331">
        <f t="shared" si="48"/>
        <v>0</v>
      </c>
      <c r="BQ105" s="331">
        <f t="shared" si="49"/>
        <v>0</v>
      </c>
      <c r="BR105" s="393"/>
    </row>
    <row r="106" spans="1:70" ht="27.75" customHeight="1" x14ac:dyDescent="0.4">
      <c r="A106" s="872">
        <v>98</v>
      </c>
      <c r="B106" s="862" t="s">
        <v>46</v>
      </c>
      <c r="C106" s="841">
        <f t="shared" si="51"/>
        <v>44746</v>
      </c>
      <c r="D106" s="842" t="str">
        <f>IF(C106="","",INDEX({"रविवार";"सोमवार";"मंगळवार";"बुधवार";"गुरूवार";"शुक्रवार";"शनिवार"},WEEKDAY(C106)))</f>
        <v>सोमवार</v>
      </c>
      <c r="E106" s="673">
        <v>17</v>
      </c>
      <c r="F106" s="673">
        <v>17</v>
      </c>
      <c r="G106" s="673">
        <v>17</v>
      </c>
      <c r="H106" s="673" t="s">
        <v>74</v>
      </c>
      <c r="I106" s="673" t="s">
        <v>359</v>
      </c>
      <c r="J106" s="673"/>
      <c r="K106" s="673"/>
      <c r="L106" s="673"/>
      <c r="M106" s="828"/>
      <c r="N106" s="828"/>
      <c r="O106" s="673" t="s">
        <v>778</v>
      </c>
      <c r="P106" s="673" t="s">
        <v>423</v>
      </c>
      <c r="BE106" s="392">
        <v>23</v>
      </c>
      <c r="BF106" s="331">
        <f t="shared" si="38"/>
        <v>22</v>
      </c>
      <c r="BG106" s="331">
        <f t="shared" si="39"/>
        <v>0</v>
      </c>
      <c r="BH106" s="331">
        <f t="shared" si="40"/>
        <v>17</v>
      </c>
      <c r="BI106" s="331">
        <f t="shared" si="41"/>
        <v>17</v>
      </c>
      <c r="BJ106" s="331">
        <f t="shared" si="42"/>
        <v>15</v>
      </c>
      <c r="BK106" s="331">
        <f t="shared" si="43"/>
        <v>16</v>
      </c>
      <c r="BL106" s="331">
        <f t="shared" si="44"/>
        <v>0</v>
      </c>
      <c r="BM106" s="331">
        <f t="shared" si="45"/>
        <v>22</v>
      </c>
      <c r="BN106" s="331">
        <f t="shared" si="46"/>
        <v>21</v>
      </c>
      <c r="BO106" s="331">
        <f t="shared" si="47"/>
        <v>0</v>
      </c>
      <c r="BP106" s="331">
        <f t="shared" si="48"/>
        <v>0</v>
      </c>
      <c r="BQ106" s="331">
        <f t="shared" si="49"/>
        <v>0</v>
      </c>
      <c r="BR106" s="393"/>
    </row>
    <row r="107" spans="1:70" ht="27.75" customHeight="1" x14ac:dyDescent="0.4">
      <c r="A107" s="872">
        <v>99</v>
      </c>
      <c r="B107" s="862" t="s">
        <v>46</v>
      </c>
      <c r="C107" s="841">
        <f t="shared" si="51"/>
        <v>44747</v>
      </c>
      <c r="D107" s="842" t="str">
        <f>IF(C107="","",INDEX({"रविवार";"सोमवार";"मंगळवार";"बुधवार";"गुरूवार";"शुक्रवार";"शनिवार"},WEEKDAY(C107)))</f>
        <v>मंगळवार</v>
      </c>
      <c r="E107" s="673">
        <v>17</v>
      </c>
      <c r="F107" s="673">
        <v>17</v>
      </c>
      <c r="G107" s="673">
        <v>17</v>
      </c>
      <c r="H107" s="673" t="s">
        <v>67</v>
      </c>
      <c r="I107" s="673" t="s">
        <v>384</v>
      </c>
      <c r="J107" s="673"/>
      <c r="K107" s="673"/>
      <c r="L107" s="673"/>
      <c r="M107" s="828"/>
      <c r="N107" s="828"/>
      <c r="O107" s="673" t="s">
        <v>777</v>
      </c>
      <c r="P107" s="673" t="s">
        <v>421</v>
      </c>
      <c r="BE107" s="392">
        <v>24</v>
      </c>
      <c r="BF107" s="331">
        <f t="shared" si="38"/>
        <v>0</v>
      </c>
      <c r="BG107" s="331">
        <f t="shared" si="39"/>
        <v>0</v>
      </c>
      <c r="BH107" s="331">
        <f t="shared" si="40"/>
        <v>17</v>
      </c>
      <c r="BI107" s="331">
        <f t="shared" si="41"/>
        <v>0</v>
      </c>
      <c r="BJ107" s="331">
        <f t="shared" si="42"/>
        <v>15</v>
      </c>
      <c r="BK107" s="331">
        <f t="shared" si="43"/>
        <v>16</v>
      </c>
      <c r="BL107" s="331">
        <f t="shared" si="44"/>
        <v>0</v>
      </c>
      <c r="BM107" s="331">
        <f t="shared" si="45"/>
        <v>22</v>
      </c>
      <c r="BN107" s="331">
        <f t="shared" si="46"/>
        <v>21</v>
      </c>
      <c r="BO107" s="331">
        <f t="shared" si="47"/>
        <v>0</v>
      </c>
      <c r="BP107" s="331">
        <f t="shared" si="48"/>
        <v>0</v>
      </c>
      <c r="BQ107" s="331">
        <f t="shared" si="49"/>
        <v>0</v>
      </c>
      <c r="BR107" s="393"/>
    </row>
    <row r="108" spans="1:70" ht="27.75" customHeight="1" x14ac:dyDescent="0.4">
      <c r="A108" s="872">
        <v>100</v>
      </c>
      <c r="B108" s="862" t="s">
        <v>46</v>
      </c>
      <c r="C108" s="841">
        <f t="shared" si="51"/>
        <v>44748</v>
      </c>
      <c r="D108" s="842" t="str">
        <f>IF(C108="","",INDEX({"रविवार";"सोमवार";"मंगळवार";"बुधवार";"गुरूवार";"शुक्रवार";"शनिवार"},WEEKDAY(C108)))</f>
        <v>बुधवार</v>
      </c>
      <c r="E108" s="673">
        <v>17</v>
      </c>
      <c r="F108" s="673">
        <v>17</v>
      </c>
      <c r="G108" s="673">
        <v>17</v>
      </c>
      <c r="H108" s="673" t="s">
        <v>444</v>
      </c>
      <c r="I108" s="673" t="s">
        <v>384</v>
      </c>
      <c r="J108" s="673"/>
      <c r="K108" s="673"/>
      <c r="L108" s="673"/>
      <c r="M108" s="828"/>
      <c r="N108" s="828"/>
      <c r="O108" s="673" t="s">
        <v>780</v>
      </c>
      <c r="P108" s="673" t="s">
        <v>425</v>
      </c>
      <c r="BE108" s="392">
        <v>25</v>
      </c>
      <c r="BF108" s="331">
        <f t="shared" si="38"/>
        <v>22</v>
      </c>
      <c r="BG108" s="331">
        <f t="shared" si="39"/>
        <v>0</v>
      </c>
      <c r="BH108" s="331">
        <f t="shared" si="40"/>
        <v>17</v>
      </c>
      <c r="BI108" s="331">
        <f t="shared" si="41"/>
        <v>17</v>
      </c>
      <c r="BJ108" s="331">
        <f t="shared" si="42"/>
        <v>15</v>
      </c>
      <c r="BK108" s="331">
        <f t="shared" si="43"/>
        <v>0</v>
      </c>
      <c r="BL108" s="331">
        <f t="shared" si="44"/>
        <v>0</v>
      </c>
      <c r="BM108" s="331">
        <f t="shared" si="45"/>
        <v>22</v>
      </c>
      <c r="BN108" s="331">
        <f t="shared" si="46"/>
        <v>0</v>
      </c>
      <c r="BO108" s="331">
        <f t="shared" si="47"/>
        <v>0</v>
      </c>
      <c r="BP108" s="331">
        <f t="shared" si="48"/>
        <v>0</v>
      </c>
      <c r="BQ108" s="331">
        <f t="shared" si="49"/>
        <v>0</v>
      </c>
      <c r="BR108" s="393"/>
    </row>
    <row r="109" spans="1:70" ht="27.75" customHeight="1" x14ac:dyDescent="0.4">
      <c r="A109" s="872">
        <v>101</v>
      </c>
      <c r="B109" s="862" t="s">
        <v>46</v>
      </c>
      <c r="C109" s="841">
        <f t="shared" si="51"/>
        <v>44749</v>
      </c>
      <c r="D109" s="842" t="str">
        <f>IF(C109="","",INDEX({"रविवार";"सोमवार";"मंगळवार";"बुधवार";"गुरूवार";"शुक्रवार";"शनिवार"},WEEKDAY(C109)))</f>
        <v>गुरूवार</v>
      </c>
      <c r="E109" s="673">
        <v>17</v>
      </c>
      <c r="F109" s="673">
        <v>17</v>
      </c>
      <c r="G109" s="673">
        <v>17</v>
      </c>
      <c r="H109" s="673" t="s">
        <v>67</v>
      </c>
      <c r="I109" s="673" t="s">
        <v>384</v>
      </c>
      <c r="J109" s="673"/>
      <c r="K109" s="673"/>
      <c r="L109" s="673"/>
      <c r="M109" s="828"/>
      <c r="N109" s="828"/>
      <c r="O109" s="673" t="s">
        <v>778</v>
      </c>
      <c r="P109" s="673" t="s">
        <v>424</v>
      </c>
      <c r="BE109" s="392">
        <v>26</v>
      </c>
      <c r="BF109" s="331">
        <f t="shared" si="38"/>
        <v>22</v>
      </c>
      <c r="BG109" s="331">
        <f t="shared" si="39"/>
        <v>0</v>
      </c>
      <c r="BH109" s="331">
        <f t="shared" si="40"/>
        <v>0</v>
      </c>
      <c r="BI109" s="331">
        <f t="shared" si="41"/>
        <v>17</v>
      </c>
      <c r="BJ109" s="331">
        <f t="shared" si="42"/>
        <v>0</v>
      </c>
      <c r="BK109" s="331">
        <f t="shared" si="43"/>
        <v>0</v>
      </c>
      <c r="BL109" s="331">
        <f t="shared" si="44"/>
        <v>0</v>
      </c>
      <c r="BM109" s="331">
        <f t="shared" si="45"/>
        <v>22</v>
      </c>
      <c r="BN109" s="331">
        <f t="shared" si="46"/>
        <v>21</v>
      </c>
      <c r="BO109" s="331">
        <f t="shared" si="47"/>
        <v>0</v>
      </c>
      <c r="BP109" s="331">
        <f t="shared" si="48"/>
        <v>0</v>
      </c>
      <c r="BQ109" s="331">
        <f t="shared" si="49"/>
        <v>0</v>
      </c>
      <c r="BR109" s="393"/>
    </row>
    <row r="110" spans="1:70" ht="27.75" customHeight="1" x14ac:dyDescent="0.4">
      <c r="A110" s="872">
        <v>102</v>
      </c>
      <c r="B110" s="862" t="s">
        <v>46</v>
      </c>
      <c r="C110" s="841">
        <f t="shared" si="51"/>
        <v>44750</v>
      </c>
      <c r="D110" s="842" t="str">
        <f>IF(C110="","",INDEX({"रविवार";"सोमवार";"मंगळवार";"बुधवार";"गुरूवार";"शुक्रवार";"शनिवार"},WEEKDAY(C110)))</f>
        <v>शुक्रवार</v>
      </c>
      <c r="E110" s="673">
        <v>17</v>
      </c>
      <c r="F110" s="673">
        <v>17</v>
      </c>
      <c r="G110" s="673">
        <v>17</v>
      </c>
      <c r="H110" s="673" t="s">
        <v>444</v>
      </c>
      <c r="I110" s="673" t="s">
        <v>384</v>
      </c>
      <c r="J110" s="673"/>
      <c r="K110" s="673"/>
      <c r="L110" s="673"/>
      <c r="M110" s="828"/>
      <c r="N110" s="828"/>
      <c r="O110" s="673" t="s">
        <v>779</v>
      </c>
      <c r="P110" s="673" t="s">
        <v>422</v>
      </c>
      <c r="BE110" s="392">
        <v>27</v>
      </c>
      <c r="BF110" s="331">
        <f t="shared" si="38"/>
        <v>22</v>
      </c>
      <c r="BG110" s="331">
        <f t="shared" si="39"/>
        <v>0</v>
      </c>
      <c r="BH110" s="331">
        <f t="shared" si="40"/>
        <v>17</v>
      </c>
      <c r="BI110" s="331">
        <f t="shared" si="41"/>
        <v>17</v>
      </c>
      <c r="BJ110" s="331">
        <f t="shared" si="42"/>
        <v>15</v>
      </c>
      <c r="BK110" s="331">
        <f t="shared" si="43"/>
        <v>22</v>
      </c>
      <c r="BL110" s="331">
        <f t="shared" si="44"/>
        <v>0</v>
      </c>
      <c r="BM110" s="331">
        <f t="shared" si="45"/>
        <v>0</v>
      </c>
      <c r="BN110" s="331">
        <f t="shared" si="46"/>
        <v>21</v>
      </c>
      <c r="BO110" s="331">
        <f t="shared" si="47"/>
        <v>0</v>
      </c>
      <c r="BP110" s="331">
        <f t="shared" si="48"/>
        <v>0</v>
      </c>
      <c r="BQ110" s="331">
        <f t="shared" si="49"/>
        <v>0</v>
      </c>
      <c r="BR110" s="393"/>
    </row>
    <row r="111" spans="1:70" ht="27.75" customHeight="1" x14ac:dyDescent="0.4">
      <c r="A111" s="872">
        <v>103</v>
      </c>
      <c r="B111" s="862" t="s">
        <v>46</v>
      </c>
      <c r="C111" s="841">
        <f t="shared" si="51"/>
        <v>44751</v>
      </c>
      <c r="D111" s="842" t="str">
        <f>IF(C111="","",INDEX({"रविवार";"सोमवार";"मंगळवार";"बुधवार";"गुरूवार";"शुक्रवार";"शनिवार"},WEEKDAY(C111)))</f>
        <v>शनिवार</v>
      </c>
      <c r="E111" s="673">
        <v>17</v>
      </c>
      <c r="F111" s="673">
        <v>17</v>
      </c>
      <c r="G111" s="673">
        <v>17</v>
      </c>
      <c r="H111" s="673" t="s">
        <v>74</v>
      </c>
      <c r="I111" s="673" t="s">
        <v>359</v>
      </c>
      <c r="J111" s="673"/>
      <c r="K111" s="673"/>
      <c r="L111" s="673"/>
      <c r="M111" s="828"/>
      <c r="N111" s="828"/>
      <c r="O111" s="673" t="s">
        <v>777</v>
      </c>
      <c r="P111" s="673" t="s">
        <v>421</v>
      </c>
      <c r="BE111" s="392">
        <v>28</v>
      </c>
      <c r="BF111" s="331">
        <f t="shared" si="38"/>
        <v>22</v>
      </c>
      <c r="BG111" s="331">
        <f t="shared" si="39"/>
        <v>0</v>
      </c>
      <c r="BH111" s="331">
        <f t="shared" si="40"/>
        <v>17</v>
      </c>
      <c r="BI111" s="331">
        <f t="shared" si="41"/>
        <v>17</v>
      </c>
      <c r="BJ111" s="331">
        <f t="shared" si="42"/>
        <v>0</v>
      </c>
      <c r="BK111" s="331">
        <f t="shared" si="43"/>
        <v>22</v>
      </c>
      <c r="BL111" s="331">
        <f t="shared" si="44"/>
        <v>0</v>
      </c>
      <c r="BM111" s="331">
        <f t="shared" si="45"/>
        <v>22</v>
      </c>
      <c r="BN111" s="331">
        <f t="shared" si="46"/>
        <v>21</v>
      </c>
      <c r="BO111" s="331">
        <f t="shared" si="47"/>
        <v>0</v>
      </c>
      <c r="BP111" s="331">
        <f t="shared" si="48"/>
        <v>0</v>
      </c>
      <c r="BQ111" s="331">
        <f t="shared" si="49"/>
        <v>0</v>
      </c>
      <c r="BR111" s="393"/>
    </row>
    <row r="112" spans="1:70" ht="27.75" customHeight="1" x14ac:dyDescent="0.4">
      <c r="A112" s="872">
        <v>104</v>
      </c>
      <c r="B112" s="862" t="s">
        <v>46</v>
      </c>
      <c r="C112" s="841">
        <f t="shared" si="51"/>
        <v>44752</v>
      </c>
      <c r="D112" s="842" t="str">
        <f>IF(C112="","",INDEX({"रविवार";"सोमवार";"मंगळवार";"बुधवार";"गुरूवार";"शुक्रवार";"शनिवार"},WEEKDAY(C112)))</f>
        <v>रविवार</v>
      </c>
      <c r="E112" s="673">
        <v>0</v>
      </c>
      <c r="F112" s="673">
        <v>0</v>
      </c>
      <c r="G112" s="673">
        <v>0</v>
      </c>
      <c r="H112" s="673"/>
      <c r="I112" s="673"/>
      <c r="J112" s="673"/>
      <c r="K112" s="673"/>
      <c r="L112" s="673"/>
      <c r="M112" s="828"/>
      <c r="N112" s="828"/>
      <c r="O112" s="673"/>
      <c r="P112" s="673"/>
      <c r="BE112" s="392">
        <v>29</v>
      </c>
      <c r="BF112" s="331">
        <f t="shared" si="38"/>
        <v>22</v>
      </c>
      <c r="BG112" s="331">
        <f t="shared" si="39"/>
        <v>0</v>
      </c>
      <c r="BH112" s="331">
        <f t="shared" si="40"/>
        <v>17</v>
      </c>
      <c r="BI112" s="331">
        <f t="shared" si="41"/>
        <v>17</v>
      </c>
      <c r="BJ112" s="331">
        <f t="shared" si="42"/>
        <v>15</v>
      </c>
      <c r="BK112" s="331">
        <f t="shared" si="43"/>
        <v>22</v>
      </c>
      <c r="BL112" s="331">
        <f t="shared" si="44"/>
        <v>0</v>
      </c>
      <c r="BM112" s="331">
        <f t="shared" si="45"/>
        <v>22</v>
      </c>
      <c r="BN112" s="331">
        <f t="shared" si="46"/>
        <v>21</v>
      </c>
      <c r="BO112" s="331">
        <f t="shared" si="47"/>
        <v>0</v>
      </c>
      <c r="BP112" s="331">
        <f t="shared" si="48"/>
        <v>0</v>
      </c>
      <c r="BQ112" s="331">
        <f t="shared" si="49"/>
        <v>0</v>
      </c>
      <c r="BR112" s="393"/>
    </row>
    <row r="113" spans="1:70" ht="27.75" customHeight="1" x14ac:dyDescent="0.4">
      <c r="A113" s="872">
        <v>105</v>
      </c>
      <c r="B113" s="862" t="s">
        <v>46</v>
      </c>
      <c r="C113" s="841">
        <f t="shared" si="51"/>
        <v>44753</v>
      </c>
      <c r="D113" s="842" t="str">
        <f>IF(C113="","",INDEX({"रविवार";"सोमवार";"मंगळवार";"बुधवार";"गुरूवार";"शुक्रवार";"शनिवार"},WEEKDAY(C113)))</f>
        <v>सोमवार</v>
      </c>
      <c r="E113" s="673">
        <v>17</v>
      </c>
      <c r="F113" s="673">
        <v>17</v>
      </c>
      <c r="G113" s="673">
        <v>17</v>
      </c>
      <c r="H113" s="673" t="s">
        <v>74</v>
      </c>
      <c r="I113" s="673" t="s">
        <v>359</v>
      </c>
      <c r="J113" s="673"/>
      <c r="K113" s="673"/>
      <c r="L113" s="673"/>
      <c r="M113" s="828"/>
      <c r="N113" s="828"/>
      <c r="O113" s="673" t="s">
        <v>778</v>
      </c>
      <c r="P113" s="673" t="s">
        <v>423</v>
      </c>
      <c r="BE113" s="392">
        <v>30</v>
      </c>
      <c r="BF113" s="331">
        <f t="shared" si="38"/>
        <v>22</v>
      </c>
      <c r="BG113" s="331">
        <f t="shared" si="39"/>
        <v>0</v>
      </c>
      <c r="BH113" s="331">
        <f t="shared" si="40"/>
        <v>17</v>
      </c>
      <c r="BI113" s="331">
        <f t="shared" si="41"/>
        <v>17</v>
      </c>
      <c r="BJ113" s="331">
        <f t="shared" si="42"/>
        <v>15</v>
      </c>
      <c r="BK113" s="331">
        <f t="shared" si="43"/>
        <v>22</v>
      </c>
      <c r="BL113" s="331">
        <f t="shared" si="44"/>
        <v>0</v>
      </c>
      <c r="BM113" s="331">
        <f t="shared" si="45"/>
        <v>22</v>
      </c>
      <c r="BN113" s="331">
        <f t="shared" si="46"/>
        <v>21</v>
      </c>
      <c r="BO113" s="331">
        <f t="shared" si="47"/>
        <v>0</v>
      </c>
      <c r="BP113" s="393"/>
      <c r="BQ113" s="331">
        <f t="shared" si="49"/>
        <v>0</v>
      </c>
      <c r="BR113" s="393"/>
    </row>
    <row r="114" spans="1:70" ht="27.75" customHeight="1" x14ac:dyDescent="0.4">
      <c r="A114" s="872">
        <v>106</v>
      </c>
      <c r="B114" s="862" t="s">
        <v>46</v>
      </c>
      <c r="C114" s="841">
        <f t="shared" si="51"/>
        <v>44754</v>
      </c>
      <c r="D114" s="842" t="str">
        <f>IF(C114="","",INDEX({"रविवार";"सोमवार";"मंगळवार";"बुधवार";"गुरूवार";"शुक्रवार";"शनिवार"},WEEKDAY(C114)))</f>
        <v>मंगळवार</v>
      </c>
      <c r="E114" s="673">
        <v>17</v>
      </c>
      <c r="F114" s="673">
        <v>17</v>
      </c>
      <c r="G114" s="673">
        <v>17</v>
      </c>
      <c r="H114" s="673" t="s">
        <v>67</v>
      </c>
      <c r="I114" s="673" t="s">
        <v>384</v>
      </c>
      <c r="J114" s="673"/>
      <c r="K114" s="673"/>
      <c r="L114" s="673"/>
      <c r="M114" s="828"/>
      <c r="N114" s="828"/>
      <c r="O114" s="673" t="s">
        <v>777</v>
      </c>
      <c r="P114" s="673" t="s">
        <v>421</v>
      </c>
      <c r="BE114" s="392">
        <v>31</v>
      </c>
      <c r="BF114" s="393"/>
      <c r="BG114" s="331">
        <f t="shared" si="39"/>
        <v>0</v>
      </c>
      <c r="BH114" s="393"/>
      <c r="BI114" s="331">
        <f t="shared" si="41"/>
        <v>0</v>
      </c>
      <c r="BJ114" s="331">
        <f t="shared" si="42"/>
        <v>0</v>
      </c>
      <c r="BK114" s="393"/>
      <c r="BL114" s="331">
        <f t="shared" si="44"/>
        <v>0</v>
      </c>
      <c r="BM114" s="393"/>
      <c r="BN114" s="331">
        <f t="shared" si="46"/>
        <v>21</v>
      </c>
      <c r="BO114" s="331">
        <f t="shared" si="47"/>
        <v>0</v>
      </c>
      <c r="BP114" s="393"/>
      <c r="BQ114" s="331">
        <f t="shared" si="49"/>
        <v>0</v>
      </c>
      <c r="BR114" s="393"/>
    </row>
    <row r="115" spans="1:70" ht="27.75" customHeight="1" x14ac:dyDescent="0.45">
      <c r="A115" s="872">
        <v>107</v>
      </c>
      <c r="B115" s="862" t="s">
        <v>46</v>
      </c>
      <c r="C115" s="841">
        <f t="shared" si="51"/>
        <v>44755</v>
      </c>
      <c r="D115" s="842" t="str">
        <f>IF(C115="","",INDEX({"रविवार";"सोमवार";"मंगळवार";"बुधवार";"गुरूवार";"शुक्रवार";"शनिवार"},WEEKDAY(C115)))</f>
        <v>बुधवार</v>
      </c>
      <c r="E115" s="673">
        <v>17</v>
      </c>
      <c r="F115" s="673">
        <v>17</v>
      </c>
      <c r="G115" s="673">
        <v>17</v>
      </c>
      <c r="H115" s="673" t="s">
        <v>444</v>
      </c>
      <c r="I115" s="673" t="s">
        <v>384</v>
      </c>
      <c r="J115" s="673"/>
      <c r="K115" s="673"/>
      <c r="L115" s="673"/>
      <c r="M115" s="828"/>
      <c r="N115" s="828"/>
      <c r="O115" s="673" t="s">
        <v>780</v>
      </c>
      <c r="P115" s="673" t="s">
        <v>425</v>
      </c>
      <c r="BE115" s="40" t="s">
        <v>35</v>
      </c>
      <c r="BF115" s="331">
        <f>G39</f>
        <v>506</v>
      </c>
      <c r="BG115" s="331" t="str">
        <f t="shared" si="39"/>
        <v/>
      </c>
      <c r="BH115" s="331">
        <f>G102</f>
        <v>234</v>
      </c>
      <c r="BI115" s="331">
        <f t="shared" si="41"/>
        <v>442</v>
      </c>
      <c r="BJ115" s="331">
        <f t="shared" si="42"/>
        <v>330</v>
      </c>
      <c r="BK115" s="331">
        <f>G197</f>
        <v>384</v>
      </c>
      <c r="BL115" s="331">
        <f t="shared" si="44"/>
        <v>236</v>
      </c>
      <c r="BM115" s="331">
        <f>G260</f>
        <v>418</v>
      </c>
      <c r="BN115" s="331">
        <f t="shared" si="46"/>
        <v>547</v>
      </c>
      <c r="BO115" s="331" t="str">
        <f t="shared" si="47"/>
        <v/>
      </c>
      <c r="BP115" s="331" t="str">
        <f>G354</f>
        <v/>
      </c>
      <c r="BQ115" s="331" t="str">
        <f t="shared" si="49"/>
        <v/>
      </c>
      <c r="BR115" s="393"/>
    </row>
    <row r="116" spans="1:70" ht="27.75" customHeight="1" x14ac:dyDescent="0.4">
      <c r="A116" s="872">
        <v>108</v>
      </c>
      <c r="B116" s="862" t="s">
        <v>46</v>
      </c>
      <c r="C116" s="841">
        <f t="shared" si="51"/>
        <v>44756</v>
      </c>
      <c r="D116" s="842" t="str">
        <f>IF(C116="","",INDEX({"रविवार";"सोमवार";"मंगळवार";"बुधवार";"गुरूवार";"शुक्रवार";"शनिवार"},WEEKDAY(C116)))</f>
        <v>गुरूवार</v>
      </c>
      <c r="E116" s="673">
        <v>17</v>
      </c>
      <c r="F116" s="673">
        <v>17</v>
      </c>
      <c r="G116" s="673">
        <v>17</v>
      </c>
      <c r="H116" s="673" t="s">
        <v>67</v>
      </c>
      <c r="I116" s="673" t="s">
        <v>384</v>
      </c>
      <c r="J116" s="673"/>
      <c r="K116" s="673"/>
      <c r="L116" s="673"/>
      <c r="M116" s="828"/>
      <c r="N116" s="828"/>
      <c r="O116" s="673" t="s">
        <v>778</v>
      </c>
      <c r="P116" s="673" t="s">
        <v>424</v>
      </c>
    </row>
    <row r="117" spans="1:70" ht="27.75" customHeight="1" x14ac:dyDescent="0.4">
      <c r="A117" s="872">
        <v>109</v>
      </c>
      <c r="B117" s="862" t="s">
        <v>46</v>
      </c>
      <c r="C117" s="841">
        <f t="shared" si="51"/>
        <v>44757</v>
      </c>
      <c r="D117" s="842" t="str">
        <f>IF(C117="","",INDEX({"रविवार";"सोमवार";"मंगळवार";"बुधवार";"गुरूवार";"शुक्रवार";"शनिवार"},WEEKDAY(C117)))</f>
        <v>शुक्रवार</v>
      </c>
      <c r="E117" s="673">
        <v>17</v>
      </c>
      <c r="F117" s="673">
        <v>17</v>
      </c>
      <c r="G117" s="673">
        <v>17</v>
      </c>
      <c r="H117" s="673" t="s">
        <v>444</v>
      </c>
      <c r="I117" s="673" t="s">
        <v>384</v>
      </c>
      <c r="J117" s="673"/>
      <c r="K117" s="673"/>
      <c r="L117" s="673"/>
      <c r="M117" s="828"/>
      <c r="N117" s="828"/>
      <c r="O117" s="673" t="s">
        <v>779</v>
      </c>
      <c r="P117" s="673" t="s">
        <v>422</v>
      </c>
    </row>
    <row r="118" spans="1:70" ht="27.75" customHeight="1" x14ac:dyDescent="0.4">
      <c r="A118" s="872">
        <v>110</v>
      </c>
      <c r="B118" s="862" t="s">
        <v>46</v>
      </c>
      <c r="C118" s="841">
        <f t="shared" si="51"/>
        <v>44758</v>
      </c>
      <c r="D118" s="842" t="str">
        <f>IF(C118="","",INDEX({"रविवार";"सोमवार";"मंगळवार";"बुधवार";"गुरूवार";"शुक्रवार";"शनिवार"},WEEKDAY(C118)))</f>
        <v>शनिवार</v>
      </c>
      <c r="E118" s="673">
        <v>17</v>
      </c>
      <c r="F118" s="673">
        <v>17</v>
      </c>
      <c r="G118" s="673">
        <v>17</v>
      </c>
      <c r="H118" s="673" t="s">
        <v>74</v>
      </c>
      <c r="I118" s="673" t="s">
        <v>359</v>
      </c>
      <c r="J118" s="673"/>
      <c r="K118" s="673"/>
      <c r="L118" s="673"/>
      <c r="M118" s="828"/>
      <c r="N118" s="828"/>
      <c r="O118" s="673" t="s">
        <v>777</v>
      </c>
      <c r="P118" s="673" t="s">
        <v>421</v>
      </c>
    </row>
    <row r="119" spans="1:70" ht="27.75" customHeight="1" x14ac:dyDescent="0.4">
      <c r="A119" s="872">
        <v>111</v>
      </c>
      <c r="B119" s="862" t="s">
        <v>46</v>
      </c>
      <c r="C119" s="841">
        <f t="shared" si="51"/>
        <v>44759</v>
      </c>
      <c r="D119" s="842" t="str">
        <f>IF(C119="","",INDEX({"रविवार";"सोमवार";"मंगळवार";"बुधवार";"गुरूवार";"शुक्रवार";"शनिवार"},WEEKDAY(C119)))</f>
        <v>रविवार</v>
      </c>
      <c r="E119" s="673">
        <v>0</v>
      </c>
      <c r="F119" s="673">
        <v>0</v>
      </c>
      <c r="G119" s="673">
        <v>0</v>
      </c>
      <c r="H119" s="673"/>
      <c r="I119" s="673"/>
      <c r="J119" s="673"/>
      <c r="K119" s="673"/>
      <c r="L119" s="673"/>
      <c r="M119" s="828"/>
      <c r="N119" s="828"/>
      <c r="O119" s="673"/>
      <c r="P119" s="673"/>
      <c r="BK119" s="380" t="s">
        <v>235</v>
      </c>
    </row>
    <row r="120" spans="1:70" ht="27.75" customHeight="1" x14ac:dyDescent="0.4">
      <c r="A120" s="872">
        <v>112</v>
      </c>
      <c r="B120" s="862" t="s">
        <v>46</v>
      </c>
      <c r="C120" s="841">
        <f t="shared" si="51"/>
        <v>44760</v>
      </c>
      <c r="D120" s="842" t="str">
        <f>IF(C120="","",INDEX({"रविवार";"सोमवार";"मंगळवार";"बुधवार";"गुरूवार";"शुक्रवार";"शनिवार"},WEEKDAY(C120)))</f>
        <v>सोमवार</v>
      </c>
      <c r="E120" s="673">
        <v>17</v>
      </c>
      <c r="F120" s="673">
        <v>17</v>
      </c>
      <c r="G120" s="673">
        <v>17</v>
      </c>
      <c r="H120" s="673" t="s">
        <v>74</v>
      </c>
      <c r="I120" s="673" t="s">
        <v>359</v>
      </c>
      <c r="J120" s="673"/>
      <c r="K120" s="673"/>
      <c r="L120" s="673"/>
      <c r="M120" s="828"/>
      <c r="N120" s="828"/>
      <c r="O120" s="673" t="s">
        <v>778</v>
      </c>
      <c r="P120" s="673" t="s">
        <v>423</v>
      </c>
      <c r="BE120" s="38" t="s">
        <v>17</v>
      </c>
      <c r="BF120" s="38" t="s">
        <v>42</v>
      </c>
      <c r="BG120" s="38" t="s">
        <v>44</v>
      </c>
      <c r="BH120" s="38" t="s">
        <v>94</v>
      </c>
      <c r="BI120" s="38" t="s">
        <v>46</v>
      </c>
      <c r="BJ120" s="38" t="s">
        <v>34</v>
      </c>
      <c r="BK120" s="38" t="s">
        <v>37</v>
      </c>
      <c r="BL120" s="38" t="s">
        <v>47</v>
      </c>
      <c r="BM120" s="38" t="s">
        <v>38</v>
      </c>
      <c r="BN120" s="38" t="s">
        <v>39</v>
      </c>
      <c r="BO120" s="329" t="s">
        <v>33</v>
      </c>
      <c r="BP120" s="38" t="s">
        <v>40</v>
      </c>
      <c r="BQ120" s="38" t="s">
        <v>41</v>
      </c>
      <c r="BR120" s="192"/>
    </row>
    <row r="121" spans="1:70" ht="27.75" customHeight="1" x14ac:dyDescent="0.4">
      <c r="A121" s="872">
        <v>113</v>
      </c>
      <c r="B121" s="862" t="s">
        <v>46</v>
      </c>
      <c r="C121" s="841">
        <f t="shared" si="51"/>
        <v>44761</v>
      </c>
      <c r="D121" s="842" t="str">
        <f>IF(C121="","",INDEX({"रविवार";"सोमवार";"मंगळवार";"बुधवार";"गुरूवार";"शुक्रवार";"शनिवार"},WEEKDAY(C121)))</f>
        <v>मंगळवार</v>
      </c>
      <c r="E121" s="673">
        <v>17</v>
      </c>
      <c r="F121" s="673">
        <v>17</v>
      </c>
      <c r="G121" s="673">
        <v>17</v>
      </c>
      <c r="H121" s="673" t="s">
        <v>67</v>
      </c>
      <c r="I121" s="673" t="s">
        <v>384</v>
      </c>
      <c r="J121" s="673"/>
      <c r="K121" s="673"/>
      <c r="L121" s="673"/>
      <c r="M121" s="828"/>
      <c r="N121" s="828"/>
      <c r="O121" s="673" t="s">
        <v>777</v>
      </c>
      <c r="P121" s="673" t="s">
        <v>421</v>
      </c>
      <c r="BE121" s="392">
        <v>1</v>
      </c>
      <c r="BF121" s="331" t="str">
        <f t="shared" ref="BF121:BF150" si="52">H9</f>
        <v>वाटाणा</v>
      </c>
      <c r="BG121" s="331">
        <f t="shared" ref="BG121:BG151" si="53">H40</f>
        <v>0</v>
      </c>
      <c r="BH121" s="331">
        <f t="shared" ref="BH121:BH150" si="54">H72</f>
        <v>0</v>
      </c>
      <c r="BI121" s="331" t="str">
        <f t="shared" ref="BI121:BI151" si="55">H103</f>
        <v>वाटाणा</v>
      </c>
      <c r="BJ121" s="331" t="str">
        <f t="shared" ref="BJ121:BJ151" si="56">H135</f>
        <v>मुगडाळ</v>
      </c>
      <c r="BK121" s="331" t="str">
        <f t="shared" ref="BK121:BK150" si="57">H167</f>
        <v>हरभरा</v>
      </c>
      <c r="BL121" s="331" t="str">
        <f t="shared" ref="BL121:BL151" si="58">H198</f>
        <v>मुगडाळ</v>
      </c>
      <c r="BM121" s="331">
        <f t="shared" ref="BM121:BM150" si="59">H230</f>
        <v>0</v>
      </c>
      <c r="BN121" s="331" t="str">
        <f t="shared" ref="BN121:BN151" si="60">H261</f>
        <v>हरभरा</v>
      </c>
      <c r="BO121" s="331">
        <f>H293</f>
        <v>0</v>
      </c>
      <c r="BP121" s="331">
        <f t="shared" ref="BP121:BP149" si="61">H325</f>
        <v>0</v>
      </c>
      <c r="BQ121" s="331">
        <f t="shared" ref="BQ121:BQ151" si="62">H355</f>
        <v>0</v>
      </c>
      <c r="BR121" s="393"/>
    </row>
    <row r="122" spans="1:70" ht="27.75" customHeight="1" x14ac:dyDescent="0.4">
      <c r="A122" s="872">
        <v>114</v>
      </c>
      <c r="B122" s="862" t="s">
        <v>46</v>
      </c>
      <c r="C122" s="841">
        <f t="shared" si="51"/>
        <v>44762</v>
      </c>
      <c r="D122" s="842" t="str">
        <f>IF(C122="","",INDEX({"रविवार";"सोमवार";"मंगळवार";"बुधवार";"गुरूवार";"शुक्रवार";"शनिवार"},WEEKDAY(C122)))</f>
        <v>बुधवार</v>
      </c>
      <c r="E122" s="673">
        <v>17</v>
      </c>
      <c r="F122" s="673">
        <v>17</v>
      </c>
      <c r="G122" s="673">
        <v>17</v>
      </c>
      <c r="H122" s="673" t="s">
        <v>444</v>
      </c>
      <c r="I122" s="673" t="s">
        <v>384</v>
      </c>
      <c r="J122" s="673"/>
      <c r="K122" s="673"/>
      <c r="L122" s="673"/>
      <c r="M122" s="828"/>
      <c r="N122" s="828"/>
      <c r="O122" s="673" t="s">
        <v>780</v>
      </c>
      <c r="P122" s="673" t="s">
        <v>425</v>
      </c>
      <c r="BE122" s="392">
        <v>2</v>
      </c>
      <c r="BF122" s="331">
        <f t="shared" si="52"/>
        <v>0</v>
      </c>
      <c r="BG122" s="331">
        <f t="shared" si="53"/>
        <v>0</v>
      </c>
      <c r="BH122" s="331">
        <f t="shared" si="54"/>
        <v>0</v>
      </c>
      <c r="BI122" s="331" t="str">
        <f t="shared" si="55"/>
        <v>मुगडाळ</v>
      </c>
      <c r="BJ122" s="331" t="str">
        <f t="shared" si="56"/>
        <v>हरभरा</v>
      </c>
      <c r="BK122" s="331" t="str">
        <f t="shared" si="57"/>
        <v>वाटाणा</v>
      </c>
      <c r="BL122" s="331">
        <f t="shared" si="58"/>
        <v>0</v>
      </c>
      <c r="BM122" s="331">
        <f t="shared" si="59"/>
        <v>0</v>
      </c>
      <c r="BN122" s="331" t="str">
        <f t="shared" si="60"/>
        <v>वाटाणा</v>
      </c>
      <c r="BO122" s="331">
        <f t="shared" ref="BO122:BO151" si="63">H294</f>
        <v>0</v>
      </c>
      <c r="BP122" s="331">
        <f t="shared" si="61"/>
        <v>0</v>
      </c>
      <c r="BQ122" s="331">
        <f t="shared" si="62"/>
        <v>0</v>
      </c>
      <c r="BR122" s="393"/>
    </row>
    <row r="123" spans="1:70" ht="27.75" customHeight="1" x14ac:dyDescent="0.4">
      <c r="A123" s="872">
        <v>115</v>
      </c>
      <c r="B123" s="862" t="s">
        <v>46</v>
      </c>
      <c r="C123" s="841">
        <f t="shared" si="51"/>
        <v>44763</v>
      </c>
      <c r="D123" s="842" t="str">
        <f>IF(C123="","",INDEX({"रविवार";"सोमवार";"मंगळवार";"बुधवार";"गुरूवार";"शुक्रवार";"शनिवार"},WEEKDAY(C123)))</f>
        <v>गुरूवार</v>
      </c>
      <c r="E123" s="673">
        <v>17</v>
      </c>
      <c r="F123" s="673">
        <v>17</v>
      </c>
      <c r="G123" s="673">
        <v>17</v>
      </c>
      <c r="H123" s="673" t="s">
        <v>67</v>
      </c>
      <c r="I123" s="673" t="s">
        <v>384</v>
      </c>
      <c r="J123" s="673"/>
      <c r="K123" s="673"/>
      <c r="L123" s="673"/>
      <c r="M123" s="828"/>
      <c r="N123" s="828"/>
      <c r="O123" s="673" t="s">
        <v>778</v>
      </c>
      <c r="P123" s="673" t="s">
        <v>424</v>
      </c>
      <c r="BE123" s="392">
        <v>3</v>
      </c>
      <c r="BF123" s="331">
        <f t="shared" si="52"/>
        <v>0</v>
      </c>
      <c r="BG123" s="331">
        <f t="shared" si="53"/>
        <v>0</v>
      </c>
      <c r="BH123" s="331">
        <f t="shared" si="54"/>
        <v>0</v>
      </c>
      <c r="BI123" s="331">
        <f t="shared" si="55"/>
        <v>0</v>
      </c>
      <c r="BJ123" s="331" t="str">
        <f t="shared" si="56"/>
        <v>वाटाणा</v>
      </c>
      <c r="BK123" s="331" t="str">
        <f t="shared" si="57"/>
        <v>मुगडाळ</v>
      </c>
      <c r="BL123" s="331" t="str">
        <f t="shared" si="58"/>
        <v>मुगडाळ</v>
      </c>
      <c r="BM123" s="331">
        <f t="shared" si="59"/>
        <v>0</v>
      </c>
      <c r="BN123" s="331" t="str">
        <f t="shared" si="60"/>
        <v>मुगडाळ</v>
      </c>
      <c r="BO123" s="331">
        <f t="shared" si="63"/>
        <v>0</v>
      </c>
      <c r="BP123" s="331">
        <f t="shared" si="61"/>
        <v>0</v>
      </c>
      <c r="BQ123" s="331">
        <f t="shared" si="62"/>
        <v>0</v>
      </c>
      <c r="BR123" s="393"/>
    </row>
    <row r="124" spans="1:70" ht="27.75" customHeight="1" x14ac:dyDescent="0.4">
      <c r="A124" s="872">
        <v>116</v>
      </c>
      <c r="B124" s="862" t="s">
        <v>46</v>
      </c>
      <c r="C124" s="841">
        <f t="shared" si="51"/>
        <v>44764</v>
      </c>
      <c r="D124" s="842" t="str">
        <f>IF(C124="","",INDEX({"रविवार";"सोमवार";"मंगळवार";"बुधवार";"गुरूवार";"शुक्रवार";"शनिवार"},WEEKDAY(C124)))</f>
        <v>शुक्रवार</v>
      </c>
      <c r="E124" s="673">
        <v>17</v>
      </c>
      <c r="F124" s="673">
        <v>17</v>
      </c>
      <c r="G124" s="673">
        <v>17</v>
      </c>
      <c r="H124" s="673" t="s">
        <v>444</v>
      </c>
      <c r="I124" s="673" t="s">
        <v>384</v>
      </c>
      <c r="J124" s="673"/>
      <c r="K124" s="673"/>
      <c r="L124" s="673"/>
      <c r="M124" s="828"/>
      <c r="N124" s="828"/>
      <c r="O124" s="673" t="s">
        <v>779</v>
      </c>
      <c r="P124" s="673" t="s">
        <v>422</v>
      </c>
      <c r="BE124" s="392">
        <v>4</v>
      </c>
      <c r="BF124" s="331" t="str">
        <f t="shared" si="52"/>
        <v>मुगडाळ</v>
      </c>
      <c r="BG124" s="331">
        <f t="shared" si="53"/>
        <v>0</v>
      </c>
      <c r="BH124" s="331">
        <f t="shared" si="54"/>
        <v>0</v>
      </c>
      <c r="BI124" s="331" t="str">
        <f t="shared" si="55"/>
        <v>मुगडाळ</v>
      </c>
      <c r="BJ124" s="331" t="str">
        <f t="shared" si="56"/>
        <v>हरभरा</v>
      </c>
      <c r="BK124" s="331">
        <f t="shared" si="57"/>
        <v>0</v>
      </c>
      <c r="BL124" s="331">
        <f t="shared" si="58"/>
        <v>0</v>
      </c>
      <c r="BM124" s="331">
        <f t="shared" si="59"/>
        <v>0</v>
      </c>
      <c r="BN124" s="331">
        <f t="shared" si="60"/>
        <v>0</v>
      </c>
      <c r="BO124" s="331">
        <f t="shared" si="63"/>
        <v>0</v>
      </c>
      <c r="BP124" s="331">
        <f t="shared" si="61"/>
        <v>0</v>
      </c>
      <c r="BQ124" s="331">
        <f t="shared" si="62"/>
        <v>0</v>
      </c>
      <c r="BR124" s="393"/>
    </row>
    <row r="125" spans="1:70" ht="27.75" customHeight="1" x14ac:dyDescent="0.4">
      <c r="A125" s="872">
        <v>117</v>
      </c>
      <c r="B125" s="862" t="s">
        <v>46</v>
      </c>
      <c r="C125" s="841">
        <f t="shared" si="51"/>
        <v>44765</v>
      </c>
      <c r="D125" s="842" t="str">
        <f>IF(C125="","",INDEX({"रविवार";"सोमवार";"मंगळवार";"बुधवार";"गुरूवार";"शुक्रवार";"शनिवार"},WEEKDAY(C125)))</f>
        <v>शनिवार</v>
      </c>
      <c r="E125" s="673">
        <v>17</v>
      </c>
      <c r="F125" s="673">
        <v>17</v>
      </c>
      <c r="G125" s="673">
        <v>17</v>
      </c>
      <c r="H125" s="673" t="s">
        <v>74</v>
      </c>
      <c r="I125" s="673" t="s">
        <v>359</v>
      </c>
      <c r="J125" s="673"/>
      <c r="K125" s="673"/>
      <c r="L125" s="673"/>
      <c r="M125" s="828"/>
      <c r="N125" s="828"/>
      <c r="O125" s="673" t="s">
        <v>777</v>
      </c>
      <c r="P125" s="673" t="s">
        <v>421</v>
      </c>
      <c r="BE125" s="392">
        <v>5</v>
      </c>
      <c r="BF125" s="331" t="str">
        <f t="shared" si="52"/>
        <v>हरभरा</v>
      </c>
      <c r="BG125" s="331">
        <f t="shared" si="53"/>
        <v>0</v>
      </c>
      <c r="BH125" s="331">
        <f t="shared" si="54"/>
        <v>0</v>
      </c>
      <c r="BI125" s="331" t="str">
        <f t="shared" si="55"/>
        <v>हरभरा</v>
      </c>
      <c r="BJ125" s="331" t="str">
        <f t="shared" si="56"/>
        <v>वाटाणा</v>
      </c>
      <c r="BK125" s="331" t="str">
        <f t="shared" si="57"/>
        <v>मुगडाळ</v>
      </c>
      <c r="BL125" s="331">
        <f t="shared" si="58"/>
        <v>0</v>
      </c>
      <c r="BM125" s="331">
        <f t="shared" si="59"/>
        <v>0</v>
      </c>
      <c r="BN125" s="331" t="str">
        <f t="shared" si="60"/>
        <v>मुगडाळ</v>
      </c>
      <c r="BO125" s="331">
        <f t="shared" si="63"/>
        <v>0</v>
      </c>
      <c r="BP125" s="331">
        <f t="shared" si="61"/>
        <v>0</v>
      </c>
      <c r="BQ125" s="331">
        <f t="shared" si="62"/>
        <v>0</v>
      </c>
      <c r="BR125" s="393"/>
    </row>
    <row r="126" spans="1:70" ht="27.75" customHeight="1" x14ac:dyDescent="0.4">
      <c r="A126" s="872">
        <v>118</v>
      </c>
      <c r="B126" s="862" t="s">
        <v>46</v>
      </c>
      <c r="C126" s="841">
        <f t="shared" si="51"/>
        <v>44766</v>
      </c>
      <c r="D126" s="842" t="str">
        <f>IF(C126="","",INDEX({"रविवार";"सोमवार";"मंगळवार";"बुधवार";"गुरूवार";"शुक्रवार";"शनिवार"},WEEKDAY(C126)))</f>
        <v>रविवार</v>
      </c>
      <c r="E126" s="673">
        <v>0</v>
      </c>
      <c r="F126" s="673">
        <v>0</v>
      </c>
      <c r="G126" s="673">
        <v>0</v>
      </c>
      <c r="H126" s="673"/>
      <c r="I126" s="673"/>
      <c r="J126" s="673"/>
      <c r="K126" s="673"/>
      <c r="L126" s="673"/>
      <c r="M126" s="828"/>
      <c r="N126" s="828"/>
      <c r="O126" s="673"/>
      <c r="P126" s="673"/>
      <c r="BE126" s="392">
        <v>6</v>
      </c>
      <c r="BF126" s="331" t="str">
        <f t="shared" si="52"/>
        <v>वाटाणा</v>
      </c>
      <c r="BG126" s="331">
        <f t="shared" si="53"/>
        <v>0</v>
      </c>
      <c r="BH126" s="331">
        <f t="shared" si="54"/>
        <v>0</v>
      </c>
      <c r="BI126" s="331" t="str">
        <f t="shared" si="55"/>
        <v>वाटाणा</v>
      </c>
      <c r="BJ126" s="331" t="str">
        <f t="shared" si="56"/>
        <v>मुगडाळ</v>
      </c>
      <c r="BK126" s="331" t="str">
        <f t="shared" si="57"/>
        <v>हरभरा</v>
      </c>
      <c r="BL126" s="331" t="str">
        <f t="shared" si="58"/>
        <v>हरभरा</v>
      </c>
      <c r="BM126" s="331">
        <f t="shared" si="59"/>
        <v>0</v>
      </c>
      <c r="BN126" s="331">
        <f t="shared" si="60"/>
        <v>0</v>
      </c>
      <c r="BO126" s="331">
        <f t="shared" si="63"/>
        <v>0</v>
      </c>
      <c r="BP126" s="331">
        <f t="shared" si="61"/>
        <v>0</v>
      </c>
      <c r="BQ126" s="331">
        <f t="shared" si="62"/>
        <v>0</v>
      </c>
      <c r="BR126" s="393"/>
    </row>
    <row r="127" spans="1:70" ht="27.75" customHeight="1" x14ac:dyDescent="0.4">
      <c r="A127" s="872">
        <v>119</v>
      </c>
      <c r="B127" s="862" t="s">
        <v>46</v>
      </c>
      <c r="C127" s="841">
        <f t="shared" si="51"/>
        <v>44767</v>
      </c>
      <c r="D127" s="842" t="str">
        <f>IF(C127="","",INDEX({"रविवार";"सोमवार";"मंगळवार";"बुधवार";"गुरूवार";"शुक्रवार";"शनिवार"},WEEKDAY(C127)))</f>
        <v>सोमवार</v>
      </c>
      <c r="E127" s="673">
        <v>17</v>
      </c>
      <c r="F127" s="673">
        <v>17</v>
      </c>
      <c r="G127" s="673">
        <v>17</v>
      </c>
      <c r="H127" s="673" t="s">
        <v>74</v>
      </c>
      <c r="I127" s="673" t="s">
        <v>359</v>
      </c>
      <c r="J127" s="673"/>
      <c r="K127" s="673"/>
      <c r="L127" s="673"/>
      <c r="M127" s="828"/>
      <c r="N127" s="828"/>
      <c r="O127" s="673" t="s">
        <v>778</v>
      </c>
      <c r="P127" s="673" t="s">
        <v>423</v>
      </c>
      <c r="BE127" s="392">
        <v>7</v>
      </c>
      <c r="BF127" s="331" t="str">
        <f t="shared" si="52"/>
        <v>हरभरा</v>
      </c>
      <c r="BG127" s="331">
        <f t="shared" si="53"/>
        <v>0</v>
      </c>
      <c r="BH127" s="331">
        <f t="shared" si="54"/>
        <v>0</v>
      </c>
      <c r="BI127" s="331" t="str">
        <f t="shared" si="55"/>
        <v>हरभरा</v>
      </c>
      <c r="BJ127" s="331">
        <f t="shared" si="56"/>
        <v>0</v>
      </c>
      <c r="BK127" s="331" t="str">
        <f t="shared" si="57"/>
        <v>वाटाणा</v>
      </c>
      <c r="BL127" s="331" t="str">
        <f t="shared" si="58"/>
        <v>वाटाणा</v>
      </c>
      <c r="BM127" s="331">
        <f t="shared" si="59"/>
        <v>0</v>
      </c>
      <c r="BN127" s="331" t="str">
        <f t="shared" si="60"/>
        <v>वाटाणा</v>
      </c>
      <c r="BO127" s="331">
        <f t="shared" si="63"/>
        <v>0</v>
      </c>
      <c r="BP127" s="331">
        <f t="shared" si="61"/>
        <v>0</v>
      </c>
      <c r="BQ127" s="331">
        <f t="shared" si="62"/>
        <v>0</v>
      </c>
      <c r="BR127" s="393"/>
    </row>
    <row r="128" spans="1:70" ht="27.75" customHeight="1" x14ac:dyDescent="0.4">
      <c r="A128" s="872">
        <v>120</v>
      </c>
      <c r="B128" s="862" t="s">
        <v>46</v>
      </c>
      <c r="C128" s="841">
        <f t="shared" si="51"/>
        <v>44768</v>
      </c>
      <c r="D128" s="842" t="str">
        <f>IF(C128="","",INDEX({"रविवार";"सोमवार";"मंगळवार";"बुधवार";"गुरूवार";"शुक्रवार";"शनिवार"},WEEKDAY(C128)))</f>
        <v>मंगळवार</v>
      </c>
      <c r="E128" s="673">
        <v>17</v>
      </c>
      <c r="F128" s="673">
        <v>17</v>
      </c>
      <c r="G128" s="673">
        <v>17</v>
      </c>
      <c r="H128" s="673" t="s">
        <v>67</v>
      </c>
      <c r="I128" s="673" t="s">
        <v>384</v>
      </c>
      <c r="J128" s="673"/>
      <c r="K128" s="673"/>
      <c r="L128" s="673"/>
      <c r="M128" s="828"/>
      <c r="N128" s="828"/>
      <c r="O128" s="673" t="s">
        <v>777</v>
      </c>
      <c r="P128" s="673" t="s">
        <v>421</v>
      </c>
      <c r="BE128" s="392">
        <v>8</v>
      </c>
      <c r="BF128" s="331" t="str">
        <f t="shared" si="52"/>
        <v>वाटाणा</v>
      </c>
      <c r="BG128" s="331">
        <f t="shared" si="53"/>
        <v>0</v>
      </c>
      <c r="BH128" s="331">
        <f t="shared" si="54"/>
        <v>0</v>
      </c>
      <c r="BI128" s="331" t="str">
        <f t="shared" si="55"/>
        <v>वाटाणा</v>
      </c>
      <c r="BJ128" s="331" t="str">
        <f t="shared" si="56"/>
        <v>मुगडाळ</v>
      </c>
      <c r="BK128" s="331" t="str">
        <f t="shared" si="57"/>
        <v>हरभरा</v>
      </c>
      <c r="BL128" s="331" t="str">
        <f t="shared" si="58"/>
        <v>मुगडाळ</v>
      </c>
      <c r="BM128" s="331">
        <f t="shared" si="59"/>
        <v>0</v>
      </c>
      <c r="BN128" s="331" t="str">
        <f t="shared" si="60"/>
        <v>हरभरा</v>
      </c>
      <c r="BO128" s="331">
        <f t="shared" si="63"/>
        <v>0</v>
      </c>
      <c r="BP128" s="331">
        <f t="shared" si="61"/>
        <v>0</v>
      </c>
      <c r="BQ128" s="331">
        <f t="shared" si="62"/>
        <v>0</v>
      </c>
      <c r="BR128" s="393"/>
    </row>
    <row r="129" spans="1:70" ht="27.75" customHeight="1" x14ac:dyDescent="0.4">
      <c r="A129" s="872">
        <v>121</v>
      </c>
      <c r="B129" s="862" t="s">
        <v>46</v>
      </c>
      <c r="C129" s="841">
        <f t="shared" si="51"/>
        <v>44769</v>
      </c>
      <c r="D129" s="842" t="str">
        <f>IF(C129="","",INDEX({"रविवार";"सोमवार";"मंगळवार";"बुधवार";"गुरूवार";"शुक्रवार";"शनिवार"},WEEKDAY(C129)))</f>
        <v>बुधवार</v>
      </c>
      <c r="E129" s="673">
        <v>17</v>
      </c>
      <c r="F129" s="673">
        <v>17</v>
      </c>
      <c r="G129" s="673">
        <v>17</v>
      </c>
      <c r="H129" s="673" t="s">
        <v>444</v>
      </c>
      <c r="I129" s="673" t="s">
        <v>384</v>
      </c>
      <c r="J129" s="673"/>
      <c r="K129" s="673"/>
      <c r="L129" s="673"/>
      <c r="M129" s="828"/>
      <c r="N129" s="828"/>
      <c r="O129" s="673" t="s">
        <v>780</v>
      </c>
      <c r="P129" s="673" t="s">
        <v>425</v>
      </c>
      <c r="BE129" s="392">
        <v>9</v>
      </c>
      <c r="BF129" s="331" t="str">
        <f t="shared" si="52"/>
        <v>मुगडाळ</v>
      </c>
      <c r="BG129" s="331">
        <f t="shared" si="53"/>
        <v>0</v>
      </c>
      <c r="BH129" s="331">
        <f t="shared" si="54"/>
        <v>0</v>
      </c>
      <c r="BI129" s="331" t="str">
        <f t="shared" si="55"/>
        <v>मुगडाळ</v>
      </c>
      <c r="BJ129" s="331">
        <f t="shared" si="56"/>
        <v>0</v>
      </c>
      <c r="BK129" s="331">
        <f t="shared" si="57"/>
        <v>0</v>
      </c>
      <c r="BL129" s="331">
        <f t="shared" si="58"/>
        <v>0</v>
      </c>
      <c r="BM129" s="331" t="str">
        <f t="shared" si="59"/>
        <v>वाटाणा</v>
      </c>
      <c r="BN129" s="331" t="str">
        <f t="shared" si="60"/>
        <v>वाटाणा</v>
      </c>
      <c r="BO129" s="331">
        <f t="shared" si="63"/>
        <v>0</v>
      </c>
      <c r="BP129" s="331">
        <f t="shared" si="61"/>
        <v>0</v>
      </c>
      <c r="BQ129" s="331">
        <f t="shared" si="62"/>
        <v>0</v>
      </c>
      <c r="BR129" s="393"/>
    </row>
    <row r="130" spans="1:70" ht="27.75" customHeight="1" x14ac:dyDescent="0.4">
      <c r="A130" s="872">
        <v>122</v>
      </c>
      <c r="B130" s="862" t="s">
        <v>46</v>
      </c>
      <c r="C130" s="841">
        <f t="shared" si="51"/>
        <v>44770</v>
      </c>
      <c r="D130" s="842" t="str">
        <f>IF(C130="","",INDEX({"रविवार";"सोमवार";"मंगळवार";"बुधवार";"गुरूवार";"शुक्रवार";"शनिवार"},WEEKDAY(C130)))</f>
        <v>गुरूवार</v>
      </c>
      <c r="E130" s="673">
        <v>17</v>
      </c>
      <c r="F130" s="673">
        <v>17</v>
      </c>
      <c r="G130" s="673">
        <v>17</v>
      </c>
      <c r="H130" s="673" t="s">
        <v>67</v>
      </c>
      <c r="I130" s="673" t="s">
        <v>384</v>
      </c>
      <c r="J130" s="673"/>
      <c r="K130" s="673"/>
      <c r="L130" s="673"/>
      <c r="M130" s="828"/>
      <c r="N130" s="828"/>
      <c r="O130" s="673" t="s">
        <v>778</v>
      </c>
      <c r="P130" s="673" t="s">
        <v>424</v>
      </c>
      <c r="BE130" s="392">
        <v>10</v>
      </c>
      <c r="BF130" s="331">
        <f t="shared" si="52"/>
        <v>0</v>
      </c>
      <c r="BG130" s="331">
        <f t="shared" si="53"/>
        <v>0</v>
      </c>
      <c r="BH130" s="331">
        <f t="shared" si="54"/>
        <v>0</v>
      </c>
      <c r="BI130" s="331">
        <f t="shared" si="55"/>
        <v>0</v>
      </c>
      <c r="BJ130" s="331" t="str">
        <f t="shared" si="56"/>
        <v>वाटाणा</v>
      </c>
      <c r="BK130" s="331" t="str">
        <f t="shared" si="57"/>
        <v>मुगडाळ</v>
      </c>
      <c r="BL130" s="331" t="str">
        <f t="shared" si="58"/>
        <v>मुगडाळ</v>
      </c>
      <c r="BM130" s="331" t="str">
        <f t="shared" si="59"/>
        <v>हरभरा</v>
      </c>
      <c r="BN130" s="331" t="str">
        <f t="shared" si="60"/>
        <v>मुगडाळ</v>
      </c>
      <c r="BO130" s="331">
        <f t="shared" si="63"/>
        <v>0</v>
      </c>
      <c r="BP130" s="331">
        <f t="shared" si="61"/>
        <v>0</v>
      </c>
      <c r="BQ130" s="331">
        <f t="shared" si="62"/>
        <v>0</v>
      </c>
      <c r="BR130" s="393"/>
    </row>
    <row r="131" spans="1:70" ht="27.75" customHeight="1" x14ac:dyDescent="0.4">
      <c r="A131" s="872">
        <v>123</v>
      </c>
      <c r="B131" s="862" t="s">
        <v>46</v>
      </c>
      <c r="C131" s="841">
        <f t="shared" si="51"/>
        <v>44771</v>
      </c>
      <c r="D131" s="842" t="str">
        <f>IF(C131="","",INDEX({"रविवार";"सोमवार";"मंगळवार";"बुधवार";"गुरूवार";"शुक्रवार";"शनिवार"},WEEKDAY(C131)))</f>
        <v>शुक्रवार</v>
      </c>
      <c r="E131" s="673">
        <v>17</v>
      </c>
      <c r="F131" s="673">
        <v>17</v>
      </c>
      <c r="G131" s="673">
        <v>17</v>
      </c>
      <c r="H131" s="673" t="s">
        <v>444</v>
      </c>
      <c r="I131" s="673" t="s">
        <v>384</v>
      </c>
      <c r="J131" s="673"/>
      <c r="K131" s="673"/>
      <c r="L131" s="673"/>
      <c r="M131" s="828"/>
      <c r="N131" s="828"/>
      <c r="O131" s="673" t="s">
        <v>779</v>
      </c>
      <c r="P131" s="673" t="s">
        <v>422</v>
      </c>
      <c r="BE131" s="392">
        <v>11</v>
      </c>
      <c r="BF131" s="331" t="str">
        <f t="shared" si="52"/>
        <v>मुगडाळ</v>
      </c>
      <c r="BG131" s="331">
        <f t="shared" si="53"/>
        <v>0</v>
      </c>
      <c r="BH131" s="331">
        <f t="shared" si="54"/>
        <v>0</v>
      </c>
      <c r="BI131" s="331" t="str">
        <f t="shared" si="55"/>
        <v>मुगडाळ</v>
      </c>
      <c r="BJ131" s="331" t="str">
        <f t="shared" si="56"/>
        <v>हरभरा</v>
      </c>
      <c r="BK131" s="331">
        <f t="shared" si="57"/>
        <v>0</v>
      </c>
      <c r="BL131" s="331" t="str">
        <f t="shared" si="58"/>
        <v>हरभरा</v>
      </c>
      <c r="BM131" s="331" t="str">
        <f t="shared" si="59"/>
        <v>वाटाणा</v>
      </c>
      <c r="BN131" s="331">
        <f t="shared" si="60"/>
        <v>0</v>
      </c>
      <c r="BO131" s="331">
        <f t="shared" si="63"/>
        <v>0</v>
      </c>
      <c r="BP131" s="331">
        <f t="shared" si="61"/>
        <v>0</v>
      </c>
      <c r="BQ131" s="331">
        <f t="shared" si="62"/>
        <v>0</v>
      </c>
      <c r="BR131" s="393"/>
    </row>
    <row r="132" spans="1:70" ht="27.75" customHeight="1" x14ac:dyDescent="0.4">
      <c r="A132" s="872">
        <v>124</v>
      </c>
      <c r="B132" s="862" t="s">
        <v>46</v>
      </c>
      <c r="C132" s="841">
        <f t="shared" si="51"/>
        <v>44772</v>
      </c>
      <c r="D132" s="842" t="str">
        <f>IF(C132="","",INDEX({"रविवार";"सोमवार";"मंगळवार";"बुधवार";"गुरूवार";"शुक्रवार";"शनिवार"},WEEKDAY(C132)))</f>
        <v>शनिवार</v>
      </c>
      <c r="E132" s="673">
        <v>17</v>
      </c>
      <c r="F132" s="673">
        <v>17</v>
      </c>
      <c r="G132" s="673">
        <v>17</v>
      </c>
      <c r="H132" s="673" t="s">
        <v>74</v>
      </c>
      <c r="I132" s="673" t="s">
        <v>359</v>
      </c>
      <c r="J132" s="673"/>
      <c r="K132" s="673"/>
      <c r="L132" s="673"/>
      <c r="M132" s="828"/>
      <c r="N132" s="828"/>
      <c r="O132" s="673" t="s">
        <v>777</v>
      </c>
      <c r="P132" s="673" t="s">
        <v>421</v>
      </c>
      <c r="BE132" s="392">
        <v>12</v>
      </c>
      <c r="BF132" s="331" t="str">
        <f t="shared" si="52"/>
        <v>हरभरा</v>
      </c>
      <c r="BG132" s="331">
        <f t="shared" si="53"/>
        <v>0</v>
      </c>
      <c r="BH132" s="331">
        <f t="shared" si="54"/>
        <v>0</v>
      </c>
      <c r="BI132" s="331" t="str">
        <f t="shared" si="55"/>
        <v>हरभरा</v>
      </c>
      <c r="BJ132" s="331" t="str">
        <f t="shared" si="56"/>
        <v>वाटाणा</v>
      </c>
      <c r="BK132" s="331" t="str">
        <f t="shared" si="57"/>
        <v>मुगडाळ</v>
      </c>
      <c r="BL132" s="331" t="str">
        <f t="shared" si="58"/>
        <v>वाटाणा</v>
      </c>
      <c r="BM132" s="331" t="str">
        <f t="shared" si="59"/>
        <v>मुगडाळ</v>
      </c>
      <c r="BN132" s="331" t="str">
        <f t="shared" si="60"/>
        <v>मुगडाळ</v>
      </c>
      <c r="BO132" s="331">
        <f t="shared" si="63"/>
        <v>0</v>
      </c>
      <c r="BP132" s="331">
        <f t="shared" si="61"/>
        <v>0</v>
      </c>
      <c r="BQ132" s="331">
        <f t="shared" si="62"/>
        <v>0</v>
      </c>
      <c r="BR132" s="393"/>
    </row>
    <row r="133" spans="1:70" ht="27.75" customHeight="1" x14ac:dyDescent="0.4">
      <c r="A133" s="872">
        <v>125</v>
      </c>
      <c r="B133" s="862" t="s">
        <v>46</v>
      </c>
      <c r="C133" s="841">
        <f t="shared" si="51"/>
        <v>44773</v>
      </c>
      <c r="D133" s="842" t="str">
        <f>IF(C133="","",INDEX({"रविवार";"सोमवार";"मंगळवार";"बुधवार";"गुरूवार";"शुक्रवार";"शनिवार"},WEEKDAY(C133)))</f>
        <v>रविवार</v>
      </c>
      <c r="E133" s="673">
        <v>0</v>
      </c>
      <c r="F133" s="673">
        <v>0</v>
      </c>
      <c r="G133" s="673">
        <v>0</v>
      </c>
      <c r="H133" s="673"/>
      <c r="I133" s="673"/>
      <c r="J133" s="673"/>
      <c r="K133" s="673"/>
      <c r="L133" s="673"/>
      <c r="M133" s="828"/>
      <c r="N133" s="828"/>
      <c r="O133" s="673"/>
      <c r="P133" s="673"/>
      <c r="BE133" s="392">
        <v>13</v>
      </c>
      <c r="BF133" s="331" t="str">
        <f t="shared" si="52"/>
        <v>वाटाणा</v>
      </c>
      <c r="BG133" s="331">
        <f t="shared" si="53"/>
        <v>0</v>
      </c>
      <c r="BH133" s="331">
        <f t="shared" si="54"/>
        <v>0</v>
      </c>
      <c r="BI133" s="331" t="str">
        <f t="shared" si="55"/>
        <v>वाटाणा</v>
      </c>
      <c r="BJ133" s="331" t="str">
        <f t="shared" si="56"/>
        <v>मुगडाळ</v>
      </c>
      <c r="BK133" s="331" t="str">
        <f t="shared" si="57"/>
        <v>हरभरा</v>
      </c>
      <c r="BL133" s="331" t="str">
        <f t="shared" si="58"/>
        <v>हरभरा</v>
      </c>
      <c r="BM133" s="331">
        <f t="shared" si="59"/>
        <v>0</v>
      </c>
      <c r="BN133" s="331" t="str">
        <f t="shared" si="60"/>
        <v>हरभरा</v>
      </c>
      <c r="BO133" s="331">
        <f t="shared" si="63"/>
        <v>0</v>
      </c>
      <c r="BP133" s="331">
        <f t="shared" si="61"/>
        <v>0</v>
      </c>
      <c r="BQ133" s="331">
        <f t="shared" si="62"/>
        <v>0</v>
      </c>
      <c r="BR133" s="393"/>
    </row>
    <row r="134" spans="1:70" ht="27.75" customHeight="1" x14ac:dyDescent="0.4">
      <c r="A134" s="872">
        <v>126</v>
      </c>
      <c r="B134" s="862" t="s">
        <v>46</v>
      </c>
      <c r="C134" s="841" t="s">
        <v>35</v>
      </c>
      <c r="D134" s="841"/>
      <c r="E134" s="832">
        <f>IF(SUM(E103:E133)&gt;0,SUM(E103:E133),"")</f>
        <v>442</v>
      </c>
      <c r="F134" s="832">
        <f t="shared" ref="F134:N134" si="64">IF(SUM(F103:F133)&gt;0,SUM(F103:F133),"")</f>
        <v>442</v>
      </c>
      <c r="G134" s="832">
        <f t="shared" si="64"/>
        <v>442</v>
      </c>
      <c r="H134" s="832" t="str">
        <f t="shared" si="64"/>
        <v/>
      </c>
      <c r="I134" s="832" t="str">
        <f t="shared" si="64"/>
        <v/>
      </c>
      <c r="J134" s="832" t="str">
        <f t="shared" si="64"/>
        <v/>
      </c>
      <c r="K134" s="832" t="str">
        <f t="shared" si="64"/>
        <v/>
      </c>
      <c r="L134" s="832" t="str">
        <f t="shared" si="64"/>
        <v/>
      </c>
      <c r="M134" s="832" t="str">
        <f t="shared" si="64"/>
        <v/>
      </c>
      <c r="N134" s="832" t="str">
        <f t="shared" si="64"/>
        <v/>
      </c>
      <c r="O134" s="827"/>
      <c r="P134" s="827"/>
      <c r="BE134" s="392">
        <v>14</v>
      </c>
      <c r="BF134" s="331">
        <f t="shared" si="52"/>
        <v>0</v>
      </c>
      <c r="BG134" s="331">
        <f t="shared" si="53"/>
        <v>0</v>
      </c>
      <c r="BH134" s="331">
        <f t="shared" si="54"/>
        <v>0</v>
      </c>
      <c r="BI134" s="331" t="str">
        <f t="shared" si="55"/>
        <v>हरभरा</v>
      </c>
      <c r="BJ134" s="331">
        <f t="shared" si="56"/>
        <v>0</v>
      </c>
      <c r="BK134" s="331" t="str">
        <f t="shared" si="57"/>
        <v>वाटाणा</v>
      </c>
      <c r="BL134" s="331" t="str">
        <f t="shared" si="58"/>
        <v>वाटाणा</v>
      </c>
      <c r="BM134" s="331" t="str">
        <f t="shared" si="59"/>
        <v>मुगडाळ</v>
      </c>
      <c r="BN134" s="331" t="str">
        <f t="shared" si="60"/>
        <v>वाटाणा</v>
      </c>
      <c r="BO134" s="331">
        <f t="shared" si="63"/>
        <v>0</v>
      </c>
      <c r="BP134" s="331">
        <f t="shared" si="61"/>
        <v>0</v>
      </c>
      <c r="BQ134" s="331">
        <f t="shared" si="62"/>
        <v>0</v>
      </c>
      <c r="BR134" s="393"/>
    </row>
    <row r="135" spans="1:70" ht="27.75" customHeight="1" x14ac:dyDescent="0.4">
      <c r="A135" s="872">
        <v>127</v>
      </c>
      <c r="B135" s="863" t="s">
        <v>34</v>
      </c>
      <c r="C135" s="841">
        <f>DATE(N6,"8","1")</f>
        <v>44774</v>
      </c>
      <c r="D135" s="842" t="str">
        <f>IF(C135="","",INDEX({"रविवार";"सोमवार";"मंगळवार";"बुधवार";"गुरूवार";"शुक्रवार";"शनिवार"},WEEKDAY(C135)))</f>
        <v>सोमवार</v>
      </c>
      <c r="E135" s="673">
        <v>15</v>
      </c>
      <c r="F135" s="673">
        <v>15</v>
      </c>
      <c r="G135" s="673">
        <v>15</v>
      </c>
      <c r="H135" s="673" t="s">
        <v>74</v>
      </c>
      <c r="I135" s="673" t="s">
        <v>359</v>
      </c>
      <c r="J135" s="673"/>
      <c r="K135" s="673"/>
      <c r="L135" s="673"/>
      <c r="M135" s="828"/>
      <c r="N135" s="828"/>
      <c r="O135" s="673" t="s">
        <v>778</v>
      </c>
      <c r="P135" s="673" t="s">
        <v>423</v>
      </c>
      <c r="BE135" s="392">
        <v>15</v>
      </c>
      <c r="BF135" s="331">
        <f t="shared" si="52"/>
        <v>0</v>
      </c>
      <c r="BG135" s="331">
        <f t="shared" si="53"/>
        <v>0</v>
      </c>
      <c r="BH135" s="331" t="str">
        <f t="shared" si="54"/>
        <v>वाटाणा</v>
      </c>
      <c r="BI135" s="331" t="str">
        <f t="shared" si="55"/>
        <v>वाटाणा</v>
      </c>
      <c r="BJ135" s="331">
        <f t="shared" si="56"/>
        <v>0</v>
      </c>
      <c r="BK135" s="331" t="str">
        <f t="shared" si="57"/>
        <v>हरभरा</v>
      </c>
      <c r="BL135" s="331" t="str">
        <f t="shared" si="58"/>
        <v>मुगडाळ</v>
      </c>
      <c r="BM135" s="331" t="str">
        <f t="shared" si="59"/>
        <v>हरभरा</v>
      </c>
      <c r="BN135" s="331" t="str">
        <f t="shared" si="60"/>
        <v>हरभरा</v>
      </c>
      <c r="BO135" s="331">
        <f t="shared" si="63"/>
        <v>0</v>
      </c>
      <c r="BP135" s="331">
        <f t="shared" si="61"/>
        <v>0</v>
      </c>
      <c r="BQ135" s="331">
        <f t="shared" si="62"/>
        <v>0</v>
      </c>
      <c r="BR135" s="393"/>
    </row>
    <row r="136" spans="1:70" ht="27.75" customHeight="1" x14ac:dyDescent="0.4">
      <c r="A136" s="872">
        <v>128</v>
      </c>
      <c r="B136" s="863" t="s">
        <v>34</v>
      </c>
      <c r="C136" s="841">
        <f>C135+1</f>
        <v>44775</v>
      </c>
      <c r="D136" s="842" t="str">
        <f>IF(C136="","",INDEX({"रविवार";"सोमवार";"मंगळवार";"बुधवार";"गुरूवार";"शुक्रवार";"शनिवार"},WEEKDAY(C136)))</f>
        <v>मंगळवार</v>
      </c>
      <c r="E136" s="673">
        <v>15</v>
      </c>
      <c r="F136" s="673">
        <v>15</v>
      </c>
      <c r="G136" s="673">
        <v>15</v>
      </c>
      <c r="H136" s="673" t="s">
        <v>67</v>
      </c>
      <c r="I136" s="673" t="s">
        <v>384</v>
      </c>
      <c r="J136" s="673"/>
      <c r="K136" s="673"/>
      <c r="L136" s="673"/>
      <c r="M136" s="828"/>
      <c r="N136" s="828"/>
      <c r="O136" s="673" t="s">
        <v>777</v>
      </c>
      <c r="P136" s="673" t="s">
        <v>421</v>
      </c>
      <c r="BE136" s="392">
        <v>16</v>
      </c>
      <c r="BF136" s="331" t="str">
        <f t="shared" si="52"/>
        <v>मुगडाळ</v>
      </c>
      <c r="BG136" s="331">
        <f t="shared" si="53"/>
        <v>0</v>
      </c>
      <c r="BH136" s="331" t="str">
        <f t="shared" si="54"/>
        <v>हरभरा</v>
      </c>
      <c r="BI136" s="331" t="str">
        <f t="shared" si="55"/>
        <v>मुगडाळ</v>
      </c>
      <c r="BJ136" s="331">
        <f t="shared" si="56"/>
        <v>0</v>
      </c>
      <c r="BK136" s="331" t="str">
        <f t="shared" si="57"/>
        <v>वाटाणा</v>
      </c>
      <c r="BL136" s="331">
        <f t="shared" si="58"/>
        <v>0</v>
      </c>
      <c r="BM136" s="331" t="str">
        <f t="shared" si="59"/>
        <v>वाटाणा</v>
      </c>
      <c r="BN136" s="331" t="str">
        <f t="shared" si="60"/>
        <v>वाटाणा</v>
      </c>
      <c r="BO136" s="331">
        <f t="shared" si="63"/>
        <v>0</v>
      </c>
      <c r="BP136" s="331">
        <f t="shared" si="61"/>
        <v>0</v>
      </c>
      <c r="BQ136" s="331">
        <f t="shared" si="62"/>
        <v>0</v>
      </c>
      <c r="BR136" s="393"/>
    </row>
    <row r="137" spans="1:70" ht="27.75" customHeight="1" x14ac:dyDescent="0.4">
      <c r="A137" s="872">
        <v>129</v>
      </c>
      <c r="B137" s="863" t="s">
        <v>34</v>
      </c>
      <c r="C137" s="841">
        <f t="shared" ref="C137:C165" si="65">C136+1</f>
        <v>44776</v>
      </c>
      <c r="D137" s="842" t="str">
        <f>IF(C137="","",INDEX({"रविवार";"सोमवार";"मंगळवार";"बुधवार";"गुरूवार";"शुक्रवार";"शनिवार"},WEEKDAY(C137)))</f>
        <v>बुधवार</v>
      </c>
      <c r="E137" s="673">
        <v>15</v>
      </c>
      <c r="F137" s="673">
        <v>15</v>
      </c>
      <c r="G137" s="673">
        <v>15</v>
      </c>
      <c r="H137" s="673" t="s">
        <v>444</v>
      </c>
      <c r="I137" s="673" t="s">
        <v>384</v>
      </c>
      <c r="J137" s="673"/>
      <c r="K137" s="673"/>
      <c r="L137" s="673"/>
      <c r="M137" s="828"/>
      <c r="N137" s="828"/>
      <c r="O137" s="673" t="s">
        <v>780</v>
      </c>
      <c r="P137" s="673" t="s">
        <v>425</v>
      </c>
      <c r="BE137" s="392">
        <v>17</v>
      </c>
      <c r="BF137" s="331">
        <f t="shared" si="52"/>
        <v>0</v>
      </c>
      <c r="BG137" s="331">
        <f t="shared" si="53"/>
        <v>0</v>
      </c>
      <c r="BH137" s="331" t="str">
        <f t="shared" si="54"/>
        <v>वाटाणा</v>
      </c>
      <c r="BI137" s="331">
        <f t="shared" si="55"/>
        <v>0</v>
      </c>
      <c r="BJ137" s="331" t="str">
        <f t="shared" si="56"/>
        <v>वाटाणा</v>
      </c>
      <c r="BK137" s="331">
        <f t="shared" si="57"/>
        <v>0</v>
      </c>
      <c r="BL137" s="331">
        <f t="shared" si="58"/>
        <v>0</v>
      </c>
      <c r="BM137" s="331" t="str">
        <f t="shared" si="59"/>
        <v>हरभरा</v>
      </c>
      <c r="BN137" s="331" t="str">
        <f t="shared" si="60"/>
        <v>मुगडाळ</v>
      </c>
      <c r="BO137" s="331">
        <f t="shared" si="63"/>
        <v>0</v>
      </c>
      <c r="BP137" s="331">
        <f t="shared" si="61"/>
        <v>0</v>
      </c>
      <c r="BQ137" s="331">
        <f t="shared" si="62"/>
        <v>0</v>
      </c>
      <c r="BR137" s="393"/>
    </row>
    <row r="138" spans="1:70" ht="27.75" customHeight="1" x14ac:dyDescent="0.4">
      <c r="A138" s="872">
        <v>130</v>
      </c>
      <c r="B138" s="863" t="s">
        <v>34</v>
      </c>
      <c r="C138" s="841">
        <f t="shared" si="65"/>
        <v>44777</v>
      </c>
      <c r="D138" s="842" t="str">
        <f>IF(C138="","",INDEX({"रविवार";"सोमवार";"मंगळवार";"बुधवार";"गुरूवार";"शुक्रवार";"शनिवार"},WEEKDAY(C138)))</f>
        <v>गुरूवार</v>
      </c>
      <c r="E138" s="673">
        <v>15</v>
      </c>
      <c r="F138" s="673">
        <v>15</v>
      </c>
      <c r="G138" s="673">
        <v>15</v>
      </c>
      <c r="H138" s="673" t="s">
        <v>67</v>
      </c>
      <c r="I138" s="673" t="s">
        <v>384</v>
      </c>
      <c r="J138" s="673"/>
      <c r="K138" s="673"/>
      <c r="L138" s="673"/>
      <c r="M138" s="828"/>
      <c r="N138" s="828"/>
      <c r="O138" s="673" t="s">
        <v>778</v>
      </c>
      <c r="P138" s="673" t="s">
        <v>424</v>
      </c>
      <c r="BE138" s="392">
        <v>18</v>
      </c>
      <c r="BF138" s="331" t="str">
        <f t="shared" si="52"/>
        <v>मुगडाळ</v>
      </c>
      <c r="BG138" s="331">
        <f t="shared" si="53"/>
        <v>0</v>
      </c>
      <c r="BH138" s="331" t="str">
        <f t="shared" si="54"/>
        <v>मुगडाळ</v>
      </c>
      <c r="BI138" s="331" t="str">
        <f t="shared" si="55"/>
        <v>मुगडाळ</v>
      </c>
      <c r="BJ138" s="331" t="str">
        <f t="shared" si="56"/>
        <v>हरभरा</v>
      </c>
      <c r="BK138" s="331">
        <f t="shared" si="57"/>
        <v>0</v>
      </c>
      <c r="BL138" s="331">
        <f t="shared" si="58"/>
        <v>0</v>
      </c>
      <c r="BM138" s="331" t="str">
        <f t="shared" si="59"/>
        <v>वाटाणा</v>
      </c>
      <c r="BN138" s="331">
        <f t="shared" si="60"/>
        <v>0</v>
      </c>
      <c r="BO138" s="331">
        <f t="shared" si="63"/>
        <v>0</v>
      </c>
      <c r="BP138" s="331">
        <f t="shared" si="61"/>
        <v>0</v>
      </c>
      <c r="BQ138" s="331">
        <f t="shared" si="62"/>
        <v>0</v>
      </c>
      <c r="BR138" s="393"/>
    </row>
    <row r="139" spans="1:70" ht="27.75" customHeight="1" x14ac:dyDescent="0.4">
      <c r="A139" s="872">
        <v>131</v>
      </c>
      <c r="B139" s="863" t="s">
        <v>34</v>
      </c>
      <c r="C139" s="841">
        <f t="shared" si="65"/>
        <v>44778</v>
      </c>
      <c r="D139" s="842" t="str">
        <f>IF(C139="","",INDEX({"रविवार";"सोमवार";"मंगळवार";"बुधवार";"गुरूवार";"शुक्रवार";"शनिवार"},WEEKDAY(C139)))</f>
        <v>शुक्रवार</v>
      </c>
      <c r="E139" s="673">
        <v>15</v>
      </c>
      <c r="F139" s="673">
        <v>15</v>
      </c>
      <c r="G139" s="673">
        <v>15</v>
      </c>
      <c r="H139" s="673" t="s">
        <v>444</v>
      </c>
      <c r="I139" s="673" t="s">
        <v>384</v>
      </c>
      <c r="J139" s="673"/>
      <c r="K139" s="673"/>
      <c r="L139" s="673"/>
      <c r="M139" s="828"/>
      <c r="N139" s="828"/>
      <c r="O139" s="673" t="s">
        <v>779</v>
      </c>
      <c r="P139" s="673" t="s">
        <v>422</v>
      </c>
      <c r="BE139" s="392">
        <v>19</v>
      </c>
      <c r="BF139" s="331" t="str">
        <f t="shared" si="52"/>
        <v>हरभरा</v>
      </c>
      <c r="BG139" s="331">
        <f t="shared" si="53"/>
        <v>0</v>
      </c>
      <c r="BH139" s="331">
        <f t="shared" si="54"/>
        <v>0</v>
      </c>
      <c r="BI139" s="331" t="str">
        <f t="shared" si="55"/>
        <v>हरभरा</v>
      </c>
      <c r="BJ139" s="331" t="str">
        <f t="shared" si="56"/>
        <v>वाटाणा</v>
      </c>
      <c r="BK139" s="331" t="str">
        <f t="shared" si="57"/>
        <v>मुगडाळ</v>
      </c>
      <c r="BL139" s="331">
        <f t="shared" si="58"/>
        <v>0</v>
      </c>
      <c r="BM139" s="331" t="str">
        <f t="shared" si="59"/>
        <v>मुगडाळ</v>
      </c>
      <c r="BN139" s="331" t="str">
        <f t="shared" si="60"/>
        <v>मुगडाळ</v>
      </c>
      <c r="BO139" s="331">
        <f t="shared" si="63"/>
        <v>0</v>
      </c>
      <c r="BP139" s="331">
        <f t="shared" si="61"/>
        <v>0</v>
      </c>
      <c r="BQ139" s="331">
        <f t="shared" si="62"/>
        <v>0</v>
      </c>
      <c r="BR139" s="393"/>
    </row>
    <row r="140" spans="1:70" ht="27.75" customHeight="1" x14ac:dyDescent="0.4">
      <c r="A140" s="872">
        <v>132</v>
      </c>
      <c r="B140" s="863" t="s">
        <v>34</v>
      </c>
      <c r="C140" s="841">
        <f t="shared" si="65"/>
        <v>44779</v>
      </c>
      <c r="D140" s="842" t="str">
        <f>IF(C140="","",INDEX({"रविवार";"सोमवार";"मंगळवार";"बुधवार";"गुरूवार";"शुक्रवार";"शनिवार"},WEEKDAY(C140)))</f>
        <v>शनिवार</v>
      </c>
      <c r="E140" s="673">
        <v>15</v>
      </c>
      <c r="F140" s="673">
        <v>15</v>
      </c>
      <c r="G140" s="673">
        <v>15</v>
      </c>
      <c r="H140" s="673" t="s">
        <v>74</v>
      </c>
      <c r="I140" s="673" t="s">
        <v>359</v>
      </c>
      <c r="J140" s="673"/>
      <c r="K140" s="673"/>
      <c r="L140" s="673"/>
      <c r="M140" s="828"/>
      <c r="N140" s="828"/>
      <c r="O140" s="673" t="s">
        <v>777</v>
      </c>
      <c r="P140" s="673" t="s">
        <v>421</v>
      </c>
      <c r="BE140" s="392">
        <v>20</v>
      </c>
      <c r="BF140" s="331" t="str">
        <f t="shared" si="52"/>
        <v>वाटाणा</v>
      </c>
      <c r="BG140" s="331">
        <f t="shared" si="53"/>
        <v>0</v>
      </c>
      <c r="BH140" s="331" t="str">
        <f t="shared" si="54"/>
        <v>मुगडाळ</v>
      </c>
      <c r="BI140" s="331" t="str">
        <f t="shared" si="55"/>
        <v>वाटाणा</v>
      </c>
      <c r="BJ140" s="331" t="str">
        <f t="shared" si="56"/>
        <v>मुगडाळ</v>
      </c>
      <c r="BK140" s="331" t="str">
        <f t="shared" si="57"/>
        <v>हरभरा</v>
      </c>
      <c r="BL140" s="331">
        <f t="shared" si="58"/>
        <v>0</v>
      </c>
      <c r="BM140" s="331">
        <f t="shared" si="59"/>
        <v>0</v>
      </c>
      <c r="BN140" s="331" t="str">
        <f t="shared" si="60"/>
        <v>हरभरा</v>
      </c>
      <c r="BO140" s="331">
        <f t="shared" si="63"/>
        <v>0</v>
      </c>
      <c r="BP140" s="331">
        <f t="shared" si="61"/>
        <v>0</v>
      </c>
      <c r="BQ140" s="331">
        <f t="shared" si="62"/>
        <v>0</v>
      </c>
      <c r="BR140" s="393"/>
    </row>
    <row r="141" spans="1:70" ht="27.75" customHeight="1" x14ac:dyDescent="0.4">
      <c r="A141" s="872">
        <v>133</v>
      </c>
      <c r="B141" s="863" t="s">
        <v>34</v>
      </c>
      <c r="C141" s="841">
        <f t="shared" si="65"/>
        <v>44780</v>
      </c>
      <c r="D141" s="842" t="str">
        <f>IF(C141="","",INDEX({"रविवार";"सोमवार";"मंगळवार";"बुधवार";"गुरूवार";"शुक्रवार";"शनिवार"},WEEKDAY(C141)))</f>
        <v>रविवार</v>
      </c>
      <c r="E141" s="673"/>
      <c r="F141" s="673"/>
      <c r="G141" s="673"/>
      <c r="H141" s="673"/>
      <c r="I141" s="673"/>
      <c r="J141" s="673"/>
      <c r="K141" s="673"/>
      <c r="L141" s="673"/>
      <c r="M141" s="828"/>
      <c r="N141" s="828"/>
      <c r="O141" s="673"/>
      <c r="P141" s="673"/>
      <c r="BE141" s="392">
        <v>21</v>
      </c>
      <c r="BF141" s="331" t="str">
        <f t="shared" si="52"/>
        <v>हरभरा</v>
      </c>
      <c r="BG141" s="331">
        <f t="shared" si="53"/>
        <v>0</v>
      </c>
      <c r="BH141" s="331" t="str">
        <f t="shared" si="54"/>
        <v>हरभरा</v>
      </c>
      <c r="BI141" s="331" t="str">
        <f t="shared" si="55"/>
        <v>हरभरा</v>
      </c>
      <c r="BJ141" s="331">
        <f t="shared" si="56"/>
        <v>0</v>
      </c>
      <c r="BK141" s="331" t="str">
        <f t="shared" si="57"/>
        <v>वाटाणा</v>
      </c>
      <c r="BL141" s="331">
        <f t="shared" si="58"/>
        <v>0</v>
      </c>
      <c r="BM141" s="331" t="str">
        <f t="shared" si="59"/>
        <v>मुगडाळ</v>
      </c>
      <c r="BN141" s="331" t="str">
        <f t="shared" si="60"/>
        <v>वाटाणा</v>
      </c>
      <c r="BO141" s="331">
        <f t="shared" si="63"/>
        <v>0</v>
      </c>
      <c r="BP141" s="331">
        <f t="shared" si="61"/>
        <v>0</v>
      </c>
      <c r="BQ141" s="331">
        <f t="shared" si="62"/>
        <v>0</v>
      </c>
      <c r="BR141" s="393"/>
    </row>
    <row r="142" spans="1:70" ht="27.75" customHeight="1" x14ac:dyDescent="0.4">
      <c r="A142" s="872">
        <v>134</v>
      </c>
      <c r="B142" s="863" t="s">
        <v>34</v>
      </c>
      <c r="C142" s="841">
        <f t="shared" si="65"/>
        <v>44781</v>
      </c>
      <c r="D142" s="842" t="str">
        <f>IF(C142="","",INDEX({"रविवार";"सोमवार";"मंगळवार";"बुधवार";"गुरूवार";"शुक्रवार";"शनिवार"},WEEKDAY(C142)))</f>
        <v>सोमवार</v>
      </c>
      <c r="E142" s="673">
        <v>15</v>
      </c>
      <c r="F142" s="673">
        <v>15</v>
      </c>
      <c r="G142" s="673">
        <v>15</v>
      </c>
      <c r="H142" s="673" t="s">
        <v>74</v>
      </c>
      <c r="I142" s="673" t="s">
        <v>359</v>
      </c>
      <c r="J142" s="673"/>
      <c r="K142" s="673"/>
      <c r="L142" s="673"/>
      <c r="M142" s="828"/>
      <c r="N142" s="828"/>
      <c r="O142" s="673" t="s">
        <v>778</v>
      </c>
      <c r="P142" s="673" t="s">
        <v>423</v>
      </c>
      <c r="BE142" s="392">
        <v>22</v>
      </c>
      <c r="BF142" s="331" t="str">
        <f t="shared" si="52"/>
        <v>वाटाणा</v>
      </c>
      <c r="BG142" s="331">
        <f t="shared" si="53"/>
        <v>0</v>
      </c>
      <c r="BH142" s="331" t="str">
        <f t="shared" si="54"/>
        <v>वाटाणा</v>
      </c>
      <c r="BI142" s="331" t="str">
        <f t="shared" si="55"/>
        <v>वाटाणा</v>
      </c>
      <c r="BJ142" s="331" t="str">
        <f t="shared" si="56"/>
        <v>मुगडाळ</v>
      </c>
      <c r="BK142" s="331" t="str">
        <f t="shared" si="57"/>
        <v>हरभरा</v>
      </c>
      <c r="BL142" s="331">
        <f t="shared" si="58"/>
        <v>0</v>
      </c>
      <c r="BM142" s="331" t="str">
        <f t="shared" si="59"/>
        <v>हरभरा</v>
      </c>
      <c r="BN142" s="331" t="str">
        <f t="shared" si="60"/>
        <v>हरभरा</v>
      </c>
      <c r="BO142" s="331">
        <f t="shared" si="63"/>
        <v>0</v>
      </c>
      <c r="BP142" s="331">
        <f t="shared" si="61"/>
        <v>0</v>
      </c>
      <c r="BQ142" s="331">
        <f t="shared" si="62"/>
        <v>0</v>
      </c>
      <c r="BR142" s="393"/>
    </row>
    <row r="143" spans="1:70" ht="27.75" customHeight="1" x14ac:dyDescent="0.4">
      <c r="A143" s="872">
        <v>135</v>
      </c>
      <c r="B143" s="863" t="s">
        <v>34</v>
      </c>
      <c r="C143" s="841">
        <f t="shared" si="65"/>
        <v>44782</v>
      </c>
      <c r="D143" s="842" t="str">
        <f>IF(C143="","",INDEX({"रविवार";"सोमवार";"मंगळवार";"बुधवार";"गुरूवार";"शुक्रवार";"शनिवार"},WEEKDAY(C143)))</f>
        <v>मंगळवार</v>
      </c>
      <c r="E143" s="673">
        <v>0</v>
      </c>
      <c r="F143" s="673">
        <v>0</v>
      </c>
      <c r="G143" s="673">
        <v>0</v>
      </c>
      <c r="H143" s="673"/>
      <c r="I143" s="673"/>
      <c r="J143" s="673"/>
      <c r="K143" s="673"/>
      <c r="L143" s="673"/>
      <c r="M143" s="828"/>
      <c r="N143" s="828"/>
      <c r="O143" s="673"/>
      <c r="P143" s="673"/>
      <c r="BE143" s="392">
        <v>23</v>
      </c>
      <c r="BF143" s="331" t="str">
        <f t="shared" si="52"/>
        <v>मुगडाळ</v>
      </c>
      <c r="BG143" s="331">
        <f t="shared" si="53"/>
        <v>0</v>
      </c>
      <c r="BH143" s="331" t="str">
        <f t="shared" si="54"/>
        <v>हरभरा</v>
      </c>
      <c r="BI143" s="331" t="str">
        <f t="shared" si="55"/>
        <v>मुगडाळ</v>
      </c>
      <c r="BJ143" s="331" t="str">
        <f t="shared" si="56"/>
        <v>हरभरा</v>
      </c>
      <c r="BK143" s="331" t="str">
        <f t="shared" si="57"/>
        <v>वाटाणा</v>
      </c>
      <c r="BL143" s="331">
        <f t="shared" si="58"/>
        <v>0</v>
      </c>
      <c r="BM143" s="331" t="str">
        <f t="shared" si="59"/>
        <v>वाटाणा</v>
      </c>
      <c r="BN143" s="331" t="str">
        <f t="shared" si="60"/>
        <v>वाटाणा</v>
      </c>
      <c r="BO143" s="331">
        <f t="shared" si="63"/>
        <v>0</v>
      </c>
      <c r="BP143" s="331">
        <f t="shared" si="61"/>
        <v>0</v>
      </c>
      <c r="BQ143" s="331">
        <f t="shared" si="62"/>
        <v>0</v>
      </c>
      <c r="BR143" s="393"/>
    </row>
    <row r="144" spans="1:70" ht="27.75" customHeight="1" x14ac:dyDescent="0.4">
      <c r="A144" s="872">
        <v>136</v>
      </c>
      <c r="B144" s="863" t="s">
        <v>34</v>
      </c>
      <c r="C144" s="841">
        <f t="shared" si="65"/>
        <v>44783</v>
      </c>
      <c r="D144" s="842" t="str">
        <f>IF(C144="","",INDEX({"रविवार";"सोमवार";"मंगळवार";"बुधवार";"गुरूवार";"शुक्रवार";"शनिवार"},WEEKDAY(C144)))</f>
        <v>बुधवार</v>
      </c>
      <c r="E144" s="673">
        <v>15</v>
      </c>
      <c r="F144" s="673">
        <v>15</v>
      </c>
      <c r="G144" s="673">
        <v>15</v>
      </c>
      <c r="H144" s="673" t="s">
        <v>444</v>
      </c>
      <c r="I144" s="673" t="s">
        <v>384</v>
      </c>
      <c r="J144" s="673"/>
      <c r="K144" s="673"/>
      <c r="L144" s="673"/>
      <c r="M144" s="828"/>
      <c r="N144" s="828"/>
      <c r="O144" s="673" t="s">
        <v>780</v>
      </c>
      <c r="P144" s="673" t="s">
        <v>425</v>
      </c>
      <c r="BE144" s="392">
        <v>24</v>
      </c>
      <c r="BF144" s="331">
        <f t="shared" si="52"/>
        <v>0</v>
      </c>
      <c r="BG144" s="331">
        <f t="shared" si="53"/>
        <v>0</v>
      </c>
      <c r="BH144" s="331" t="str">
        <f t="shared" si="54"/>
        <v>वाटाणा</v>
      </c>
      <c r="BI144" s="331">
        <f t="shared" si="55"/>
        <v>0</v>
      </c>
      <c r="BJ144" s="331" t="str">
        <f t="shared" si="56"/>
        <v>वाटाणा</v>
      </c>
      <c r="BK144" s="331" t="str">
        <f t="shared" si="57"/>
        <v>मुगडाळ</v>
      </c>
      <c r="BL144" s="331">
        <f t="shared" si="58"/>
        <v>0</v>
      </c>
      <c r="BM144" s="331" t="str">
        <f t="shared" si="59"/>
        <v>हरभरा</v>
      </c>
      <c r="BN144" s="331" t="str">
        <f t="shared" si="60"/>
        <v>मुगडाळ</v>
      </c>
      <c r="BO144" s="331">
        <f t="shared" si="63"/>
        <v>0</v>
      </c>
      <c r="BP144" s="331">
        <f t="shared" si="61"/>
        <v>0</v>
      </c>
      <c r="BQ144" s="331">
        <f t="shared" si="62"/>
        <v>0</v>
      </c>
      <c r="BR144" s="393"/>
    </row>
    <row r="145" spans="1:70" ht="27.75" customHeight="1" x14ac:dyDescent="0.4">
      <c r="A145" s="872">
        <v>137</v>
      </c>
      <c r="B145" s="863" t="s">
        <v>34</v>
      </c>
      <c r="C145" s="841">
        <f t="shared" si="65"/>
        <v>44784</v>
      </c>
      <c r="D145" s="842" t="str">
        <f>IF(C145="","",INDEX({"रविवार";"सोमवार";"मंगळवार";"बुधवार";"गुरूवार";"शुक्रवार";"शनिवार"},WEEKDAY(C145)))</f>
        <v>गुरूवार</v>
      </c>
      <c r="E145" s="673">
        <v>15</v>
      </c>
      <c r="F145" s="673">
        <v>15</v>
      </c>
      <c r="G145" s="673">
        <v>15</v>
      </c>
      <c r="H145" s="673" t="s">
        <v>67</v>
      </c>
      <c r="I145" s="673" t="s">
        <v>384</v>
      </c>
      <c r="J145" s="673"/>
      <c r="K145" s="673"/>
      <c r="L145" s="673"/>
      <c r="M145" s="828"/>
      <c r="N145" s="828"/>
      <c r="O145" s="673" t="s">
        <v>778</v>
      </c>
      <c r="P145" s="673" t="s">
        <v>424</v>
      </c>
      <c r="BE145" s="392">
        <v>25</v>
      </c>
      <c r="BF145" s="331" t="str">
        <f t="shared" si="52"/>
        <v>मुगडाळ</v>
      </c>
      <c r="BG145" s="331">
        <f t="shared" si="53"/>
        <v>0</v>
      </c>
      <c r="BH145" s="331" t="str">
        <f t="shared" si="54"/>
        <v>मुगडाळ</v>
      </c>
      <c r="BI145" s="331" t="str">
        <f t="shared" si="55"/>
        <v>मुगडाळ</v>
      </c>
      <c r="BJ145" s="331" t="str">
        <f t="shared" si="56"/>
        <v>हरभरा</v>
      </c>
      <c r="BK145" s="331">
        <f t="shared" si="57"/>
        <v>0</v>
      </c>
      <c r="BL145" s="331">
        <f t="shared" si="58"/>
        <v>0</v>
      </c>
      <c r="BM145" s="331" t="str">
        <f t="shared" si="59"/>
        <v>वाटाणा</v>
      </c>
      <c r="BN145" s="331">
        <f t="shared" si="60"/>
        <v>0</v>
      </c>
      <c r="BO145" s="331">
        <f t="shared" si="63"/>
        <v>0</v>
      </c>
      <c r="BP145" s="331">
        <f t="shared" si="61"/>
        <v>0</v>
      </c>
      <c r="BQ145" s="331">
        <f t="shared" si="62"/>
        <v>0</v>
      </c>
      <c r="BR145" s="393"/>
    </row>
    <row r="146" spans="1:70" ht="27.75" customHeight="1" x14ac:dyDescent="0.4">
      <c r="A146" s="872">
        <v>138</v>
      </c>
      <c r="B146" s="863" t="s">
        <v>34</v>
      </c>
      <c r="C146" s="841">
        <f t="shared" si="65"/>
        <v>44785</v>
      </c>
      <c r="D146" s="842" t="str">
        <f>IF(C146="","",INDEX({"रविवार";"सोमवार";"मंगळवार";"बुधवार";"गुरूवार";"शुक्रवार";"शनिवार"},WEEKDAY(C146)))</f>
        <v>शुक्रवार</v>
      </c>
      <c r="E146" s="673">
        <v>15</v>
      </c>
      <c r="F146" s="673">
        <v>15</v>
      </c>
      <c r="G146" s="673">
        <v>15</v>
      </c>
      <c r="H146" s="673" t="s">
        <v>444</v>
      </c>
      <c r="I146" s="673" t="s">
        <v>384</v>
      </c>
      <c r="J146" s="673"/>
      <c r="K146" s="673"/>
      <c r="L146" s="673"/>
      <c r="M146" s="828"/>
      <c r="N146" s="828"/>
      <c r="O146" s="673" t="s">
        <v>779</v>
      </c>
      <c r="P146" s="673" t="s">
        <v>422</v>
      </c>
      <c r="BE146" s="392">
        <v>26</v>
      </c>
      <c r="BF146" s="331" t="str">
        <f t="shared" si="52"/>
        <v>हरभरा</v>
      </c>
      <c r="BG146" s="331">
        <f t="shared" si="53"/>
        <v>0</v>
      </c>
      <c r="BH146" s="331">
        <f t="shared" si="54"/>
        <v>0</v>
      </c>
      <c r="BI146" s="331" t="str">
        <f t="shared" si="55"/>
        <v>हरभरा</v>
      </c>
      <c r="BJ146" s="331">
        <f t="shared" si="56"/>
        <v>0</v>
      </c>
      <c r="BK146" s="331">
        <f t="shared" si="57"/>
        <v>0</v>
      </c>
      <c r="BL146" s="331">
        <f t="shared" si="58"/>
        <v>0</v>
      </c>
      <c r="BM146" s="331" t="str">
        <f t="shared" si="59"/>
        <v>मुगडाळ</v>
      </c>
      <c r="BN146" s="331" t="str">
        <f t="shared" si="60"/>
        <v>मुगडाळ</v>
      </c>
      <c r="BO146" s="331">
        <f t="shared" si="63"/>
        <v>0</v>
      </c>
      <c r="BP146" s="331">
        <f t="shared" si="61"/>
        <v>0</v>
      </c>
      <c r="BQ146" s="331">
        <f t="shared" si="62"/>
        <v>0</v>
      </c>
      <c r="BR146" s="393"/>
    </row>
    <row r="147" spans="1:70" ht="27.75" customHeight="1" x14ac:dyDescent="0.4">
      <c r="A147" s="872">
        <v>139</v>
      </c>
      <c r="B147" s="863" t="s">
        <v>34</v>
      </c>
      <c r="C147" s="841">
        <f t="shared" si="65"/>
        <v>44786</v>
      </c>
      <c r="D147" s="842" t="str">
        <f>IF(C147="","",INDEX({"रविवार";"सोमवार";"मंगळवार";"बुधवार";"गुरूवार";"शुक्रवार";"शनिवार"},WEEKDAY(C147)))</f>
        <v>शनिवार</v>
      </c>
      <c r="E147" s="673">
        <v>15</v>
      </c>
      <c r="F147" s="673">
        <v>15</v>
      </c>
      <c r="G147" s="673">
        <v>15</v>
      </c>
      <c r="H147" s="673" t="s">
        <v>74</v>
      </c>
      <c r="I147" s="673" t="s">
        <v>359</v>
      </c>
      <c r="J147" s="673"/>
      <c r="K147" s="673"/>
      <c r="L147" s="673"/>
      <c r="M147" s="828"/>
      <c r="N147" s="828"/>
      <c r="O147" s="673" t="s">
        <v>777</v>
      </c>
      <c r="P147" s="673" t="s">
        <v>421</v>
      </c>
      <c r="BE147" s="392">
        <v>27</v>
      </c>
      <c r="BF147" s="331" t="str">
        <f t="shared" si="52"/>
        <v>वाटाणा</v>
      </c>
      <c r="BG147" s="331">
        <f t="shared" si="53"/>
        <v>0</v>
      </c>
      <c r="BH147" s="331" t="str">
        <f t="shared" si="54"/>
        <v>मुगडाळ</v>
      </c>
      <c r="BI147" s="331" t="str">
        <f t="shared" si="55"/>
        <v>वाटाणा</v>
      </c>
      <c r="BJ147" s="331" t="str">
        <f t="shared" si="56"/>
        <v>मुगडाळ</v>
      </c>
      <c r="BK147" s="331" t="str">
        <f t="shared" si="57"/>
        <v>हरभरा</v>
      </c>
      <c r="BL147" s="331">
        <f t="shared" si="58"/>
        <v>0</v>
      </c>
      <c r="BM147" s="331">
        <f t="shared" si="59"/>
        <v>0</v>
      </c>
      <c r="BN147" s="331" t="str">
        <f t="shared" si="60"/>
        <v>हरभरा</v>
      </c>
      <c r="BO147" s="331">
        <f t="shared" si="63"/>
        <v>0</v>
      </c>
      <c r="BP147" s="331">
        <f t="shared" si="61"/>
        <v>0</v>
      </c>
      <c r="BQ147" s="331">
        <f t="shared" si="62"/>
        <v>0</v>
      </c>
      <c r="BR147" s="393"/>
    </row>
    <row r="148" spans="1:70" ht="27.75" customHeight="1" x14ac:dyDescent="0.4">
      <c r="A148" s="872">
        <v>140</v>
      </c>
      <c r="B148" s="863" t="s">
        <v>34</v>
      </c>
      <c r="C148" s="841">
        <f t="shared" si="65"/>
        <v>44787</v>
      </c>
      <c r="D148" s="842" t="str">
        <f>IF(C148="","",INDEX({"रविवार";"सोमवार";"मंगळवार";"बुधवार";"गुरूवार";"शुक्रवार";"शनिवार"},WEEKDAY(C148)))</f>
        <v>रविवार</v>
      </c>
      <c r="E148" s="673">
        <v>0</v>
      </c>
      <c r="F148" s="673">
        <v>0</v>
      </c>
      <c r="G148" s="673">
        <v>0</v>
      </c>
      <c r="H148" s="673"/>
      <c r="I148" s="673"/>
      <c r="J148" s="673"/>
      <c r="K148" s="673"/>
      <c r="L148" s="673"/>
      <c r="M148" s="828"/>
      <c r="N148" s="828"/>
      <c r="O148" s="673"/>
      <c r="P148" s="673"/>
      <c r="BE148" s="392">
        <v>28</v>
      </c>
      <c r="BF148" s="331" t="str">
        <f t="shared" si="52"/>
        <v>हरभरा</v>
      </c>
      <c r="BG148" s="331">
        <f t="shared" si="53"/>
        <v>0</v>
      </c>
      <c r="BH148" s="331" t="str">
        <f t="shared" si="54"/>
        <v>हरभरा</v>
      </c>
      <c r="BI148" s="331" t="str">
        <f t="shared" si="55"/>
        <v>हरभरा</v>
      </c>
      <c r="BJ148" s="331">
        <f t="shared" si="56"/>
        <v>0</v>
      </c>
      <c r="BK148" s="331" t="str">
        <f t="shared" si="57"/>
        <v>वाटाणा</v>
      </c>
      <c r="BL148" s="331">
        <f t="shared" si="58"/>
        <v>0</v>
      </c>
      <c r="BM148" s="331" t="str">
        <f t="shared" si="59"/>
        <v>मुगडाळ</v>
      </c>
      <c r="BN148" s="331" t="str">
        <f t="shared" si="60"/>
        <v>वाटाणा</v>
      </c>
      <c r="BO148" s="331">
        <f t="shared" si="63"/>
        <v>0</v>
      </c>
      <c r="BP148" s="331">
        <f t="shared" si="61"/>
        <v>0</v>
      </c>
      <c r="BQ148" s="331">
        <f t="shared" si="62"/>
        <v>0</v>
      </c>
      <c r="BR148" s="393"/>
    </row>
    <row r="149" spans="1:70" ht="27.75" customHeight="1" x14ac:dyDescent="0.4">
      <c r="A149" s="872">
        <v>141</v>
      </c>
      <c r="B149" s="863" t="s">
        <v>34</v>
      </c>
      <c r="C149" s="841">
        <f t="shared" si="65"/>
        <v>44788</v>
      </c>
      <c r="D149" s="842" t="str">
        <f>IF(C149="","",INDEX({"रविवार";"सोमवार";"मंगळवार";"बुधवार";"गुरूवार";"शुक्रवार";"शनिवार"},WEEKDAY(C149)))</f>
        <v>सोमवार</v>
      </c>
      <c r="E149" s="673">
        <v>0</v>
      </c>
      <c r="F149" s="673">
        <v>0</v>
      </c>
      <c r="G149" s="673">
        <v>0</v>
      </c>
      <c r="H149" s="673"/>
      <c r="I149" s="673"/>
      <c r="J149" s="673"/>
      <c r="K149" s="673"/>
      <c r="L149" s="673"/>
      <c r="M149" s="828"/>
      <c r="N149" s="828"/>
      <c r="O149" s="673"/>
      <c r="P149" s="673"/>
      <c r="BE149" s="392">
        <v>29</v>
      </c>
      <c r="BF149" s="331" t="str">
        <f t="shared" si="52"/>
        <v>वाटाणा</v>
      </c>
      <c r="BG149" s="331">
        <f t="shared" si="53"/>
        <v>0</v>
      </c>
      <c r="BH149" s="331" t="str">
        <f t="shared" si="54"/>
        <v>वाटाणा</v>
      </c>
      <c r="BI149" s="331" t="str">
        <f t="shared" si="55"/>
        <v>वाटाणा</v>
      </c>
      <c r="BJ149" s="331" t="str">
        <f t="shared" si="56"/>
        <v>मुगडाळ</v>
      </c>
      <c r="BK149" s="331" t="str">
        <f t="shared" si="57"/>
        <v>हरभरा</v>
      </c>
      <c r="BL149" s="331">
        <f t="shared" si="58"/>
        <v>0</v>
      </c>
      <c r="BM149" s="331" t="str">
        <f t="shared" si="59"/>
        <v>हरभरा</v>
      </c>
      <c r="BN149" s="331" t="str">
        <f t="shared" si="60"/>
        <v>हरभरा</v>
      </c>
      <c r="BO149" s="331">
        <f t="shared" si="63"/>
        <v>0</v>
      </c>
      <c r="BP149" s="331">
        <f t="shared" si="61"/>
        <v>0</v>
      </c>
      <c r="BQ149" s="331">
        <f t="shared" si="62"/>
        <v>0</v>
      </c>
      <c r="BR149" s="393"/>
    </row>
    <row r="150" spans="1:70" ht="27.75" customHeight="1" x14ac:dyDescent="0.4">
      <c r="A150" s="872">
        <v>142</v>
      </c>
      <c r="B150" s="863" t="s">
        <v>34</v>
      </c>
      <c r="C150" s="841">
        <f t="shared" si="65"/>
        <v>44789</v>
      </c>
      <c r="D150" s="842" t="str">
        <f>IF(C150="","",INDEX({"रविवार";"सोमवार";"मंगळवार";"बुधवार";"गुरूवार";"शुक्रवार";"शनिवार"},WEEKDAY(C150)))</f>
        <v>मंगळवार</v>
      </c>
      <c r="E150" s="673">
        <v>0</v>
      </c>
      <c r="F150" s="673">
        <v>0</v>
      </c>
      <c r="G150" s="673">
        <v>0</v>
      </c>
      <c r="H150" s="673"/>
      <c r="I150" s="673"/>
      <c r="J150" s="673"/>
      <c r="K150" s="673"/>
      <c r="L150" s="673"/>
      <c r="M150" s="828"/>
      <c r="N150" s="828"/>
      <c r="O150" s="673"/>
      <c r="P150" s="673"/>
      <c r="BE150" s="392">
        <v>30</v>
      </c>
      <c r="BF150" s="331" t="str">
        <f t="shared" si="52"/>
        <v>मुगडाळ</v>
      </c>
      <c r="BG150" s="331">
        <f t="shared" si="53"/>
        <v>0</v>
      </c>
      <c r="BH150" s="331" t="str">
        <f t="shared" si="54"/>
        <v>हरभरा</v>
      </c>
      <c r="BI150" s="331" t="str">
        <f t="shared" si="55"/>
        <v>मुगडाळ</v>
      </c>
      <c r="BJ150" s="331" t="str">
        <f t="shared" si="56"/>
        <v>हरभरा</v>
      </c>
      <c r="BK150" s="331" t="str">
        <f t="shared" si="57"/>
        <v>वाटाणा</v>
      </c>
      <c r="BL150" s="331">
        <f t="shared" si="58"/>
        <v>0</v>
      </c>
      <c r="BM150" s="331" t="str">
        <f t="shared" si="59"/>
        <v>वाटाणा</v>
      </c>
      <c r="BN150" s="331" t="str">
        <f t="shared" si="60"/>
        <v>वाटाणा</v>
      </c>
      <c r="BO150" s="331">
        <f t="shared" si="63"/>
        <v>0</v>
      </c>
      <c r="BP150" s="393"/>
      <c r="BQ150" s="331">
        <f t="shared" si="62"/>
        <v>0</v>
      </c>
      <c r="BR150" s="393"/>
    </row>
    <row r="151" spans="1:70" ht="27.75" customHeight="1" x14ac:dyDescent="0.4">
      <c r="A151" s="872">
        <v>143</v>
      </c>
      <c r="B151" s="863" t="s">
        <v>34</v>
      </c>
      <c r="C151" s="841">
        <f t="shared" si="65"/>
        <v>44790</v>
      </c>
      <c r="D151" s="842" t="str">
        <f>IF(C151="","",INDEX({"रविवार";"सोमवार";"मंगळवार";"बुधवार";"गुरूवार";"शुक्रवार";"शनिवार"},WEEKDAY(C151)))</f>
        <v>बुधवार</v>
      </c>
      <c r="E151" s="673">
        <v>15</v>
      </c>
      <c r="F151" s="673">
        <v>15</v>
      </c>
      <c r="G151" s="673">
        <v>15</v>
      </c>
      <c r="H151" s="673" t="s">
        <v>444</v>
      </c>
      <c r="I151" s="673" t="s">
        <v>384</v>
      </c>
      <c r="J151" s="673"/>
      <c r="K151" s="673"/>
      <c r="L151" s="673"/>
      <c r="M151" s="828"/>
      <c r="N151" s="828"/>
      <c r="O151" s="673" t="s">
        <v>780</v>
      </c>
      <c r="P151" s="673" t="s">
        <v>425</v>
      </c>
      <c r="BE151" s="392">
        <v>31</v>
      </c>
      <c r="BF151" s="393"/>
      <c r="BG151" s="331">
        <f t="shared" si="53"/>
        <v>0</v>
      </c>
      <c r="BH151" s="393"/>
      <c r="BI151" s="331">
        <f t="shared" si="55"/>
        <v>0</v>
      </c>
      <c r="BJ151" s="331">
        <f t="shared" si="56"/>
        <v>0</v>
      </c>
      <c r="BK151" s="393"/>
      <c r="BL151" s="331">
        <f t="shared" si="58"/>
        <v>0</v>
      </c>
      <c r="BM151" s="393"/>
      <c r="BN151" s="331" t="str">
        <f t="shared" si="60"/>
        <v>मुगडाळ</v>
      </c>
      <c r="BO151" s="331">
        <f t="shared" si="63"/>
        <v>0</v>
      </c>
      <c r="BP151" s="393"/>
      <c r="BQ151" s="331">
        <f t="shared" si="62"/>
        <v>0</v>
      </c>
      <c r="BR151" s="393"/>
    </row>
    <row r="152" spans="1:70" ht="27.75" customHeight="1" x14ac:dyDescent="0.4">
      <c r="A152" s="872">
        <v>144</v>
      </c>
      <c r="B152" s="863" t="s">
        <v>34</v>
      </c>
      <c r="C152" s="841">
        <f t="shared" si="65"/>
        <v>44791</v>
      </c>
      <c r="D152" s="842" t="str">
        <f>IF(C152="","",INDEX({"रविवार";"सोमवार";"मंगळवार";"बुधवार";"गुरूवार";"शुक्रवार";"शनिवार"},WEEKDAY(C152)))</f>
        <v>गुरूवार</v>
      </c>
      <c r="E152" s="673">
        <v>15</v>
      </c>
      <c r="F152" s="673">
        <v>15</v>
      </c>
      <c r="G152" s="673">
        <v>15</v>
      </c>
      <c r="H152" s="673" t="s">
        <v>67</v>
      </c>
      <c r="I152" s="673" t="s">
        <v>384</v>
      </c>
      <c r="J152" s="673"/>
      <c r="K152" s="673"/>
      <c r="L152" s="673"/>
      <c r="M152" s="828"/>
      <c r="N152" s="828"/>
      <c r="O152" s="673" t="s">
        <v>778</v>
      </c>
      <c r="P152" s="673" t="s">
        <v>424</v>
      </c>
    </row>
    <row r="153" spans="1:70" ht="27.75" customHeight="1" x14ac:dyDescent="0.4">
      <c r="A153" s="872">
        <v>145</v>
      </c>
      <c r="B153" s="863" t="s">
        <v>34</v>
      </c>
      <c r="C153" s="841">
        <f t="shared" si="65"/>
        <v>44792</v>
      </c>
      <c r="D153" s="842" t="str">
        <f>IF(C153="","",INDEX({"रविवार";"सोमवार";"मंगळवार";"बुधवार";"गुरूवार";"शुक्रवार";"शनिवार"},WEEKDAY(C153)))</f>
        <v>शुक्रवार</v>
      </c>
      <c r="E153" s="673">
        <v>15</v>
      </c>
      <c r="F153" s="673">
        <v>15</v>
      </c>
      <c r="G153" s="673">
        <v>15</v>
      </c>
      <c r="H153" s="673" t="s">
        <v>444</v>
      </c>
      <c r="I153" s="673" t="s">
        <v>384</v>
      </c>
      <c r="J153" s="673"/>
      <c r="K153" s="673"/>
      <c r="L153" s="673"/>
      <c r="M153" s="828"/>
      <c r="N153" s="828"/>
      <c r="O153" s="673" t="s">
        <v>779</v>
      </c>
      <c r="P153" s="673" t="s">
        <v>422</v>
      </c>
    </row>
    <row r="154" spans="1:70" ht="27.75" customHeight="1" x14ac:dyDescent="0.4">
      <c r="A154" s="872">
        <v>146</v>
      </c>
      <c r="B154" s="863" t="s">
        <v>34</v>
      </c>
      <c r="C154" s="841">
        <f t="shared" si="65"/>
        <v>44793</v>
      </c>
      <c r="D154" s="842" t="str">
        <f>IF(C154="","",INDEX({"रविवार";"सोमवार";"मंगळवार";"बुधवार";"गुरूवार";"शुक्रवार";"शनिवार"},WEEKDAY(C154)))</f>
        <v>शनिवार</v>
      </c>
      <c r="E154" s="673">
        <v>15</v>
      </c>
      <c r="F154" s="673">
        <v>15</v>
      </c>
      <c r="G154" s="673">
        <v>15</v>
      </c>
      <c r="H154" s="673" t="s">
        <v>74</v>
      </c>
      <c r="I154" s="673" t="s">
        <v>359</v>
      </c>
      <c r="J154" s="673"/>
      <c r="K154" s="673"/>
      <c r="L154" s="673"/>
      <c r="M154" s="828"/>
      <c r="N154" s="828"/>
      <c r="O154" s="673" t="s">
        <v>777</v>
      </c>
      <c r="P154" s="673" t="s">
        <v>421</v>
      </c>
    </row>
    <row r="155" spans="1:70" ht="27.75" customHeight="1" x14ac:dyDescent="0.4">
      <c r="A155" s="872">
        <v>147</v>
      </c>
      <c r="B155" s="863" t="s">
        <v>34</v>
      </c>
      <c r="C155" s="841">
        <f t="shared" si="65"/>
        <v>44794</v>
      </c>
      <c r="D155" s="842" t="str">
        <f>IF(C155="","",INDEX({"रविवार";"सोमवार";"मंगळवार";"बुधवार";"गुरूवार";"शुक्रवार";"शनिवार"},WEEKDAY(C155)))</f>
        <v>रविवार</v>
      </c>
      <c r="E155" s="673"/>
      <c r="F155" s="673"/>
      <c r="G155" s="673"/>
      <c r="H155" s="673"/>
      <c r="I155" s="673"/>
      <c r="J155" s="673"/>
      <c r="K155" s="673"/>
      <c r="L155" s="673"/>
      <c r="M155" s="828"/>
      <c r="N155" s="828"/>
      <c r="O155" s="673"/>
      <c r="P155" s="673"/>
      <c r="BK155" s="380" t="s">
        <v>289</v>
      </c>
    </row>
    <row r="156" spans="1:70" ht="27.75" customHeight="1" x14ac:dyDescent="0.4">
      <c r="A156" s="872">
        <v>148</v>
      </c>
      <c r="B156" s="863" t="s">
        <v>34</v>
      </c>
      <c r="C156" s="841">
        <f t="shared" si="65"/>
        <v>44795</v>
      </c>
      <c r="D156" s="842" t="str">
        <f>IF(C156="","",INDEX({"रविवार";"सोमवार";"मंगळवार";"बुधवार";"गुरूवार";"शुक्रवार";"शनिवार"},WEEKDAY(C156)))</f>
        <v>सोमवार</v>
      </c>
      <c r="E156" s="673">
        <v>15</v>
      </c>
      <c r="F156" s="673">
        <v>15</v>
      </c>
      <c r="G156" s="673">
        <v>15</v>
      </c>
      <c r="H156" s="673" t="s">
        <v>74</v>
      </c>
      <c r="I156" s="673" t="s">
        <v>359</v>
      </c>
      <c r="J156" s="673"/>
      <c r="K156" s="673"/>
      <c r="L156" s="673"/>
      <c r="M156" s="828"/>
      <c r="N156" s="828"/>
      <c r="O156" s="673" t="s">
        <v>778</v>
      </c>
      <c r="P156" s="673" t="s">
        <v>423</v>
      </c>
      <c r="BE156" s="38" t="s">
        <v>17</v>
      </c>
      <c r="BF156" s="390" t="s">
        <v>42</v>
      </c>
      <c r="BG156" s="390" t="s">
        <v>44</v>
      </c>
      <c r="BH156" s="390" t="s">
        <v>94</v>
      </c>
      <c r="BI156" s="390" t="s">
        <v>46</v>
      </c>
      <c r="BJ156" s="390" t="s">
        <v>34</v>
      </c>
      <c r="BK156" s="390" t="s">
        <v>37</v>
      </c>
      <c r="BL156" s="390" t="s">
        <v>47</v>
      </c>
      <c r="BM156" s="390" t="s">
        <v>38</v>
      </c>
      <c r="BN156" s="390" t="s">
        <v>39</v>
      </c>
      <c r="BO156" s="396" t="s">
        <v>33</v>
      </c>
      <c r="BP156" s="390" t="s">
        <v>40</v>
      </c>
      <c r="BQ156" s="390" t="s">
        <v>41</v>
      </c>
      <c r="BR156" s="192"/>
    </row>
    <row r="157" spans="1:70" ht="27.75" customHeight="1" x14ac:dyDescent="0.4">
      <c r="A157" s="872">
        <v>149</v>
      </c>
      <c r="B157" s="863" t="s">
        <v>34</v>
      </c>
      <c r="C157" s="841">
        <f t="shared" si="65"/>
        <v>44796</v>
      </c>
      <c r="D157" s="842" t="str">
        <f>IF(C157="","",INDEX({"रविवार";"सोमवार";"मंगळवार";"बुधवार";"गुरूवार";"शुक्रवार";"शनिवार"},WEEKDAY(C157)))</f>
        <v>मंगळवार</v>
      </c>
      <c r="E157" s="673">
        <v>15</v>
      </c>
      <c r="F157" s="673">
        <v>15</v>
      </c>
      <c r="G157" s="673">
        <v>15</v>
      </c>
      <c r="H157" s="673" t="s">
        <v>67</v>
      </c>
      <c r="I157" s="673" t="s">
        <v>384</v>
      </c>
      <c r="J157" s="673"/>
      <c r="K157" s="673"/>
      <c r="L157" s="673"/>
      <c r="M157" s="828"/>
      <c r="N157" s="828"/>
      <c r="O157" s="673" t="s">
        <v>777</v>
      </c>
      <c r="P157" s="673" t="s">
        <v>421</v>
      </c>
      <c r="BE157" s="392">
        <v>1</v>
      </c>
      <c r="BF157" s="331">
        <f>J9</f>
        <v>0</v>
      </c>
      <c r="BG157" s="331">
        <f>J40</f>
        <v>0</v>
      </c>
      <c r="BH157" s="331">
        <f>J72</f>
        <v>0</v>
      </c>
      <c r="BI157" s="331">
        <f>J103</f>
        <v>0</v>
      </c>
      <c r="BJ157" s="331">
        <f>J135</f>
        <v>0</v>
      </c>
      <c r="BK157" s="331">
        <f>J167</f>
        <v>0</v>
      </c>
      <c r="BL157" s="331">
        <f>J198</f>
        <v>0</v>
      </c>
      <c r="BM157" s="331">
        <f>J230</f>
        <v>0</v>
      </c>
      <c r="BN157" s="331">
        <f>J261</f>
        <v>0</v>
      </c>
      <c r="BO157" s="331">
        <f>J293</f>
        <v>0</v>
      </c>
      <c r="BP157" s="331">
        <f>J325</f>
        <v>0</v>
      </c>
      <c r="BQ157" s="331">
        <f>J355</f>
        <v>0</v>
      </c>
      <c r="BR157" s="393"/>
    </row>
    <row r="158" spans="1:70" ht="27.75" customHeight="1" x14ac:dyDescent="0.4">
      <c r="A158" s="872">
        <v>150</v>
      </c>
      <c r="B158" s="863" t="s">
        <v>34</v>
      </c>
      <c r="C158" s="841">
        <f t="shared" si="65"/>
        <v>44797</v>
      </c>
      <c r="D158" s="842" t="str">
        <f>IF(C158="","",INDEX({"रविवार";"सोमवार";"मंगळवार";"बुधवार";"गुरूवार";"शुक्रवार";"शनिवार"},WEEKDAY(C158)))</f>
        <v>बुधवार</v>
      </c>
      <c r="E158" s="673">
        <v>15</v>
      </c>
      <c r="F158" s="673">
        <v>15</v>
      </c>
      <c r="G158" s="673">
        <v>15</v>
      </c>
      <c r="H158" s="673" t="s">
        <v>444</v>
      </c>
      <c r="I158" s="673" t="s">
        <v>384</v>
      </c>
      <c r="J158" s="673"/>
      <c r="K158" s="673"/>
      <c r="L158" s="673"/>
      <c r="M158" s="828"/>
      <c r="N158" s="828"/>
      <c r="O158" s="673" t="s">
        <v>780</v>
      </c>
      <c r="P158" s="673" t="s">
        <v>425</v>
      </c>
      <c r="BE158" s="392">
        <v>2</v>
      </c>
      <c r="BF158" s="331">
        <f t="shared" ref="BF158:BF186" si="66">J10</f>
        <v>0</v>
      </c>
      <c r="BG158" s="331">
        <f t="shared" ref="BG158:BG188" si="67">J41</f>
        <v>0</v>
      </c>
      <c r="BH158" s="331">
        <f t="shared" ref="BH158:BH186" si="68">J73</f>
        <v>0</v>
      </c>
      <c r="BI158" s="331">
        <f t="shared" ref="BI158:BI188" si="69">J104</f>
        <v>0</v>
      </c>
      <c r="BJ158" s="331">
        <f t="shared" ref="BJ158:BJ188" si="70">J136</f>
        <v>0</v>
      </c>
      <c r="BK158" s="331">
        <f t="shared" ref="BK158:BK186" si="71">J168</f>
        <v>0</v>
      </c>
      <c r="BL158" s="331">
        <f t="shared" ref="BL158:BL188" si="72">J199</f>
        <v>0</v>
      </c>
      <c r="BM158" s="331">
        <f t="shared" ref="BM158:BM186" si="73">J231</f>
        <v>0</v>
      </c>
      <c r="BN158" s="331">
        <f t="shared" ref="BN158:BN188" si="74">J262</f>
        <v>0</v>
      </c>
      <c r="BO158" s="331">
        <f t="shared" ref="BO158:BO188" si="75">J294</f>
        <v>0</v>
      </c>
      <c r="BP158" s="331">
        <f t="shared" ref="BP158:BP185" si="76">J326</f>
        <v>0</v>
      </c>
      <c r="BQ158" s="331">
        <f t="shared" ref="BQ158:BQ188" si="77">J356</f>
        <v>0</v>
      </c>
      <c r="BR158" s="393"/>
    </row>
    <row r="159" spans="1:70" ht="27.75" customHeight="1" x14ac:dyDescent="0.4">
      <c r="A159" s="872">
        <v>151</v>
      </c>
      <c r="B159" s="863" t="s">
        <v>34</v>
      </c>
      <c r="C159" s="841">
        <f t="shared" si="65"/>
        <v>44798</v>
      </c>
      <c r="D159" s="842" t="str">
        <f>IF(C159="","",INDEX({"रविवार";"सोमवार";"मंगळवार";"बुधवार";"गुरूवार";"शुक्रवार";"शनिवार"},WEEKDAY(C159)))</f>
        <v>गुरूवार</v>
      </c>
      <c r="E159" s="673">
        <v>15</v>
      </c>
      <c r="F159" s="673">
        <v>15</v>
      </c>
      <c r="G159" s="673">
        <v>15</v>
      </c>
      <c r="H159" s="673" t="s">
        <v>67</v>
      </c>
      <c r="I159" s="673" t="s">
        <v>384</v>
      </c>
      <c r="J159" s="673"/>
      <c r="K159" s="673"/>
      <c r="L159" s="673"/>
      <c r="M159" s="828"/>
      <c r="N159" s="828"/>
      <c r="O159" s="673" t="s">
        <v>778</v>
      </c>
      <c r="P159" s="673" t="s">
        <v>424</v>
      </c>
      <c r="BE159" s="392">
        <v>3</v>
      </c>
      <c r="BF159" s="331">
        <f t="shared" si="66"/>
        <v>0</v>
      </c>
      <c r="BG159" s="331">
        <f t="shared" si="67"/>
        <v>0</v>
      </c>
      <c r="BH159" s="331">
        <f t="shared" si="68"/>
        <v>0</v>
      </c>
      <c r="BI159" s="331">
        <f t="shared" si="69"/>
        <v>0</v>
      </c>
      <c r="BJ159" s="331">
        <f t="shared" si="70"/>
        <v>0</v>
      </c>
      <c r="BK159" s="331">
        <f t="shared" si="71"/>
        <v>0</v>
      </c>
      <c r="BL159" s="331">
        <f t="shared" si="72"/>
        <v>0</v>
      </c>
      <c r="BM159" s="331">
        <f t="shared" si="73"/>
        <v>0</v>
      </c>
      <c r="BN159" s="331">
        <f t="shared" si="74"/>
        <v>0</v>
      </c>
      <c r="BO159" s="331">
        <f t="shared" si="75"/>
        <v>0</v>
      </c>
      <c r="BP159" s="331">
        <f t="shared" si="76"/>
        <v>0</v>
      </c>
      <c r="BQ159" s="331">
        <f t="shared" si="77"/>
        <v>0</v>
      </c>
      <c r="BR159" s="393"/>
    </row>
    <row r="160" spans="1:70" ht="27.75" customHeight="1" x14ac:dyDescent="0.4">
      <c r="A160" s="872">
        <v>152</v>
      </c>
      <c r="B160" s="863" t="s">
        <v>34</v>
      </c>
      <c r="C160" s="841">
        <f t="shared" si="65"/>
        <v>44799</v>
      </c>
      <c r="D160" s="842" t="str">
        <f>IF(C160="","",INDEX({"रविवार";"सोमवार";"मंगळवार";"बुधवार";"गुरूवार";"शुक्रवार";"शनिवार"},WEEKDAY(C160)))</f>
        <v>शुक्रवार</v>
      </c>
      <c r="E160" s="673">
        <v>0</v>
      </c>
      <c r="F160" s="673">
        <v>0</v>
      </c>
      <c r="G160" s="673">
        <v>0</v>
      </c>
      <c r="H160" s="673"/>
      <c r="I160" s="673"/>
      <c r="J160" s="673"/>
      <c r="K160" s="673"/>
      <c r="L160" s="673"/>
      <c r="M160" s="828"/>
      <c r="N160" s="828"/>
      <c r="O160" s="673"/>
      <c r="P160" s="673"/>
      <c r="BE160" s="392">
        <v>4</v>
      </c>
      <c r="BF160" s="331">
        <f t="shared" si="66"/>
        <v>0</v>
      </c>
      <c r="BG160" s="331">
        <f t="shared" si="67"/>
        <v>0</v>
      </c>
      <c r="BH160" s="331">
        <f t="shared" si="68"/>
        <v>0</v>
      </c>
      <c r="BI160" s="331">
        <f t="shared" si="69"/>
        <v>0</v>
      </c>
      <c r="BJ160" s="331">
        <f t="shared" si="70"/>
        <v>0</v>
      </c>
      <c r="BK160" s="331">
        <f t="shared" si="71"/>
        <v>0</v>
      </c>
      <c r="BL160" s="331">
        <f t="shared" si="72"/>
        <v>0</v>
      </c>
      <c r="BM160" s="331">
        <f t="shared" si="73"/>
        <v>0</v>
      </c>
      <c r="BN160" s="331">
        <f t="shared" si="74"/>
        <v>0</v>
      </c>
      <c r="BO160" s="331">
        <f t="shared" si="75"/>
        <v>0</v>
      </c>
      <c r="BP160" s="331">
        <f t="shared" si="76"/>
        <v>0</v>
      </c>
      <c r="BQ160" s="331">
        <f t="shared" si="77"/>
        <v>0</v>
      </c>
      <c r="BR160" s="393"/>
    </row>
    <row r="161" spans="1:70" ht="27.75" customHeight="1" x14ac:dyDescent="0.4">
      <c r="A161" s="872">
        <v>153</v>
      </c>
      <c r="B161" s="863" t="s">
        <v>34</v>
      </c>
      <c r="C161" s="841">
        <f t="shared" si="65"/>
        <v>44800</v>
      </c>
      <c r="D161" s="842" t="str">
        <f>IF(C161="","",INDEX({"रविवार";"सोमवार";"मंगळवार";"बुधवार";"गुरूवार";"शुक्रवार";"शनिवार"},WEEKDAY(C161)))</f>
        <v>शनिवार</v>
      </c>
      <c r="E161" s="673">
        <v>15</v>
      </c>
      <c r="F161" s="673">
        <v>15</v>
      </c>
      <c r="G161" s="673">
        <v>15</v>
      </c>
      <c r="H161" s="673" t="s">
        <v>74</v>
      </c>
      <c r="I161" s="673" t="s">
        <v>359</v>
      </c>
      <c r="J161" s="673"/>
      <c r="K161" s="673"/>
      <c r="L161" s="673"/>
      <c r="M161" s="828"/>
      <c r="N161" s="828"/>
      <c r="O161" s="673" t="s">
        <v>777</v>
      </c>
      <c r="P161" s="673" t="s">
        <v>421</v>
      </c>
      <c r="BE161" s="392">
        <v>5</v>
      </c>
      <c r="BF161" s="331">
        <f t="shared" si="66"/>
        <v>0</v>
      </c>
      <c r="BG161" s="331">
        <f t="shared" si="67"/>
        <v>0</v>
      </c>
      <c r="BH161" s="331">
        <f t="shared" si="68"/>
        <v>0</v>
      </c>
      <c r="BI161" s="331">
        <f t="shared" si="69"/>
        <v>0</v>
      </c>
      <c r="BJ161" s="331">
        <f t="shared" si="70"/>
        <v>0</v>
      </c>
      <c r="BK161" s="331">
        <f t="shared" si="71"/>
        <v>0</v>
      </c>
      <c r="BL161" s="331">
        <f t="shared" si="72"/>
        <v>0</v>
      </c>
      <c r="BM161" s="331">
        <f t="shared" si="73"/>
        <v>0</v>
      </c>
      <c r="BN161" s="331">
        <f t="shared" si="74"/>
        <v>0</v>
      </c>
      <c r="BO161" s="331">
        <f t="shared" si="75"/>
        <v>0</v>
      </c>
      <c r="BP161" s="331">
        <f t="shared" si="76"/>
        <v>0</v>
      </c>
      <c r="BQ161" s="331">
        <f t="shared" si="77"/>
        <v>0</v>
      </c>
      <c r="BR161" s="393"/>
    </row>
    <row r="162" spans="1:70" ht="27.75" customHeight="1" x14ac:dyDescent="0.4">
      <c r="A162" s="872">
        <v>154</v>
      </c>
      <c r="B162" s="863" t="s">
        <v>34</v>
      </c>
      <c r="C162" s="841">
        <f t="shared" si="65"/>
        <v>44801</v>
      </c>
      <c r="D162" s="842" t="str">
        <f>IF(C162="","",INDEX({"रविवार";"सोमवार";"मंगळवार";"बुधवार";"गुरूवार";"शुक्रवार";"शनिवार"},WEEKDAY(C162)))</f>
        <v>रविवार</v>
      </c>
      <c r="E162" s="673">
        <v>0</v>
      </c>
      <c r="F162" s="673">
        <v>0</v>
      </c>
      <c r="G162" s="673">
        <v>0</v>
      </c>
      <c r="H162" s="673">
        <v>0</v>
      </c>
      <c r="I162" s="673">
        <v>0</v>
      </c>
      <c r="J162" s="673"/>
      <c r="K162" s="673"/>
      <c r="L162" s="673"/>
      <c r="M162" s="828"/>
      <c r="N162" s="828"/>
      <c r="O162" s="673"/>
      <c r="P162" s="673"/>
      <c r="BE162" s="392">
        <v>6</v>
      </c>
      <c r="BF162" s="331">
        <f t="shared" si="66"/>
        <v>0</v>
      </c>
      <c r="BG162" s="331">
        <f t="shared" si="67"/>
        <v>0</v>
      </c>
      <c r="BH162" s="331">
        <f t="shared" si="68"/>
        <v>0</v>
      </c>
      <c r="BI162" s="331">
        <f t="shared" si="69"/>
        <v>0</v>
      </c>
      <c r="BJ162" s="331">
        <f t="shared" si="70"/>
        <v>0</v>
      </c>
      <c r="BK162" s="331">
        <f t="shared" si="71"/>
        <v>0</v>
      </c>
      <c r="BL162" s="331">
        <f t="shared" si="72"/>
        <v>0</v>
      </c>
      <c r="BM162" s="331">
        <f t="shared" si="73"/>
        <v>0</v>
      </c>
      <c r="BN162" s="331">
        <f t="shared" si="74"/>
        <v>0</v>
      </c>
      <c r="BO162" s="331">
        <f t="shared" si="75"/>
        <v>0</v>
      </c>
      <c r="BP162" s="331">
        <f t="shared" si="76"/>
        <v>0</v>
      </c>
      <c r="BQ162" s="331">
        <f t="shared" si="77"/>
        <v>0</v>
      </c>
      <c r="BR162" s="393"/>
    </row>
    <row r="163" spans="1:70" ht="27.75" customHeight="1" x14ac:dyDescent="0.4">
      <c r="A163" s="872">
        <v>155</v>
      </c>
      <c r="B163" s="863" t="s">
        <v>34</v>
      </c>
      <c r="C163" s="841">
        <f t="shared" si="65"/>
        <v>44802</v>
      </c>
      <c r="D163" s="842" t="str">
        <f>IF(C163="","",INDEX({"रविवार";"सोमवार";"मंगळवार";"बुधवार";"गुरूवार";"शुक्रवार";"शनिवार"},WEEKDAY(C163)))</f>
        <v>सोमवार</v>
      </c>
      <c r="E163" s="673">
        <v>15</v>
      </c>
      <c r="F163" s="673">
        <v>15</v>
      </c>
      <c r="G163" s="673">
        <v>15</v>
      </c>
      <c r="H163" s="673" t="s">
        <v>74</v>
      </c>
      <c r="I163" s="673" t="s">
        <v>359</v>
      </c>
      <c r="J163" s="673"/>
      <c r="K163" s="673"/>
      <c r="L163" s="673"/>
      <c r="M163" s="828"/>
      <c r="N163" s="828"/>
      <c r="O163" s="673" t="s">
        <v>780</v>
      </c>
      <c r="P163" s="673" t="s">
        <v>425</v>
      </c>
      <c r="BE163" s="392">
        <v>7</v>
      </c>
      <c r="BF163" s="331">
        <f t="shared" si="66"/>
        <v>0</v>
      </c>
      <c r="BG163" s="331">
        <f t="shared" si="67"/>
        <v>0</v>
      </c>
      <c r="BH163" s="331">
        <f t="shared" si="68"/>
        <v>0</v>
      </c>
      <c r="BI163" s="331">
        <f t="shared" si="69"/>
        <v>0</v>
      </c>
      <c r="BJ163" s="331">
        <f t="shared" si="70"/>
        <v>0</v>
      </c>
      <c r="BK163" s="331">
        <f t="shared" si="71"/>
        <v>0</v>
      </c>
      <c r="BL163" s="331">
        <f t="shared" si="72"/>
        <v>0</v>
      </c>
      <c r="BM163" s="331">
        <f t="shared" si="73"/>
        <v>0</v>
      </c>
      <c r="BN163" s="331">
        <f t="shared" si="74"/>
        <v>0</v>
      </c>
      <c r="BO163" s="331">
        <f t="shared" si="75"/>
        <v>0</v>
      </c>
      <c r="BP163" s="331">
        <f t="shared" si="76"/>
        <v>0</v>
      </c>
      <c r="BQ163" s="331">
        <f t="shared" si="77"/>
        <v>0</v>
      </c>
      <c r="BR163" s="393"/>
    </row>
    <row r="164" spans="1:70" ht="27.75" customHeight="1" x14ac:dyDescent="0.4">
      <c r="A164" s="872">
        <v>156</v>
      </c>
      <c r="B164" s="863" t="s">
        <v>34</v>
      </c>
      <c r="C164" s="841">
        <f t="shared" si="65"/>
        <v>44803</v>
      </c>
      <c r="D164" s="842" t="str">
        <f>IF(C164="","",INDEX({"रविवार";"सोमवार";"मंगळवार";"बुधवार";"गुरूवार";"शुक्रवार";"शनिवार"},WEEKDAY(C164)))</f>
        <v>मंगळवार</v>
      </c>
      <c r="E164" s="673">
        <v>15</v>
      </c>
      <c r="F164" s="673">
        <v>15</v>
      </c>
      <c r="G164" s="673">
        <v>15</v>
      </c>
      <c r="H164" s="673" t="s">
        <v>67</v>
      </c>
      <c r="I164" s="673" t="s">
        <v>384</v>
      </c>
      <c r="J164" s="673"/>
      <c r="K164" s="673"/>
      <c r="L164" s="673"/>
      <c r="M164" s="828"/>
      <c r="N164" s="828"/>
      <c r="O164" s="673" t="s">
        <v>779</v>
      </c>
      <c r="P164" s="673" t="s">
        <v>424</v>
      </c>
      <c r="BE164" s="392">
        <v>8</v>
      </c>
      <c r="BF164" s="331">
        <f t="shared" si="66"/>
        <v>0</v>
      </c>
      <c r="BG164" s="331">
        <f t="shared" si="67"/>
        <v>0</v>
      </c>
      <c r="BH164" s="331">
        <f t="shared" si="68"/>
        <v>0</v>
      </c>
      <c r="BI164" s="331">
        <f t="shared" si="69"/>
        <v>0</v>
      </c>
      <c r="BJ164" s="331">
        <f t="shared" si="70"/>
        <v>0</v>
      </c>
      <c r="BK164" s="331">
        <f t="shared" si="71"/>
        <v>0</v>
      </c>
      <c r="BL164" s="331">
        <f t="shared" si="72"/>
        <v>0</v>
      </c>
      <c r="BM164" s="331">
        <f t="shared" si="73"/>
        <v>0</v>
      </c>
      <c r="BN164" s="331">
        <f t="shared" si="74"/>
        <v>0</v>
      </c>
      <c r="BO164" s="331">
        <f t="shared" si="75"/>
        <v>0</v>
      </c>
      <c r="BP164" s="331">
        <f t="shared" si="76"/>
        <v>0</v>
      </c>
      <c r="BQ164" s="331">
        <f t="shared" si="77"/>
        <v>0</v>
      </c>
      <c r="BR164" s="393"/>
    </row>
    <row r="165" spans="1:70" ht="27.75" customHeight="1" x14ac:dyDescent="0.4">
      <c r="A165" s="872">
        <v>157</v>
      </c>
      <c r="B165" s="863" t="s">
        <v>34</v>
      </c>
      <c r="C165" s="841">
        <f t="shared" si="65"/>
        <v>44804</v>
      </c>
      <c r="D165" s="842" t="str">
        <f>IF(C165="","",INDEX({"रविवार";"सोमवार";"मंगळवार";"बुधवार";"गुरूवार";"शुक्रवार";"शनिवार"},WEEKDAY(C165)))</f>
        <v>बुधवार</v>
      </c>
      <c r="E165" s="673">
        <v>0</v>
      </c>
      <c r="F165" s="673">
        <v>0</v>
      </c>
      <c r="G165" s="673">
        <v>0</v>
      </c>
      <c r="H165" s="673"/>
      <c r="I165" s="673"/>
      <c r="J165" s="673"/>
      <c r="K165" s="673"/>
      <c r="L165" s="673"/>
      <c r="M165" s="828"/>
      <c r="N165" s="828"/>
      <c r="O165" s="673"/>
      <c r="P165" s="673"/>
      <c r="BE165" s="392">
        <v>9</v>
      </c>
      <c r="BF165" s="331">
        <f t="shared" si="66"/>
        <v>0</v>
      </c>
      <c r="BG165" s="331">
        <f t="shared" si="67"/>
        <v>0</v>
      </c>
      <c r="BH165" s="331">
        <f t="shared" si="68"/>
        <v>0</v>
      </c>
      <c r="BI165" s="331">
        <f t="shared" si="69"/>
        <v>0</v>
      </c>
      <c r="BJ165" s="331">
        <f t="shared" si="70"/>
        <v>0</v>
      </c>
      <c r="BK165" s="331">
        <f t="shared" si="71"/>
        <v>0</v>
      </c>
      <c r="BL165" s="331">
        <f t="shared" si="72"/>
        <v>0</v>
      </c>
      <c r="BM165" s="331">
        <f t="shared" si="73"/>
        <v>0</v>
      </c>
      <c r="BN165" s="331">
        <f t="shared" si="74"/>
        <v>0</v>
      </c>
      <c r="BO165" s="331">
        <f t="shared" si="75"/>
        <v>0</v>
      </c>
      <c r="BP165" s="331">
        <f t="shared" si="76"/>
        <v>0</v>
      </c>
      <c r="BQ165" s="331">
        <f t="shared" si="77"/>
        <v>0</v>
      </c>
      <c r="BR165" s="393"/>
    </row>
    <row r="166" spans="1:70" ht="27.75" customHeight="1" x14ac:dyDescent="0.4">
      <c r="A166" s="872">
        <v>158</v>
      </c>
      <c r="B166" s="863" t="s">
        <v>34</v>
      </c>
      <c r="C166" s="841" t="s">
        <v>35</v>
      </c>
      <c r="D166" s="841"/>
      <c r="E166" s="829">
        <f>IF(SUM(E135:E165)&gt;0,SUM(E135:E165),"")</f>
        <v>330</v>
      </c>
      <c r="F166" s="829">
        <f t="shared" ref="F166:N166" si="78">IF(SUM(F135:F165)&gt;0,SUM(F135:F165),"")</f>
        <v>330</v>
      </c>
      <c r="G166" s="829">
        <f t="shared" si="78"/>
        <v>330</v>
      </c>
      <c r="H166" s="829" t="str">
        <f t="shared" si="78"/>
        <v/>
      </c>
      <c r="I166" s="829" t="str">
        <f t="shared" si="78"/>
        <v/>
      </c>
      <c r="J166" s="829" t="str">
        <f t="shared" si="78"/>
        <v/>
      </c>
      <c r="K166" s="829" t="str">
        <f t="shared" si="78"/>
        <v/>
      </c>
      <c r="L166" s="829" t="str">
        <f t="shared" si="78"/>
        <v/>
      </c>
      <c r="M166" s="829" t="str">
        <f t="shared" si="78"/>
        <v/>
      </c>
      <c r="N166" s="829" t="str">
        <f t="shared" si="78"/>
        <v/>
      </c>
      <c r="O166" s="830"/>
      <c r="P166" s="830"/>
      <c r="BE166" s="392">
        <v>10</v>
      </c>
      <c r="BF166" s="331">
        <f t="shared" si="66"/>
        <v>0</v>
      </c>
      <c r="BG166" s="331">
        <f t="shared" si="67"/>
        <v>0</v>
      </c>
      <c r="BH166" s="331">
        <f t="shared" si="68"/>
        <v>0</v>
      </c>
      <c r="BI166" s="331">
        <f t="shared" si="69"/>
        <v>0</v>
      </c>
      <c r="BJ166" s="331">
        <f t="shared" si="70"/>
        <v>0</v>
      </c>
      <c r="BK166" s="331">
        <f t="shared" si="71"/>
        <v>0</v>
      </c>
      <c r="BL166" s="331">
        <f t="shared" si="72"/>
        <v>0</v>
      </c>
      <c r="BM166" s="331">
        <f t="shared" si="73"/>
        <v>0</v>
      </c>
      <c r="BN166" s="331">
        <f t="shared" si="74"/>
        <v>0</v>
      </c>
      <c r="BO166" s="331">
        <f t="shared" si="75"/>
        <v>0</v>
      </c>
      <c r="BP166" s="331">
        <f t="shared" si="76"/>
        <v>0</v>
      </c>
      <c r="BQ166" s="331">
        <f t="shared" si="77"/>
        <v>0</v>
      </c>
      <c r="BR166" s="393"/>
    </row>
    <row r="167" spans="1:70" ht="27.75" customHeight="1" x14ac:dyDescent="0.4">
      <c r="A167" s="872">
        <v>159</v>
      </c>
      <c r="B167" s="864" t="s">
        <v>37</v>
      </c>
      <c r="C167" s="841">
        <f>DATE(N6,"9","1")</f>
        <v>44805</v>
      </c>
      <c r="D167" s="842" t="str">
        <f>IF(C167="","",INDEX({"रविवार";"सोमवार";"मंगळवार";"बुधवार";"गुरूवार";"शुक्रवार";"शनिवार"},WEEKDAY(C167)))</f>
        <v>गुरूवार</v>
      </c>
      <c r="E167" s="673">
        <v>15</v>
      </c>
      <c r="F167" s="673">
        <v>15</v>
      </c>
      <c r="G167" s="673">
        <v>15</v>
      </c>
      <c r="H167" s="673" t="s">
        <v>67</v>
      </c>
      <c r="I167" s="673" t="s">
        <v>384</v>
      </c>
      <c r="J167" s="673"/>
      <c r="K167" s="673"/>
      <c r="L167" s="673"/>
      <c r="M167" s="828"/>
      <c r="N167" s="828"/>
      <c r="O167" s="673" t="s">
        <v>781</v>
      </c>
      <c r="P167" s="673" t="s">
        <v>424</v>
      </c>
      <c r="BE167" s="392">
        <v>11</v>
      </c>
      <c r="BF167" s="331">
        <f t="shared" si="66"/>
        <v>0</v>
      </c>
      <c r="BG167" s="331">
        <f t="shared" si="67"/>
        <v>0</v>
      </c>
      <c r="BH167" s="331">
        <f t="shared" si="68"/>
        <v>0</v>
      </c>
      <c r="BI167" s="331">
        <f t="shared" si="69"/>
        <v>0</v>
      </c>
      <c r="BJ167" s="331">
        <f t="shared" si="70"/>
        <v>0</v>
      </c>
      <c r="BK167" s="331">
        <f t="shared" si="71"/>
        <v>0</v>
      </c>
      <c r="BL167" s="331">
        <f t="shared" si="72"/>
        <v>0</v>
      </c>
      <c r="BM167" s="331">
        <f t="shared" si="73"/>
        <v>0</v>
      </c>
      <c r="BN167" s="331">
        <f t="shared" si="74"/>
        <v>0</v>
      </c>
      <c r="BO167" s="331">
        <f t="shared" si="75"/>
        <v>0</v>
      </c>
      <c r="BP167" s="331">
        <f t="shared" si="76"/>
        <v>0</v>
      </c>
      <c r="BQ167" s="331">
        <f t="shared" si="77"/>
        <v>0</v>
      </c>
      <c r="BR167" s="393"/>
    </row>
    <row r="168" spans="1:70" ht="27.75" customHeight="1" x14ac:dyDescent="0.4">
      <c r="A168" s="872">
        <v>160</v>
      </c>
      <c r="B168" s="864" t="s">
        <v>37</v>
      </c>
      <c r="C168" s="841">
        <f>C167+1</f>
        <v>44806</v>
      </c>
      <c r="D168" s="842" t="str">
        <f>IF(C168="","",INDEX({"रविवार";"सोमवार";"मंगळवार";"बुधवार";"गुरूवार";"शुक्रवार";"शनिवार"},WEEKDAY(C168)))</f>
        <v>शुक्रवार</v>
      </c>
      <c r="E168" s="673">
        <v>15</v>
      </c>
      <c r="F168" s="673">
        <v>15</v>
      </c>
      <c r="G168" s="673">
        <v>15</v>
      </c>
      <c r="H168" s="673" t="s">
        <v>444</v>
      </c>
      <c r="I168" s="673" t="s">
        <v>384</v>
      </c>
      <c r="J168" s="673"/>
      <c r="K168" s="673"/>
      <c r="L168" s="673"/>
      <c r="M168" s="828"/>
      <c r="N168" s="828"/>
      <c r="O168" s="673" t="s">
        <v>779</v>
      </c>
      <c r="P168" s="673" t="s">
        <v>422</v>
      </c>
      <c r="BE168" s="392">
        <v>12</v>
      </c>
      <c r="BF168" s="331">
        <f t="shared" si="66"/>
        <v>0</v>
      </c>
      <c r="BG168" s="331">
        <f t="shared" si="67"/>
        <v>0</v>
      </c>
      <c r="BH168" s="331">
        <f t="shared" si="68"/>
        <v>0</v>
      </c>
      <c r="BI168" s="331">
        <f t="shared" si="69"/>
        <v>0</v>
      </c>
      <c r="BJ168" s="331">
        <f t="shared" si="70"/>
        <v>0</v>
      </c>
      <c r="BK168" s="331">
        <f t="shared" si="71"/>
        <v>0</v>
      </c>
      <c r="BL168" s="331">
        <f t="shared" si="72"/>
        <v>0</v>
      </c>
      <c r="BM168" s="331">
        <f t="shared" si="73"/>
        <v>0</v>
      </c>
      <c r="BN168" s="331">
        <f t="shared" si="74"/>
        <v>0</v>
      </c>
      <c r="BO168" s="331">
        <f t="shared" si="75"/>
        <v>0</v>
      </c>
      <c r="BP168" s="331">
        <f t="shared" si="76"/>
        <v>0</v>
      </c>
      <c r="BQ168" s="331">
        <f t="shared" si="77"/>
        <v>0</v>
      </c>
      <c r="BR168" s="393"/>
    </row>
    <row r="169" spans="1:70" ht="27.75" customHeight="1" x14ac:dyDescent="0.4">
      <c r="A169" s="872">
        <v>161</v>
      </c>
      <c r="B169" s="864" t="s">
        <v>37</v>
      </c>
      <c r="C169" s="841">
        <f t="shared" ref="C169:C196" si="79">C168+1</f>
        <v>44807</v>
      </c>
      <c r="D169" s="842" t="str">
        <f>IF(C169="","",INDEX({"रविवार";"सोमवार";"मंगळवार";"बुधवार";"गुरूवार";"शुक्रवार";"शनिवार"},WEEKDAY(C169)))</f>
        <v>शनिवार</v>
      </c>
      <c r="E169" s="673">
        <v>15</v>
      </c>
      <c r="F169" s="673">
        <v>15</v>
      </c>
      <c r="G169" s="673">
        <v>15</v>
      </c>
      <c r="H169" s="673" t="s">
        <v>74</v>
      </c>
      <c r="I169" s="673" t="s">
        <v>359</v>
      </c>
      <c r="J169" s="673"/>
      <c r="K169" s="673"/>
      <c r="L169" s="673"/>
      <c r="M169" s="828"/>
      <c r="N169" s="828"/>
      <c r="O169" s="673" t="s">
        <v>777</v>
      </c>
      <c r="P169" s="673" t="s">
        <v>421</v>
      </c>
      <c r="BE169" s="392">
        <v>13</v>
      </c>
      <c r="BF169" s="331">
        <f t="shared" si="66"/>
        <v>0</v>
      </c>
      <c r="BG169" s="331">
        <f t="shared" si="67"/>
        <v>0</v>
      </c>
      <c r="BH169" s="331">
        <f t="shared" si="68"/>
        <v>0</v>
      </c>
      <c r="BI169" s="331">
        <f t="shared" si="69"/>
        <v>0</v>
      </c>
      <c r="BJ169" s="331">
        <f t="shared" si="70"/>
        <v>0</v>
      </c>
      <c r="BK169" s="331">
        <f t="shared" si="71"/>
        <v>0</v>
      </c>
      <c r="BL169" s="331">
        <f t="shared" si="72"/>
        <v>0</v>
      </c>
      <c r="BM169" s="331">
        <f t="shared" si="73"/>
        <v>0</v>
      </c>
      <c r="BN169" s="331">
        <f t="shared" si="74"/>
        <v>0</v>
      </c>
      <c r="BO169" s="331">
        <f t="shared" si="75"/>
        <v>0</v>
      </c>
      <c r="BP169" s="331">
        <f t="shared" si="76"/>
        <v>0</v>
      </c>
      <c r="BQ169" s="331">
        <f t="shared" si="77"/>
        <v>0</v>
      </c>
      <c r="BR169" s="393"/>
    </row>
    <row r="170" spans="1:70" ht="27.75" customHeight="1" x14ac:dyDescent="0.4">
      <c r="A170" s="872">
        <v>162</v>
      </c>
      <c r="B170" s="864" t="s">
        <v>37</v>
      </c>
      <c r="C170" s="841">
        <f t="shared" si="79"/>
        <v>44808</v>
      </c>
      <c r="D170" s="842" t="str">
        <f>IF(C170="","",INDEX({"रविवार";"सोमवार";"मंगळवार";"बुधवार";"गुरूवार";"शुक्रवार";"शनिवार"},WEEKDAY(C170)))</f>
        <v>रविवार</v>
      </c>
      <c r="E170" s="673"/>
      <c r="F170" s="673"/>
      <c r="G170" s="673"/>
      <c r="H170" s="673"/>
      <c r="I170" s="673"/>
      <c r="J170" s="673"/>
      <c r="K170" s="673"/>
      <c r="L170" s="673"/>
      <c r="M170" s="828"/>
      <c r="N170" s="828"/>
      <c r="O170" s="673"/>
      <c r="P170" s="673"/>
      <c r="BE170" s="392">
        <v>14</v>
      </c>
      <c r="BF170" s="331">
        <f t="shared" si="66"/>
        <v>0</v>
      </c>
      <c r="BG170" s="331">
        <f t="shared" si="67"/>
        <v>0</v>
      </c>
      <c r="BH170" s="331">
        <f t="shared" si="68"/>
        <v>0</v>
      </c>
      <c r="BI170" s="331">
        <f t="shared" si="69"/>
        <v>0</v>
      </c>
      <c r="BJ170" s="331">
        <f t="shared" si="70"/>
        <v>0</v>
      </c>
      <c r="BK170" s="331">
        <f t="shared" si="71"/>
        <v>0</v>
      </c>
      <c r="BL170" s="331">
        <f t="shared" si="72"/>
        <v>0</v>
      </c>
      <c r="BM170" s="331">
        <f t="shared" si="73"/>
        <v>0</v>
      </c>
      <c r="BN170" s="331">
        <f t="shared" si="74"/>
        <v>0</v>
      </c>
      <c r="BO170" s="331">
        <f t="shared" si="75"/>
        <v>0</v>
      </c>
      <c r="BP170" s="331">
        <f t="shared" si="76"/>
        <v>0</v>
      </c>
      <c r="BQ170" s="331">
        <f t="shared" si="77"/>
        <v>0</v>
      </c>
      <c r="BR170" s="393"/>
    </row>
    <row r="171" spans="1:70" ht="27.75" customHeight="1" x14ac:dyDescent="0.4">
      <c r="A171" s="872">
        <v>163</v>
      </c>
      <c r="B171" s="864" t="s">
        <v>37</v>
      </c>
      <c r="C171" s="841">
        <f t="shared" si="79"/>
        <v>44809</v>
      </c>
      <c r="D171" s="842" t="str">
        <f>IF(C171="","",INDEX({"रविवार";"सोमवार";"मंगळवार";"बुधवार";"गुरूवार";"शुक्रवार";"शनिवार"},WEEKDAY(C171)))</f>
        <v>सोमवार</v>
      </c>
      <c r="E171" s="673">
        <v>15</v>
      </c>
      <c r="F171" s="673">
        <v>15</v>
      </c>
      <c r="G171" s="673">
        <v>15</v>
      </c>
      <c r="H171" s="673" t="s">
        <v>74</v>
      </c>
      <c r="I171" s="673" t="s">
        <v>359</v>
      </c>
      <c r="J171" s="673"/>
      <c r="K171" s="673"/>
      <c r="L171" s="673"/>
      <c r="M171" s="828"/>
      <c r="N171" s="828"/>
      <c r="O171" s="673" t="s">
        <v>781</v>
      </c>
      <c r="P171" s="673" t="s">
        <v>423</v>
      </c>
      <c r="BE171" s="392">
        <v>15</v>
      </c>
      <c r="BF171" s="331">
        <f t="shared" si="66"/>
        <v>0</v>
      </c>
      <c r="BG171" s="331">
        <f t="shared" si="67"/>
        <v>0</v>
      </c>
      <c r="BH171" s="331">
        <f t="shared" si="68"/>
        <v>0</v>
      </c>
      <c r="BI171" s="331">
        <f t="shared" si="69"/>
        <v>0</v>
      </c>
      <c r="BJ171" s="331">
        <f t="shared" si="70"/>
        <v>0</v>
      </c>
      <c r="BK171" s="331">
        <f t="shared" si="71"/>
        <v>0</v>
      </c>
      <c r="BL171" s="331">
        <f t="shared" si="72"/>
        <v>0</v>
      </c>
      <c r="BM171" s="331">
        <f t="shared" si="73"/>
        <v>0</v>
      </c>
      <c r="BN171" s="331">
        <f t="shared" si="74"/>
        <v>0</v>
      </c>
      <c r="BO171" s="331">
        <f t="shared" si="75"/>
        <v>0</v>
      </c>
      <c r="BP171" s="331">
        <f t="shared" si="76"/>
        <v>0</v>
      </c>
      <c r="BQ171" s="331">
        <f t="shared" si="77"/>
        <v>0</v>
      </c>
      <c r="BR171" s="393"/>
    </row>
    <row r="172" spans="1:70" ht="27.75" customHeight="1" x14ac:dyDescent="0.4">
      <c r="A172" s="872">
        <v>164</v>
      </c>
      <c r="B172" s="864" t="s">
        <v>37</v>
      </c>
      <c r="C172" s="841">
        <f t="shared" si="79"/>
        <v>44810</v>
      </c>
      <c r="D172" s="842" t="str">
        <f>IF(C172="","",INDEX({"रविवार";"सोमवार";"मंगळवार";"बुधवार";"गुरूवार";"शुक्रवार";"शनिवार"},WEEKDAY(C172)))</f>
        <v>मंगळवार</v>
      </c>
      <c r="E172" s="673">
        <v>15</v>
      </c>
      <c r="F172" s="673">
        <v>15</v>
      </c>
      <c r="G172" s="673">
        <v>15</v>
      </c>
      <c r="H172" s="673" t="s">
        <v>67</v>
      </c>
      <c r="I172" s="673" t="s">
        <v>384</v>
      </c>
      <c r="J172" s="673"/>
      <c r="K172" s="673"/>
      <c r="L172" s="673"/>
      <c r="M172" s="828"/>
      <c r="N172" s="828"/>
      <c r="O172" s="673" t="s">
        <v>777</v>
      </c>
      <c r="P172" s="673" t="s">
        <v>421</v>
      </c>
      <c r="BE172" s="392">
        <v>16</v>
      </c>
      <c r="BF172" s="331">
        <f t="shared" si="66"/>
        <v>0</v>
      </c>
      <c r="BG172" s="331">
        <f t="shared" si="67"/>
        <v>0</v>
      </c>
      <c r="BH172" s="331">
        <f t="shared" si="68"/>
        <v>0</v>
      </c>
      <c r="BI172" s="331">
        <f t="shared" si="69"/>
        <v>0</v>
      </c>
      <c r="BJ172" s="331">
        <f t="shared" si="70"/>
        <v>0</v>
      </c>
      <c r="BK172" s="331">
        <f t="shared" si="71"/>
        <v>0</v>
      </c>
      <c r="BL172" s="331">
        <f t="shared" si="72"/>
        <v>0</v>
      </c>
      <c r="BM172" s="331">
        <f t="shared" si="73"/>
        <v>0</v>
      </c>
      <c r="BN172" s="331">
        <f t="shared" si="74"/>
        <v>0</v>
      </c>
      <c r="BO172" s="331">
        <f t="shared" si="75"/>
        <v>0</v>
      </c>
      <c r="BP172" s="331">
        <f t="shared" si="76"/>
        <v>0</v>
      </c>
      <c r="BQ172" s="331">
        <f t="shared" si="77"/>
        <v>0</v>
      </c>
      <c r="BR172" s="393"/>
    </row>
    <row r="173" spans="1:70" ht="27.75" customHeight="1" x14ac:dyDescent="0.4">
      <c r="A173" s="872">
        <v>165</v>
      </c>
      <c r="B173" s="864" t="s">
        <v>37</v>
      </c>
      <c r="C173" s="841">
        <f t="shared" si="79"/>
        <v>44811</v>
      </c>
      <c r="D173" s="842" t="str">
        <f>IF(C173="","",INDEX({"रविवार";"सोमवार";"मंगळवार";"बुधवार";"गुरूवार";"शुक्रवार";"शनिवार"},WEEKDAY(C173)))</f>
        <v>बुधवार</v>
      </c>
      <c r="E173" s="673">
        <v>15</v>
      </c>
      <c r="F173" s="673">
        <v>15</v>
      </c>
      <c r="G173" s="673">
        <v>15</v>
      </c>
      <c r="H173" s="673" t="s">
        <v>444</v>
      </c>
      <c r="I173" s="673" t="s">
        <v>384</v>
      </c>
      <c r="J173" s="673"/>
      <c r="K173" s="673"/>
      <c r="L173" s="673"/>
      <c r="M173" s="828"/>
      <c r="N173" s="828"/>
      <c r="O173" s="673" t="s">
        <v>780</v>
      </c>
      <c r="P173" s="673" t="s">
        <v>425</v>
      </c>
      <c r="BE173" s="392">
        <v>17</v>
      </c>
      <c r="BF173" s="331">
        <f t="shared" si="66"/>
        <v>0</v>
      </c>
      <c r="BG173" s="331">
        <f t="shared" si="67"/>
        <v>0</v>
      </c>
      <c r="BH173" s="331">
        <f t="shared" si="68"/>
        <v>0</v>
      </c>
      <c r="BI173" s="331">
        <f t="shared" si="69"/>
        <v>0</v>
      </c>
      <c r="BJ173" s="331">
        <f t="shared" si="70"/>
        <v>0</v>
      </c>
      <c r="BK173" s="331">
        <f t="shared" si="71"/>
        <v>0</v>
      </c>
      <c r="BL173" s="331">
        <f t="shared" si="72"/>
        <v>0</v>
      </c>
      <c r="BM173" s="331">
        <f t="shared" si="73"/>
        <v>0</v>
      </c>
      <c r="BN173" s="331">
        <f t="shared" si="74"/>
        <v>0</v>
      </c>
      <c r="BO173" s="331">
        <f t="shared" si="75"/>
        <v>0</v>
      </c>
      <c r="BP173" s="331">
        <f t="shared" si="76"/>
        <v>0</v>
      </c>
      <c r="BQ173" s="331">
        <f t="shared" si="77"/>
        <v>0</v>
      </c>
      <c r="BR173" s="393"/>
    </row>
    <row r="174" spans="1:70" ht="27.75" customHeight="1" x14ac:dyDescent="0.4">
      <c r="A174" s="872">
        <v>166</v>
      </c>
      <c r="B174" s="864" t="s">
        <v>37</v>
      </c>
      <c r="C174" s="841">
        <f t="shared" si="79"/>
        <v>44812</v>
      </c>
      <c r="D174" s="842" t="str">
        <f>IF(C174="","",INDEX({"रविवार";"सोमवार";"मंगळवार";"बुधवार";"गुरूवार";"शुक्रवार";"शनिवार"},WEEKDAY(C174)))</f>
        <v>गुरूवार</v>
      </c>
      <c r="E174" s="673">
        <v>15</v>
      </c>
      <c r="F174" s="673">
        <v>15</v>
      </c>
      <c r="G174" s="673">
        <v>15</v>
      </c>
      <c r="H174" s="673" t="s">
        <v>67</v>
      </c>
      <c r="I174" s="673" t="s">
        <v>384</v>
      </c>
      <c r="J174" s="673"/>
      <c r="K174" s="673"/>
      <c r="L174" s="673"/>
      <c r="M174" s="828"/>
      <c r="N174" s="828"/>
      <c r="O174" s="673" t="s">
        <v>781</v>
      </c>
      <c r="P174" s="673" t="s">
        <v>424</v>
      </c>
      <c r="BE174" s="392">
        <v>18</v>
      </c>
      <c r="BF174" s="331">
        <f t="shared" si="66"/>
        <v>0</v>
      </c>
      <c r="BG174" s="331">
        <f t="shared" si="67"/>
        <v>0</v>
      </c>
      <c r="BH174" s="331">
        <f t="shared" si="68"/>
        <v>0</v>
      </c>
      <c r="BI174" s="331">
        <f t="shared" si="69"/>
        <v>0</v>
      </c>
      <c r="BJ174" s="331">
        <f t="shared" si="70"/>
        <v>0</v>
      </c>
      <c r="BK174" s="331">
        <f t="shared" si="71"/>
        <v>0</v>
      </c>
      <c r="BL174" s="331">
        <f t="shared" si="72"/>
        <v>0</v>
      </c>
      <c r="BM174" s="331">
        <f t="shared" si="73"/>
        <v>0</v>
      </c>
      <c r="BN174" s="331">
        <f t="shared" si="74"/>
        <v>0</v>
      </c>
      <c r="BO174" s="331">
        <f t="shared" si="75"/>
        <v>0</v>
      </c>
      <c r="BP174" s="331">
        <f t="shared" si="76"/>
        <v>0</v>
      </c>
      <c r="BQ174" s="331">
        <f t="shared" si="77"/>
        <v>0</v>
      </c>
      <c r="BR174" s="393"/>
    </row>
    <row r="175" spans="1:70" ht="27.75" customHeight="1" x14ac:dyDescent="0.4">
      <c r="A175" s="872">
        <v>167</v>
      </c>
      <c r="B175" s="864" t="s">
        <v>37</v>
      </c>
      <c r="C175" s="841">
        <f t="shared" si="79"/>
        <v>44813</v>
      </c>
      <c r="D175" s="842" t="str">
        <f>IF(C175="","",INDEX({"रविवार";"सोमवार";"मंगळवार";"बुधवार";"गुरूवार";"शुक्रवार";"शनिवार"},WEEKDAY(C175)))</f>
        <v>शुक्रवार</v>
      </c>
      <c r="E175" s="673">
        <v>0</v>
      </c>
      <c r="F175" s="673">
        <v>0</v>
      </c>
      <c r="G175" s="673">
        <v>0</v>
      </c>
      <c r="H175" s="673"/>
      <c r="I175" s="673"/>
      <c r="J175" s="673"/>
      <c r="K175" s="673"/>
      <c r="L175" s="673"/>
      <c r="M175" s="828"/>
      <c r="N175" s="828"/>
      <c r="O175" s="673"/>
      <c r="P175" s="673"/>
      <c r="BE175" s="392">
        <v>19</v>
      </c>
      <c r="BF175" s="331">
        <f t="shared" si="66"/>
        <v>0</v>
      </c>
      <c r="BG175" s="331">
        <f t="shared" si="67"/>
        <v>0</v>
      </c>
      <c r="BH175" s="331">
        <f t="shared" si="68"/>
        <v>0</v>
      </c>
      <c r="BI175" s="331">
        <f t="shared" si="69"/>
        <v>0</v>
      </c>
      <c r="BJ175" s="331">
        <f t="shared" si="70"/>
        <v>0</v>
      </c>
      <c r="BK175" s="331">
        <f t="shared" si="71"/>
        <v>0</v>
      </c>
      <c r="BL175" s="331">
        <f t="shared" si="72"/>
        <v>0</v>
      </c>
      <c r="BM175" s="331">
        <f t="shared" si="73"/>
        <v>0</v>
      </c>
      <c r="BN175" s="331">
        <f t="shared" si="74"/>
        <v>0</v>
      </c>
      <c r="BO175" s="331">
        <f t="shared" si="75"/>
        <v>0</v>
      </c>
      <c r="BP175" s="331">
        <f t="shared" si="76"/>
        <v>0</v>
      </c>
      <c r="BQ175" s="331">
        <f t="shared" si="77"/>
        <v>0</v>
      </c>
      <c r="BR175" s="393"/>
    </row>
    <row r="176" spans="1:70" ht="27.75" customHeight="1" x14ac:dyDescent="0.4">
      <c r="A176" s="872">
        <v>168</v>
      </c>
      <c r="B176" s="864" t="s">
        <v>37</v>
      </c>
      <c r="C176" s="841">
        <f t="shared" si="79"/>
        <v>44814</v>
      </c>
      <c r="D176" s="842" t="str">
        <f>IF(C176="","",INDEX({"रविवार";"सोमवार";"मंगळवार";"बुधवार";"गुरूवार";"शुक्रवार";"शनिवार"},WEEKDAY(C176)))</f>
        <v>शनिवार</v>
      </c>
      <c r="E176" s="673">
        <v>15</v>
      </c>
      <c r="F176" s="673">
        <v>15</v>
      </c>
      <c r="G176" s="673">
        <v>15</v>
      </c>
      <c r="H176" s="673" t="s">
        <v>74</v>
      </c>
      <c r="I176" s="673" t="s">
        <v>359</v>
      </c>
      <c r="J176" s="673"/>
      <c r="K176" s="673"/>
      <c r="L176" s="673"/>
      <c r="M176" s="828"/>
      <c r="N176" s="828"/>
      <c r="O176" s="673" t="s">
        <v>777</v>
      </c>
      <c r="P176" s="673" t="s">
        <v>421</v>
      </c>
      <c r="BE176" s="392">
        <v>20</v>
      </c>
      <c r="BF176" s="331">
        <f t="shared" si="66"/>
        <v>0</v>
      </c>
      <c r="BG176" s="331">
        <f t="shared" si="67"/>
        <v>0</v>
      </c>
      <c r="BH176" s="331">
        <f t="shared" si="68"/>
        <v>0</v>
      </c>
      <c r="BI176" s="331">
        <f t="shared" si="69"/>
        <v>0</v>
      </c>
      <c r="BJ176" s="331">
        <f t="shared" si="70"/>
        <v>0</v>
      </c>
      <c r="BK176" s="331">
        <f t="shared" si="71"/>
        <v>0</v>
      </c>
      <c r="BL176" s="331">
        <f t="shared" si="72"/>
        <v>0</v>
      </c>
      <c r="BM176" s="331">
        <f t="shared" si="73"/>
        <v>0</v>
      </c>
      <c r="BN176" s="331">
        <f t="shared" si="74"/>
        <v>0</v>
      </c>
      <c r="BO176" s="331">
        <f t="shared" si="75"/>
        <v>0</v>
      </c>
      <c r="BP176" s="331">
        <f t="shared" si="76"/>
        <v>0</v>
      </c>
      <c r="BQ176" s="331">
        <f t="shared" si="77"/>
        <v>0</v>
      </c>
      <c r="BR176" s="393"/>
    </row>
    <row r="177" spans="1:70" ht="27.75" customHeight="1" x14ac:dyDescent="0.4">
      <c r="A177" s="872">
        <v>169</v>
      </c>
      <c r="B177" s="864" t="s">
        <v>37</v>
      </c>
      <c r="C177" s="841">
        <f t="shared" si="79"/>
        <v>44815</v>
      </c>
      <c r="D177" s="842" t="str">
        <f>IF(C177="","",INDEX({"रविवार";"सोमवार";"मंगळवार";"बुधवार";"गुरूवार";"शुक्रवार";"शनिवार"},WEEKDAY(C177)))</f>
        <v>रविवार</v>
      </c>
      <c r="E177" s="673"/>
      <c r="F177" s="673"/>
      <c r="G177" s="673"/>
      <c r="H177" s="673"/>
      <c r="I177" s="673"/>
      <c r="J177" s="673"/>
      <c r="K177" s="673"/>
      <c r="L177" s="673"/>
      <c r="M177" s="828"/>
      <c r="N177" s="828"/>
      <c r="O177" s="673"/>
      <c r="P177" s="673"/>
      <c r="BE177" s="392">
        <v>21</v>
      </c>
      <c r="BF177" s="331">
        <f t="shared" si="66"/>
        <v>0</v>
      </c>
      <c r="BG177" s="331">
        <f t="shared" si="67"/>
        <v>0</v>
      </c>
      <c r="BH177" s="331">
        <f t="shared" si="68"/>
        <v>0</v>
      </c>
      <c r="BI177" s="331">
        <f t="shared" si="69"/>
        <v>0</v>
      </c>
      <c r="BJ177" s="331">
        <f t="shared" si="70"/>
        <v>0</v>
      </c>
      <c r="BK177" s="331">
        <f t="shared" si="71"/>
        <v>0</v>
      </c>
      <c r="BL177" s="331">
        <f t="shared" si="72"/>
        <v>0</v>
      </c>
      <c r="BM177" s="331">
        <f t="shared" si="73"/>
        <v>0</v>
      </c>
      <c r="BN177" s="331">
        <f t="shared" si="74"/>
        <v>0</v>
      </c>
      <c r="BO177" s="331">
        <f t="shared" si="75"/>
        <v>0</v>
      </c>
      <c r="BP177" s="331">
        <f t="shared" si="76"/>
        <v>0</v>
      </c>
      <c r="BQ177" s="331">
        <f t="shared" si="77"/>
        <v>0</v>
      </c>
      <c r="BR177" s="393"/>
    </row>
    <row r="178" spans="1:70" ht="27.75" customHeight="1" x14ac:dyDescent="0.4">
      <c r="A178" s="872">
        <v>170</v>
      </c>
      <c r="B178" s="864" t="s">
        <v>37</v>
      </c>
      <c r="C178" s="841">
        <f t="shared" si="79"/>
        <v>44816</v>
      </c>
      <c r="D178" s="842" t="str">
        <f>IF(C178="","",INDEX({"रविवार";"सोमवार";"मंगळवार";"बुधवार";"गुरूवार";"शुक्रवार";"शनिवार"},WEEKDAY(C178)))</f>
        <v>सोमवार</v>
      </c>
      <c r="E178" s="673">
        <v>16</v>
      </c>
      <c r="F178" s="673">
        <v>16</v>
      </c>
      <c r="G178" s="673">
        <v>16</v>
      </c>
      <c r="H178" s="673" t="s">
        <v>74</v>
      </c>
      <c r="I178" s="673" t="s">
        <v>359</v>
      </c>
      <c r="J178" s="673"/>
      <c r="K178" s="673"/>
      <c r="L178" s="673"/>
      <c r="M178" s="828"/>
      <c r="N178" s="828"/>
      <c r="O178" s="673" t="s">
        <v>781</v>
      </c>
      <c r="P178" s="673" t="s">
        <v>423</v>
      </c>
      <c r="BE178" s="392">
        <v>22</v>
      </c>
      <c r="BF178" s="331">
        <f t="shared" si="66"/>
        <v>0</v>
      </c>
      <c r="BG178" s="331">
        <f t="shared" si="67"/>
        <v>0</v>
      </c>
      <c r="BH178" s="331">
        <f t="shared" si="68"/>
        <v>0</v>
      </c>
      <c r="BI178" s="331">
        <f t="shared" si="69"/>
        <v>0</v>
      </c>
      <c r="BJ178" s="331">
        <f t="shared" si="70"/>
        <v>0</v>
      </c>
      <c r="BK178" s="331">
        <f t="shared" si="71"/>
        <v>0</v>
      </c>
      <c r="BL178" s="331">
        <f t="shared" si="72"/>
        <v>0</v>
      </c>
      <c r="BM178" s="331">
        <f t="shared" si="73"/>
        <v>0</v>
      </c>
      <c r="BN178" s="331">
        <f t="shared" si="74"/>
        <v>0</v>
      </c>
      <c r="BO178" s="331">
        <f t="shared" si="75"/>
        <v>0</v>
      </c>
      <c r="BP178" s="331">
        <f t="shared" si="76"/>
        <v>0</v>
      </c>
      <c r="BQ178" s="331">
        <f t="shared" si="77"/>
        <v>0</v>
      </c>
      <c r="BR178" s="393"/>
    </row>
    <row r="179" spans="1:70" ht="27.75" customHeight="1" x14ac:dyDescent="0.4">
      <c r="A179" s="872">
        <v>171</v>
      </c>
      <c r="B179" s="864" t="s">
        <v>37</v>
      </c>
      <c r="C179" s="841">
        <f t="shared" si="79"/>
        <v>44817</v>
      </c>
      <c r="D179" s="842" t="str">
        <f>IF(C179="","",INDEX({"रविवार";"सोमवार";"मंगळवार";"बुधवार";"गुरूवार";"शुक्रवार";"शनिवार"},WEEKDAY(C179)))</f>
        <v>मंगळवार</v>
      </c>
      <c r="E179" s="673">
        <v>16</v>
      </c>
      <c r="F179" s="673">
        <v>16</v>
      </c>
      <c r="G179" s="673">
        <v>16</v>
      </c>
      <c r="H179" s="673" t="s">
        <v>67</v>
      </c>
      <c r="I179" s="673" t="s">
        <v>384</v>
      </c>
      <c r="J179" s="673"/>
      <c r="K179" s="673"/>
      <c r="L179" s="673"/>
      <c r="M179" s="828"/>
      <c r="N179" s="828"/>
      <c r="O179" s="673" t="s">
        <v>777</v>
      </c>
      <c r="P179" s="673" t="s">
        <v>421</v>
      </c>
      <c r="BE179" s="392">
        <v>23</v>
      </c>
      <c r="BF179" s="331">
        <f t="shared" si="66"/>
        <v>0</v>
      </c>
      <c r="BG179" s="331">
        <f t="shared" si="67"/>
        <v>0</v>
      </c>
      <c r="BH179" s="331">
        <f t="shared" si="68"/>
        <v>0</v>
      </c>
      <c r="BI179" s="331">
        <f t="shared" si="69"/>
        <v>0</v>
      </c>
      <c r="BJ179" s="331">
        <f t="shared" si="70"/>
        <v>0</v>
      </c>
      <c r="BK179" s="331">
        <f t="shared" si="71"/>
        <v>0</v>
      </c>
      <c r="BL179" s="331">
        <f t="shared" si="72"/>
        <v>0</v>
      </c>
      <c r="BM179" s="331">
        <f t="shared" si="73"/>
        <v>0</v>
      </c>
      <c r="BN179" s="331">
        <f t="shared" si="74"/>
        <v>0</v>
      </c>
      <c r="BO179" s="331">
        <f t="shared" si="75"/>
        <v>0</v>
      </c>
      <c r="BP179" s="331">
        <f t="shared" si="76"/>
        <v>0</v>
      </c>
      <c r="BQ179" s="331">
        <f t="shared" si="77"/>
        <v>0</v>
      </c>
      <c r="BR179" s="393"/>
    </row>
    <row r="180" spans="1:70" ht="27.75" customHeight="1" x14ac:dyDescent="0.4">
      <c r="A180" s="872">
        <v>172</v>
      </c>
      <c r="B180" s="864" t="s">
        <v>37</v>
      </c>
      <c r="C180" s="841">
        <f t="shared" si="79"/>
        <v>44818</v>
      </c>
      <c r="D180" s="842" t="str">
        <f>IF(C180="","",INDEX({"रविवार";"सोमवार";"मंगळवार";"बुधवार";"गुरूवार";"शुक्रवार";"शनिवार"},WEEKDAY(C180)))</f>
        <v>बुधवार</v>
      </c>
      <c r="E180" s="673">
        <v>16</v>
      </c>
      <c r="F180" s="673">
        <v>16</v>
      </c>
      <c r="G180" s="673">
        <v>16</v>
      </c>
      <c r="H180" s="673" t="s">
        <v>444</v>
      </c>
      <c r="I180" s="673" t="s">
        <v>384</v>
      </c>
      <c r="J180" s="673"/>
      <c r="K180" s="673"/>
      <c r="L180" s="673"/>
      <c r="M180" s="828"/>
      <c r="N180" s="828"/>
      <c r="O180" s="673" t="s">
        <v>780</v>
      </c>
      <c r="P180" s="673" t="s">
        <v>425</v>
      </c>
      <c r="BE180" s="392">
        <v>24</v>
      </c>
      <c r="BF180" s="331">
        <f t="shared" si="66"/>
        <v>0</v>
      </c>
      <c r="BG180" s="331">
        <f t="shared" si="67"/>
        <v>0</v>
      </c>
      <c r="BH180" s="331">
        <f t="shared" si="68"/>
        <v>0</v>
      </c>
      <c r="BI180" s="331">
        <f t="shared" si="69"/>
        <v>0</v>
      </c>
      <c r="BJ180" s="331">
        <f t="shared" si="70"/>
        <v>0</v>
      </c>
      <c r="BK180" s="331">
        <f t="shared" si="71"/>
        <v>0</v>
      </c>
      <c r="BL180" s="331">
        <f t="shared" si="72"/>
        <v>0</v>
      </c>
      <c r="BM180" s="331">
        <f t="shared" si="73"/>
        <v>0</v>
      </c>
      <c r="BN180" s="331">
        <f t="shared" si="74"/>
        <v>0</v>
      </c>
      <c r="BO180" s="331">
        <f t="shared" si="75"/>
        <v>0</v>
      </c>
      <c r="BP180" s="331">
        <f t="shared" si="76"/>
        <v>0</v>
      </c>
      <c r="BQ180" s="331">
        <f t="shared" si="77"/>
        <v>0</v>
      </c>
      <c r="BR180" s="393"/>
    </row>
    <row r="181" spans="1:70" ht="27.75" customHeight="1" x14ac:dyDescent="0.4">
      <c r="A181" s="872">
        <v>173</v>
      </c>
      <c r="B181" s="864" t="s">
        <v>37</v>
      </c>
      <c r="C181" s="841">
        <f t="shared" si="79"/>
        <v>44819</v>
      </c>
      <c r="D181" s="842" t="str">
        <f>IF(C181="","",INDEX({"रविवार";"सोमवार";"मंगळवार";"बुधवार";"गुरूवार";"शुक्रवार";"शनिवार"},WEEKDAY(C181)))</f>
        <v>गुरूवार</v>
      </c>
      <c r="E181" s="673">
        <v>16</v>
      </c>
      <c r="F181" s="673">
        <v>16</v>
      </c>
      <c r="G181" s="673">
        <v>16</v>
      </c>
      <c r="H181" s="673" t="s">
        <v>67</v>
      </c>
      <c r="I181" s="673" t="s">
        <v>384</v>
      </c>
      <c r="J181" s="673"/>
      <c r="K181" s="673"/>
      <c r="L181" s="673"/>
      <c r="M181" s="828"/>
      <c r="N181" s="828"/>
      <c r="O181" s="673" t="s">
        <v>781</v>
      </c>
      <c r="P181" s="673" t="s">
        <v>424</v>
      </c>
      <c r="BE181" s="392">
        <v>25</v>
      </c>
      <c r="BF181" s="331">
        <f t="shared" si="66"/>
        <v>0</v>
      </c>
      <c r="BG181" s="331">
        <f t="shared" si="67"/>
        <v>0</v>
      </c>
      <c r="BH181" s="331">
        <f t="shared" si="68"/>
        <v>0</v>
      </c>
      <c r="BI181" s="331">
        <f t="shared" si="69"/>
        <v>0</v>
      </c>
      <c r="BJ181" s="331">
        <f t="shared" si="70"/>
        <v>0</v>
      </c>
      <c r="BK181" s="331">
        <f t="shared" si="71"/>
        <v>0</v>
      </c>
      <c r="BL181" s="331">
        <f t="shared" si="72"/>
        <v>0</v>
      </c>
      <c r="BM181" s="331">
        <f t="shared" si="73"/>
        <v>0</v>
      </c>
      <c r="BN181" s="331">
        <f t="shared" si="74"/>
        <v>0</v>
      </c>
      <c r="BO181" s="331">
        <f t="shared" si="75"/>
        <v>0</v>
      </c>
      <c r="BP181" s="331">
        <f t="shared" si="76"/>
        <v>0</v>
      </c>
      <c r="BQ181" s="331">
        <f t="shared" si="77"/>
        <v>0</v>
      </c>
      <c r="BR181" s="393"/>
    </row>
    <row r="182" spans="1:70" ht="27.75" customHeight="1" x14ac:dyDescent="0.4">
      <c r="A182" s="872">
        <v>174</v>
      </c>
      <c r="B182" s="864" t="s">
        <v>37</v>
      </c>
      <c r="C182" s="841">
        <f t="shared" si="79"/>
        <v>44820</v>
      </c>
      <c r="D182" s="842" t="str">
        <f>IF(C182="","",INDEX({"रविवार";"सोमवार";"मंगळवार";"बुधवार";"गुरूवार";"शुक्रवार";"शनिवार"},WEEKDAY(C182)))</f>
        <v>शुक्रवार</v>
      </c>
      <c r="E182" s="673">
        <v>16</v>
      </c>
      <c r="F182" s="673">
        <v>16</v>
      </c>
      <c r="G182" s="673">
        <v>16</v>
      </c>
      <c r="H182" s="673" t="s">
        <v>444</v>
      </c>
      <c r="I182" s="673" t="s">
        <v>384</v>
      </c>
      <c r="J182" s="673"/>
      <c r="K182" s="673"/>
      <c r="L182" s="673"/>
      <c r="M182" s="828"/>
      <c r="N182" s="828"/>
      <c r="O182" s="673" t="s">
        <v>779</v>
      </c>
      <c r="P182" s="673" t="s">
        <v>422</v>
      </c>
      <c r="BE182" s="392">
        <v>26</v>
      </c>
      <c r="BF182" s="331">
        <f t="shared" si="66"/>
        <v>0</v>
      </c>
      <c r="BG182" s="331">
        <f t="shared" si="67"/>
        <v>0</v>
      </c>
      <c r="BH182" s="331">
        <f t="shared" si="68"/>
        <v>0</v>
      </c>
      <c r="BI182" s="331">
        <f t="shared" si="69"/>
        <v>0</v>
      </c>
      <c r="BJ182" s="331">
        <f t="shared" si="70"/>
        <v>0</v>
      </c>
      <c r="BK182" s="331">
        <f t="shared" si="71"/>
        <v>0</v>
      </c>
      <c r="BL182" s="331">
        <f t="shared" si="72"/>
        <v>0</v>
      </c>
      <c r="BM182" s="331">
        <f t="shared" si="73"/>
        <v>0</v>
      </c>
      <c r="BN182" s="331">
        <f t="shared" si="74"/>
        <v>0</v>
      </c>
      <c r="BO182" s="331">
        <f t="shared" si="75"/>
        <v>0</v>
      </c>
      <c r="BP182" s="331">
        <f t="shared" si="76"/>
        <v>0</v>
      </c>
      <c r="BQ182" s="331">
        <f t="shared" si="77"/>
        <v>0</v>
      </c>
      <c r="BR182" s="393"/>
    </row>
    <row r="183" spans="1:70" ht="27.75" customHeight="1" x14ac:dyDescent="0.4">
      <c r="A183" s="872">
        <v>175</v>
      </c>
      <c r="B183" s="864" t="s">
        <v>37</v>
      </c>
      <c r="C183" s="841">
        <f t="shared" si="79"/>
        <v>44821</v>
      </c>
      <c r="D183" s="842" t="str">
        <f>IF(C183="","",INDEX({"रविवार";"सोमवार";"मंगळवार";"बुधवार";"गुरूवार";"शुक्रवार";"शनिवार"},WEEKDAY(C183)))</f>
        <v>शनिवार</v>
      </c>
      <c r="E183" s="673">
        <v>0</v>
      </c>
      <c r="F183" s="673">
        <v>0</v>
      </c>
      <c r="G183" s="673">
        <v>0</v>
      </c>
      <c r="H183" s="673"/>
      <c r="I183" s="673"/>
      <c r="J183" s="673"/>
      <c r="K183" s="673"/>
      <c r="L183" s="673"/>
      <c r="M183" s="828"/>
      <c r="N183" s="828"/>
      <c r="O183" s="673"/>
      <c r="P183" s="673"/>
      <c r="BE183" s="392">
        <v>27</v>
      </c>
      <c r="BF183" s="331">
        <f t="shared" si="66"/>
        <v>0</v>
      </c>
      <c r="BG183" s="331">
        <f t="shared" si="67"/>
        <v>0</v>
      </c>
      <c r="BH183" s="331">
        <f t="shared" si="68"/>
        <v>0</v>
      </c>
      <c r="BI183" s="331">
        <f t="shared" si="69"/>
        <v>0</v>
      </c>
      <c r="BJ183" s="331">
        <f t="shared" si="70"/>
        <v>0</v>
      </c>
      <c r="BK183" s="331">
        <f t="shared" si="71"/>
        <v>0</v>
      </c>
      <c r="BL183" s="331">
        <f t="shared" si="72"/>
        <v>0</v>
      </c>
      <c r="BM183" s="331">
        <f t="shared" si="73"/>
        <v>0</v>
      </c>
      <c r="BN183" s="331">
        <f t="shared" si="74"/>
        <v>0</v>
      </c>
      <c r="BO183" s="331">
        <f t="shared" si="75"/>
        <v>0</v>
      </c>
      <c r="BP183" s="331">
        <f t="shared" si="76"/>
        <v>0</v>
      </c>
      <c r="BQ183" s="331">
        <f t="shared" si="77"/>
        <v>0</v>
      </c>
      <c r="BR183" s="393"/>
    </row>
    <row r="184" spans="1:70" ht="27.75" customHeight="1" x14ac:dyDescent="0.4">
      <c r="A184" s="872">
        <v>176</v>
      </c>
      <c r="B184" s="864" t="s">
        <v>37</v>
      </c>
      <c r="C184" s="841">
        <f t="shared" si="79"/>
        <v>44822</v>
      </c>
      <c r="D184" s="842" t="str">
        <f>IF(C184="","",INDEX({"रविवार";"सोमवार";"मंगळवार";"बुधवार";"गुरूवार";"शुक्रवार";"शनिवार"},WEEKDAY(C184)))</f>
        <v>रविवार</v>
      </c>
      <c r="E184" s="673"/>
      <c r="F184" s="673"/>
      <c r="G184" s="673"/>
      <c r="H184" s="673"/>
      <c r="I184" s="673"/>
      <c r="J184" s="673"/>
      <c r="K184" s="673"/>
      <c r="L184" s="673"/>
      <c r="M184" s="828"/>
      <c r="N184" s="828"/>
      <c r="O184" s="673"/>
      <c r="P184" s="673"/>
      <c r="BE184" s="392">
        <v>28</v>
      </c>
      <c r="BF184" s="331">
        <f t="shared" si="66"/>
        <v>0</v>
      </c>
      <c r="BG184" s="331">
        <f t="shared" si="67"/>
        <v>0</v>
      </c>
      <c r="BH184" s="331">
        <f t="shared" si="68"/>
        <v>0</v>
      </c>
      <c r="BI184" s="331">
        <f t="shared" si="69"/>
        <v>0</v>
      </c>
      <c r="BJ184" s="331">
        <f t="shared" si="70"/>
        <v>0</v>
      </c>
      <c r="BK184" s="331">
        <f t="shared" si="71"/>
        <v>0</v>
      </c>
      <c r="BL184" s="331">
        <f t="shared" si="72"/>
        <v>0</v>
      </c>
      <c r="BM184" s="331">
        <f t="shared" si="73"/>
        <v>0</v>
      </c>
      <c r="BN184" s="331">
        <f t="shared" si="74"/>
        <v>0</v>
      </c>
      <c r="BO184" s="331">
        <f t="shared" si="75"/>
        <v>0</v>
      </c>
      <c r="BP184" s="331">
        <f t="shared" si="76"/>
        <v>0</v>
      </c>
      <c r="BQ184" s="331">
        <f t="shared" si="77"/>
        <v>0</v>
      </c>
      <c r="BR184" s="393"/>
    </row>
    <row r="185" spans="1:70" ht="27.75" customHeight="1" x14ac:dyDescent="0.4">
      <c r="A185" s="872">
        <v>177</v>
      </c>
      <c r="B185" s="864" t="s">
        <v>37</v>
      </c>
      <c r="C185" s="841">
        <f t="shared" si="79"/>
        <v>44823</v>
      </c>
      <c r="D185" s="842" t="str">
        <f>IF(C185="","",INDEX({"रविवार";"सोमवार";"मंगळवार";"बुधवार";"गुरूवार";"शुक्रवार";"शनिवार"},WEEKDAY(C185)))</f>
        <v>सोमवार</v>
      </c>
      <c r="E185" s="673">
        <v>16</v>
      </c>
      <c r="F185" s="673">
        <v>16</v>
      </c>
      <c r="G185" s="673">
        <v>16</v>
      </c>
      <c r="H185" s="673" t="s">
        <v>74</v>
      </c>
      <c r="I185" s="673" t="s">
        <v>359</v>
      </c>
      <c r="J185" s="673"/>
      <c r="K185" s="673"/>
      <c r="L185" s="673"/>
      <c r="M185" s="828"/>
      <c r="N185" s="828"/>
      <c r="O185" s="673" t="s">
        <v>781</v>
      </c>
      <c r="P185" s="673" t="s">
        <v>423</v>
      </c>
      <c r="BE185" s="392">
        <v>29</v>
      </c>
      <c r="BF185" s="331">
        <f t="shared" si="66"/>
        <v>0</v>
      </c>
      <c r="BG185" s="331">
        <f t="shared" si="67"/>
        <v>0</v>
      </c>
      <c r="BH185" s="331">
        <f t="shared" si="68"/>
        <v>0</v>
      </c>
      <c r="BI185" s="331">
        <f t="shared" si="69"/>
        <v>0</v>
      </c>
      <c r="BJ185" s="331">
        <f t="shared" si="70"/>
        <v>0</v>
      </c>
      <c r="BK185" s="331">
        <f t="shared" si="71"/>
        <v>0</v>
      </c>
      <c r="BL185" s="331">
        <f t="shared" si="72"/>
        <v>0</v>
      </c>
      <c r="BM185" s="331">
        <f t="shared" si="73"/>
        <v>0</v>
      </c>
      <c r="BN185" s="331">
        <f t="shared" si="74"/>
        <v>0</v>
      </c>
      <c r="BO185" s="331">
        <f t="shared" si="75"/>
        <v>0</v>
      </c>
      <c r="BP185" s="331">
        <f t="shared" si="76"/>
        <v>0</v>
      </c>
      <c r="BQ185" s="331">
        <f t="shared" si="77"/>
        <v>0</v>
      </c>
      <c r="BR185" s="393"/>
    </row>
    <row r="186" spans="1:70" ht="27.75" customHeight="1" x14ac:dyDescent="0.4">
      <c r="A186" s="872">
        <v>178</v>
      </c>
      <c r="B186" s="864" t="s">
        <v>37</v>
      </c>
      <c r="C186" s="841">
        <f t="shared" si="79"/>
        <v>44824</v>
      </c>
      <c r="D186" s="842" t="str">
        <f>IF(C186="","",INDEX({"रविवार";"सोमवार";"मंगळवार";"बुधवार";"गुरूवार";"शुक्रवार";"शनिवार"},WEEKDAY(C186)))</f>
        <v>मंगळवार</v>
      </c>
      <c r="E186" s="673">
        <v>16</v>
      </c>
      <c r="F186" s="673">
        <v>16</v>
      </c>
      <c r="G186" s="673">
        <v>16</v>
      </c>
      <c r="H186" s="673" t="s">
        <v>67</v>
      </c>
      <c r="I186" s="673" t="s">
        <v>384</v>
      </c>
      <c r="J186" s="673"/>
      <c r="K186" s="673"/>
      <c r="L186" s="673"/>
      <c r="M186" s="828"/>
      <c r="N186" s="828"/>
      <c r="O186" s="673" t="s">
        <v>777</v>
      </c>
      <c r="P186" s="673" t="s">
        <v>421</v>
      </c>
      <c r="BE186" s="392">
        <v>30</v>
      </c>
      <c r="BF186" s="331">
        <f t="shared" si="66"/>
        <v>0</v>
      </c>
      <c r="BG186" s="331">
        <f t="shared" si="67"/>
        <v>0</v>
      </c>
      <c r="BH186" s="331">
        <f t="shared" si="68"/>
        <v>0</v>
      </c>
      <c r="BI186" s="331">
        <f t="shared" si="69"/>
        <v>0</v>
      </c>
      <c r="BJ186" s="331">
        <f t="shared" si="70"/>
        <v>0</v>
      </c>
      <c r="BK186" s="331">
        <f t="shared" si="71"/>
        <v>0</v>
      </c>
      <c r="BL186" s="331">
        <f t="shared" si="72"/>
        <v>0</v>
      </c>
      <c r="BM186" s="331">
        <f t="shared" si="73"/>
        <v>0</v>
      </c>
      <c r="BN186" s="331">
        <f t="shared" si="74"/>
        <v>0</v>
      </c>
      <c r="BO186" s="331">
        <f t="shared" si="75"/>
        <v>0</v>
      </c>
      <c r="BP186" s="393"/>
      <c r="BQ186" s="331">
        <f t="shared" si="77"/>
        <v>0</v>
      </c>
      <c r="BR186" s="393"/>
    </row>
    <row r="187" spans="1:70" ht="27.75" customHeight="1" x14ac:dyDescent="0.4">
      <c r="A187" s="872">
        <v>179</v>
      </c>
      <c r="B187" s="864" t="s">
        <v>37</v>
      </c>
      <c r="C187" s="841">
        <f t="shared" si="79"/>
        <v>44825</v>
      </c>
      <c r="D187" s="842" t="str">
        <f>IF(C187="","",INDEX({"रविवार";"सोमवार";"मंगळवार";"बुधवार";"गुरूवार";"शुक्रवार";"शनिवार"},WEEKDAY(C187)))</f>
        <v>बुधवार</v>
      </c>
      <c r="E187" s="673">
        <v>16</v>
      </c>
      <c r="F187" s="673">
        <v>16</v>
      </c>
      <c r="G187" s="673">
        <v>16</v>
      </c>
      <c r="H187" s="673" t="s">
        <v>444</v>
      </c>
      <c r="I187" s="673" t="s">
        <v>384</v>
      </c>
      <c r="J187" s="673"/>
      <c r="K187" s="673"/>
      <c r="L187" s="673"/>
      <c r="M187" s="828"/>
      <c r="N187" s="828"/>
      <c r="O187" s="673" t="s">
        <v>780</v>
      </c>
      <c r="P187" s="673" t="s">
        <v>425</v>
      </c>
      <c r="BE187" s="392">
        <v>31</v>
      </c>
      <c r="BF187" s="393"/>
      <c r="BG187" s="331">
        <f t="shared" si="67"/>
        <v>0</v>
      </c>
      <c r="BH187" s="393"/>
      <c r="BI187" s="331">
        <f t="shared" si="69"/>
        <v>0</v>
      </c>
      <c r="BJ187" s="331">
        <f t="shared" si="70"/>
        <v>0</v>
      </c>
      <c r="BK187" s="393"/>
      <c r="BL187" s="331">
        <f t="shared" si="72"/>
        <v>0</v>
      </c>
      <c r="BM187" s="393"/>
      <c r="BN187" s="331">
        <f t="shared" si="74"/>
        <v>0</v>
      </c>
      <c r="BO187" s="331">
        <f t="shared" si="75"/>
        <v>0</v>
      </c>
      <c r="BP187" s="393"/>
      <c r="BQ187" s="331">
        <f t="shared" si="77"/>
        <v>0</v>
      </c>
      <c r="BR187" s="393"/>
    </row>
    <row r="188" spans="1:70" ht="27.75" customHeight="1" x14ac:dyDescent="0.45">
      <c r="A188" s="872">
        <v>180</v>
      </c>
      <c r="B188" s="864" t="s">
        <v>37</v>
      </c>
      <c r="C188" s="841">
        <f t="shared" si="79"/>
        <v>44826</v>
      </c>
      <c r="D188" s="842" t="str">
        <f>IF(C188="","",INDEX({"रविवार";"सोमवार";"मंगळवार";"बुधवार";"गुरूवार";"शुक्रवार";"शनिवार"},WEEKDAY(C188)))</f>
        <v>गुरूवार</v>
      </c>
      <c r="E188" s="673">
        <v>16</v>
      </c>
      <c r="F188" s="673">
        <v>16</v>
      </c>
      <c r="G188" s="673">
        <v>16</v>
      </c>
      <c r="H188" s="673" t="s">
        <v>67</v>
      </c>
      <c r="I188" s="673" t="s">
        <v>384</v>
      </c>
      <c r="J188" s="673"/>
      <c r="K188" s="673"/>
      <c r="L188" s="673"/>
      <c r="M188" s="828"/>
      <c r="N188" s="828"/>
      <c r="O188" s="673" t="s">
        <v>781</v>
      </c>
      <c r="P188" s="673" t="s">
        <v>424</v>
      </c>
      <c r="BE188" s="40" t="s">
        <v>35</v>
      </c>
      <c r="BF188" s="331" t="str">
        <f>J39</f>
        <v/>
      </c>
      <c r="BG188" s="331" t="str">
        <f t="shared" si="67"/>
        <v/>
      </c>
      <c r="BH188" s="331" t="str">
        <f>J102</f>
        <v/>
      </c>
      <c r="BI188" s="331" t="str">
        <f t="shared" si="69"/>
        <v/>
      </c>
      <c r="BJ188" s="331" t="str">
        <f t="shared" si="70"/>
        <v/>
      </c>
      <c r="BK188" s="331" t="str">
        <f>J197</f>
        <v/>
      </c>
      <c r="BL188" s="331" t="str">
        <f t="shared" si="72"/>
        <v/>
      </c>
      <c r="BM188" s="331" t="str">
        <f>J260</f>
        <v/>
      </c>
      <c r="BN188" s="331" t="str">
        <f t="shared" si="74"/>
        <v/>
      </c>
      <c r="BO188" s="331" t="str">
        <f t="shared" si="75"/>
        <v/>
      </c>
      <c r="BP188" s="331" t="str">
        <f>J354</f>
        <v/>
      </c>
      <c r="BQ188" s="331" t="str">
        <f t="shared" si="77"/>
        <v/>
      </c>
      <c r="BR188" s="393"/>
    </row>
    <row r="189" spans="1:70" ht="27.75" customHeight="1" x14ac:dyDescent="0.4">
      <c r="A189" s="872">
        <v>181</v>
      </c>
      <c r="B189" s="864" t="s">
        <v>37</v>
      </c>
      <c r="C189" s="841">
        <f t="shared" si="79"/>
        <v>44827</v>
      </c>
      <c r="D189" s="842" t="str">
        <f>IF(C189="","",INDEX({"रविवार";"सोमवार";"मंगळवार";"बुधवार";"गुरूवार";"शुक्रवार";"शनिवार"},WEEKDAY(C189)))</f>
        <v>शुक्रवार</v>
      </c>
      <c r="E189" s="673">
        <v>16</v>
      </c>
      <c r="F189" s="673">
        <v>16</v>
      </c>
      <c r="G189" s="673">
        <v>16</v>
      </c>
      <c r="H189" s="673" t="s">
        <v>444</v>
      </c>
      <c r="I189" s="673" t="s">
        <v>384</v>
      </c>
      <c r="J189" s="673"/>
      <c r="K189" s="673"/>
      <c r="L189" s="673"/>
      <c r="M189" s="828"/>
      <c r="N189" s="828"/>
      <c r="O189" s="673" t="s">
        <v>779</v>
      </c>
      <c r="P189" s="673" t="s">
        <v>422</v>
      </c>
    </row>
    <row r="190" spans="1:70" ht="27.75" customHeight="1" x14ac:dyDescent="0.4">
      <c r="A190" s="872">
        <v>182</v>
      </c>
      <c r="B190" s="864" t="s">
        <v>37</v>
      </c>
      <c r="C190" s="841">
        <f t="shared" si="79"/>
        <v>44828</v>
      </c>
      <c r="D190" s="842" t="str">
        <f>IF(C190="","",INDEX({"रविवार";"सोमवार";"मंगळवार";"बुधवार";"गुरूवार";"शुक्रवार";"शनिवार"},WEEKDAY(C190)))</f>
        <v>शनिवार</v>
      </c>
      <c r="E190" s="673">
        <v>16</v>
      </c>
      <c r="F190" s="673">
        <v>16</v>
      </c>
      <c r="G190" s="673">
        <v>16</v>
      </c>
      <c r="H190" s="673" t="s">
        <v>74</v>
      </c>
      <c r="I190" s="673" t="s">
        <v>359</v>
      </c>
      <c r="J190" s="673"/>
      <c r="K190" s="673"/>
      <c r="L190" s="673"/>
      <c r="M190" s="828"/>
      <c r="N190" s="828"/>
      <c r="O190" s="673" t="s">
        <v>777</v>
      </c>
      <c r="P190" s="673" t="s">
        <v>421</v>
      </c>
    </row>
    <row r="191" spans="1:70" ht="27.75" customHeight="1" x14ac:dyDescent="0.4">
      <c r="A191" s="872">
        <v>183</v>
      </c>
      <c r="B191" s="864" t="s">
        <v>37</v>
      </c>
      <c r="C191" s="841">
        <f t="shared" si="79"/>
        <v>44829</v>
      </c>
      <c r="D191" s="842" t="str">
        <f>IF(C191="","",INDEX({"रविवार";"सोमवार";"मंगळवार";"बुधवार";"गुरूवार";"शुक्रवार";"शनिवार"},WEEKDAY(C191)))</f>
        <v>रविवार</v>
      </c>
      <c r="E191" s="673"/>
      <c r="F191" s="673"/>
      <c r="G191" s="673"/>
      <c r="H191" s="673"/>
      <c r="I191" s="673"/>
      <c r="J191" s="673"/>
      <c r="K191" s="673"/>
      <c r="L191" s="673"/>
      <c r="M191" s="828"/>
      <c r="N191" s="828"/>
      <c r="O191" s="673"/>
      <c r="P191" s="673"/>
    </row>
    <row r="192" spans="1:70" ht="27.75" customHeight="1" x14ac:dyDescent="0.4">
      <c r="A192" s="872">
        <v>184</v>
      </c>
      <c r="B192" s="864" t="s">
        <v>37</v>
      </c>
      <c r="C192" s="841">
        <f t="shared" si="79"/>
        <v>44830</v>
      </c>
      <c r="D192" s="842" t="str">
        <f>IF(C192="","",INDEX({"रविवार";"सोमवार";"मंगळवार";"बुधवार";"गुरूवार";"शुक्रवार";"शनिवार"},WEEKDAY(C192)))</f>
        <v>सोमवार</v>
      </c>
      <c r="E192" s="673">
        <v>0</v>
      </c>
      <c r="F192" s="673">
        <v>0</v>
      </c>
      <c r="G192" s="673">
        <v>0</v>
      </c>
      <c r="H192" s="673"/>
      <c r="I192" s="673"/>
      <c r="J192" s="673"/>
      <c r="K192" s="673"/>
      <c r="L192" s="673"/>
      <c r="M192" s="828"/>
      <c r="N192" s="828"/>
      <c r="O192" s="673"/>
      <c r="P192" s="673"/>
    </row>
    <row r="193" spans="1:70" ht="27.75" customHeight="1" x14ac:dyDescent="0.4">
      <c r="A193" s="872">
        <v>185</v>
      </c>
      <c r="B193" s="864" t="s">
        <v>37</v>
      </c>
      <c r="C193" s="841">
        <f t="shared" si="79"/>
        <v>44831</v>
      </c>
      <c r="D193" s="842" t="str">
        <f>IF(C193="","",INDEX({"रविवार";"सोमवार";"मंगळवार";"बुधवार";"गुरूवार";"शुक्रवार";"शनिवार"},WEEKDAY(C193)))</f>
        <v>मंगळवार</v>
      </c>
      <c r="E193" s="673">
        <v>22</v>
      </c>
      <c r="F193" s="673">
        <v>22</v>
      </c>
      <c r="G193" s="673">
        <v>22</v>
      </c>
      <c r="H193" s="673" t="s">
        <v>67</v>
      </c>
      <c r="I193" s="673" t="s">
        <v>384</v>
      </c>
      <c r="J193" s="673"/>
      <c r="K193" s="673"/>
      <c r="L193" s="673"/>
      <c r="M193" s="828"/>
      <c r="N193" s="828"/>
      <c r="O193" s="673" t="s">
        <v>777</v>
      </c>
      <c r="P193" s="673" t="s">
        <v>421</v>
      </c>
      <c r="BK193" s="380" t="s">
        <v>290</v>
      </c>
    </row>
    <row r="194" spans="1:70" ht="27.75" customHeight="1" x14ac:dyDescent="0.4">
      <c r="A194" s="872">
        <v>186</v>
      </c>
      <c r="B194" s="864" t="s">
        <v>37</v>
      </c>
      <c r="C194" s="841">
        <f t="shared" si="79"/>
        <v>44832</v>
      </c>
      <c r="D194" s="842" t="str">
        <f>IF(C194="","",INDEX({"रविवार";"सोमवार";"मंगळवार";"बुधवार";"गुरूवार";"शुक्रवार";"शनिवार"},WEEKDAY(C194)))</f>
        <v>बुधवार</v>
      </c>
      <c r="E194" s="673">
        <v>22</v>
      </c>
      <c r="F194" s="673">
        <v>22</v>
      </c>
      <c r="G194" s="673">
        <v>22</v>
      </c>
      <c r="H194" s="673" t="s">
        <v>444</v>
      </c>
      <c r="I194" s="673" t="s">
        <v>384</v>
      </c>
      <c r="J194" s="673"/>
      <c r="K194" s="673"/>
      <c r="L194" s="673"/>
      <c r="M194" s="828"/>
      <c r="N194" s="828"/>
      <c r="O194" s="673" t="s">
        <v>780</v>
      </c>
      <c r="P194" s="673" t="s">
        <v>425</v>
      </c>
      <c r="BE194" s="38" t="s">
        <v>17</v>
      </c>
      <c r="BF194" s="390" t="s">
        <v>42</v>
      </c>
      <c r="BG194" s="390" t="s">
        <v>44</v>
      </c>
      <c r="BH194" s="390" t="s">
        <v>94</v>
      </c>
      <c r="BI194" s="390" t="s">
        <v>46</v>
      </c>
      <c r="BJ194" s="390" t="s">
        <v>34</v>
      </c>
      <c r="BK194" s="390" t="s">
        <v>37</v>
      </c>
      <c r="BL194" s="390" t="s">
        <v>47</v>
      </c>
      <c r="BM194" s="390" t="s">
        <v>38</v>
      </c>
      <c r="BN194" s="390" t="s">
        <v>39</v>
      </c>
      <c r="BO194" s="396" t="s">
        <v>33</v>
      </c>
      <c r="BP194" s="390" t="s">
        <v>40</v>
      </c>
      <c r="BQ194" s="390" t="s">
        <v>41</v>
      </c>
      <c r="BR194" s="192"/>
    </row>
    <row r="195" spans="1:70" ht="27.75" customHeight="1" x14ac:dyDescent="0.4">
      <c r="A195" s="872">
        <v>187</v>
      </c>
      <c r="B195" s="864" t="s">
        <v>37</v>
      </c>
      <c r="C195" s="841">
        <f t="shared" si="79"/>
        <v>44833</v>
      </c>
      <c r="D195" s="842" t="str">
        <f>IF(C195="","",INDEX({"रविवार";"सोमवार";"मंगळवार";"बुधवार";"गुरूवार";"शुक्रवार";"शनिवार"},WEEKDAY(C195)))</f>
        <v>गुरूवार</v>
      </c>
      <c r="E195" s="673">
        <v>22</v>
      </c>
      <c r="F195" s="673">
        <v>22</v>
      </c>
      <c r="G195" s="673">
        <v>22</v>
      </c>
      <c r="H195" s="673" t="s">
        <v>67</v>
      </c>
      <c r="I195" s="673" t="s">
        <v>384</v>
      </c>
      <c r="J195" s="673"/>
      <c r="K195" s="673"/>
      <c r="L195" s="673"/>
      <c r="M195" s="828"/>
      <c r="N195" s="828"/>
      <c r="O195" s="673" t="s">
        <v>781</v>
      </c>
      <c r="P195" s="673" t="s">
        <v>424</v>
      </c>
      <c r="BE195" s="392">
        <v>1</v>
      </c>
      <c r="BF195" s="331">
        <f>K9</f>
        <v>0</v>
      </c>
      <c r="BG195" s="331">
        <f>K40</f>
        <v>0</v>
      </c>
      <c r="BH195" s="331">
        <f>K72</f>
        <v>0</v>
      </c>
      <c r="BI195" s="331">
        <f>K103</f>
        <v>0</v>
      </c>
      <c r="BJ195" s="331">
        <f>K135</f>
        <v>0</v>
      </c>
      <c r="BK195" s="331">
        <f>K167</f>
        <v>0</v>
      </c>
      <c r="BL195" s="331">
        <f>K198</f>
        <v>0</v>
      </c>
      <c r="BM195" s="331">
        <f>K230</f>
        <v>0</v>
      </c>
      <c r="BN195" s="331">
        <f>K261</f>
        <v>0</v>
      </c>
      <c r="BO195" s="331">
        <f>K293</f>
        <v>0</v>
      </c>
      <c r="BP195" s="331">
        <f>K325</f>
        <v>0</v>
      </c>
      <c r="BQ195" s="331">
        <f>K355</f>
        <v>0</v>
      </c>
      <c r="BR195" s="393"/>
    </row>
    <row r="196" spans="1:70" ht="27.75" customHeight="1" x14ac:dyDescent="0.4">
      <c r="A196" s="872">
        <v>188</v>
      </c>
      <c r="B196" s="864" t="s">
        <v>37</v>
      </c>
      <c r="C196" s="841">
        <f t="shared" si="79"/>
        <v>44834</v>
      </c>
      <c r="D196" s="842" t="str">
        <f>IF(C196="","",INDEX({"रविवार";"सोमवार";"मंगळवार";"बुधवार";"गुरूवार";"शुक्रवार";"शनिवार"},WEEKDAY(C196)))</f>
        <v>शुक्रवार</v>
      </c>
      <c r="E196" s="673">
        <v>22</v>
      </c>
      <c r="F196" s="673">
        <v>22</v>
      </c>
      <c r="G196" s="673">
        <v>22</v>
      </c>
      <c r="H196" s="673" t="s">
        <v>444</v>
      </c>
      <c r="I196" s="673" t="s">
        <v>384</v>
      </c>
      <c r="J196" s="673"/>
      <c r="K196" s="673"/>
      <c r="L196" s="673"/>
      <c r="M196" s="828"/>
      <c r="N196" s="828"/>
      <c r="O196" s="673" t="s">
        <v>779</v>
      </c>
      <c r="P196" s="673" t="s">
        <v>422</v>
      </c>
      <c r="BE196" s="392">
        <v>2</v>
      </c>
      <c r="BF196" s="331">
        <f t="shared" ref="BF196:BF224" si="80">K10</f>
        <v>0</v>
      </c>
      <c r="BG196" s="331">
        <f t="shared" ref="BG196:BG226" si="81">K41</f>
        <v>0</v>
      </c>
      <c r="BH196" s="331">
        <f t="shared" ref="BH196:BH224" si="82">K73</f>
        <v>0</v>
      </c>
      <c r="BI196" s="331">
        <f t="shared" ref="BI196:BI226" si="83">K104</f>
        <v>0</v>
      </c>
      <c r="BJ196" s="331">
        <f t="shared" ref="BJ196:BJ226" si="84">K136</f>
        <v>0</v>
      </c>
      <c r="BK196" s="331">
        <f t="shared" ref="BK196:BK224" si="85">K168</f>
        <v>0</v>
      </c>
      <c r="BL196" s="331">
        <f t="shared" ref="BL196:BL226" si="86">K199</f>
        <v>0</v>
      </c>
      <c r="BM196" s="331">
        <f t="shared" ref="BM196:BM224" si="87">K231</f>
        <v>0</v>
      </c>
      <c r="BN196" s="331">
        <f t="shared" ref="BN196:BN226" si="88">K262</f>
        <v>0</v>
      </c>
      <c r="BO196" s="331">
        <f t="shared" ref="BO196:BO226" si="89">K294</f>
        <v>0</v>
      </c>
      <c r="BP196" s="331">
        <f t="shared" ref="BP196:BP223" si="90">K326</f>
        <v>0</v>
      </c>
      <c r="BQ196" s="331">
        <f t="shared" ref="BQ196:BQ226" si="91">K356</f>
        <v>0</v>
      </c>
      <c r="BR196" s="393"/>
    </row>
    <row r="197" spans="1:70" ht="27.75" customHeight="1" x14ac:dyDescent="0.4">
      <c r="A197" s="872">
        <v>189</v>
      </c>
      <c r="B197" s="864" t="s">
        <v>37</v>
      </c>
      <c r="C197" s="841" t="s">
        <v>35</v>
      </c>
      <c r="D197" s="841"/>
      <c r="E197" s="829">
        <f>IF(SUM(E167:E196)&gt;0,SUM(E167:E196),"")</f>
        <v>384</v>
      </c>
      <c r="F197" s="829">
        <f t="shared" ref="F197:N197" si="92">IF(SUM(F167:F196)&gt;0,SUM(F167:F196),"")</f>
        <v>384</v>
      </c>
      <c r="G197" s="829">
        <f t="shared" si="92"/>
        <v>384</v>
      </c>
      <c r="H197" s="829" t="str">
        <f t="shared" si="92"/>
        <v/>
      </c>
      <c r="I197" s="829" t="str">
        <f t="shared" si="92"/>
        <v/>
      </c>
      <c r="J197" s="829" t="str">
        <f t="shared" si="92"/>
        <v/>
      </c>
      <c r="K197" s="829" t="str">
        <f t="shared" si="92"/>
        <v/>
      </c>
      <c r="L197" s="829" t="str">
        <f t="shared" si="92"/>
        <v/>
      </c>
      <c r="M197" s="829" t="str">
        <f t="shared" si="92"/>
        <v/>
      </c>
      <c r="N197" s="829" t="str">
        <f t="shared" si="92"/>
        <v/>
      </c>
      <c r="O197" s="830"/>
      <c r="P197" s="830"/>
      <c r="BE197" s="392">
        <v>3</v>
      </c>
      <c r="BF197" s="331">
        <f t="shared" si="80"/>
        <v>0</v>
      </c>
      <c r="BG197" s="331">
        <f t="shared" si="81"/>
        <v>0</v>
      </c>
      <c r="BH197" s="331">
        <f t="shared" si="82"/>
        <v>0</v>
      </c>
      <c r="BI197" s="331">
        <f t="shared" si="83"/>
        <v>0</v>
      </c>
      <c r="BJ197" s="331">
        <f t="shared" si="84"/>
        <v>0</v>
      </c>
      <c r="BK197" s="331">
        <f t="shared" si="85"/>
        <v>0</v>
      </c>
      <c r="BL197" s="331">
        <f t="shared" si="86"/>
        <v>0</v>
      </c>
      <c r="BM197" s="331">
        <f t="shared" si="87"/>
        <v>0</v>
      </c>
      <c r="BN197" s="331">
        <f t="shared" si="88"/>
        <v>0</v>
      </c>
      <c r="BO197" s="331">
        <f t="shared" si="89"/>
        <v>0</v>
      </c>
      <c r="BP197" s="331">
        <f t="shared" si="90"/>
        <v>0</v>
      </c>
      <c r="BQ197" s="331">
        <f t="shared" si="91"/>
        <v>0</v>
      </c>
      <c r="BR197" s="393"/>
    </row>
    <row r="198" spans="1:70" ht="27.75" customHeight="1" x14ac:dyDescent="0.4">
      <c r="A198" s="872">
        <v>190</v>
      </c>
      <c r="B198" s="865" t="s">
        <v>47</v>
      </c>
      <c r="C198" s="841">
        <f>DATE(N6,"10","1")</f>
        <v>44835</v>
      </c>
      <c r="D198" s="842" t="str">
        <f>IF(C198="","",INDEX({"रविवार";"सोमवार";"मंगळवार";"बुधवार";"गुरूवार";"शुक्रवार";"शनिवार"},WEEKDAY(C198)))</f>
        <v>शनिवार</v>
      </c>
      <c r="E198" s="673">
        <v>22</v>
      </c>
      <c r="F198" s="673">
        <v>22</v>
      </c>
      <c r="G198" s="673">
        <v>22</v>
      </c>
      <c r="H198" s="673" t="s">
        <v>74</v>
      </c>
      <c r="I198" s="673" t="s">
        <v>359</v>
      </c>
      <c r="J198" s="673"/>
      <c r="K198" s="673"/>
      <c r="L198" s="673"/>
      <c r="M198" s="828"/>
      <c r="N198" s="828"/>
      <c r="O198" s="673" t="s">
        <v>777</v>
      </c>
      <c r="P198" s="673" t="s">
        <v>421</v>
      </c>
      <c r="BE198" s="392">
        <v>4</v>
      </c>
      <c r="BF198" s="331">
        <f t="shared" si="80"/>
        <v>0</v>
      </c>
      <c r="BG198" s="331">
        <f t="shared" si="81"/>
        <v>0</v>
      </c>
      <c r="BH198" s="331">
        <f t="shared" si="82"/>
        <v>0</v>
      </c>
      <c r="BI198" s="331">
        <f t="shared" si="83"/>
        <v>0</v>
      </c>
      <c r="BJ198" s="331">
        <f t="shared" si="84"/>
        <v>0</v>
      </c>
      <c r="BK198" s="331">
        <f t="shared" si="85"/>
        <v>0</v>
      </c>
      <c r="BL198" s="331">
        <f t="shared" si="86"/>
        <v>0</v>
      </c>
      <c r="BM198" s="331">
        <f t="shared" si="87"/>
        <v>0</v>
      </c>
      <c r="BN198" s="331">
        <f t="shared" si="88"/>
        <v>0</v>
      </c>
      <c r="BO198" s="331">
        <f t="shared" si="89"/>
        <v>0</v>
      </c>
      <c r="BP198" s="331">
        <f t="shared" si="90"/>
        <v>0</v>
      </c>
      <c r="BQ198" s="331">
        <f t="shared" si="91"/>
        <v>0</v>
      </c>
      <c r="BR198" s="393"/>
    </row>
    <row r="199" spans="1:70" ht="27.75" customHeight="1" x14ac:dyDescent="0.4">
      <c r="A199" s="872">
        <v>191</v>
      </c>
      <c r="B199" s="865" t="s">
        <v>47</v>
      </c>
      <c r="C199" s="841">
        <f>C198+1</f>
        <v>44836</v>
      </c>
      <c r="D199" s="842" t="str">
        <f>IF(C199="","",INDEX({"रविवार";"सोमवार";"मंगळवार";"बुधवार";"गुरूवार";"शुक्रवार";"शनिवार"},WEEKDAY(C199)))</f>
        <v>रविवार</v>
      </c>
      <c r="E199" s="673">
        <v>0</v>
      </c>
      <c r="F199" s="673">
        <v>0</v>
      </c>
      <c r="G199" s="673">
        <v>0</v>
      </c>
      <c r="H199" s="673"/>
      <c r="I199" s="673"/>
      <c r="J199" s="673"/>
      <c r="K199" s="673"/>
      <c r="L199" s="673"/>
      <c r="M199" s="828"/>
      <c r="N199" s="828"/>
      <c r="O199" s="673"/>
      <c r="P199" s="673"/>
      <c r="BE199" s="392">
        <v>5</v>
      </c>
      <c r="BF199" s="331">
        <f t="shared" si="80"/>
        <v>0</v>
      </c>
      <c r="BG199" s="331">
        <f t="shared" si="81"/>
        <v>0</v>
      </c>
      <c r="BH199" s="331">
        <f t="shared" si="82"/>
        <v>0</v>
      </c>
      <c r="BI199" s="331">
        <f t="shared" si="83"/>
        <v>0</v>
      </c>
      <c r="BJ199" s="331">
        <f t="shared" si="84"/>
        <v>0</v>
      </c>
      <c r="BK199" s="331">
        <f t="shared" si="85"/>
        <v>0</v>
      </c>
      <c r="BL199" s="331">
        <f t="shared" si="86"/>
        <v>0</v>
      </c>
      <c r="BM199" s="331">
        <f t="shared" si="87"/>
        <v>0</v>
      </c>
      <c r="BN199" s="331">
        <f t="shared" si="88"/>
        <v>0</v>
      </c>
      <c r="BO199" s="331">
        <f t="shared" si="89"/>
        <v>0</v>
      </c>
      <c r="BP199" s="331">
        <f t="shared" si="90"/>
        <v>0</v>
      </c>
      <c r="BQ199" s="331">
        <f t="shared" si="91"/>
        <v>0</v>
      </c>
      <c r="BR199" s="393"/>
    </row>
    <row r="200" spans="1:70" ht="27.75" customHeight="1" x14ac:dyDescent="0.4">
      <c r="A200" s="872">
        <v>192</v>
      </c>
      <c r="B200" s="865" t="s">
        <v>47</v>
      </c>
      <c r="C200" s="841">
        <f t="shared" ref="C200:C228" si="93">C199+1</f>
        <v>44837</v>
      </c>
      <c r="D200" s="842" t="str">
        <f>IF(C200="","",INDEX({"रविवार";"सोमवार";"मंगळवार";"बुधवार";"गुरूवार";"शुक्रवार";"शनिवार"},WEEKDAY(C200)))</f>
        <v>सोमवार</v>
      </c>
      <c r="E200" s="673">
        <v>22</v>
      </c>
      <c r="F200" s="673">
        <v>22</v>
      </c>
      <c r="G200" s="673">
        <v>22</v>
      </c>
      <c r="H200" s="673" t="s">
        <v>74</v>
      </c>
      <c r="I200" s="673" t="s">
        <v>359</v>
      </c>
      <c r="J200" s="673"/>
      <c r="K200" s="673"/>
      <c r="L200" s="673"/>
      <c r="M200" s="828"/>
      <c r="N200" s="828"/>
      <c r="O200" s="673" t="s">
        <v>777</v>
      </c>
      <c r="P200" s="673" t="s">
        <v>421</v>
      </c>
      <c r="BE200" s="392">
        <v>6</v>
      </c>
      <c r="BF200" s="331">
        <f t="shared" si="80"/>
        <v>0</v>
      </c>
      <c r="BG200" s="331">
        <f t="shared" si="81"/>
        <v>0</v>
      </c>
      <c r="BH200" s="331">
        <f t="shared" si="82"/>
        <v>0</v>
      </c>
      <c r="BI200" s="331">
        <f t="shared" si="83"/>
        <v>0</v>
      </c>
      <c r="BJ200" s="331">
        <f t="shared" si="84"/>
        <v>0</v>
      </c>
      <c r="BK200" s="331">
        <f t="shared" si="85"/>
        <v>0</v>
      </c>
      <c r="BL200" s="331">
        <f t="shared" si="86"/>
        <v>0</v>
      </c>
      <c r="BM200" s="331">
        <f t="shared" si="87"/>
        <v>0</v>
      </c>
      <c r="BN200" s="331">
        <f t="shared" si="88"/>
        <v>0</v>
      </c>
      <c r="BO200" s="331">
        <f t="shared" si="89"/>
        <v>0</v>
      </c>
      <c r="BP200" s="331">
        <f t="shared" si="90"/>
        <v>0</v>
      </c>
      <c r="BQ200" s="331">
        <f t="shared" si="91"/>
        <v>0</v>
      </c>
      <c r="BR200" s="393"/>
    </row>
    <row r="201" spans="1:70" ht="27.75" customHeight="1" x14ac:dyDescent="0.4">
      <c r="A201" s="872">
        <v>193</v>
      </c>
      <c r="B201" s="865" t="s">
        <v>47</v>
      </c>
      <c r="C201" s="841">
        <f t="shared" si="93"/>
        <v>44838</v>
      </c>
      <c r="D201" s="842" t="str">
        <f>IF(C201="","",INDEX({"रविवार";"सोमवार";"मंगळवार";"बुधवार";"गुरूवार";"शुक्रवार";"शनिवार"},WEEKDAY(C201)))</f>
        <v>मंगळवार</v>
      </c>
      <c r="E201" s="673">
        <v>0</v>
      </c>
      <c r="F201" s="673">
        <v>0</v>
      </c>
      <c r="G201" s="673">
        <v>0</v>
      </c>
      <c r="H201" s="673"/>
      <c r="I201" s="673"/>
      <c r="J201" s="673"/>
      <c r="K201" s="673"/>
      <c r="L201" s="673"/>
      <c r="M201" s="828"/>
      <c r="N201" s="828"/>
      <c r="O201" s="673"/>
      <c r="P201" s="673"/>
      <c r="BE201" s="392">
        <v>7</v>
      </c>
      <c r="BF201" s="331">
        <f t="shared" si="80"/>
        <v>0</v>
      </c>
      <c r="BG201" s="331">
        <f t="shared" si="81"/>
        <v>0</v>
      </c>
      <c r="BH201" s="331">
        <f t="shared" si="82"/>
        <v>0</v>
      </c>
      <c r="BI201" s="331">
        <f t="shared" si="83"/>
        <v>0</v>
      </c>
      <c r="BJ201" s="331">
        <f t="shared" si="84"/>
        <v>0</v>
      </c>
      <c r="BK201" s="331">
        <f t="shared" si="85"/>
        <v>0</v>
      </c>
      <c r="BL201" s="331">
        <f t="shared" si="86"/>
        <v>0</v>
      </c>
      <c r="BM201" s="331">
        <f t="shared" si="87"/>
        <v>0</v>
      </c>
      <c r="BN201" s="331">
        <f t="shared" si="88"/>
        <v>0</v>
      </c>
      <c r="BO201" s="331">
        <f t="shared" si="89"/>
        <v>0</v>
      </c>
      <c r="BP201" s="331">
        <f t="shared" si="90"/>
        <v>0</v>
      </c>
      <c r="BQ201" s="331">
        <f t="shared" si="91"/>
        <v>0</v>
      </c>
      <c r="BR201" s="393"/>
    </row>
    <row r="202" spans="1:70" ht="27.75" customHeight="1" x14ac:dyDescent="0.4">
      <c r="A202" s="872">
        <v>194</v>
      </c>
      <c r="B202" s="865" t="s">
        <v>47</v>
      </c>
      <c r="C202" s="841">
        <f t="shared" si="93"/>
        <v>44839</v>
      </c>
      <c r="D202" s="842" t="str">
        <f>IF(C202="","",INDEX({"रविवार";"सोमवार";"मंगळवार";"बुधवार";"गुरूवार";"शुक्रवार";"शनिवार"},WEEKDAY(C202)))</f>
        <v>बुधवार</v>
      </c>
      <c r="E202" s="673">
        <v>0</v>
      </c>
      <c r="F202" s="673">
        <v>0</v>
      </c>
      <c r="G202" s="673">
        <v>0</v>
      </c>
      <c r="H202" s="673"/>
      <c r="I202" s="673"/>
      <c r="J202" s="673"/>
      <c r="K202" s="673"/>
      <c r="L202" s="673"/>
      <c r="M202" s="828"/>
      <c r="N202" s="828"/>
      <c r="O202" s="673"/>
      <c r="P202" s="673"/>
      <c r="BE202" s="392">
        <v>8</v>
      </c>
      <c r="BF202" s="331">
        <f t="shared" si="80"/>
        <v>0</v>
      </c>
      <c r="BG202" s="331">
        <f t="shared" si="81"/>
        <v>0</v>
      </c>
      <c r="BH202" s="331">
        <f t="shared" si="82"/>
        <v>0</v>
      </c>
      <c r="BI202" s="331">
        <f t="shared" si="83"/>
        <v>0</v>
      </c>
      <c r="BJ202" s="331">
        <f t="shared" si="84"/>
        <v>0</v>
      </c>
      <c r="BK202" s="331">
        <f t="shared" si="85"/>
        <v>0</v>
      </c>
      <c r="BL202" s="331">
        <f t="shared" si="86"/>
        <v>0</v>
      </c>
      <c r="BM202" s="331">
        <f t="shared" si="87"/>
        <v>0</v>
      </c>
      <c r="BN202" s="331">
        <f t="shared" si="88"/>
        <v>0</v>
      </c>
      <c r="BO202" s="331">
        <f t="shared" si="89"/>
        <v>0</v>
      </c>
      <c r="BP202" s="331">
        <f t="shared" si="90"/>
        <v>0</v>
      </c>
      <c r="BQ202" s="331">
        <f t="shared" si="91"/>
        <v>0</v>
      </c>
      <c r="BR202" s="393"/>
    </row>
    <row r="203" spans="1:70" ht="27.75" customHeight="1" x14ac:dyDescent="0.4">
      <c r="A203" s="872">
        <v>195</v>
      </c>
      <c r="B203" s="865" t="s">
        <v>47</v>
      </c>
      <c r="C203" s="841">
        <f t="shared" si="93"/>
        <v>44840</v>
      </c>
      <c r="D203" s="842" t="str">
        <f>IF(C203="","",INDEX({"रविवार";"सोमवार";"मंगळवार";"बुधवार";"गुरूवार";"शुक्रवार";"शनिवार"},WEEKDAY(C203)))</f>
        <v>गुरूवार</v>
      </c>
      <c r="E203" s="673">
        <v>16</v>
      </c>
      <c r="F203" s="673">
        <v>16</v>
      </c>
      <c r="G203" s="673">
        <v>16</v>
      </c>
      <c r="H203" s="673" t="s">
        <v>67</v>
      </c>
      <c r="I203" s="673" t="s">
        <v>384</v>
      </c>
      <c r="J203" s="673"/>
      <c r="K203" s="673"/>
      <c r="L203" s="673"/>
      <c r="M203" s="828"/>
      <c r="N203" s="828"/>
      <c r="O203" s="673" t="s">
        <v>781</v>
      </c>
      <c r="P203" s="673" t="s">
        <v>423</v>
      </c>
      <c r="BE203" s="392">
        <v>9</v>
      </c>
      <c r="BF203" s="331">
        <f t="shared" si="80"/>
        <v>0</v>
      </c>
      <c r="BG203" s="331">
        <f t="shared" si="81"/>
        <v>0</v>
      </c>
      <c r="BH203" s="331">
        <f t="shared" si="82"/>
        <v>0</v>
      </c>
      <c r="BI203" s="331">
        <f t="shared" si="83"/>
        <v>0</v>
      </c>
      <c r="BJ203" s="331">
        <f t="shared" si="84"/>
        <v>0</v>
      </c>
      <c r="BK203" s="331">
        <f t="shared" si="85"/>
        <v>0</v>
      </c>
      <c r="BL203" s="331">
        <f t="shared" si="86"/>
        <v>0</v>
      </c>
      <c r="BM203" s="331">
        <f t="shared" si="87"/>
        <v>0</v>
      </c>
      <c r="BN203" s="331">
        <f t="shared" si="88"/>
        <v>0</v>
      </c>
      <c r="BO203" s="331">
        <f t="shared" si="89"/>
        <v>0</v>
      </c>
      <c r="BP203" s="331">
        <f t="shared" si="90"/>
        <v>0</v>
      </c>
      <c r="BQ203" s="331">
        <f t="shared" si="91"/>
        <v>0</v>
      </c>
      <c r="BR203" s="393"/>
    </row>
    <row r="204" spans="1:70" ht="27.75" customHeight="1" x14ac:dyDescent="0.4">
      <c r="A204" s="872">
        <v>196</v>
      </c>
      <c r="B204" s="865" t="s">
        <v>47</v>
      </c>
      <c r="C204" s="841">
        <f t="shared" si="93"/>
        <v>44841</v>
      </c>
      <c r="D204" s="842" t="str">
        <f>IF(C204="","",INDEX({"रविवार";"सोमवार";"मंगळवार";"बुधवार";"गुरूवार";"शुक्रवार";"शनिवार"},WEEKDAY(C204)))</f>
        <v>शुक्रवार</v>
      </c>
      <c r="E204" s="673">
        <v>22</v>
      </c>
      <c r="F204" s="673">
        <v>22</v>
      </c>
      <c r="G204" s="673">
        <v>22</v>
      </c>
      <c r="H204" s="673" t="s">
        <v>444</v>
      </c>
      <c r="I204" s="673" t="s">
        <v>384</v>
      </c>
      <c r="J204" s="673"/>
      <c r="K204" s="673"/>
      <c r="L204" s="673"/>
      <c r="M204" s="828"/>
      <c r="N204" s="828"/>
      <c r="O204" s="673" t="s">
        <v>777</v>
      </c>
      <c r="P204" s="673" t="s">
        <v>421</v>
      </c>
      <c r="BE204" s="392">
        <v>10</v>
      </c>
      <c r="BF204" s="331">
        <f t="shared" si="80"/>
        <v>0</v>
      </c>
      <c r="BG204" s="331">
        <f t="shared" si="81"/>
        <v>0</v>
      </c>
      <c r="BH204" s="331">
        <f t="shared" si="82"/>
        <v>0</v>
      </c>
      <c r="BI204" s="331">
        <f t="shared" si="83"/>
        <v>0</v>
      </c>
      <c r="BJ204" s="331">
        <f t="shared" si="84"/>
        <v>0</v>
      </c>
      <c r="BK204" s="331">
        <f t="shared" si="85"/>
        <v>0</v>
      </c>
      <c r="BL204" s="331">
        <f t="shared" si="86"/>
        <v>0</v>
      </c>
      <c r="BM204" s="331">
        <f t="shared" si="87"/>
        <v>0</v>
      </c>
      <c r="BN204" s="331">
        <f t="shared" si="88"/>
        <v>0</v>
      </c>
      <c r="BO204" s="331">
        <f t="shared" si="89"/>
        <v>0</v>
      </c>
      <c r="BP204" s="331">
        <f t="shared" si="90"/>
        <v>0</v>
      </c>
      <c r="BQ204" s="331">
        <f t="shared" si="91"/>
        <v>0</v>
      </c>
      <c r="BR204" s="393"/>
    </row>
    <row r="205" spans="1:70" ht="27.75" customHeight="1" x14ac:dyDescent="0.4">
      <c r="A205" s="872">
        <v>197</v>
      </c>
      <c r="B205" s="865" t="s">
        <v>47</v>
      </c>
      <c r="C205" s="841">
        <f t="shared" si="93"/>
        <v>44842</v>
      </c>
      <c r="D205" s="842" t="str">
        <f>IF(C205="","",INDEX({"रविवार";"सोमवार";"मंगळवार";"बुधवार";"गुरूवार";"शुक्रवार";"शनिवार"},WEEKDAY(C205)))</f>
        <v>शनिवार</v>
      </c>
      <c r="E205" s="673">
        <v>22</v>
      </c>
      <c r="F205" s="673">
        <v>22</v>
      </c>
      <c r="G205" s="673">
        <v>22</v>
      </c>
      <c r="H205" s="673" t="s">
        <v>74</v>
      </c>
      <c r="I205" s="673" t="s">
        <v>359</v>
      </c>
      <c r="J205" s="673"/>
      <c r="K205" s="673"/>
      <c r="L205" s="673"/>
      <c r="M205" s="828"/>
      <c r="N205" s="828"/>
      <c r="O205" s="673" t="s">
        <v>780</v>
      </c>
      <c r="P205" s="673" t="s">
        <v>425</v>
      </c>
      <c r="BE205" s="392">
        <v>11</v>
      </c>
      <c r="BF205" s="331">
        <f t="shared" si="80"/>
        <v>0</v>
      </c>
      <c r="BG205" s="331">
        <f t="shared" si="81"/>
        <v>0</v>
      </c>
      <c r="BH205" s="331">
        <f t="shared" si="82"/>
        <v>0</v>
      </c>
      <c r="BI205" s="331">
        <f t="shared" si="83"/>
        <v>0</v>
      </c>
      <c r="BJ205" s="331">
        <f t="shared" si="84"/>
        <v>0</v>
      </c>
      <c r="BK205" s="331">
        <f t="shared" si="85"/>
        <v>0</v>
      </c>
      <c r="BL205" s="331">
        <f t="shared" si="86"/>
        <v>0</v>
      </c>
      <c r="BM205" s="331">
        <f t="shared" si="87"/>
        <v>0</v>
      </c>
      <c r="BN205" s="331">
        <f t="shared" si="88"/>
        <v>0</v>
      </c>
      <c r="BO205" s="331">
        <f t="shared" si="89"/>
        <v>0</v>
      </c>
      <c r="BP205" s="331">
        <f t="shared" si="90"/>
        <v>0</v>
      </c>
      <c r="BQ205" s="331">
        <f t="shared" si="91"/>
        <v>0</v>
      </c>
      <c r="BR205" s="393"/>
    </row>
    <row r="206" spans="1:70" ht="27.75" customHeight="1" x14ac:dyDescent="0.4">
      <c r="A206" s="872">
        <v>198</v>
      </c>
      <c r="B206" s="865" t="s">
        <v>47</v>
      </c>
      <c r="C206" s="841">
        <f t="shared" si="93"/>
        <v>44843</v>
      </c>
      <c r="D206" s="842" t="str">
        <f>IF(C206="","",INDEX({"रविवार";"सोमवार";"मंगळवार";"बुधवार";"गुरूवार";"शुक्रवार";"शनिवार"},WEEKDAY(C206)))</f>
        <v>रविवार</v>
      </c>
      <c r="E206" s="673">
        <v>0</v>
      </c>
      <c r="F206" s="673">
        <v>0</v>
      </c>
      <c r="G206" s="673">
        <v>0</v>
      </c>
      <c r="H206" s="673"/>
      <c r="I206" s="673"/>
      <c r="J206" s="673"/>
      <c r="K206" s="673"/>
      <c r="L206" s="673"/>
      <c r="M206" s="828"/>
      <c r="N206" s="828"/>
      <c r="O206" s="673"/>
      <c r="P206" s="673"/>
      <c r="BE206" s="392">
        <v>12</v>
      </c>
      <c r="BF206" s="331">
        <f t="shared" si="80"/>
        <v>0</v>
      </c>
      <c r="BG206" s="331">
        <f t="shared" si="81"/>
        <v>0</v>
      </c>
      <c r="BH206" s="331">
        <f t="shared" si="82"/>
        <v>0</v>
      </c>
      <c r="BI206" s="331">
        <f t="shared" si="83"/>
        <v>0</v>
      </c>
      <c r="BJ206" s="331">
        <f t="shared" si="84"/>
        <v>0</v>
      </c>
      <c r="BK206" s="331">
        <f t="shared" si="85"/>
        <v>0</v>
      </c>
      <c r="BL206" s="331">
        <f t="shared" si="86"/>
        <v>0</v>
      </c>
      <c r="BM206" s="331">
        <f t="shared" si="87"/>
        <v>0</v>
      </c>
      <c r="BN206" s="331">
        <f t="shared" si="88"/>
        <v>0</v>
      </c>
      <c r="BO206" s="331">
        <f t="shared" si="89"/>
        <v>0</v>
      </c>
      <c r="BP206" s="331">
        <f t="shared" si="90"/>
        <v>0</v>
      </c>
      <c r="BQ206" s="331">
        <f t="shared" si="91"/>
        <v>0</v>
      </c>
      <c r="BR206" s="393"/>
    </row>
    <row r="207" spans="1:70" ht="27.75" customHeight="1" x14ac:dyDescent="0.4">
      <c r="A207" s="872">
        <v>199</v>
      </c>
      <c r="B207" s="865" t="s">
        <v>47</v>
      </c>
      <c r="C207" s="841">
        <f t="shared" si="93"/>
        <v>44844</v>
      </c>
      <c r="D207" s="842" t="str">
        <f>IF(C207="","",INDEX({"रविवार";"सोमवार";"मंगळवार";"बुधवार";"गुरूवार";"शुक्रवार";"शनिवार"},WEEKDAY(C207)))</f>
        <v>सोमवार</v>
      </c>
      <c r="E207" s="673">
        <v>22</v>
      </c>
      <c r="F207" s="673">
        <v>22</v>
      </c>
      <c r="G207" s="673">
        <v>22</v>
      </c>
      <c r="H207" s="673" t="s">
        <v>74</v>
      </c>
      <c r="I207" s="673" t="s">
        <v>359</v>
      </c>
      <c r="J207" s="673"/>
      <c r="K207" s="673"/>
      <c r="L207" s="673"/>
      <c r="M207" s="828"/>
      <c r="N207" s="828"/>
      <c r="O207" s="673" t="s">
        <v>779</v>
      </c>
      <c r="P207" s="673" t="s">
        <v>422</v>
      </c>
      <c r="BE207" s="392">
        <v>13</v>
      </c>
      <c r="BF207" s="331">
        <f t="shared" si="80"/>
        <v>0</v>
      </c>
      <c r="BG207" s="331">
        <f t="shared" si="81"/>
        <v>0</v>
      </c>
      <c r="BH207" s="331">
        <f t="shared" si="82"/>
        <v>0</v>
      </c>
      <c r="BI207" s="331">
        <f t="shared" si="83"/>
        <v>0</v>
      </c>
      <c r="BJ207" s="331">
        <f t="shared" si="84"/>
        <v>0</v>
      </c>
      <c r="BK207" s="331">
        <f t="shared" si="85"/>
        <v>0</v>
      </c>
      <c r="BL207" s="331">
        <f t="shared" si="86"/>
        <v>0</v>
      </c>
      <c r="BM207" s="331">
        <f t="shared" si="87"/>
        <v>0</v>
      </c>
      <c r="BN207" s="331">
        <f t="shared" si="88"/>
        <v>0</v>
      </c>
      <c r="BO207" s="331">
        <f t="shared" si="89"/>
        <v>0</v>
      </c>
      <c r="BP207" s="331">
        <f t="shared" si="90"/>
        <v>0</v>
      </c>
      <c r="BQ207" s="331">
        <f t="shared" si="91"/>
        <v>0</v>
      </c>
      <c r="BR207" s="393"/>
    </row>
    <row r="208" spans="1:70" ht="27.75" customHeight="1" x14ac:dyDescent="0.4">
      <c r="A208" s="872">
        <v>200</v>
      </c>
      <c r="B208" s="865" t="s">
        <v>47</v>
      </c>
      <c r="C208" s="841">
        <f t="shared" si="93"/>
        <v>44845</v>
      </c>
      <c r="D208" s="842" t="str">
        <f>IF(C208="","",INDEX({"रविवार";"सोमवार";"मंगळवार";"बुधवार";"गुरूवार";"शुक्रवार";"शनिवार"},WEEKDAY(C208)))</f>
        <v>मंगळवार</v>
      </c>
      <c r="E208" s="673">
        <v>22</v>
      </c>
      <c r="F208" s="673">
        <v>22</v>
      </c>
      <c r="G208" s="673">
        <v>22</v>
      </c>
      <c r="H208" s="673" t="s">
        <v>67</v>
      </c>
      <c r="I208" s="673" t="s">
        <v>384</v>
      </c>
      <c r="J208" s="673"/>
      <c r="K208" s="673"/>
      <c r="L208" s="673"/>
      <c r="M208" s="828"/>
      <c r="N208" s="828"/>
      <c r="O208" s="673" t="s">
        <v>777</v>
      </c>
      <c r="P208" s="673" t="s">
        <v>421</v>
      </c>
      <c r="BE208" s="392">
        <v>14</v>
      </c>
      <c r="BF208" s="331">
        <f t="shared" si="80"/>
        <v>0</v>
      </c>
      <c r="BG208" s="331">
        <f t="shared" si="81"/>
        <v>0</v>
      </c>
      <c r="BH208" s="331">
        <f t="shared" si="82"/>
        <v>0</v>
      </c>
      <c r="BI208" s="331">
        <f t="shared" si="83"/>
        <v>0</v>
      </c>
      <c r="BJ208" s="331">
        <f t="shared" si="84"/>
        <v>0</v>
      </c>
      <c r="BK208" s="331">
        <f t="shared" si="85"/>
        <v>0</v>
      </c>
      <c r="BL208" s="331">
        <f t="shared" si="86"/>
        <v>0</v>
      </c>
      <c r="BM208" s="331">
        <f t="shared" si="87"/>
        <v>0</v>
      </c>
      <c r="BN208" s="331">
        <f t="shared" si="88"/>
        <v>0</v>
      </c>
      <c r="BO208" s="331">
        <f t="shared" si="89"/>
        <v>0</v>
      </c>
      <c r="BP208" s="331">
        <f t="shared" si="90"/>
        <v>0</v>
      </c>
      <c r="BQ208" s="331">
        <f t="shared" si="91"/>
        <v>0</v>
      </c>
      <c r="BR208" s="393"/>
    </row>
    <row r="209" spans="1:70" ht="27.75" customHeight="1" x14ac:dyDescent="0.4">
      <c r="A209" s="872">
        <v>201</v>
      </c>
      <c r="B209" s="865" t="s">
        <v>47</v>
      </c>
      <c r="C209" s="841">
        <f t="shared" si="93"/>
        <v>44846</v>
      </c>
      <c r="D209" s="842" t="str">
        <f>IF(C209="","",INDEX({"रविवार";"सोमवार";"मंगळवार";"बुधवार";"गुरूवार";"शुक्रवार";"शनिवार"},WEEKDAY(C209)))</f>
        <v>बुधवार</v>
      </c>
      <c r="E209" s="673">
        <v>22</v>
      </c>
      <c r="F209" s="673">
        <v>22</v>
      </c>
      <c r="G209" s="673">
        <v>22</v>
      </c>
      <c r="H209" s="673" t="s">
        <v>444</v>
      </c>
      <c r="I209" s="673" t="s">
        <v>384</v>
      </c>
      <c r="J209" s="673"/>
      <c r="K209" s="673"/>
      <c r="L209" s="673"/>
      <c r="M209" s="828"/>
      <c r="N209" s="828"/>
      <c r="O209" s="673" t="s">
        <v>781</v>
      </c>
      <c r="P209" s="673" t="s">
        <v>423</v>
      </c>
      <c r="BE209" s="392">
        <v>15</v>
      </c>
      <c r="BF209" s="331">
        <f t="shared" si="80"/>
        <v>0</v>
      </c>
      <c r="BG209" s="331">
        <f t="shared" si="81"/>
        <v>0</v>
      </c>
      <c r="BH209" s="331">
        <f t="shared" si="82"/>
        <v>0</v>
      </c>
      <c r="BI209" s="331">
        <f t="shared" si="83"/>
        <v>0</v>
      </c>
      <c r="BJ209" s="331">
        <f t="shared" si="84"/>
        <v>0</v>
      </c>
      <c r="BK209" s="331">
        <f t="shared" si="85"/>
        <v>0</v>
      </c>
      <c r="BL209" s="331">
        <f t="shared" si="86"/>
        <v>0</v>
      </c>
      <c r="BM209" s="331">
        <f t="shared" si="87"/>
        <v>0</v>
      </c>
      <c r="BN209" s="331">
        <f t="shared" si="88"/>
        <v>0</v>
      </c>
      <c r="BO209" s="331">
        <f t="shared" si="89"/>
        <v>0</v>
      </c>
      <c r="BP209" s="331">
        <f t="shared" si="90"/>
        <v>0</v>
      </c>
      <c r="BQ209" s="331">
        <f t="shared" si="91"/>
        <v>0</v>
      </c>
      <c r="BR209" s="393"/>
    </row>
    <row r="210" spans="1:70" ht="27.75" customHeight="1" x14ac:dyDescent="0.4">
      <c r="A210" s="872">
        <v>202</v>
      </c>
      <c r="B210" s="865" t="s">
        <v>47</v>
      </c>
      <c r="C210" s="841">
        <f t="shared" si="93"/>
        <v>44847</v>
      </c>
      <c r="D210" s="842" t="str">
        <f>IF(C210="","",INDEX({"रविवार";"सोमवार";"मंगळवार";"बुधवार";"गुरूवार";"शुक्रवार";"शनिवार"},WEEKDAY(C210)))</f>
        <v>गुरूवार</v>
      </c>
      <c r="E210" s="673">
        <v>22</v>
      </c>
      <c r="F210" s="673">
        <v>22</v>
      </c>
      <c r="G210" s="673">
        <v>22</v>
      </c>
      <c r="H210" s="673" t="s">
        <v>67</v>
      </c>
      <c r="I210" s="673" t="s">
        <v>384</v>
      </c>
      <c r="J210" s="673"/>
      <c r="K210" s="673"/>
      <c r="L210" s="673"/>
      <c r="M210" s="828"/>
      <c r="N210" s="828"/>
      <c r="O210" s="673" t="s">
        <v>777</v>
      </c>
      <c r="P210" s="673" t="s">
        <v>421</v>
      </c>
      <c r="BE210" s="392">
        <v>16</v>
      </c>
      <c r="BF210" s="331">
        <f t="shared" si="80"/>
        <v>0</v>
      </c>
      <c r="BG210" s="331">
        <f t="shared" si="81"/>
        <v>0</v>
      </c>
      <c r="BH210" s="331">
        <f t="shared" si="82"/>
        <v>0</v>
      </c>
      <c r="BI210" s="331">
        <f t="shared" si="83"/>
        <v>0</v>
      </c>
      <c r="BJ210" s="331">
        <f t="shared" si="84"/>
        <v>0</v>
      </c>
      <c r="BK210" s="331">
        <f t="shared" si="85"/>
        <v>0</v>
      </c>
      <c r="BL210" s="331">
        <f t="shared" si="86"/>
        <v>0</v>
      </c>
      <c r="BM210" s="331">
        <f t="shared" si="87"/>
        <v>0</v>
      </c>
      <c r="BN210" s="331">
        <f t="shared" si="88"/>
        <v>0</v>
      </c>
      <c r="BO210" s="331">
        <f t="shared" si="89"/>
        <v>0</v>
      </c>
      <c r="BP210" s="331">
        <f t="shared" si="90"/>
        <v>0</v>
      </c>
      <c r="BQ210" s="331">
        <f t="shared" si="91"/>
        <v>0</v>
      </c>
      <c r="BR210" s="393"/>
    </row>
    <row r="211" spans="1:70" ht="27.75" customHeight="1" x14ac:dyDescent="0.4">
      <c r="A211" s="872">
        <v>203</v>
      </c>
      <c r="B211" s="865" t="s">
        <v>47</v>
      </c>
      <c r="C211" s="841">
        <f t="shared" si="93"/>
        <v>44848</v>
      </c>
      <c r="D211" s="842" t="str">
        <f>IF(C211="","",INDEX({"रविवार";"सोमवार";"मंगळवार";"बुधवार";"गुरूवार";"शुक्रवार";"शनिवार"},WEEKDAY(C211)))</f>
        <v>शुक्रवार</v>
      </c>
      <c r="E211" s="673">
        <v>22</v>
      </c>
      <c r="F211" s="673">
        <v>22</v>
      </c>
      <c r="G211" s="673">
        <v>22</v>
      </c>
      <c r="H211" s="673" t="s">
        <v>444</v>
      </c>
      <c r="I211" s="673" t="s">
        <v>384</v>
      </c>
      <c r="J211" s="673"/>
      <c r="K211" s="673"/>
      <c r="L211" s="673"/>
      <c r="M211" s="828"/>
      <c r="N211" s="828"/>
      <c r="O211" s="673" t="s">
        <v>780</v>
      </c>
      <c r="P211" s="673" t="s">
        <v>425</v>
      </c>
      <c r="BE211" s="392">
        <v>17</v>
      </c>
      <c r="BF211" s="331">
        <f t="shared" si="80"/>
        <v>0</v>
      </c>
      <c r="BG211" s="331">
        <f t="shared" si="81"/>
        <v>0</v>
      </c>
      <c r="BH211" s="331">
        <f t="shared" si="82"/>
        <v>0</v>
      </c>
      <c r="BI211" s="331">
        <f t="shared" si="83"/>
        <v>0</v>
      </c>
      <c r="BJ211" s="331">
        <f t="shared" si="84"/>
        <v>0</v>
      </c>
      <c r="BK211" s="331">
        <f t="shared" si="85"/>
        <v>0</v>
      </c>
      <c r="BL211" s="331">
        <f t="shared" si="86"/>
        <v>0</v>
      </c>
      <c r="BM211" s="331">
        <f t="shared" si="87"/>
        <v>0</v>
      </c>
      <c r="BN211" s="331">
        <f t="shared" si="88"/>
        <v>0</v>
      </c>
      <c r="BO211" s="331">
        <f t="shared" si="89"/>
        <v>0</v>
      </c>
      <c r="BP211" s="331">
        <f t="shared" si="90"/>
        <v>0</v>
      </c>
      <c r="BQ211" s="331">
        <f t="shared" si="91"/>
        <v>0</v>
      </c>
      <c r="BR211" s="393"/>
    </row>
    <row r="212" spans="1:70" ht="27.75" customHeight="1" x14ac:dyDescent="0.4">
      <c r="A212" s="872">
        <v>204</v>
      </c>
      <c r="B212" s="865" t="s">
        <v>47</v>
      </c>
      <c r="C212" s="841">
        <f t="shared" si="93"/>
        <v>44849</v>
      </c>
      <c r="D212" s="842" t="str">
        <f>IF(C212="","",INDEX({"रविवार";"सोमवार";"मंगळवार";"बुधवार";"गुरूवार";"शुक्रवार";"शनिवार"},WEEKDAY(C212)))</f>
        <v>शनिवार</v>
      </c>
      <c r="E212" s="673">
        <v>22</v>
      </c>
      <c r="F212" s="673">
        <v>22</v>
      </c>
      <c r="G212" s="673">
        <v>22</v>
      </c>
      <c r="H212" s="673" t="s">
        <v>74</v>
      </c>
      <c r="I212" s="673" t="s">
        <v>359</v>
      </c>
      <c r="J212" s="673"/>
      <c r="K212" s="673"/>
      <c r="L212" s="673"/>
      <c r="M212" s="828"/>
      <c r="N212" s="828"/>
      <c r="O212" s="673" t="s">
        <v>781</v>
      </c>
      <c r="P212" s="673" t="s">
        <v>424</v>
      </c>
      <c r="BE212" s="392">
        <v>18</v>
      </c>
      <c r="BF212" s="331">
        <f t="shared" si="80"/>
        <v>0</v>
      </c>
      <c r="BG212" s="331">
        <f t="shared" si="81"/>
        <v>0</v>
      </c>
      <c r="BH212" s="331">
        <f t="shared" si="82"/>
        <v>0</v>
      </c>
      <c r="BI212" s="331">
        <f t="shared" si="83"/>
        <v>0</v>
      </c>
      <c r="BJ212" s="331">
        <f t="shared" si="84"/>
        <v>0</v>
      </c>
      <c r="BK212" s="331">
        <f t="shared" si="85"/>
        <v>0</v>
      </c>
      <c r="BL212" s="331">
        <f t="shared" si="86"/>
        <v>0</v>
      </c>
      <c r="BM212" s="331">
        <f t="shared" si="87"/>
        <v>0</v>
      </c>
      <c r="BN212" s="331">
        <f t="shared" si="88"/>
        <v>0</v>
      </c>
      <c r="BO212" s="331">
        <f t="shared" si="89"/>
        <v>0</v>
      </c>
      <c r="BP212" s="331">
        <f t="shared" si="90"/>
        <v>0</v>
      </c>
      <c r="BQ212" s="331">
        <f t="shared" si="91"/>
        <v>0</v>
      </c>
      <c r="BR212" s="393"/>
    </row>
    <row r="213" spans="1:70" ht="27.75" customHeight="1" x14ac:dyDescent="0.4">
      <c r="A213" s="872">
        <v>205</v>
      </c>
      <c r="B213" s="865" t="s">
        <v>47</v>
      </c>
      <c r="C213" s="841">
        <f t="shared" si="93"/>
        <v>44850</v>
      </c>
      <c r="D213" s="842" t="str">
        <f>IF(C213="","",INDEX({"रविवार";"सोमवार";"मंगळवार";"बुधवार";"गुरूवार";"शुक्रवार";"शनिवार"},WEEKDAY(C213)))</f>
        <v>रविवार</v>
      </c>
      <c r="E213" s="673"/>
      <c r="F213" s="673"/>
      <c r="G213" s="673"/>
      <c r="H213" s="673"/>
      <c r="I213" s="673"/>
      <c r="J213" s="673"/>
      <c r="K213" s="673"/>
      <c r="L213" s="673"/>
      <c r="M213" s="828"/>
      <c r="N213" s="828"/>
      <c r="O213" s="673"/>
      <c r="P213" s="673"/>
      <c r="BE213" s="392">
        <v>19</v>
      </c>
      <c r="BF213" s="331">
        <f t="shared" si="80"/>
        <v>0</v>
      </c>
      <c r="BG213" s="331">
        <f t="shared" si="81"/>
        <v>0</v>
      </c>
      <c r="BH213" s="331">
        <f t="shared" si="82"/>
        <v>0</v>
      </c>
      <c r="BI213" s="331">
        <f t="shared" si="83"/>
        <v>0</v>
      </c>
      <c r="BJ213" s="331">
        <f t="shared" si="84"/>
        <v>0</v>
      </c>
      <c r="BK213" s="331">
        <f t="shared" si="85"/>
        <v>0</v>
      </c>
      <c r="BL213" s="331">
        <f t="shared" si="86"/>
        <v>0</v>
      </c>
      <c r="BM213" s="331">
        <f t="shared" si="87"/>
        <v>0</v>
      </c>
      <c r="BN213" s="331">
        <f t="shared" si="88"/>
        <v>0</v>
      </c>
      <c r="BO213" s="331">
        <f t="shared" si="89"/>
        <v>0</v>
      </c>
      <c r="BP213" s="331">
        <f t="shared" si="90"/>
        <v>0</v>
      </c>
      <c r="BQ213" s="331">
        <f t="shared" si="91"/>
        <v>0</v>
      </c>
      <c r="BR213" s="393"/>
    </row>
    <row r="214" spans="1:70" ht="27.75" customHeight="1" x14ac:dyDescent="0.4">
      <c r="A214" s="872">
        <v>206</v>
      </c>
      <c r="B214" s="865" t="s">
        <v>47</v>
      </c>
      <c r="C214" s="841">
        <f t="shared" si="93"/>
        <v>44851</v>
      </c>
      <c r="D214" s="842" t="str">
        <f>IF(C214="","",INDEX({"रविवार";"सोमवार";"मंगळवार";"बुधवार";"गुरूवार";"शुक्रवार";"शनिवार"},WEEKDAY(C214)))</f>
        <v>सोमवार</v>
      </c>
      <c r="E214" s="673"/>
      <c r="F214" s="673"/>
      <c r="G214" s="673"/>
      <c r="H214" s="673"/>
      <c r="I214" s="673"/>
      <c r="J214" s="673"/>
      <c r="K214" s="673"/>
      <c r="L214" s="673"/>
      <c r="M214" s="828"/>
      <c r="N214" s="828"/>
      <c r="O214" s="673"/>
      <c r="P214" s="673"/>
      <c r="BE214" s="392">
        <v>20</v>
      </c>
      <c r="BF214" s="331">
        <f t="shared" si="80"/>
        <v>0</v>
      </c>
      <c r="BG214" s="331">
        <f t="shared" si="81"/>
        <v>0</v>
      </c>
      <c r="BH214" s="331">
        <f t="shared" si="82"/>
        <v>0</v>
      </c>
      <c r="BI214" s="331">
        <f t="shared" si="83"/>
        <v>0</v>
      </c>
      <c r="BJ214" s="331">
        <f t="shared" si="84"/>
        <v>0</v>
      </c>
      <c r="BK214" s="331">
        <f t="shared" si="85"/>
        <v>0</v>
      </c>
      <c r="BL214" s="331">
        <f t="shared" si="86"/>
        <v>0</v>
      </c>
      <c r="BM214" s="331">
        <f t="shared" si="87"/>
        <v>0</v>
      </c>
      <c r="BN214" s="331">
        <f t="shared" si="88"/>
        <v>0</v>
      </c>
      <c r="BO214" s="331">
        <f t="shared" si="89"/>
        <v>0</v>
      </c>
      <c r="BP214" s="331">
        <f t="shared" si="90"/>
        <v>0</v>
      </c>
      <c r="BQ214" s="331">
        <f t="shared" si="91"/>
        <v>0</v>
      </c>
      <c r="BR214" s="393"/>
    </row>
    <row r="215" spans="1:70" ht="27.75" customHeight="1" x14ac:dyDescent="0.4">
      <c r="A215" s="872">
        <v>207</v>
      </c>
      <c r="B215" s="865" t="s">
        <v>47</v>
      </c>
      <c r="C215" s="841">
        <f t="shared" si="93"/>
        <v>44852</v>
      </c>
      <c r="D215" s="842" t="str">
        <f>IF(C215="","",INDEX({"रविवार";"सोमवार";"मंगळवार";"बुधवार";"गुरूवार";"शुक्रवार";"शनिवार"},WEEKDAY(C215)))</f>
        <v>मंगळवार</v>
      </c>
      <c r="E215" s="673"/>
      <c r="F215" s="673"/>
      <c r="G215" s="673"/>
      <c r="H215" s="673"/>
      <c r="I215" s="673"/>
      <c r="J215" s="673"/>
      <c r="K215" s="673"/>
      <c r="L215" s="673"/>
      <c r="M215" s="828"/>
      <c r="N215" s="828"/>
      <c r="O215" s="673"/>
      <c r="P215" s="673"/>
      <c r="BE215" s="392">
        <v>21</v>
      </c>
      <c r="BF215" s="331">
        <f t="shared" si="80"/>
        <v>0</v>
      </c>
      <c r="BG215" s="331">
        <f t="shared" si="81"/>
        <v>0</v>
      </c>
      <c r="BH215" s="331">
        <f t="shared" si="82"/>
        <v>0</v>
      </c>
      <c r="BI215" s="331">
        <f t="shared" si="83"/>
        <v>0</v>
      </c>
      <c r="BJ215" s="331">
        <f t="shared" si="84"/>
        <v>0</v>
      </c>
      <c r="BK215" s="331">
        <f t="shared" si="85"/>
        <v>0</v>
      </c>
      <c r="BL215" s="331">
        <f t="shared" si="86"/>
        <v>0</v>
      </c>
      <c r="BM215" s="331">
        <f t="shared" si="87"/>
        <v>0</v>
      </c>
      <c r="BN215" s="331">
        <f t="shared" si="88"/>
        <v>0</v>
      </c>
      <c r="BO215" s="331">
        <f t="shared" si="89"/>
        <v>0</v>
      </c>
      <c r="BP215" s="331">
        <f t="shared" si="90"/>
        <v>0</v>
      </c>
      <c r="BQ215" s="331">
        <f t="shared" si="91"/>
        <v>0</v>
      </c>
      <c r="BR215" s="393"/>
    </row>
    <row r="216" spans="1:70" ht="27.75" customHeight="1" x14ac:dyDescent="0.4">
      <c r="A216" s="872">
        <v>208</v>
      </c>
      <c r="B216" s="865" t="s">
        <v>47</v>
      </c>
      <c r="C216" s="841">
        <f t="shared" si="93"/>
        <v>44853</v>
      </c>
      <c r="D216" s="842" t="str">
        <f>IF(C216="","",INDEX({"रविवार";"सोमवार";"मंगळवार";"बुधवार";"गुरूवार";"शुक्रवार";"शनिवार"},WEEKDAY(C216)))</f>
        <v>बुधवार</v>
      </c>
      <c r="E216" s="673"/>
      <c r="F216" s="673"/>
      <c r="G216" s="673"/>
      <c r="H216" s="673"/>
      <c r="I216" s="673"/>
      <c r="J216" s="673"/>
      <c r="K216" s="673"/>
      <c r="L216" s="673"/>
      <c r="M216" s="828"/>
      <c r="N216" s="828"/>
      <c r="O216" s="673"/>
      <c r="P216" s="673"/>
      <c r="BE216" s="392">
        <v>22</v>
      </c>
      <c r="BF216" s="331">
        <f t="shared" si="80"/>
        <v>0</v>
      </c>
      <c r="BG216" s="331">
        <f t="shared" si="81"/>
        <v>0</v>
      </c>
      <c r="BH216" s="331">
        <f t="shared" si="82"/>
        <v>0</v>
      </c>
      <c r="BI216" s="331">
        <f t="shared" si="83"/>
        <v>0</v>
      </c>
      <c r="BJ216" s="331">
        <f t="shared" si="84"/>
        <v>0</v>
      </c>
      <c r="BK216" s="331">
        <f t="shared" si="85"/>
        <v>0</v>
      </c>
      <c r="BL216" s="331">
        <f t="shared" si="86"/>
        <v>0</v>
      </c>
      <c r="BM216" s="331">
        <f t="shared" si="87"/>
        <v>0</v>
      </c>
      <c r="BN216" s="331">
        <f t="shared" si="88"/>
        <v>0</v>
      </c>
      <c r="BO216" s="331">
        <f t="shared" si="89"/>
        <v>0</v>
      </c>
      <c r="BP216" s="331">
        <f t="shared" si="90"/>
        <v>0</v>
      </c>
      <c r="BQ216" s="331">
        <f t="shared" si="91"/>
        <v>0</v>
      </c>
      <c r="BR216" s="393"/>
    </row>
    <row r="217" spans="1:70" ht="27.75" customHeight="1" x14ac:dyDescent="0.4">
      <c r="A217" s="872">
        <v>209</v>
      </c>
      <c r="B217" s="865" t="s">
        <v>47</v>
      </c>
      <c r="C217" s="841">
        <f t="shared" si="93"/>
        <v>44854</v>
      </c>
      <c r="D217" s="842" t="str">
        <f>IF(C217="","",INDEX({"रविवार";"सोमवार";"मंगळवार";"बुधवार";"गुरूवार";"शुक्रवार";"शनिवार"},WEEKDAY(C217)))</f>
        <v>गुरूवार</v>
      </c>
      <c r="E217" s="673"/>
      <c r="F217" s="673"/>
      <c r="G217" s="673"/>
      <c r="H217" s="673"/>
      <c r="I217" s="673"/>
      <c r="J217" s="673"/>
      <c r="K217" s="673"/>
      <c r="L217" s="673"/>
      <c r="M217" s="828"/>
      <c r="N217" s="828"/>
      <c r="O217" s="673"/>
      <c r="P217" s="673"/>
      <c r="BE217" s="392">
        <v>23</v>
      </c>
      <c r="BF217" s="331">
        <f t="shared" si="80"/>
        <v>0</v>
      </c>
      <c r="BG217" s="331">
        <f t="shared" si="81"/>
        <v>0</v>
      </c>
      <c r="BH217" s="331">
        <f t="shared" si="82"/>
        <v>0</v>
      </c>
      <c r="BI217" s="331">
        <f t="shared" si="83"/>
        <v>0</v>
      </c>
      <c r="BJ217" s="331">
        <f t="shared" si="84"/>
        <v>0</v>
      </c>
      <c r="BK217" s="331">
        <f t="shared" si="85"/>
        <v>0</v>
      </c>
      <c r="BL217" s="331">
        <f t="shared" si="86"/>
        <v>0</v>
      </c>
      <c r="BM217" s="331">
        <f t="shared" si="87"/>
        <v>0</v>
      </c>
      <c r="BN217" s="331">
        <f t="shared" si="88"/>
        <v>0</v>
      </c>
      <c r="BO217" s="331">
        <f t="shared" si="89"/>
        <v>0</v>
      </c>
      <c r="BP217" s="331">
        <f t="shared" si="90"/>
        <v>0</v>
      </c>
      <c r="BQ217" s="331">
        <f t="shared" si="91"/>
        <v>0</v>
      </c>
      <c r="BR217" s="393"/>
    </row>
    <row r="218" spans="1:70" ht="27.75" customHeight="1" x14ac:dyDescent="0.4">
      <c r="A218" s="872">
        <v>210</v>
      </c>
      <c r="B218" s="865" t="s">
        <v>47</v>
      </c>
      <c r="C218" s="841">
        <f t="shared" si="93"/>
        <v>44855</v>
      </c>
      <c r="D218" s="842" t="str">
        <f>IF(C218="","",INDEX({"रविवार";"सोमवार";"मंगळवार";"बुधवार";"गुरूवार";"शुक्रवार";"शनिवार"},WEEKDAY(C218)))</f>
        <v>शुक्रवार</v>
      </c>
      <c r="E218" s="673"/>
      <c r="F218" s="673"/>
      <c r="G218" s="673"/>
      <c r="H218" s="673"/>
      <c r="I218" s="673"/>
      <c r="J218" s="673"/>
      <c r="K218" s="673"/>
      <c r="L218" s="673"/>
      <c r="M218" s="828"/>
      <c r="N218" s="828"/>
      <c r="O218" s="673"/>
      <c r="P218" s="673"/>
      <c r="BE218" s="392">
        <v>24</v>
      </c>
      <c r="BF218" s="331">
        <f t="shared" si="80"/>
        <v>0</v>
      </c>
      <c r="BG218" s="331">
        <f t="shared" si="81"/>
        <v>0</v>
      </c>
      <c r="BH218" s="331">
        <f t="shared" si="82"/>
        <v>0</v>
      </c>
      <c r="BI218" s="331">
        <f t="shared" si="83"/>
        <v>0</v>
      </c>
      <c r="BJ218" s="331">
        <f t="shared" si="84"/>
        <v>0</v>
      </c>
      <c r="BK218" s="331">
        <f t="shared" si="85"/>
        <v>0</v>
      </c>
      <c r="BL218" s="331">
        <f t="shared" si="86"/>
        <v>0</v>
      </c>
      <c r="BM218" s="331">
        <f t="shared" si="87"/>
        <v>0</v>
      </c>
      <c r="BN218" s="331">
        <f t="shared" si="88"/>
        <v>0</v>
      </c>
      <c r="BO218" s="331">
        <f t="shared" si="89"/>
        <v>0</v>
      </c>
      <c r="BP218" s="331">
        <f t="shared" si="90"/>
        <v>0</v>
      </c>
      <c r="BQ218" s="331">
        <f t="shared" si="91"/>
        <v>0</v>
      </c>
      <c r="BR218" s="393"/>
    </row>
    <row r="219" spans="1:70" ht="27.75" customHeight="1" x14ac:dyDescent="0.4">
      <c r="A219" s="872">
        <v>211</v>
      </c>
      <c r="B219" s="865" t="s">
        <v>47</v>
      </c>
      <c r="C219" s="841">
        <f t="shared" si="93"/>
        <v>44856</v>
      </c>
      <c r="D219" s="842" t="str">
        <f>IF(C219="","",INDEX({"रविवार";"सोमवार";"मंगळवार";"बुधवार";"गुरूवार";"शुक्रवार";"शनिवार"},WEEKDAY(C219)))</f>
        <v>शनिवार</v>
      </c>
      <c r="E219" s="673"/>
      <c r="F219" s="673"/>
      <c r="G219" s="673"/>
      <c r="H219" s="673"/>
      <c r="I219" s="673"/>
      <c r="J219" s="673"/>
      <c r="K219" s="673"/>
      <c r="L219" s="673"/>
      <c r="M219" s="828"/>
      <c r="N219" s="828"/>
      <c r="O219" s="673"/>
      <c r="P219" s="673"/>
      <c r="BE219" s="392">
        <v>25</v>
      </c>
      <c r="BF219" s="331">
        <f t="shared" si="80"/>
        <v>0</v>
      </c>
      <c r="BG219" s="331">
        <f t="shared" si="81"/>
        <v>0</v>
      </c>
      <c r="BH219" s="331">
        <f t="shared" si="82"/>
        <v>0</v>
      </c>
      <c r="BI219" s="331">
        <f t="shared" si="83"/>
        <v>0</v>
      </c>
      <c r="BJ219" s="331">
        <f t="shared" si="84"/>
        <v>0</v>
      </c>
      <c r="BK219" s="331">
        <f t="shared" si="85"/>
        <v>0</v>
      </c>
      <c r="BL219" s="331">
        <f t="shared" si="86"/>
        <v>0</v>
      </c>
      <c r="BM219" s="331">
        <f t="shared" si="87"/>
        <v>0</v>
      </c>
      <c r="BN219" s="331">
        <f t="shared" si="88"/>
        <v>0</v>
      </c>
      <c r="BO219" s="331">
        <f t="shared" si="89"/>
        <v>0</v>
      </c>
      <c r="BP219" s="331">
        <f t="shared" si="90"/>
        <v>0</v>
      </c>
      <c r="BQ219" s="331">
        <f t="shared" si="91"/>
        <v>0</v>
      </c>
      <c r="BR219" s="393"/>
    </row>
    <row r="220" spans="1:70" ht="27.75" customHeight="1" x14ac:dyDescent="0.4">
      <c r="A220" s="872">
        <v>212</v>
      </c>
      <c r="B220" s="865" t="s">
        <v>47</v>
      </c>
      <c r="C220" s="841">
        <f t="shared" si="93"/>
        <v>44857</v>
      </c>
      <c r="D220" s="842" t="str">
        <f>IF(C220="","",INDEX({"रविवार";"सोमवार";"मंगळवार";"बुधवार";"गुरूवार";"शुक्रवार";"शनिवार"},WEEKDAY(C220)))</f>
        <v>रविवार</v>
      </c>
      <c r="E220" s="673"/>
      <c r="F220" s="673"/>
      <c r="G220" s="673"/>
      <c r="H220" s="673"/>
      <c r="I220" s="673"/>
      <c r="J220" s="673"/>
      <c r="K220" s="673"/>
      <c r="L220" s="673"/>
      <c r="M220" s="828"/>
      <c r="N220" s="828"/>
      <c r="O220" s="673"/>
      <c r="P220" s="673"/>
      <c r="BE220" s="392">
        <v>26</v>
      </c>
      <c r="BF220" s="331">
        <f t="shared" si="80"/>
        <v>0</v>
      </c>
      <c r="BG220" s="331">
        <f t="shared" si="81"/>
        <v>0</v>
      </c>
      <c r="BH220" s="331">
        <f t="shared" si="82"/>
        <v>0</v>
      </c>
      <c r="BI220" s="331">
        <f t="shared" si="83"/>
        <v>0</v>
      </c>
      <c r="BJ220" s="331">
        <f t="shared" si="84"/>
        <v>0</v>
      </c>
      <c r="BK220" s="331">
        <f t="shared" si="85"/>
        <v>0</v>
      </c>
      <c r="BL220" s="331">
        <f t="shared" si="86"/>
        <v>0</v>
      </c>
      <c r="BM220" s="331">
        <f t="shared" si="87"/>
        <v>0</v>
      </c>
      <c r="BN220" s="331">
        <f t="shared" si="88"/>
        <v>0</v>
      </c>
      <c r="BO220" s="331">
        <f t="shared" si="89"/>
        <v>0</v>
      </c>
      <c r="BP220" s="331">
        <f t="shared" si="90"/>
        <v>0</v>
      </c>
      <c r="BQ220" s="331">
        <f t="shared" si="91"/>
        <v>0</v>
      </c>
      <c r="BR220" s="393"/>
    </row>
    <row r="221" spans="1:70" ht="27.75" customHeight="1" x14ac:dyDescent="0.4">
      <c r="A221" s="872">
        <v>213</v>
      </c>
      <c r="B221" s="865" t="s">
        <v>47</v>
      </c>
      <c r="C221" s="841">
        <f t="shared" si="93"/>
        <v>44858</v>
      </c>
      <c r="D221" s="842" t="str">
        <f>IF(C221="","",INDEX({"रविवार";"सोमवार";"मंगळवार";"बुधवार";"गुरूवार";"शुक्रवार";"शनिवार"},WEEKDAY(C221)))</f>
        <v>सोमवार</v>
      </c>
      <c r="E221" s="673"/>
      <c r="F221" s="673"/>
      <c r="G221" s="673"/>
      <c r="H221" s="673"/>
      <c r="I221" s="673"/>
      <c r="J221" s="673"/>
      <c r="K221" s="673"/>
      <c r="L221" s="673"/>
      <c r="M221" s="828"/>
      <c r="N221" s="828"/>
      <c r="O221" s="673"/>
      <c r="P221" s="673"/>
      <c r="BE221" s="392">
        <v>27</v>
      </c>
      <c r="BF221" s="331">
        <f t="shared" si="80"/>
        <v>0</v>
      </c>
      <c r="BG221" s="331">
        <f t="shared" si="81"/>
        <v>0</v>
      </c>
      <c r="BH221" s="331">
        <f t="shared" si="82"/>
        <v>0</v>
      </c>
      <c r="BI221" s="331">
        <f t="shared" si="83"/>
        <v>0</v>
      </c>
      <c r="BJ221" s="331">
        <f t="shared" si="84"/>
        <v>0</v>
      </c>
      <c r="BK221" s="331">
        <f t="shared" si="85"/>
        <v>0</v>
      </c>
      <c r="BL221" s="331">
        <f t="shared" si="86"/>
        <v>0</v>
      </c>
      <c r="BM221" s="331">
        <f t="shared" si="87"/>
        <v>0</v>
      </c>
      <c r="BN221" s="331">
        <f t="shared" si="88"/>
        <v>0</v>
      </c>
      <c r="BO221" s="331">
        <f t="shared" si="89"/>
        <v>0</v>
      </c>
      <c r="BP221" s="331">
        <f t="shared" si="90"/>
        <v>0</v>
      </c>
      <c r="BQ221" s="331">
        <f t="shared" si="91"/>
        <v>0</v>
      </c>
      <c r="BR221" s="393"/>
    </row>
    <row r="222" spans="1:70" ht="27.75" customHeight="1" x14ac:dyDescent="0.4">
      <c r="A222" s="872">
        <v>214</v>
      </c>
      <c r="B222" s="865" t="s">
        <v>47</v>
      </c>
      <c r="C222" s="841">
        <f t="shared" si="93"/>
        <v>44859</v>
      </c>
      <c r="D222" s="842" t="str">
        <f>IF(C222="","",INDEX({"रविवार";"सोमवार";"मंगळवार";"बुधवार";"गुरूवार";"शुक्रवार";"शनिवार"},WEEKDAY(C222)))</f>
        <v>मंगळवार</v>
      </c>
      <c r="E222" s="673"/>
      <c r="F222" s="673"/>
      <c r="G222" s="673"/>
      <c r="H222" s="673"/>
      <c r="I222" s="673"/>
      <c r="J222" s="673"/>
      <c r="K222" s="673"/>
      <c r="L222" s="673"/>
      <c r="M222" s="828"/>
      <c r="N222" s="828"/>
      <c r="O222" s="673"/>
      <c r="P222" s="673"/>
      <c r="BE222" s="392">
        <v>28</v>
      </c>
      <c r="BF222" s="331">
        <f t="shared" si="80"/>
        <v>0</v>
      </c>
      <c r="BG222" s="331">
        <f t="shared" si="81"/>
        <v>0</v>
      </c>
      <c r="BH222" s="331">
        <f t="shared" si="82"/>
        <v>0</v>
      </c>
      <c r="BI222" s="331">
        <f t="shared" si="83"/>
        <v>0</v>
      </c>
      <c r="BJ222" s="331">
        <f t="shared" si="84"/>
        <v>0</v>
      </c>
      <c r="BK222" s="331">
        <f t="shared" si="85"/>
        <v>0</v>
      </c>
      <c r="BL222" s="331">
        <f t="shared" si="86"/>
        <v>0</v>
      </c>
      <c r="BM222" s="331">
        <f t="shared" si="87"/>
        <v>0</v>
      </c>
      <c r="BN222" s="331">
        <f t="shared" si="88"/>
        <v>0</v>
      </c>
      <c r="BO222" s="331">
        <f t="shared" si="89"/>
        <v>0</v>
      </c>
      <c r="BP222" s="331">
        <f t="shared" si="90"/>
        <v>0</v>
      </c>
      <c r="BQ222" s="331">
        <f t="shared" si="91"/>
        <v>0</v>
      </c>
      <c r="BR222" s="393"/>
    </row>
    <row r="223" spans="1:70" ht="27.75" customHeight="1" x14ac:dyDescent="0.4">
      <c r="A223" s="872">
        <v>215</v>
      </c>
      <c r="B223" s="865" t="s">
        <v>47</v>
      </c>
      <c r="C223" s="841">
        <f t="shared" si="93"/>
        <v>44860</v>
      </c>
      <c r="D223" s="842" t="str">
        <f>IF(C223="","",INDEX({"रविवार";"सोमवार";"मंगळवार";"बुधवार";"गुरूवार";"शुक्रवार";"शनिवार"},WEEKDAY(C223)))</f>
        <v>बुधवार</v>
      </c>
      <c r="E223" s="673"/>
      <c r="F223" s="673"/>
      <c r="G223" s="673"/>
      <c r="H223" s="673"/>
      <c r="I223" s="673"/>
      <c r="J223" s="673"/>
      <c r="K223" s="673"/>
      <c r="L223" s="673"/>
      <c r="M223" s="828"/>
      <c r="N223" s="828"/>
      <c r="O223" s="673"/>
      <c r="P223" s="673"/>
      <c r="BE223" s="392">
        <v>29</v>
      </c>
      <c r="BF223" s="331">
        <f t="shared" si="80"/>
        <v>0</v>
      </c>
      <c r="BG223" s="331">
        <f t="shared" si="81"/>
        <v>0</v>
      </c>
      <c r="BH223" s="331">
        <f t="shared" si="82"/>
        <v>0</v>
      </c>
      <c r="BI223" s="331">
        <f t="shared" si="83"/>
        <v>0</v>
      </c>
      <c r="BJ223" s="331">
        <f t="shared" si="84"/>
        <v>0</v>
      </c>
      <c r="BK223" s="331">
        <f t="shared" si="85"/>
        <v>0</v>
      </c>
      <c r="BL223" s="331">
        <f t="shared" si="86"/>
        <v>0</v>
      </c>
      <c r="BM223" s="331">
        <f t="shared" si="87"/>
        <v>0</v>
      </c>
      <c r="BN223" s="331">
        <f t="shared" si="88"/>
        <v>0</v>
      </c>
      <c r="BO223" s="331">
        <f t="shared" si="89"/>
        <v>0</v>
      </c>
      <c r="BP223" s="331">
        <f t="shared" si="90"/>
        <v>0</v>
      </c>
      <c r="BQ223" s="331">
        <f t="shared" si="91"/>
        <v>0</v>
      </c>
      <c r="BR223" s="393"/>
    </row>
    <row r="224" spans="1:70" ht="27.75" customHeight="1" x14ac:dyDescent="0.4">
      <c r="A224" s="872">
        <v>216</v>
      </c>
      <c r="B224" s="865" t="s">
        <v>47</v>
      </c>
      <c r="C224" s="841">
        <f t="shared" si="93"/>
        <v>44861</v>
      </c>
      <c r="D224" s="842" t="str">
        <f>IF(C224="","",INDEX({"रविवार";"सोमवार";"मंगळवार";"बुधवार";"गुरूवार";"शुक्रवार";"शनिवार"},WEEKDAY(C224)))</f>
        <v>गुरूवार</v>
      </c>
      <c r="E224" s="673"/>
      <c r="F224" s="673"/>
      <c r="G224" s="673"/>
      <c r="H224" s="673"/>
      <c r="I224" s="673"/>
      <c r="J224" s="673"/>
      <c r="K224" s="673"/>
      <c r="L224" s="673"/>
      <c r="M224" s="828"/>
      <c r="N224" s="828"/>
      <c r="O224" s="673"/>
      <c r="P224" s="673"/>
      <c r="BE224" s="392">
        <v>30</v>
      </c>
      <c r="BF224" s="331">
        <f t="shared" si="80"/>
        <v>0</v>
      </c>
      <c r="BG224" s="331">
        <f t="shared" si="81"/>
        <v>0</v>
      </c>
      <c r="BH224" s="331">
        <f t="shared" si="82"/>
        <v>0</v>
      </c>
      <c r="BI224" s="331">
        <f t="shared" si="83"/>
        <v>0</v>
      </c>
      <c r="BJ224" s="331">
        <f t="shared" si="84"/>
        <v>0</v>
      </c>
      <c r="BK224" s="331">
        <f t="shared" si="85"/>
        <v>0</v>
      </c>
      <c r="BL224" s="331">
        <f t="shared" si="86"/>
        <v>0</v>
      </c>
      <c r="BM224" s="331">
        <f t="shared" si="87"/>
        <v>0</v>
      </c>
      <c r="BN224" s="331">
        <f t="shared" si="88"/>
        <v>0</v>
      </c>
      <c r="BO224" s="331">
        <f t="shared" si="89"/>
        <v>0</v>
      </c>
      <c r="BP224" s="393"/>
      <c r="BQ224" s="331">
        <f t="shared" si="91"/>
        <v>0</v>
      </c>
      <c r="BR224" s="393"/>
    </row>
    <row r="225" spans="1:70" ht="27.75" customHeight="1" x14ac:dyDescent="0.4">
      <c r="A225" s="872">
        <v>217</v>
      </c>
      <c r="B225" s="865" t="s">
        <v>47</v>
      </c>
      <c r="C225" s="841">
        <f t="shared" si="93"/>
        <v>44862</v>
      </c>
      <c r="D225" s="842" t="str">
        <f>IF(C225="","",INDEX({"रविवार";"सोमवार";"मंगळवार";"बुधवार";"गुरूवार";"शुक्रवार";"शनिवार"},WEEKDAY(C225)))</f>
        <v>शुक्रवार</v>
      </c>
      <c r="E225" s="673"/>
      <c r="F225" s="673"/>
      <c r="G225" s="673"/>
      <c r="H225" s="673"/>
      <c r="I225" s="673"/>
      <c r="J225" s="673"/>
      <c r="K225" s="673"/>
      <c r="L225" s="673"/>
      <c r="M225" s="828"/>
      <c r="N225" s="828"/>
      <c r="O225" s="673"/>
      <c r="P225" s="673"/>
      <c r="BE225" s="392">
        <v>31</v>
      </c>
      <c r="BF225" s="393"/>
      <c r="BG225" s="331">
        <f t="shared" si="81"/>
        <v>0</v>
      </c>
      <c r="BH225" s="393"/>
      <c r="BI225" s="331">
        <f t="shared" si="83"/>
        <v>0</v>
      </c>
      <c r="BJ225" s="331">
        <f t="shared" si="84"/>
        <v>0</v>
      </c>
      <c r="BK225" s="393"/>
      <c r="BL225" s="331">
        <f t="shared" si="86"/>
        <v>0</v>
      </c>
      <c r="BM225" s="393"/>
      <c r="BN225" s="331">
        <f t="shared" si="88"/>
        <v>0</v>
      </c>
      <c r="BO225" s="331">
        <f t="shared" si="89"/>
        <v>0</v>
      </c>
      <c r="BP225" s="393"/>
      <c r="BQ225" s="331">
        <f t="shared" si="91"/>
        <v>0</v>
      </c>
      <c r="BR225" s="393"/>
    </row>
    <row r="226" spans="1:70" ht="27.75" customHeight="1" x14ac:dyDescent="0.45">
      <c r="A226" s="872">
        <v>218</v>
      </c>
      <c r="B226" s="865" t="s">
        <v>47</v>
      </c>
      <c r="C226" s="841">
        <f t="shared" si="93"/>
        <v>44863</v>
      </c>
      <c r="D226" s="842" t="str">
        <f>IF(C226="","",INDEX({"रविवार";"सोमवार";"मंगळवार";"बुधवार";"गुरूवार";"शुक्रवार";"शनिवार"},WEEKDAY(C226)))</f>
        <v>शनिवार</v>
      </c>
      <c r="E226" s="673"/>
      <c r="F226" s="673"/>
      <c r="G226" s="673"/>
      <c r="H226" s="673"/>
      <c r="I226" s="673"/>
      <c r="J226" s="673"/>
      <c r="K226" s="673"/>
      <c r="L226" s="673"/>
      <c r="M226" s="828"/>
      <c r="N226" s="828"/>
      <c r="O226" s="673"/>
      <c r="P226" s="673"/>
      <c r="BE226" s="40" t="s">
        <v>35</v>
      </c>
      <c r="BF226" s="331" t="str">
        <f>K39</f>
        <v/>
      </c>
      <c r="BG226" s="331" t="str">
        <f t="shared" si="81"/>
        <v/>
      </c>
      <c r="BH226" s="331" t="str">
        <f>K102</f>
        <v/>
      </c>
      <c r="BI226" s="331" t="str">
        <f t="shared" si="83"/>
        <v/>
      </c>
      <c r="BJ226" s="331" t="str">
        <f t="shared" si="84"/>
        <v/>
      </c>
      <c r="BK226" s="331" t="str">
        <f>K197</f>
        <v/>
      </c>
      <c r="BL226" s="331" t="str">
        <f t="shared" si="86"/>
        <v/>
      </c>
      <c r="BM226" s="331" t="str">
        <f>K260</f>
        <v/>
      </c>
      <c r="BN226" s="331" t="str">
        <f t="shared" si="88"/>
        <v/>
      </c>
      <c r="BO226" s="331" t="str">
        <f t="shared" si="89"/>
        <v/>
      </c>
      <c r="BP226" s="331" t="str">
        <f>K354</f>
        <v/>
      </c>
      <c r="BQ226" s="331" t="str">
        <f t="shared" si="91"/>
        <v/>
      </c>
      <c r="BR226" s="393"/>
    </row>
    <row r="227" spans="1:70" ht="27.75" customHeight="1" x14ac:dyDescent="0.4">
      <c r="A227" s="872">
        <v>219</v>
      </c>
      <c r="B227" s="865" t="s">
        <v>47</v>
      </c>
      <c r="C227" s="841">
        <f t="shared" si="93"/>
        <v>44864</v>
      </c>
      <c r="D227" s="842" t="str">
        <f>IF(C227="","",INDEX({"रविवार";"सोमवार";"मंगळवार";"बुधवार";"गुरूवार";"शुक्रवार";"शनिवार"},WEEKDAY(C227)))</f>
        <v>रविवार</v>
      </c>
      <c r="E227" s="673"/>
      <c r="F227" s="673"/>
      <c r="G227" s="673"/>
      <c r="H227" s="673"/>
      <c r="I227" s="673"/>
      <c r="J227" s="673"/>
      <c r="K227" s="673"/>
      <c r="L227" s="673"/>
      <c r="M227" s="828"/>
      <c r="N227" s="828"/>
      <c r="O227" s="673"/>
      <c r="P227" s="673"/>
    </row>
    <row r="228" spans="1:70" ht="27.75" customHeight="1" x14ac:dyDescent="0.4">
      <c r="A228" s="872">
        <v>220</v>
      </c>
      <c r="B228" s="865" t="s">
        <v>47</v>
      </c>
      <c r="C228" s="841">
        <f t="shared" si="93"/>
        <v>44865</v>
      </c>
      <c r="D228" s="842" t="str">
        <f>IF(C228="","",INDEX({"रविवार";"सोमवार";"मंगळवार";"बुधवार";"गुरूवार";"शुक्रवार";"शनिवार"},WEEKDAY(C228)))</f>
        <v>सोमवार</v>
      </c>
      <c r="E228" s="673"/>
      <c r="F228" s="673"/>
      <c r="G228" s="673"/>
      <c r="H228" s="673"/>
      <c r="I228" s="673"/>
      <c r="J228" s="673"/>
      <c r="K228" s="673"/>
      <c r="L228" s="673"/>
      <c r="M228" s="828"/>
      <c r="N228" s="828"/>
      <c r="O228" s="673"/>
      <c r="P228" s="673"/>
    </row>
    <row r="229" spans="1:70" ht="27.75" customHeight="1" x14ac:dyDescent="0.4">
      <c r="A229" s="872">
        <v>221</v>
      </c>
      <c r="B229" s="865" t="s">
        <v>47</v>
      </c>
      <c r="C229" s="841" t="s">
        <v>35</v>
      </c>
      <c r="D229" s="841"/>
      <c r="E229" s="829">
        <f>IF(SUM(E198:E228)&gt;0,SUM(E198:E228),"")</f>
        <v>236</v>
      </c>
      <c r="F229" s="829">
        <f t="shared" ref="F229:N229" si="94">IF(SUM(F198:F228)&gt;0,SUM(F198:F228),"")</f>
        <v>236</v>
      </c>
      <c r="G229" s="829">
        <f t="shared" si="94"/>
        <v>236</v>
      </c>
      <c r="H229" s="829" t="str">
        <f t="shared" si="94"/>
        <v/>
      </c>
      <c r="I229" s="829" t="str">
        <f t="shared" si="94"/>
        <v/>
      </c>
      <c r="J229" s="829" t="str">
        <f t="shared" si="94"/>
        <v/>
      </c>
      <c r="K229" s="829" t="str">
        <f t="shared" si="94"/>
        <v/>
      </c>
      <c r="L229" s="829" t="str">
        <f t="shared" si="94"/>
        <v/>
      </c>
      <c r="M229" s="829" t="str">
        <f t="shared" si="94"/>
        <v/>
      </c>
      <c r="N229" s="829" t="str">
        <f t="shared" si="94"/>
        <v/>
      </c>
      <c r="O229" s="830"/>
      <c r="P229" s="830"/>
    </row>
    <row r="230" spans="1:70" ht="27.75" customHeight="1" x14ac:dyDescent="0.4">
      <c r="A230" s="872">
        <v>222</v>
      </c>
      <c r="B230" s="866" t="s">
        <v>38</v>
      </c>
      <c r="C230" s="841">
        <f>DATE(N6,"11","1")</f>
        <v>44866</v>
      </c>
      <c r="D230" s="842" t="str">
        <f>IF(C230="","",INDEX({"रविवार";"सोमवार";"मंगळवार";"बुधवार";"गुरूवार";"शुक्रवार";"शनिवार"},WEEKDAY(C230)))</f>
        <v>मंगळवार</v>
      </c>
      <c r="E230" s="673"/>
      <c r="F230" s="673"/>
      <c r="G230" s="673"/>
      <c r="H230" s="673"/>
      <c r="I230" s="673"/>
      <c r="J230" s="673"/>
      <c r="K230" s="673"/>
      <c r="L230" s="673"/>
      <c r="M230" s="828"/>
      <c r="N230" s="828"/>
      <c r="O230" s="673"/>
      <c r="P230" s="673"/>
      <c r="BK230" s="380" t="s">
        <v>291</v>
      </c>
    </row>
    <row r="231" spans="1:70" ht="27.75" customHeight="1" x14ac:dyDescent="0.4">
      <c r="A231" s="872">
        <v>223</v>
      </c>
      <c r="B231" s="866" t="s">
        <v>38</v>
      </c>
      <c r="C231" s="841">
        <f>C230+1</f>
        <v>44867</v>
      </c>
      <c r="D231" s="842" t="str">
        <f>IF(C231="","",INDEX({"रविवार";"सोमवार";"मंगळवार";"बुधवार";"गुरूवार";"शुक्रवार";"शनिवार"},WEEKDAY(C231)))</f>
        <v>बुधवार</v>
      </c>
      <c r="E231" s="673"/>
      <c r="F231" s="673"/>
      <c r="G231" s="673"/>
      <c r="H231" s="673"/>
      <c r="I231" s="673"/>
      <c r="J231" s="673"/>
      <c r="K231" s="673"/>
      <c r="L231" s="673"/>
      <c r="M231" s="828"/>
      <c r="N231" s="828"/>
      <c r="O231" s="673"/>
      <c r="P231" s="673"/>
      <c r="BE231" s="38" t="s">
        <v>17</v>
      </c>
      <c r="BF231" s="390" t="s">
        <v>42</v>
      </c>
      <c r="BG231" s="390" t="s">
        <v>44</v>
      </c>
      <c r="BH231" s="390" t="s">
        <v>94</v>
      </c>
      <c r="BI231" s="390" t="s">
        <v>46</v>
      </c>
      <c r="BJ231" s="390" t="s">
        <v>34</v>
      </c>
      <c r="BK231" s="390" t="s">
        <v>37</v>
      </c>
      <c r="BL231" s="390" t="s">
        <v>47</v>
      </c>
      <c r="BM231" s="390" t="s">
        <v>38</v>
      </c>
      <c r="BN231" s="390" t="s">
        <v>39</v>
      </c>
      <c r="BO231" s="396" t="s">
        <v>33</v>
      </c>
      <c r="BP231" s="390" t="s">
        <v>40</v>
      </c>
      <c r="BQ231" s="390" t="s">
        <v>41</v>
      </c>
      <c r="BR231" s="192"/>
    </row>
    <row r="232" spans="1:70" ht="27.75" customHeight="1" x14ac:dyDescent="0.4">
      <c r="A232" s="872">
        <v>224</v>
      </c>
      <c r="B232" s="866" t="s">
        <v>38</v>
      </c>
      <c r="C232" s="841">
        <f t="shared" ref="C232:C259" si="95">C231+1</f>
        <v>44868</v>
      </c>
      <c r="D232" s="842" t="str">
        <f>IF(C232="","",INDEX({"रविवार";"सोमवार";"मंगळवार";"बुधवार";"गुरूवार";"शुक्रवार";"शनिवार"},WEEKDAY(C232)))</f>
        <v>गुरूवार</v>
      </c>
      <c r="E232" s="673"/>
      <c r="F232" s="673"/>
      <c r="G232" s="673"/>
      <c r="H232" s="673"/>
      <c r="I232" s="673"/>
      <c r="J232" s="673"/>
      <c r="K232" s="673"/>
      <c r="L232" s="673"/>
      <c r="M232" s="828"/>
      <c r="N232" s="828"/>
      <c r="O232" s="673"/>
      <c r="P232" s="673"/>
      <c r="BE232" s="392">
        <v>1</v>
      </c>
      <c r="BF232" s="331">
        <f>L9</f>
        <v>0</v>
      </c>
      <c r="BG232" s="331">
        <f>L40</f>
        <v>0</v>
      </c>
      <c r="BH232" s="331">
        <f>L72</f>
        <v>0</v>
      </c>
      <c r="BI232" s="331">
        <f>L103</f>
        <v>0</v>
      </c>
      <c r="BJ232" s="331">
        <f>L135</f>
        <v>0</v>
      </c>
      <c r="BK232" s="331">
        <f>L167</f>
        <v>0</v>
      </c>
      <c r="BL232" s="331">
        <f>L198</f>
        <v>0</v>
      </c>
      <c r="BM232" s="331">
        <f>L230</f>
        <v>0</v>
      </c>
      <c r="BN232" s="331">
        <f>L261</f>
        <v>0</v>
      </c>
      <c r="BO232" s="331">
        <f>L293</f>
        <v>0</v>
      </c>
      <c r="BP232" s="331">
        <f>L325</f>
        <v>0</v>
      </c>
      <c r="BQ232" s="331">
        <f>L355</f>
        <v>0</v>
      </c>
      <c r="BR232" s="393"/>
    </row>
    <row r="233" spans="1:70" ht="27.75" customHeight="1" x14ac:dyDescent="0.4">
      <c r="A233" s="872">
        <v>225</v>
      </c>
      <c r="B233" s="866" t="s">
        <v>38</v>
      </c>
      <c r="C233" s="841">
        <f t="shared" si="95"/>
        <v>44869</v>
      </c>
      <c r="D233" s="842" t="str">
        <f>IF(C233="","",INDEX({"रविवार";"सोमवार";"मंगळवार";"बुधवार";"गुरूवार";"शुक्रवार";"शनिवार"},WEEKDAY(C233)))</f>
        <v>शुक्रवार</v>
      </c>
      <c r="E233" s="673"/>
      <c r="F233" s="673"/>
      <c r="G233" s="673"/>
      <c r="H233" s="673"/>
      <c r="I233" s="673"/>
      <c r="J233" s="673"/>
      <c r="K233" s="673"/>
      <c r="L233" s="673"/>
      <c r="M233" s="828"/>
      <c r="N233" s="828"/>
      <c r="O233" s="673"/>
      <c r="P233" s="673"/>
      <c r="BE233" s="392">
        <v>2</v>
      </c>
      <c r="BF233" s="331">
        <f t="shared" ref="BF233:BF261" si="96">L10</f>
        <v>0</v>
      </c>
      <c r="BG233" s="331">
        <f t="shared" ref="BG233:BG263" si="97">L41</f>
        <v>0</v>
      </c>
      <c r="BH233" s="331">
        <f t="shared" ref="BH233:BH261" si="98">L73</f>
        <v>0</v>
      </c>
      <c r="BI233" s="331">
        <f t="shared" ref="BI233:BI263" si="99">L104</f>
        <v>0</v>
      </c>
      <c r="BJ233" s="331">
        <f t="shared" ref="BJ233:BJ263" si="100">L136</f>
        <v>0</v>
      </c>
      <c r="BK233" s="331">
        <f t="shared" ref="BK233:BK261" si="101">L168</f>
        <v>0</v>
      </c>
      <c r="BL233" s="331">
        <f t="shared" ref="BL233:BL263" si="102">L199</f>
        <v>0</v>
      </c>
      <c r="BM233" s="331">
        <f t="shared" ref="BM233:BM261" si="103">L231</f>
        <v>0</v>
      </c>
      <c r="BN233" s="331">
        <f t="shared" ref="BN233:BN263" si="104">L262</f>
        <v>0</v>
      </c>
      <c r="BO233" s="331">
        <f t="shared" ref="BO233:BO263" si="105">L294</f>
        <v>0</v>
      </c>
      <c r="BP233" s="331">
        <f t="shared" ref="BP233:BP260" si="106">L326</f>
        <v>0</v>
      </c>
      <c r="BQ233" s="331">
        <f t="shared" ref="BQ233:BQ263" si="107">L356</f>
        <v>0</v>
      </c>
      <c r="BR233" s="393"/>
    </row>
    <row r="234" spans="1:70" ht="27.75" customHeight="1" x14ac:dyDescent="0.4">
      <c r="A234" s="872">
        <v>226</v>
      </c>
      <c r="B234" s="866" t="s">
        <v>38</v>
      </c>
      <c r="C234" s="841">
        <f t="shared" si="95"/>
        <v>44870</v>
      </c>
      <c r="D234" s="842" t="str">
        <f>IF(C234="","",INDEX({"रविवार";"सोमवार";"मंगळवार";"बुधवार";"गुरूवार";"शुक्रवार";"शनिवार"},WEEKDAY(C234)))</f>
        <v>शनिवार</v>
      </c>
      <c r="E234" s="673"/>
      <c r="F234" s="673"/>
      <c r="G234" s="673"/>
      <c r="H234" s="673"/>
      <c r="I234" s="673"/>
      <c r="J234" s="673"/>
      <c r="K234" s="673"/>
      <c r="L234" s="673"/>
      <c r="M234" s="828"/>
      <c r="N234" s="828"/>
      <c r="O234" s="673"/>
      <c r="P234" s="673"/>
      <c r="BE234" s="392">
        <v>3</v>
      </c>
      <c r="BF234" s="331">
        <f t="shared" si="96"/>
        <v>0</v>
      </c>
      <c r="BG234" s="331">
        <f t="shared" si="97"/>
        <v>0</v>
      </c>
      <c r="BH234" s="331">
        <f t="shared" si="98"/>
        <v>0</v>
      </c>
      <c r="BI234" s="331">
        <f t="shared" si="99"/>
        <v>0</v>
      </c>
      <c r="BJ234" s="331">
        <f t="shared" si="100"/>
        <v>0</v>
      </c>
      <c r="BK234" s="331">
        <f t="shared" si="101"/>
        <v>0</v>
      </c>
      <c r="BL234" s="331">
        <f t="shared" si="102"/>
        <v>0</v>
      </c>
      <c r="BM234" s="331">
        <f t="shared" si="103"/>
        <v>0</v>
      </c>
      <c r="BN234" s="331">
        <f t="shared" si="104"/>
        <v>0</v>
      </c>
      <c r="BO234" s="331">
        <f t="shared" si="105"/>
        <v>0</v>
      </c>
      <c r="BP234" s="331">
        <f t="shared" si="106"/>
        <v>0</v>
      </c>
      <c r="BQ234" s="331">
        <f t="shared" si="107"/>
        <v>0</v>
      </c>
      <c r="BR234" s="393"/>
    </row>
    <row r="235" spans="1:70" ht="27.75" customHeight="1" x14ac:dyDescent="0.4">
      <c r="A235" s="872">
        <v>227</v>
      </c>
      <c r="B235" s="866" t="s">
        <v>38</v>
      </c>
      <c r="C235" s="841">
        <f t="shared" si="95"/>
        <v>44871</v>
      </c>
      <c r="D235" s="842" t="str">
        <f>IF(C235="","",INDEX({"रविवार";"सोमवार";"मंगळवार";"बुधवार";"गुरूवार";"शुक्रवार";"शनिवार"},WEEKDAY(C235)))</f>
        <v>रविवार</v>
      </c>
      <c r="E235" s="673"/>
      <c r="F235" s="673"/>
      <c r="G235" s="673"/>
      <c r="H235" s="673"/>
      <c r="I235" s="673"/>
      <c r="J235" s="673"/>
      <c r="K235" s="673"/>
      <c r="L235" s="673"/>
      <c r="M235" s="828"/>
      <c r="N235" s="828"/>
      <c r="O235" s="673"/>
      <c r="P235" s="673"/>
      <c r="BE235" s="392">
        <v>4</v>
      </c>
      <c r="BF235" s="331">
        <f t="shared" si="96"/>
        <v>0</v>
      </c>
      <c r="BG235" s="331">
        <f t="shared" si="97"/>
        <v>0</v>
      </c>
      <c r="BH235" s="331">
        <f t="shared" si="98"/>
        <v>0</v>
      </c>
      <c r="BI235" s="331">
        <f t="shared" si="99"/>
        <v>0</v>
      </c>
      <c r="BJ235" s="331">
        <f t="shared" si="100"/>
        <v>0</v>
      </c>
      <c r="BK235" s="331">
        <f t="shared" si="101"/>
        <v>0</v>
      </c>
      <c r="BL235" s="331">
        <f t="shared" si="102"/>
        <v>0</v>
      </c>
      <c r="BM235" s="331">
        <f t="shared" si="103"/>
        <v>0</v>
      </c>
      <c r="BN235" s="331">
        <f t="shared" si="104"/>
        <v>0</v>
      </c>
      <c r="BO235" s="331">
        <f t="shared" si="105"/>
        <v>0</v>
      </c>
      <c r="BP235" s="331">
        <f t="shared" si="106"/>
        <v>0</v>
      </c>
      <c r="BQ235" s="331">
        <f t="shared" si="107"/>
        <v>0</v>
      </c>
      <c r="BR235" s="393"/>
    </row>
    <row r="236" spans="1:70" ht="27.75" customHeight="1" x14ac:dyDescent="0.4">
      <c r="A236" s="872">
        <v>228</v>
      </c>
      <c r="B236" s="866" t="s">
        <v>38</v>
      </c>
      <c r="C236" s="841">
        <f t="shared" si="95"/>
        <v>44872</v>
      </c>
      <c r="D236" s="842" t="str">
        <f>IF(C236="","",INDEX({"रविवार";"सोमवार";"मंगळवार";"बुधवार";"गुरूवार";"शुक्रवार";"शनिवार"},WEEKDAY(C236)))</f>
        <v>सोमवार</v>
      </c>
      <c r="E236" s="673"/>
      <c r="F236" s="673"/>
      <c r="G236" s="673"/>
      <c r="H236" s="673"/>
      <c r="I236" s="673"/>
      <c r="J236" s="673"/>
      <c r="K236" s="673"/>
      <c r="L236" s="673"/>
      <c r="M236" s="828"/>
      <c r="N236" s="828"/>
      <c r="O236" s="673"/>
      <c r="P236" s="673"/>
      <c r="BE236" s="392">
        <v>5</v>
      </c>
      <c r="BF236" s="331">
        <f t="shared" si="96"/>
        <v>0</v>
      </c>
      <c r="BG236" s="331">
        <f t="shared" si="97"/>
        <v>0</v>
      </c>
      <c r="BH236" s="331">
        <f t="shared" si="98"/>
        <v>0</v>
      </c>
      <c r="BI236" s="331">
        <f t="shared" si="99"/>
        <v>0</v>
      </c>
      <c r="BJ236" s="331">
        <f t="shared" si="100"/>
        <v>0</v>
      </c>
      <c r="BK236" s="331">
        <f t="shared" si="101"/>
        <v>0</v>
      </c>
      <c r="BL236" s="331">
        <f t="shared" si="102"/>
        <v>0</v>
      </c>
      <c r="BM236" s="331">
        <f t="shared" si="103"/>
        <v>0</v>
      </c>
      <c r="BN236" s="331">
        <f t="shared" si="104"/>
        <v>0</v>
      </c>
      <c r="BO236" s="331">
        <f t="shared" si="105"/>
        <v>0</v>
      </c>
      <c r="BP236" s="331">
        <f t="shared" si="106"/>
        <v>0</v>
      </c>
      <c r="BQ236" s="331">
        <f t="shared" si="107"/>
        <v>0</v>
      </c>
      <c r="BR236" s="393"/>
    </row>
    <row r="237" spans="1:70" ht="27.75" customHeight="1" x14ac:dyDescent="0.4">
      <c r="A237" s="872">
        <v>229</v>
      </c>
      <c r="B237" s="866" t="s">
        <v>38</v>
      </c>
      <c r="C237" s="841">
        <f t="shared" si="95"/>
        <v>44873</v>
      </c>
      <c r="D237" s="842" t="str">
        <f>IF(C237="","",INDEX({"रविवार";"सोमवार";"मंगळवार";"बुधवार";"गुरूवार";"शुक्रवार";"शनिवार"},WEEKDAY(C237)))</f>
        <v>मंगळवार</v>
      </c>
      <c r="E237" s="673"/>
      <c r="F237" s="673"/>
      <c r="G237" s="673"/>
      <c r="H237" s="673"/>
      <c r="I237" s="673"/>
      <c r="J237" s="673"/>
      <c r="K237" s="673"/>
      <c r="L237" s="673"/>
      <c r="M237" s="828"/>
      <c r="N237" s="828"/>
      <c r="O237" s="673"/>
      <c r="P237" s="673"/>
      <c r="BE237" s="392">
        <v>6</v>
      </c>
      <c r="BF237" s="331">
        <f t="shared" si="96"/>
        <v>0</v>
      </c>
      <c r="BG237" s="331">
        <f t="shared" si="97"/>
        <v>0</v>
      </c>
      <c r="BH237" s="331">
        <f t="shared" si="98"/>
        <v>0</v>
      </c>
      <c r="BI237" s="331">
        <f t="shared" si="99"/>
        <v>0</v>
      </c>
      <c r="BJ237" s="331">
        <f t="shared" si="100"/>
        <v>0</v>
      </c>
      <c r="BK237" s="331">
        <f t="shared" si="101"/>
        <v>0</v>
      </c>
      <c r="BL237" s="331">
        <f t="shared" si="102"/>
        <v>0</v>
      </c>
      <c r="BM237" s="331">
        <f t="shared" si="103"/>
        <v>0</v>
      </c>
      <c r="BN237" s="331">
        <f t="shared" si="104"/>
        <v>0</v>
      </c>
      <c r="BO237" s="331">
        <f t="shared" si="105"/>
        <v>0</v>
      </c>
      <c r="BP237" s="331">
        <f t="shared" si="106"/>
        <v>0</v>
      </c>
      <c r="BQ237" s="331">
        <f t="shared" si="107"/>
        <v>0</v>
      </c>
      <c r="BR237" s="393"/>
    </row>
    <row r="238" spans="1:70" ht="27.75" customHeight="1" x14ac:dyDescent="0.4">
      <c r="A238" s="872">
        <v>230</v>
      </c>
      <c r="B238" s="866" t="s">
        <v>38</v>
      </c>
      <c r="C238" s="841">
        <f t="shared" si="95"/>
        <v>44874</v>
      </c>
      <c r="D238" s="842" t="str">
        <f>IF(C238="","",INDEX({"रविवार";"सोमवार";"मंगळवार";"बुधवार";"गुरूवार";"शुक्रवार";"शनिवार"},WEEKDAY(C238)))</f>
        <v>बुधवार</v>
      </c>
      <c r="E238" s="673">
        <v>22</v>
      </c>
      <c r="F238" s="673">
        <v>22</v>
      </c>
      <c r="G238" s="673">
        <v>22</v>
      </c>
      <c r="H238" s="673" t="s">
        <v>444</v>
      </c>
      <c r="I238" s="673" t="s">
        <v>384</v>
      </c>
      <c r="J238" s="673"/>
      <c r="K238" s="673"/>
      <c r="L238" s="673"/>
      <c r="M238" s="828"/>
      <c r="N238" s="828"/>
      <c r="O238" s="673" t="s">
        <v>779</v>
      </c>
      <c r="P238" s="673" t="s">
        <v>422</v>
      </c>
      <c r="BE238" s="392">
        <v>7</v>
      </c>
      <c r="BF238" s="331">
        <f t="shared" si="96"/>
        <v>0</v>
      </c>
      <c r="BG238" s="331">
        <f t="shared" si="97"/>
        <v>0</v>
      </c>
      <c r="BH238" s="331">
        <f t="shared" si="98"/>
        <v>0</v>
      </c>
      <c r="BI238" s="331">
        <f t="shared" si="99"/>
        <v>0</v>
      </c>
      <c r="BJ238" s="331">
        <f t="shared" si="100"/>
        <v>0</v>
      </c>
      <c r="BK238" s="331">
        <f t="shared" si="101"/>
        <v>0</v>
      </c>
      <c r="BL238" s="331">
        <f t="shared" si="102"/>
        <v>0</v>
      </c>
      <c r="BM238" s="331">
        <f t="shared" si="103"/>
        <v>0</v>
      </c>
      <c r="BN238" s="331">
        <f t="shared" si="104"/>
        <v>0</v>
      </c>
      <c r="BO238" s="331">
        <f t="shared" si="105"/>
        <v>0</v>
      </c>
      <c r="BP238" s="331">
        <f t="shared" si="106"/>
        <v>0</v>
      </c>
      <c r="BQ238" s="331">
        <f t="shared" si="107"/>
        <v>0</v>
      </c>
      <c r="BR238" s="393"/>
    </row>
    <row r="239" spans="1:70" ht="27.75" customHeight="1" x14ac:dyDescent="0.4">
      <c r="A239" s="872">
        <v>231</v>
      </c>
      <c r="B239" s="866" t="s">
        <v>38</v>
      </c>
      <c r="C239" s="841">
        <f t="shared" si="95"/>
        <v>44875</v>
      </c>
      <c r="D239" s="842" t="str">
        <f>IF(C239="","",INDEX({"रविवार";"सोमवार";"मंगळवार";"बुधवार";"गुरूवार";"शुक्रवार";"शनिवार"},WEEKDAY(C239)))</f>
        <v>गुरूवार</v>
      </c>
      <c r="E239" s="673">
        <v>22</v>
      </c>
      <c r="F239" s="673">
        <v>22</v>
      </c>
      <c r="G239" s="673">
        <v>22</v>
      </c>
      <c r="H239" s="673" t="s">
        <v>67</v>
      </c>
      <c r="I239" s="673" t="s">
        <v>384</v>
      </c>
      <c r="J239" s="673"/>
      <c r="K239" s="673"/>
      <c r="L239" s="673"/>
      <c r="M239" s="828"/>
      <c r="N239" s="828"/>
      <c r="O239" s="673" t="s">
        <v>777</v>
      </c>
      <c r="P239" s="673" t="s">
        <v>421</v>
      </c>
      <c r="BE239" s="392">
        <v>8</v>
      </c>
      <c r="BF239" s="331">
        <f t="shared" si="96"/>
        <v>0</v>
      </c>
      <c r="BG239" s="331">
        <f t="shared" si="97"/>
        <v>0</v>
      </c>
      <c r="BH239" s="331">
        <f t="shared" si="98"/>
        <v>0</v>
      </c>
      <c r="BI239" s="331">
        <f t="shared" si="99"/>
        <v>0</v>
      </c>
      <c r="BJ239" s="331">
        <f t="shared" si="100"/>
        <v>0</v>
      </c>
      <c r="BK239" s="331">
        <f t="shared" si="101"/>
        <v>0</v>
      </c>
      <c r="BL239" s="331">
        <f t="shared" si="102"/>
        <v>0</v>
      </c>
      <c r="BM239" s="331">
        <f t="shared" si="103"/>
        <v>0</v>
      </c>
      <c r="BN239" s="331">
        <f t="shared" si="104"/>
        <v>0</v>
      </c>
      <c r="BO239" s="331">
        <f t="shared" si="105"/>
        <v>0</v>
      </c>
      <c r="BP239" s="331">
        <f t="shared" si="106"/>
        <v>0</v>
      </c>
      <c r="BQ239" s="331">
        <f t="shared" si="107"/>
        <v>0</v>
      </c>
      <c r="BR239" s="393"/>
    </row>
    <row r="240" spans="1:70" ht="27.75" customHeight="1" x14ac:dyDescent="0.4">
      <c r="A240" s="872">
        <v>232</v>
      </c>
      <c r="B240" s="866" t="s">
        <v>38</v>
      </c>
      <c r="C240" s="841">
        <f t="shared" si="95"/>
        <v>44876</v>
      </c>
      <c r="D240" s="842" t="str">
        <f>IF(C240="","",INDEX({"रविवार";"सोमवार";"मंगळवार";"बुधवार";"गुरूवार";"शुक्रवार";"शनिवार"},WEEKDAY(C240)))</f>
        <v>शुक्रवार</v>
      </c>
      <c r="E240" s="673">
        <v>22</v>
      </c>
      <c r="F240" s="673">
        <v>22</v>
      </c>
      <c r="G240" s="673">
        <v>22</v>
      </c>
      <c r="H240" s="673" t="s">
        <v>444</v>
      </c>
      <c r="I240" s="673" t="s">
        <v>384</v>
      </c>
      <c r="J240" s="673"/>
      <c r="K240" s="673"/>
      <c r="L240" s="673"/>
      <c r="M240" s="828"/>
      <c r="N240" s="828"/>
      <c r="O240" s="673" t="s">
        <v>781</v>
      </c>
      <c r="P240" s="673" t="s">
        <v>423</v>
      </c>
      <c r="BE240" s="392">
        <v>9</v>
      </c>
      <c r="BF240" s="331">
        <f t="shared" si="96"/>
        <v>0</v>
      </c>
      <c r="BG240" s="331">
        <f t="shared" si="97"/>
        <v>0</v>
      </c>
      <c r="BH240" s="331">
        <f t="shared" si="98"/>
        <v>0</v>
      </c>
      <c r="BI240" s="331">
        <f t="shared" si="99"/>
        <v>0</v>
      </c>
      <c r="BJ240" s="331">
        <f t="shared" si="100"/>
        <v>0</v>
      </c>
      <c r="BK240" s="331">
        <f t="shared" si="101"/>
        <v>0</v>
      </c>
      <c r="BL240" s="331">
        <f t="shared" si="102"/>
        <v>0</v>
      </c>
      <c r="BM240" s="331">
        <f t="shared" si="103"/>
        <v>0</v>
      </c>
      <c r="BN240" s="331">
        <f t="shared" si="104"/>
        <v>0</v>
      </c>
      <c r="BO240" s="331">
        <f t="shared" si="105"/>
        <v>0</v>
      </c>
      <c r="BP240" s="331">
        <f t="shared" si="106"/>
        <v>0</v>
      </c>
      <c r="BQ240" s="331">
        <f t="shared" si="107"/>
        <v>0</v>
      </c>
      <c r="BR240" s="393"/>
    </row>
    <row r="241" spans="1:70" ht="27.75" customHeight="1" x14ac:dyDescent="0.4">
      <c r="A241" s="872">
        <v>233</v>
      </c>
      <c r="B241" s="866" t="s">
        <v>38</v>
      </c>
      <c r="C241" s="841">
        <f t="shared" si="95"/>
        <v>44877</v>
      </c>
      <c r="D241" s="842" t="str">
        <f>IF(C241="","",INDEX({"रविवार";"सोमवार";"मंगळवार";"बुधवार";"गुरूवार";"शुक्रवार";"शनिवार"},WEEKDAY(C241)))</f>
        <v>शनिवार</v>
      </c>
      <c r="E241" s="673">
        <v>22</v>
      </c>
      <c r="F241" s="673">
        <v>22</v>
      </c>
      <c r="G241" s="673">
        <v>22</v>
      </c>
      <c r="H241" s="673" t="s">
        <v>74</v>
      </c>
      <c r="I241" s="673" t="s">
        <v>359</v>
      </c>
      <c r="J241" s="673"/>
      <c r="K241" s="673"/>
      <c r="L241" s="673"/>
      <c r="M241" s="828"/>
      <c r="N241" s="828"/>
      <c r="O241" s="673" t="s">
        <v>777</v>
      </c>
      <c r="P241" s="673" t="s">
        <v>421</v>
      </c>
      <c r="BE241" s="392">
        <v>10</v>
      </c>
      <c r="BF241" s="331">
        <f t="shared" si="96"/>
        <v>0</v>
      </c>
      <c r="BG241" s="331">
        <f t="shared" si="97"/>
        <v>0</v>
      </c>
      <c r="BH241" s="331">
        <f t="shared" si="98"/>
        <v>0</v>
      </c>
      <c r="BI241" s="331">
        <f t="shared" si="99"/>
        <v>0</v>
      </c>
      <c r="BJ241" s="331">
        <f t="shared" si="100"/>
        <v>0</v>
      </c>
      <c r="BK241" s="331">
        <f t="shared" si="101"/>
        <v>0</v>
      </c>
      <c r="BL241" s="331">
        <f t="shared" si="102"/>
        <v>0</v>
      </c>
      <c r="BM241" s="331">
        <f t="shared" si="103"/>
        <v>0</v>
      </c>
      <c r="BN241" s="331">
        <f t="shared" si="104"/>
        <v>0</v>
      </c>
      <c r="BO241" s="331">
        <f t="shared" si="105"/>
        <v>0</v>
      </c>
      <c r="BP241" s="331">
        <f t="shared" si="106"/>
        <v>0</v>
      </c>
      <c r="BQ241" s="331">
        <f t="shared" si="107"/>
        <v>0</v>
      </c>
      <c r="BR241" s="393"/>
    </row>
    <row r="242" spans="1:70" ht="27.75" customHeight="1" x14ac:dyDescent="0.4">
      <c r="A242" s="872">
        <v>234</v>
      </c>
      <c r="B242" s="866" t="s">
        <v>38</v>
      </c>
      <c r="C242" s="841">
        <f t="shared" si="95"/>
        <v>44878</v>
      </c>
      <c r="D242" s="842" t="str">
        <f>IF(C242="","",INDEX({"रविवार";"सोमवार";"मंगळवार";"बुधवार";"गुरूवार";"शुक्रवार";"शनिवार"},WEEKDAY(C242)))</f>
        <v>रविवार</v>
      </c>
      <c r="E242" s="673"/>
      <c r="F242" s="673"/>
      <c r="G242" s="673"/>
      <c r="H242" s="673"/>
      <c r="I242" s="673"/>
      <c r="J242" s="673"/>
      <c r="K242" s="673"/>
      <c r="L242" s="673"/>
      <c r="M242" s="828"/>
      <c r="N242" s="828"/>
      <c r="O242" s="673"/>
      <c r="P242" s="673"/>
      <c r="BE242" s="392">
        <v>11</v>
      </c>
      <c r="BF242" s="331">
        <f t="shared" si="96"/>
        <v>0</v>
      </c>
      <c r="BG242" s="331">
        <f t="shared" si="97"/>
        <v>0</v>
      </c>
      <c r="BH242" s="331">
        <f t="shared" si="98"/>
        <v>0</v>
      </c>
      <c r="BI242" s="331">
        <f t="shared" si="99"/>
        <v>0</v>
      </c>
      <c r="BJ242" s="331">
        <f t="shared" si="100"/>
        <v>0</v>
      </c>
      <c r="BK242" s="331">
        <f t="shared" si="101"/>
        <v>0</v>
      </c>
      <c r="BL242" s="331">
        <f t="shared" si="102"/>
        <v>0</v>
      </c>
      <c r="BM242" s="331">
        <f t="shared" si="103"/>
        <v>0</v>
      </c>
      <c r="BN242" s="331">
        <f t="shared" si="104"/>
        <v>0</v>
      </c>
      <c r="BO242" s="331">
        <f t="shared" si="105"/>
        <v>0</v>
      </c>
      <c r="BP242" s="331">
        <f t="shared" si="106"/>
        <v>0</v>
      </c>
      <c r="BQ242" s="331">
        <f t="shared" si="107"/>
        <v>0</v>
      </c>
      <c r="BR242" s="393"/>
    </row>
    <row r="243" spans="1:70" ht="27.75" customHeight="1" x14ac:dyDescent="0.4">
      <c r="A243" s="872">
        <v>235</v>
      </c>
      <c r="B243" s="866" t="s">
        <v>38</v>
      </c>
      <c r="C243" s="841">
        <f t="shared" si="95"/>
        <v>44879</v>
      </c>
      <c r="D243" s="842" t="str">
        <f>IF(C243="","",INDEX({"रविवार";"सोमवार";"मंगळवार";"बुधवार";"गुरूवार";"शुक्रवार";"शनिवार"},WEEKDAY(C243)))</f>
        <v>सोमवार</v>
      </c>
      <c r="E243" s="673">
        <v>22</v>
      </c>
      <c r="F243" s="673">
        <v>22</v>
      </c>
      <c r="G243" s="673">
        <v>22</v>
      </c>
      <c r="H243" s="673" t="s">
        <v>74</v>
      </c>
      <c r="I243" s="673" t="s">
        <v>359</v>
      </c>
      <c r="J243" s="673"/>
      <c r="K243" s="673"/>
      <c r="L243" s="673"/>
      <c r="M243" s="828"/>
      <c r="N243" s="828"/>
      <c r="O243" s="673" t="s">
        <v>781</v>
      </c>
      <c r="P243" s="673" t="s">
        <v>424</v>
      </c>
      <c r="BE243" s="392">
        <v>12</v>
      </c>
      <c r="BF243" s="331">
        <f t="shared" si="96"/>
        <v>0</v>
      </c>
      <c r="BG243" s="331">
        <f t="shared" si="97"/>
        <v>0</v>
      </c>
      <c r="BH243" s="331">
        <f t="shared" si="98"/>
        <v>0</v>
      </c>
      <c r="BI243" s="331">
        <f t="shared" si="99"/>
        <v>0</v>
      </c>
      <c r="BJ243" s="331">
        <f t="shared" si="100"/>
        <v>0</v>
      </c>
      <c r="BK243" s="331">
        <f t="shared" si="101"/>
        <v>0</v>
      </c>
      <c r="BL243" s="331">
        <f t="shared" si="102"/>
        <v>0</v>
      </c>
      <c r="BM243" s="331">
        <f t="shared" si="103"/>
        <v>0</v>
      </c>
      <c r="BN243" s="331">
        <f t="shared" si="104"/>
        <v>0</v>
      </c>
      <c r="BO243" s="331">
        <f t="shared" si="105"/>
        <v>0</v>
      </c>
      <c r="BP243" s="331">
        <f t="shared" si="106"/>
        <v>0</v>
      </c>
      <c r="BQ243" s="331">
        <f t="shared" si="107"/>
        <v>0</v>
      </c>
      <c r="BR243" s="393"/>
    </row>
    <row r="244" spans="1:70" ht="27.75" customHeight="1" x14ac:dyDescent="0.4">
      <c r="A244" s="872">
        <v>236</v>
      </c>
      <c r="B244" s="866" t="s">
        <v>38</v>
      </c>
      <c r="C244" s="841">
        <f t="shared" si="95"/>
        <v>44880</v>
      </c>
      <c r="D244" s="842" t="str">
        <f>IF(C244="","",INDEX({"रविवार";"सोमवार";"मंगळवार";"बुधवार";"गुरूवार";"शुक्रवार";"शनिवार"},WEEKDAY(C244)))</f>
        <v>मंगळवार</v>
      </c>
      <c r="E244" s="673">
        <v>22</v>
      </c>
      <c r="F244" s="673">
        <v>22</v>
      </c>
      <c r="G244" s="673">
        <v>22</v>
      </c>
      <c r="H244" s="673" t="s">
        <v>67</v>
      </c>
      <c r="I244" s="673" t="s">
        <v>384</v>
      </c>
      <c r="J244" s="673"/>
      <c r="K244" s="673"/>
      <c r="L244" s="673"/>
      <c r="M244" s="828"/>
      <c r="N244" s="828"/>
      <c r="O244" s="673" t="s">
        <v>779</v>
      </c>
      <c r="P244" s="673" t="s">
        <v>422</v>
      </c>
      <c r="BE244" s="392">
        <v>13</v>
      </c>
      <c r="BF244" s="331">
        <f t="shared" si="96"/>
        <v>0</v>
      </c>
      <c r="BG244" s="331">
        <f t="shared" si="97"/>
        <v>0</v>
      </c>
      <c r="BH244" s="331">
        <f t="shared" si="98"/>
        <v>0</v>
      </c>
      <c r="BI244" s="331">
        <f t="shared" si="99"/>
        <v>0</v>
      </c>
      <c r="BJ244" s="331">
        <f t="shared" si="100"/>
        <v>0</v>
      </c>
      <c r="BK244" s="331">
        <f t="shared" si="101"/>
        <v>0</v>
      </c>
      <c r="BL244" s="331">
        <f t="shared" si="102"/>
        <v>0</v>
      </c>
      <c r="BM244" s="331">
        <f t="shared" si="103"/>
        <v>0</v>
      </c>
      <c r="BN244" s="331">
        <f t="shared" si="104"/>
        <v>0</v>
      </c>
      <c r="BO244" s="331">
        <f t="shared" si="105"/>
        <v>0</v>
      </c>
      <c r="BP244" s="331">
        <f t="shared" si="106"/>
        <v>0</v>
      </c>
      <c r="BQ244" s="331">
        <f t="shared" si="107"/>
        <v>0</v>
      </c>
      <c r="BR244" s="393"/>
    </row>
    <row r="245" spans="1:70" ht="27.75" customHeight="1" x14ac:dyDescent="0.4">
      <c r="A245" s="872">
        <v>237</v>
      </c>
      <c r="B245" s="866" t="s">
        <v>38</v>
      </c>
      <c r="C245" s="841">
        <f t="shared" si="95"/>
        <v>44881</v>
      </c>
      <c r="D245" s="842" t="str">
        <f>IF(C245="","",INDEX({"रविवार";"सोमवार";"मंगळवार";"बुधवार";"गुरूवार";"शुक्रवार";"शनिवार"},WEEKDAY(C245)))</f>
        <v>बुधवार</v>
      </c>
      <c r="E245" s="673">
        <v>22</v>
      </c>
      <c r="F245" s="673">
        <v>22</v>
      </c>
      <c r="G245" s="673">
        <v>22</v>
      </c>
      <c r="H245" s="673" t="s">
        <v>444</v>
      </c>
      <c r="I245" s="673" t="s">
        <v>384</v>
      </c>
      <c r="J245" s="673"/>
      <c r="K245" s="673"/>
      <c r="L245" s="673"/>
      <c r="M245" s="828"/>
      <c r="N245" s="828"/>
      <c r="O245" s="673" t="s">
        <v>777</v>
      </c>
      <c r="P245" s="673" t="s">
        <v>421</v>
      </c>
      <c r="BE245" s="392">
        <v>14</v>
      </c>
      <c r="BF245" s="331">
        <f t="shared" si="96"/>
        <v>0</v>
      </c>
      <c r="BG245" s="331">
        <f t="shared" si="97"/>
        <v>0</v>
      </c>
      <c r="BH245" s="331">
        <f t="shared" si="98"/>
        <v>0</v>
      </c>
      <c r="BI245" s="331">
        <f t="shared" si="99"/>
        <v>0</v>
      </c>
      <c r="BJ245" s="331">
        <f t="shared" si="100"/>
        <v>0</v>
      </c>
      <c r="BK245" s="331">
        <f t="shared" si="101"/>
        <v>0</v>
      </c>
      <c r="BL245" s="331">
        <f t="shared" si="102"/>
        <v>0</v>
      </c>
      <c r="BM245" s="331">
        <f t="shared" si="103"/>
        <v>0</v>
      </c>
      <c r="BN245" s="331">
        <f t="shared" si="104"/>
        <v>0</v>
      </c>
      <c r="BO245" s="331">
        <f t="shared" si="105"/>
        <v>0</v>
      </c>
      <c r="BP245" s="331">
        <f t="shared" si="106"/>
        <v>0</v>
      </c>
      <c r="BQ245" s="331">
        <f t="shared" si="107"/>
        <v>0</v>
      </c>
      <c r="BR245" s="393"/>
    </row>
    <row r="246" spans="1:70" ht="27.75" customHeight="1" x14ac:dyDescent="0.4">
      <c r="A246" s="872">
        <v>238</v>
      </c>
      <c r="B246" s="866" t="s">
        <v>38</v>
      </c>
      <c r="C246" s="841">
        <f t="shared" si="95"/>
        <v>44882</v>
      </c>
      <c r="D246" s="842" t="str">
        <f>IF(C246="","",INDEX({"रविवार";"सोमवार";"मंगळवार";"बुधवार";"गुरूवार";"शुक्रवार";"शनिवार"},WEEKDAY(C246)))</f>
        <v>गुरूवार</v>
      </c>
      <c r="E246" s="673">
        <v>22</v>
      </c>
      <c r="F246" s="673">
        <v>22</v>
      </c>
      <c r="G246" s="673">
        <v>22</v>
      </c>
      <c r="H246" s="673" t="s">
        <v>67</v>
      </c>
      <c r="I246" s="673" t="s">
        <v>384</v>
      </c>
      <c r="J246" s="673"/>
      <c r="K246" s="673"/>
      <c r="L246" s="673"/>
      <c r="M246" s="828"/>
      <c r="N246" s="828"/>
      <c r="O246" s="673" t="s">
        <v>781</v>
      </c>
      <c r="P246" s="673" t="s">
        <v>423</v>
      </c>
      <c r="BE246" s="392">
        <v>15</v>
      </c>
      <c r="BF246" s="331">
        <f t="shared" si="96"/>
        <v>0</v>
      </c>
      <c r="BG246" s="331">
        <f t="shared" si="97"/>
        <v>0</v>
      </c>
      <c r="BH246" s="331">
        <f t="shared" si="98"/>
        <v>0</v>
      </c>
      <c r="BI246" s="331">
        <f t="shared" si="99"/>
        <v>0</v>
      </c>
      <c r="BJ246" s="331">
        <f t="shared" si="100"/>
        <v>0</v>
      </c>
      <c r="BK246" s="331">
        <f t="shared" si="101"/>
        <v>0</v>
      </c>
      <c r="BL246" s="331">
        <f t="shared" si="102"/>
        <v>0</v>
      </c>
      <c r="BM246" s="331">
        <f t="shared" si="103"/>
        <v>0</v>
      </c>
      <c r="BN246" s="331">
        <f t="shared" si="104"/>
        <v>0</v>
      </c>
      <c r="BO246" s="331">
        <f t="shared" si="105"/>
        <v>0</v>
      </c>
      <c r="BP246" s="331">
        <f t="shared" si="106"/>
        <v>0</v>
      </c>
      <c r="BQ246" s="331">
        <f t="shared" si="107"/>
        <v>0</v>
      </c>
      <c r="BR246" s="393"/>
    </row>
    <row r="247" spans="1:70" ht="27.75" customHeight="1" x14ac:dyDescent="0.4">
      <c r="A247" s="872">
        <v>239</v>
      </c>
      <c r="B247" s="866" t="s">
        <v>38</v>
      </c>
      <c r="C247" s="841">
        <f t="shared" si="95"/>
        <v>44883</v>
      </c>
      <c r="D247" s="842" t="str">
        <f>IF(C247="","",INDEX({"रविवार";"सोमवार";"मंगळवार";"बुधवार";"गुरूवार";"शुक्रवार";"शनिवार"},WEEKDAY(C247)))</f>
        <v>शुक्रवार</v>
      </c>
      <c r="E247" s="673">
        <v>22</v>
      </c>
      <c r="F247" s="673">
        <v>22</v>
      </c>
      <c r="G247" s="673">
        <v>22</v>
      </c>
      <c r="H247" s="673" t="s">
        <v>444</v>
      </c>
      <c r="I247" s="673" t="s">
        <v>384</v>
      </c>
      <c r="J247" s="673"/>
      <c r="K247" s="673"/>
      <c r="L247" s="673"/>
      <c r="M247" s="828"/>
      <c r="N247" s="828"/>
      <c r="O247" s="673" t="s">
        <v>777</v>
      </c>
      <c r="P247" s="673" t="s">
        <v>421</v>
      </c>
      <c r="BE247" s="392">
        <v>16</v>
      </c>
      <c r="BF247" s="331">
        <f t="shared" si="96"/>
        <v>0</v>
      </c>
      <c r="BG247" s="331">
        <f t="shared" si="97"/>
        <v>0</v>
      </c>
      <c r="BH247" s="331">
        <f t="shared" si="98"/>
        <v>0</v>
      </c>
      <c r="BI247" s="331">
        <f t="shared" si="99"/>
        <v>0</v>
      </c>
      <c r="BJ247" s="331">
        <f t="shared" si="100"/>
        <v>0</v>
      </c>
      <c r="BK247" s="331">
        <f t="shared" si="101"/>
        <v>0</v>
      </c>
      <c r="BL247" s="331">
        <f t="shared" si="102"/>
        <v>0</v>
      </c>
      <c r="BM247" s="331">
        <f t="shared" si="103"/>
        <v>0</v>
      </c>
      <c r="BN247" s="331">
        <f t="shared" si="104"/>
        <v>0</v>
      </c>
      <c r="BO247" s="331">
        <f t="shared" si="105"/>
        <v>0</v>
      </c>
      <c r="BP247" s="331">
        <f t="shared" si="106"/>
        <v>0</v>
      </c>
      <c r="BQ247" s="331">
        <f t="shared" si="107"/>
        <v>0</v>
      </c>
      <c r="BR247" s="393"/>
    </row>
    <row r="248" spans="1:70" ht="27.75" customHeight="1" x14ac:dyDescent="0.4">
      <c r="A248" s="872">
        <v>240</v>
      </c>
      <c r="B248" s="866" t="s">
        <v>38</v>
      </c>
      <c r="C248" s="841">
        <f t="shared" si="95"/>
        <v>44884</v>
      </c>
      <c r="D248" s="842" t="str">
        <f>IF(C248="","",INDEX({"रविवार";"सोमवार";"मंगळवार";"बुधवार";"गुरूवार";"शुक्रवार";"शनिवार"},WEEKDAY(C248)))</f>
        <v>शनिवार</v>
      </c>
      <c r="E248" s="673">
        <v>22</v>
      </c>
      <c r="F248" s="673">
        <v>22</v>
      </c>
      <c r="G248" s="673">
        <v>22</v>
      </c>
      <c r="H248" s="673" t="s">
        <v>74</v>
      </c>
      <c r="I248" s="673" t="s">
        <v>359</v>
      </c>
      <c r="J248" s="673"/>
      <c r="K248" s="673"/>
      <c r="L248" s="673"/>
      <c r="M248" s="828"/>
      <c r="N248" s="828"/>
      <c r="O248" s="673" t="s">
        <v>780</v>
      </c>
      <c r="P248" s="673" t="s">
        <v>425</v>
      </c>
      <c r="BE248" s="392">
        <v>17</v>
      </c>
      <c r="BF248" s="331">
        <f t="shared" si="96"/>
        <v>0</v>
      </c>
      <c r="BG248" s="331">
        <f t="shared" si="97"/>
        <v>0</v>
      </c>
      <c r="BH248" s="331">
        <f t="shared" si="98"/>
        <v>0</v>
      </c>
      <c r="BI248" s="331">
        <f t="shared" si="99"/>
        <v>0</v>
      </c>
      <c r="BJ248" s="331">
        <f t="shared" si="100"/>
        <v>0</v>
      </c>
      <c r="BK248" s="331">
        <f t="shared" si="101"/>
        <v>0</v>
      </c>
      <c r="BL248" s="331">
        <f t="shared" si="102"/>
        <v>0</v>
      </c>
      <c r="BM248" s="331">
        <f t="shared" si="103"/>
        <v>0</v>
      </c>
      <c r="BN248" s="331">
        <f t="shared" si="104"/>
        <v>0</v>
      </c>
      <c r="BO248" s="331">
        <f t="shared" si="105"/>
        <v>0</v>
      </c>
      <c r="BP248" s="331">
        <f t="shared" si="106"/>
        <v>0</v>
      </c>
      <c r="BQ248" s="331">
        <f t="shared" si="107"/>
        <v>0</v>
      </c>
      <c r="BR248" s="393"/>
    </row>
    <row r="249" spans="1:70" ht="27.75" customHeight="1" x14ac:dyDescent="0.4">
      <c r="A249" s="872">
        <v>241</v>
      </c>
      <c r="B249" s="866" t="s">
        <v>38</v>
      </c>
      <c r="C249" s="841">
        <f t="shared" si="95"/>
        <v>44885</v>
      </c>
      <c r="D249" s="842" t="str">
        <f>IF(C249="","",INDEX({"रविवार";"सोमवार";"मंगळवार";"बुधवार";"गुरूवार";"शुक्रवार";"शनिवार"},WEEKDAY(C249)))</f>
        <v>रविवार</v>
      </c>
      <c r="E249" s="673"/>
      <c r="F249" s="673"/>
      <c r="G249" s="673"/>
      <c r="H249" s="673"/>
      <c r="I249" s="673"/>
      <c r="J249" s="673"/>
      <c r="K249" s="673"/>
      <c r="L249" s="673"/>
      <c r="M249" s="828"/>
      <c r="N249" s="828"/>
      <c r="O249" s="673"/>
      <c r="P249" s="673"/>
      <c r="BE249" s="392">
        <v>18</v>
      </c>
      <c r="BF249" s="331">
        <f t="shared" si="96"/>
        <v>0</v>
      </c>
      <c r="BG249" s="331">
        <f t="shared" si="97"/>
        <v>0</v>
      </c>
      <c r="BH249" s="331">
        <f t="shared" si="98"/>
        <v>0</v>
      </c>
      <c r="BI249" s="331">
        <f t="shared" si="99"/>
        <v>0</v>
      </c>
      <c r="BJ249" s="331">
        <f t="shared" si="100"/>
        <v>0</v>
      </c>
      <c r="BK249" s="331">
        <f t="shared" si="101"/>
        <v>0</v>
      </c>
      <c r="BL249" s="331">
        <f t="shared" si="102"/>
        <v>0</v>
      </c>
      <c r="BM249" s="331">
        <f t="shared" si="103"/>
        <v>0</v>
      </c>
      <c r="BN249" s="331">
        <f t="shared" si="104"/>
        <v>0</v>
      </c>
      <c r="BO249" s="331">
        <f t="shared" si="105"/>
        <v>0</v>
      </c>
      <c r="BP249" s="331">
        <f t="shared" si="106"/>
        <v>0</v>
      </c>
      <c r="BQ249" s="331">
        <f t="shared" si="107"/>
        <v>0</v>
      </c>
      <c r="BR249" s="393"/>
    </row>
    <row r="250" spans="1:70" ht="27.75" customHeight="1" x14ac:dyDescent="0.4">
      <c r="A250" s="872">
        <v>242</v>
      </c>
      <c r="B250" s="866" t="s">
        <v>38</v>
      </c>
      <c r="C250" s="841">
        <f t="shared" si="95"/>
        <v>44886</v>
      </c>
      <c r="D250" s="842" t="str">
        <f>IF(C250="","",INDEX({"रविवार";"सोमवार";"मंगळवार";"बुधवार";"गुरूवार";"शुक्रवार";"शनिवार"},WEEKDAY(C250)))</f>
        <v>सोमवार</v>
      </c>
      <c r="E250" s="673">
        <v>22</v>
      </c>
      <c r="F250" s="673">
        <v>22</v>
      </c>
      <c r="G250" s="673">
        <v>22</v>
      </c>
      <c r="H250" s="673" t="s">
        <v>74</v>
      </c>
      <c r="I250" s="673" t="s">
        <v>359</v>
      </c>
      <c r="J250" s="673"/>
      <c r="K250" s="673"/>
      <c r="L250" s="673"/>
      <c r="M250" s="828"/>
      <c r="N250" s="828"/>
      <c r="O250" s="673" t="s">
        <v>779</v>
      </c>
      <c r="P250" s="673" t="s">
        <v>422</v>
      </c>
      <c r="BE250" s="392">
        <v>19</v>
      </c>
      <c r="BF250" s="331">
        <f t="shared" si="96"/>
        <v>0</v>
      </c>
      <c r="BG250" s="331">
        <f t="shared" si="97"/>
        <v>0</v>
      </c>
      <c r="BH250" s="331">
        <f t="shared" si="98"/>
        <v>0</v>
      </c>
      <c r="BI250" s="331">
        <f t="shared" si="99"/>
        <v>0</v>
      </c>
      <c r="BJ250" s="331">
        <f t="shared" si="100"/>
        <v>0</v>
      </c>
      <c r="BK250" s="331">
        <f t="shared" si="101"/>
        <v>0</v>
      </c>
      <c r="BL250" s="331">
        <f t="shared" si="102"/>
        <v>0</v>
      </c>
      <c r="BM250" s="331">
        <f t="shared" si="103"/>
        <v>0</v>
      </c>
      <c r="BN250" s="331">
        <f t="shared" si="104"/>
        <v>0</v>
      </c>
      <c r="BO250" s="331">
        <f t="shared" si="105"/>
        <v>0</v>
      </c>
      <c r="BP250" s="331">
        <f t="shared" si="106"/>
        <v>0</v>
      </c>
      <c r="BQ250" s="331">
        <f t="shared" si="107"/>
        <v>0</v>
      </c>
      <c r="BR250" s="393"/>
    </row>
    <row r="251" spans="1:70" ht="27.75" customHeight="1" x14ac:dyDescent="0.4">
      <c r="A251" s="872">
        <v>243</v>
      </c>
      <c r="B251" s="866" t="s">
        <v>38</v>
      </c>
      <c r="C251" s="841">
        <f t="shared" si="95"/>
        <v>44887</v>
      </c>
      <c r="D251" s="842" t="str">
        <f>IF(C251="","",INDEX({"रविवार";"सोमवार";"मंगळवार";"बुधवार";"गुरूवार";"शुक्रवार";"शनिवार"},WEEKDAY(C251)))</f>
        <v>मंगळवार</v>
      </c>
      <c r="E251" s="673">
        <v>22</v>
      </c>
      <c r="F251" s="673">
        <v>22</v>
      </c>
      <c r="G251" s="673">
        <v>22</v>
      </c>
      <c r="H251" s="673" t="s">
        <v>67</v>
      </c>
      <c r="I251" s="673" t="s">
        <v>384</v>
      </c>
      <c r="J251" s="673"/>
      <c r="K251" s="673"/>
      <c r="L251" s="673"/>
      <c r="M251" s="828"/>
      <c r="N251" s="828"/>
      <c r="O251" s="673" t="s">
        <v>777</v>
      </c>
      <c r="P251" s="673" t="s">
        <v>421</v>
      </c>
      <c r="BE251" s="392">
        <v>20</v>
      </c>
      <c r="BF251" s="331">
        <f t="shared" si="96"/>
        <v>0</v>
      </c>
      <c r="BG251" s="331">
        <f t="shared" si="97"/>
        <v>0</v>
      </c>
      <c r="BH251" s="331">
        <f t="shared" si="98"/>
        <v>0</v>
      </c>
      <c r="BI251" s="331">
        <f t="shared" si="99"/>
        <v>0</v>
      </c>
      <c r="BJ251" s="331">
        <f t="shared" si="100"/>
        <v>0</v>
      </c>
      <c r="BK251" s="331">
        <f t="shared" si="101"/>
        <v>0</v>
      </c>
      <c r="BL251" s="331">
        <f t="shared" si="102"/>
        <v>0</v>
      </c>
      <c r="BM251" s="331">
        <f t="shared" si="103"/>
        <v>0</v>
      </c>
      <c r="BN251" s="331">
        <f t="shared" si="104"/>
        <v>0</v>
      </c>
      <c r="BO251" s="331">
        <f t="shared" si="105"/>
        <v>0</v>
      </c>
      <c r="BP251" s="331">
        <f t="shared" si="106"/>
        <v>0</v>
      </c>
      <c r="BQ251" s="331">
        <f t="shared" si="107"/>
        <v>0</v>
      </c>
      <c r="BR251" s="393"/>
    </row>
    <row r="252" spans="1:70" ht="27.75" customHeight="1" x14ac:dyDescent="0.4">
      <c r="A252" s="872">
        <v>244</v>
      </c>
      <c r="B252" s="866" t="s">
        <v>38</v>
      </c>
      <c r="C252" s="841">
        <f t="shared" si="95"/>
        <v>44888</v>
      </c>
      <c r="D252" s="842" t="str">
        <f>IF(C252="","",INDEX({"रविवार";"सोमवार";"मंगळवार";"बुधवार";"गुरूवार";"शुक्रवार";"शनिवार"},WEEKDAY(C252)))</f>
        <v>बुधवार</v>
      </c>
      <c r="E252" s="673">
        <v>22</v>
      </c>
      <c r="F252" s="673">
        <v>22</v>
      </c>
      <c r="G252" s="673">
        <v>22</v>
      </c>
      <c r="H252" s="673" t="s">
        <v>444</v>
      </c>
      <c r="I252" s="673" t="s">
        <v>384</v>
      </c>
      <c r="J252" s="673"/>
      <c r="K252" s="673"/>
      <c r="L252" s="673"/>
      <c r="M252" s="828"/>
      <c r="N252" s="828"/>
      <c r="O252" s="673" t="s">
        <v>781</v>
      </c>
      <c r="P252" s="673" t="s">
        <v>423</v>
      </c>
      <c r="BE252" s="392">
        <v>21</v>
      </c>
      <c r="BF252" s="331">
        <f t="shared" si="96"/>
        <v>0</v>
      </c>
      <c r="BG252" s="331">
        <f t="shared" si="97"/>
        <v>0</v>
      </c>
      <c r="BH252" s="331">
        <f t="shared" si="98"/>
        <v>0</v>
      </c>
      <c r="BI252" s="331">
        <f t="shared" si="99"/>
        <v>0</v>
      </c>
      <c r="BJ252" s="331">
        <f t="shared" si="100"/>
        <v>0</v>
      </c>
      <c r="BK252" s="331">
        <f t="shared" si="101"/>
        <v>0</v>
      </c>
      <c r="BL252" s="331">
        <f t="shared" si="102"/>
        <v>0</v>
      </c>
      <c r="BM252" s="331">
        <f t="shared" si="103"/>
        <v>0</v>
      </c>
      <c r="BN252" s="331">
        <f t="shared" si="104"/>
        <v>0</v>
      </c>
      <c r="BO252" s="331">
        <f t="shared" si="105"/>
        <v>0</v>
      </c>
      <c r="BP252" s="331">
        <f t="shared" si="106"/>
        <v>0</v>
      </c>
      <c r="BQ252" s="331">
        <f t="shared" si="107"/>
        <v>0</v>
      </c>
      <c r="BR252" s="393"/>
    </row>
    <row r="253" spans="1:70" ht="27.75" customHeight="1" x14ac:dyDescent="0.4">
      <c r="A253" s="872">
        <v>245</v>
      </c>
      <c r="B253" s="866" t="s">
        <v>38</v>
      </c>
      <c r="C253" s="841">
        <f t="shared" si="95"/>
        <v>44889</v>
      </c>
      <c r="D253" s="842" t="str">
        <f>IF(C253="","",INDEX({"रविवार";"सोमवार";"मंगळवार";"बुधवार";"गुरूवार";"शुक्रवार";"शनिवार"},WEEKDAY(C253)))</f>
        <v>गुरूवार</v>
      </c>
      <c r="E253" s="673">
        <v>22</v>
      </c>
      <c r="F253" s="673">
        <v>22</v>
      </c>
      <c r="G253" s="673">
        <v>22</v>
      </c>
      <c r="H253" s="673" t="s">
        <v>67</v>
      </c>
      <c r="I253" s="673" t="s">
        <v>384</v>
      </c>
      <c r="J253" s="673"/>
      <c r="K253" s="673"/>
      <c r="L253" s="673"/>
      <c r="M253" s="828"/>
      <c r="N253" s="828"/>
      <c r="O253" s="673" t="s">
        <v>777</v>
      </c>
      <c r="P253" s="673" t="s">
        <v>421</v>
      </c>
      <c r="BE253" s="392">
        <v>22</v>
      </c>
      <c r="BF253" s="331">
        <f t="shared" si="96"/>
        <v>0</v>
      </c>
      <c r="BG253" s="331">
        <f t="shared" si="97"/>
        <v>0</v>
      </c>
      <c r="BH253" s="331">
        <f t="shared" si="98"/>
        <v>0</v>
      </c>
      <c r="BI253" s="331">
        <f t="shared" si="99"/>
        <v>0</v>
      </c>
      <c r="BJ253" s="331">
        <f t="shared" si="100"/>
        <v>0</v>
      </c>
      <c r="BK253" s="331">
        <f t="shared" si="101"/>
        <v>0</v>
      </c>
      <c r="BL253" s="331">
        <f t="shared" si="102"/>
        <v>0</v>
      </c>
      <c r="BM253" s="331">
        <f t="shared" si="103"/>
        <v>0</v>
      </c>
      <c r="BN253" s="331">
        <f t="shared" si="104"/>
        <v>0</v>
      </c>
      <c r="BO253" s="331">
        <f t="shared" si="105"/>
        <v>0</v>
      </c>
      <c r="BP253" s="331">
        <f t="shared" si="106"/>
        <v>0</v>
      </c>
      <c r="BQ253" s="331">
        <f t="shared" si="107"/>
        <v>0</v>
      </c>
      <c r="BR253" s="393"/>
    </row>
    <row r="254" spans="1:70" ht="27.75" customHeight="1" x14ac:dyDescent="0.4">
      <c r="A254" s="872">
        <v>246</v>
      </c>
      <c r="B254" s="866" t="s">
        <v>38</v>
      </c>
      <c r="C254" s="841">
        <f t="shared" si="95"/>
        <v>44890</v>
      </c>
      <c r="D254" s="842" t="str">
        <f>IF(C254="","",INDEX({"रविवार";"सोमवार";"मंगळवार";"बुधवार";"गुरूवार";"शुक्रवार";"शनिवार"},WEEKDAY(C254)))</f>
        <v>शुक्रवार</v>
      </c>
      <c r="E254" s="673">
        <v>22</v>
      </c>
      <c r="F254" s="673">
        <v>22</v>
      </c>
      <c r="G254" s="673">
        <v>22</v>
      </c>
      <c r="H254" s="673" t="s">
        <v>444</v>
      </c>
      <c r="I254" s="673" t="s">
        <v>384</v>
      </c>
      <c r="J254" s="673"/>
      <c r="K254" s="673"/>
      <c r="L254" s="673"/>
      <c r="M254" s="828"/>
      <c r="N254" s="828"/>
      <c r="O254" s="673" t="s">
        <v>780</v>
      </c>
      <c r="P254" s="673" t="s">
        <v>425</v>
      </c>
      <c r="BE254" s="392">
        <v>23</v>
      </c>
      <c r="BF254" s="331">
        <f t="shared" si="96"/>
        <v>0</v>
      </c>
      <c r="BG254" s="331">
        <f t="shared" si="97"/>
        <v>0</v>
      </c>
      <c r="BH254" s="331">
        <f t="shared" si="98"/>
        <v>0</v>
      </c>
      <c r="BI254" s="331">
        <f t="shared" si="99"/>
        <v>0</v>
      </c>
      <c r="BJ254" s="331">
        <f t="shared" si="100"/>
        <v>0</v>
      </c>
      <c r="BK254" s="331">
        <f t="shared" si="101"/>
        <v>0</v>
      </c>
      <c r="BL254" s="331">
        <f t="shared" si="102"/>
        <v>0</v>
      </c>
      <c r="BM254" s="331">
        <f t="shared" si="103"/>
        <v>0</v>
      </c>
      <c r="BN254" s="331">
        <f t="shared" si="104"/>
        <v>0</v>
      </c>
      <c r="BO254" s="331">
        <f t="shared" si="105"/>
        <v>0</v>
      </c>
      <c r="BP254" s="331">
        <f t="shared" si="106"/>
        <v>0</v>
      </c>
      <c r="BQ254" s="331">
        <f t="shared" si="107"/>
        <v>0</v>
      </c>
      <c r="BR254" s="393"/>
    </row>
    <row r="255" spans="1:70" ht="27.75" customHeight="1" x14ac:dyDescent="0.4">
      <c r="A255" s="872">
        <v>247</v>
      </c>
      <c r="B255" s="866" t="s">
        <v>38</v>
      </c>
      <c r="C255" s="841">
        <f t="shared" si="95"/>
        <v>44891</v>
      </c>
      <c r="D255" s="842" t="str">
        <f>IF(C255="","",INDEX({"रविवार";"सोमवार";"मंगळवार";"बुधवार";"गुरूवार";"शुक्रवार";"शनिवार"},WEEKDAY(C255)))</f>
        <v>शनिवार</v>
      </c>
      <c r="E255" s="673">
        <v>22</v>
      </c>
      <c r="F255" s="673">
        <v>22</v>
      </c>
      <c r="G255" s="673">
        <v>22</v>
      </c>
      <c r="H255" s="673" t="s">
        <v>74</v>
      </c>
      <c r="I255" s="673" t="s">
        <v>359</v>
      </c>
      <c r="J255" s="673"/>
      <c r="K255" s="673"/>
      <c r="L255" s="673"/>
      <c r="M255" s="828"/>
      <c r="N255" s="828"/>
      <c r="O255" s="673" t="s">
        <v>781</v>
      </c>
      <c r="P255" s="673" t="s">
        <v>424</v>
      </c>
      <c r="BE255" s="392">
        <v>24</v>
      </c>
      <c r="BF255" s="331">
        <f t="shared" si="96"/>
        <v>0</v>
      </c>
      <c r="BG255" s="331">
        <f t="shared" si="97"/>
        <v>0</v>
      </c>
      <c r="BH255" s="331">
        <f t="shared" si="98"/>
        <v>0</v>
      </c>
      <c r="BI255" s="331">
        <f t="shared" si="99"/>
        <v>0</v>
      </c>
      <c r="BJ255" s="331">
        <f t="shared" si="100"/>
        <v>0</v>
      </c>
      <c r="BK255" s="331">
        <f t="shared" si="101"/>
        <v>0</v>
      </c>
      <c r="BL255" s="331">
        <f t="shared" si="102"/>
        <v>0</v>
      </c>
      <c r="BM255" s="331">
        <f t="shared" si="103"/>
        <v>0</v>
      </c>
      <c r="BN255" s="331">
        <f t="shared" si="104"/>
        <v>0</v>
      </c>
      <c r="BO255" s="331">
        <f t="shared" si="105"/>
        <v>0</v>
      </c>
      <c r="BP255" s="331">
        <f t="shared" si="106"/>
        <v>0</v>
      </c>
      <c r="BQ255" s="331">
        <f t="shared" si="107"/>
        <v>0</v>
      </c>
      <c r="BR255" s="393"/>
    </row>
    <row r="256" spans="1:70" ht="27.75" customHeight="1" x14ac:dyDescent="0.4">
      <c r="A256" s="872">
        <v>248</v>
      </c>
      <c r="B256" s="866" t="s">
        <v>38</v>
      </c>
      <c r="C256" s="841">
        <f t="shared" si="95"/>
        <v>44892</v>
      </c>
      <c r="D256" s="842" t="str">
        <f>IF(C256="","",INDEX({"रविवार";"सोमवार";"मंगळवार";"बुधवार";"गुरूवार";"शुक्रवार";"शनिवार"},WEEKDAY(C256)))</f>
        <v>रविवार</v>
      </c>
      <c r="E256" s="673"/>
      <c r="F256" s="673"/>
      <c r="G256" s="673"/>
      <c r="H256" s="673"/>
      <c r="I256" s="673"/>
      <c r="J256" s="673"/>
      <c r="K256" s="673"/>
      <c r="L256" s="673"/>
      <c r="M256" s="828"/>
      <c r="N256" s="828"/>
      <c r="O256" s="673"/>
      <c r="P256" s="673"/>
      <c r="BE256" s="392">
        <v>25</v>
      </c>
      <c r="BF256" s="331">
        <f t="shared" si="96"/>
        <v>0</v>
      </c>
      <c r="BG256" s="331">
        <f t="shared" si="97"/>
        <v>0</v>
      </c>
      <c r="BH256" s="331">
        <f t="shared" si="98"/>
        <v>0</v>
      </c>
      <c r="BI256" s="331">
        <f t="shared" si="99"/>
        <v>0</v>
      </c>
      <c r="BJ256" s="331">
        <f t="shared" si="100"/>
        <v>0</v>
      </c>
      <c r="BK256" s="331">
        <f t="shared" si="101"/>
        <v>0</v>
      </c>
      <c r="BL256" s="331">
        <f t="shared" si="102"/>
        <v>0</v>
      </c>
      <c r="BM256" s="331">
        <f t="shared" si="103"/>
        <v>0</v>
      </c>
      <c r="BN256" s="331">
        <f t="shared" si="104"/>
        <v>0</v>
      </c>
      <c r="BO256" s="331">
        <f t="shared" si="105"/>
        <v>0</v>
      </c>
      <c r="BP256" s="331">
        <f t="shared" si="106"/>
        <v>0</v>
      </c>
      <c r="BQ256" s="331">
        <f t="shared" si="107"/>
        <v>0</v>
      </c>
      <c r="BR256" s="393"/>
    </row>
    <row r="257" spans="1:70" ht="27.75" customHeight="1" x14ac:dyDescent="0.4">
      <c r="A257" s="872">
        <v>249</v>
      </c>
      <c r="B257" s="866" t="s">
        <v>38</v>
      </c>
      <c r="C257" s="841">
        <f t="shared" si="95"/>
        <v>44893</v>
      </c>
      <c r="D257" s="842" t="str">
        <f>IF(C257="","",INDEX({"रविवार";"सोमवार";"मंगळवार";"बुधवार";"गुरूवार";"शुक्रवार";"शनिवार"},WEEKDAY(C257)))</f>
        <v>सोमवार</v>
      </c>
      <c r="E257" s="673">
        <v>22</v>
      </c>
      <c r="F257" s="673">
        <v>22</v>
      </c>
      <c r="G257" s="673">
        <v>22</v>
      </c>
      <c r="H257" s="673" t="s">
        <v>74</v>
      </c>
      <c r="I257" s="673" t="s">
        <v>359</v>
      </c>
      <c r="J257" s="673"/>
      <c r="K257" s="673"/>
      <c r="L257" s="673"/>
      <c r="M257" s="828"/>
      <c r="N257" s="828"/>
      <c r="O257" s="673" t="s">
        <v>781</v>
      </c>
      <c r="P257" s="673" t="s">
        <v>423</v>
      </c>
      <c r="BE257" s="392">
        <v>26</v>
      </c>
      <c r="BF257" s="331">
        <f t="shared" si="96"/>
        <v>0</v>
      </c>
      <c r="BG257" s="331">
        <f t="shared" si="97"/>
        <v>0</v>
      </c>
      <c r="BH257" s="331">
        <f t="shared" si="98"/>
        <v>0</v>
      </c>
      <c r="BI257" s="331">
        <f t="shared" si="99"/>
        <v>0</v>
      </c>
      <c r="BJ257" s="331">
        <f t="shared" si="100"/>
        <v>0</v>
      </c>
      <c r="BK257" s="331">
        <f t="shared" si="101"/>
        <v>0</v>
      </c>
      <c r="BL257" s="331">
        <f t="shared" si="102"/>
        <v>0</v>
      </c>
      <c r="BM257" s="331">
        <f t="shared" si="103"/>
        <v>0</v>
      </c>
      <c r="BN257" s="331">
        <f t="shared" si="104"/>
        <v>0</v>
      </c>
      <c r="BO257" s="331">
        <f t="shared" si="105"/>
        <v>0</v>
      </c>
      <c r="BP257" s="331">
        <f t="shared" si="106"/>
        <v>0</v>
      </c>
      <c r="BQ257" s="331">
        <f t="shared" si="107"/>
        <v>0</v>
      </c>
      <c r="BR257" s="393"/>
    </row>
    <row r="258" spans="1:70" ht="27.75" customHeight="1" x14ac:dyDescent="0.4">
      <c r="A258" s="872">
        <v>250</v>
      </c>
      <c r="B258" s="866" t="s">
        <v>38</v>
      </c>
      <c r="C258" s="841">
        <f t="shared" si="95"/>
        <v>44894</v>
      </c>
      <c r="D258" s="842" t="str">
        <f>IF(C258="","",INDEX({"रविवार";"सोमवार";"मंगळवार";"बुधवार";"गुरूवार";"शुक्रवार";"शनिवार"},WEEKDAY(C258)))</f>
        <v>मंगळवार</v>
      </c>
      <c r="E258" s="673">
        <v>22</v>
      </c>
      <c r="F258" s="673">
        <v>22</v>
      </c>
      <c r="G258" s="673">
        <v>22</v>
      </c>
      <c r="H258" s="673" t="s">
        <v>67</v>
      </c>
      <c r="I258" s="673" t="s">
        <v>384</v>
      </c>
      <c r="J258" s="673"/>
      <c r="K258" s="673"/>
      <c r="L258" s="673"/>
      <c r="M258" s="828"/>
      <c r="N258" s="828"/>
      <c r="O258" s="673" t="s">
        <v>777</v>
      </c>
      <c r="P258" s="673" t="s">
        <v>421</v>
      </c>
      <c r="BE258" s="392">
        <v>27</v>
      </c>
      <c r="BF258" s="331">
        <f t="shared" si="96"/>
        <v>0</v>
      </c>
      <c r="BG258" s="331">
        <f t="shared" si="97"/>
        <v>0</v>
      </c>
      <c r="BH258" s="331">
        <f t="shared" si="98"/>
        <v>0</v>
      </c>
      <c r="BI258" s="331">
        <f t="shared" si="99"/>
        <v>0</v>
      </c>
      <c r="BJ258" s="331">
        <f t="shared" si="100"/>
        <v>0</v>
      </c>
      <c r="BK258" s="331">
        <f t="shared" si="101"/>
        <v>0</v>
      </c>
      <c r="BL258" s="331">
        <f t="shared" si="102"/>
        <v>0</v>
      </c>
      <c r="BM258" s="331">
        <f t="shared" si="103"/>
        <v>0</v>
      </c>
      <c r="BN258" s="331">
        <f t="shared" si="104"/>
        <v>0</v>
      </c>
      <c r="BO258" s="331">
        <f t="shared" si="105"/>
        <v>0</v>
      </c>
      <c r="BP258" s="331">
        <f t="shared" si="106"/>
        <v>0</v>
      </c>
      <c r="BQ258" s="331">
        <f t="shared" si="107"/>
        <v>0</v>
      </c>
      <c r="BR258" s="393"/>
    </row>
    <row r="259" spans="1:70" ht="27.75" customHeight="1" x14ac:dyDescent="0.4">
      <c r="A259" s="872">
        <v>251</v>
      </c>
      <c r="B259" s="866" t="s">
        <v>38</v>
      </c>
      <c r="C259" s="841">
        <f t="shared" si="95"/>
        <v>44895</v>
      </c>
      <c r="D259" s="842" t="str">
        <f>IF(C259="","",INDEX({"रविवार";"सोमवार";"मंगळवार";"बुधवार";"गुरूवार";"शुक्रवार";"शनिवार"},WEEKDAY(C259)))</f>
        <v>बुधवार</v>
      </c>
      <c r="E259" s="673">
        <v>22</v>
      </c>
      <c r="F259" s="673">
        <v>22</v>
      </c>
      <c r="G259" s="673">
        <v>22</v>
      </c>
      <c r="H259" s="673" t="s">
        <v>444</v>
      </c>
      <c r="I259" s="673" t="s">
        <v>384</v>
      </c>
      <c r="J259" s="673"/>
      <c r="K259" s="673"/>
      <c r="L259" s="673"/>
      <c r="M259" s="828"/>
      <c r="N259" s="828"/>
      <c r="O259" s="673" t="s">
        <v>780</v>
      </c>
      <c r="P259" s="673" t="s">
        <v>425</v>
      </c>
      <c r="BE259" s="392">
        <v>28</v>
      </c>
      <c r="BF259" s="331">
        <f t="shared" si="96"/>
        <v>0</v>
      </c>
      <c r="BG259" s="331">
        <f t="shared" si="97"/>
        <v>0</v>
      </c>
      <c r="BH259" s="331">
        <f t="shared" si="98"/>
        <v>0</v>
      </c>
      <c r="BI259" s="331">
        <f t="shared" si="99"/>
        <v>0</v>
      </c>
      <c r="BJ259" s="331">
        <f t="shared" si="100"/>
        <v>0</v>
      </c>
      <c r="BK259" s="331">
        <f t="shared" si="101"/>
        <v>0</v>
      </c>
      <c r="BL259" s="331">
        <f t="shared" si="102"/>
        <v>0</v>
      </c>
      <c r="BM259" s="331">
        <f t="shared" si="103"/>
        <v>0</v>
      </c>
      <c r="BN259" s="331">
        <f t="shared" si="104"/>
        <v>0</v>
      </c>
      <c r="BO259" s="331">
        <f t="shared" si="105"/>
        <v>0</v>
      </c>
      <c r="BP259" s="331">
        <f t="shared" si="106"/>
        <v>0</v>
      </c>
      <c r="BQ259" s="331">
        <f t="shared" si="107"/>
        <v>0</v>
      </c>
      <c r="BR259" s="393"/>
    </row>
    <row r="260" spans="1:70" ht="27.75" customHeight="1" x14ac:dyDescent="0.4">
      <c r="A260" s="872">
        <v>252</v>
      </c>
      <c r="B260" s="866" t="s">
        <v>38</v>
      </c>
      <c r="C260" s="841" t="s">
        <v>35</v>
      </c>
      <c r="D260" s="841"/>
      <c r="E260" s="829">
        <f>IF(SUM(E230:E259)&gt;0,SUM(E230:E259),"")</f>
        <v>418</v>
      </c>
      <c r="F260" s="829">
        <f t="shared" ref="F260:N260" si="108">IF(SUM(F230:F259)&gt;0,SUM(F230:F259),"")</f>
        <v>418</v>
      </c>
      <c r="G260" s="829">
        <f t="shared" si="108"/>
        <v>418</v>
      </c>
      <c r="H260" s="829" t="str">
        <f t="shared" si="108"/>
        <v/>
      </c>
      <c r="I260" s="829" t="str">
        <f t="shared" si="108"/>
        <v/>
      </c>
      <c r="J260" s="829" t="str">
        <f t="shared" si="108"/>
        <v/>
      </c>
      <c r="K260" s="829" t="str">
        <f t="shared" si="108"/>
        <v/>
      </c>
      <c r="L260" s="829" t="str">
        <f t="shared" si="108"/>
        <v/>
      </c>
      <c r="M260" s="829" t="str">
        <f t="shared" si="108"/>
        <v/>
      </c>
      <c r="N260" s="829" t="str">
        <f t="shared" si="108"/>
        <v/>
      </c>
      <c r="O260" s="830"/>
      <c r="P260" s="830"/>
      <c r="BE260" s="392">
        <v>29</v>
      </c>
      <c r="BF260" s="331">
        <f t="shared" si="96"/>
        <v>0</v>
      </c>
      <c r="BG260" s="331">
        <f t="shared" si="97"/>
        <v>0</v>
      </c>
      <c r="BH260" s="331">
        <f t="shared" si="98"/>
        <v>0</v>
      </c>
      <c r="BI260" s="331">
        <f t="shared" si="99"/>
        <v>0</v>
      </c>
      <c r="BJ260" s="331">
        <f t="shared" si="100"/>
        <v>0</v>
      </c>
      <c r="BK260" s="331">
        <f t="shared" si="101"/>
        <v>0</v>
      </c>
      <c r="BL260" s="331">
        <f t="shared" si="102"/>
        <v>0</v>
      </c>
      <c r="BM260" s="331">
        <f t="shared" si="103"/>
        <v>0</v>
      </c>
      <c r="BN260" s="331">
        <f t="shared" si="104"/>
        <v>0</v>
      </c>
      <c r="BO260" s="331">
        <f t="shared" si="105"/>
        <v>0</v>
      </c>
      <c r="BP260" s="331">
        <f t="shared" si="106"/>
        <v>0</v>
      </c>
      <c r="BQ260" s="331">
        <f t="shared" si="107"/>
        <v>0</v>
      </c>
      <c r="BR260" s="393"/>
    </row>
    <row r="261" spans="1:70" ht="27.75" customHeight="1" x14ac:dyDescent="0.4">
      <c r="A261" s="872">
        <v>253</v>
      </c>
      <c r="B261" s="867" t="s">
        <v>39</v>
      </c>
      <c r="C261" s="841">
        <f>DATE(N6,"12","1")</f>
        <v>44896</v>
      </c>
      <c r="D261" s="842" t="str">
        <f>IF(C261="","",INDEX({"रविवार";"सोमवार";"मंगळवार";"बुधवार";"गुरूवार";"शुक्रवार";"शनिवार"},WEEKDAY(C261)))</f>
        <v>गुरूवार</v>
      </c>
      <c r="E261" s="673">
        <v>22</v>
      </c>
      <c r="F261" s="673">
        <v>22</v>
      </c>
      <c r="G261" s="673">
        <v>22</v>
      </c>
      <c r="H261" s="673" t="s">
        <v>67</v>
      </c>
      <c r="I261" s="673" t="s">
        <v>384</v>
      </c>
      <c r="J261" s="673"/>
      <c r="K261" s="673"/>
      <c r="L261" s="673"/>
      <c r="M261" s="828"/>
      <c r="N261" s="828"/>
      <c r="O261" s="673" t="s">
        <v>777</v>
      </c>
      <c r="P261" s="673" t="s">
        <v>421</v>
      </c>
      <c r="BE261" s="392">
        <v>30</v>
      </c>
      <c r="BF261" s="331">
        <f t="shared" si="96"/>
        <v>0</v>
      </c>
      <c r="BG261" s="331">
        <f t="shared" si="97"/>
        <v>0</v>
      </c>
      <c r="BH261" s="331">
        <f t="shared" si="98"/>
        <v>0</v>
      </c>
      <c r="BI261" s="331">
        <f t="shared" si="99"/>
        <v>0</v>
      </c>
      <c r="BJ261" s="331">
        <f t="shared" si="100"/>
        <v>0</v>
      </c>
      <c r="BK261" s="331">
        <f t="shared" si="101"/>
        <v>0</v>
      </c>
      <c r="BL261" s="331">
        <f t="shared" si="102"/>
        <v>0</v>
      </c>
      <c r="BM261" s="331">
        <f t="shared" si="103"/>
        <v>0</v>
      </c>
      <c r="BN261" s="331">
        <f t="shared" si="104"/>
        <v>0</v>
      </c>
      <c r="BO261" s="331">
        <f t="shared" si="105"/>
        <v>0</v>
      </c>
      <c r="BP261" s="393"/>
      <c r="BQ261" s="331">
        <f t="shared" si="107"/>
        <v>0</v>
      </c>
      <c r="BR261" s="393"/>
    </row>
    <row r="262" spans="1:70" ht="27.75" customHeight="1" x14ac:dyDescent="0.4">
      <c r="A262" s="872">
        <v>254</v>
      </c>
      <c r="B262" s="867" t="s">
        <v>39</v>
      </c>
      <c r="C262" s="841">
        <f>C261+1</f>
        <v>44897</v>
      </c>
      <c r="D262" s="842" t="str">
        <f>IF(C262="","",INDEX({"रविवार";"सोमवार";"मंगळवार";"बुधवार";"गुरूवार";"शुक्रवार";"शनिवार"},WEEKDAY(C262)))</f>
        <v>शुक्रवार</v>
      </c>
      <c r="E262" s="673">
        <v>21</v>
      </c>
      <c r="F262" s="673">
        <v>21</v>
      </c>
      <c r="G262" s="673">
        <v>21</v>
      </c>
      <c r="H262" s="673" t="s">
        <v>444</v>
      </c>
      <c r="I262" s="673" t="s">
        <v>384</v>
      </c>
      <c r="J262" s="673"/>
      <c r="K262" s="673"/>
      <c r="L262" s="673"/>
      <c r="M262" s="828"/>
      <c r="N262" s="828"/>
      <c r="O262" s="673" t="s">
        <v>780</v>
      </c>
      <c r="P262" s="673" t="s">
        <v>425</v>
      </c>
      <c r="BE262" s="392">
        <v>31</v>
      </c>
      <c r="BF262" s="393"/>
      <c r="BG262" s="331">
        <f t="shared" si="97"/>
        <v>0</v>
      </c>
      <c r="BH262" s="393"/>
      <c r="BI262" s="331">
        <f t="shared" si="99"/>
        <v>0</v>
      </c>
      <c r="BJ262" s="331">
        <f t="shared" si="100"/>
        <v>0</v>
      </c>
      <c r="BK262" s="393"/>
      <c r="BL262" s="331">
        <f t="shared" si="102"/>
        <v>0</v>
      </c>
      <c r="BM262" s="393"/>
      <c r="BN262" s="331">
        <f t="shared" si="104"/>
        <v>0</v>
      </c>
      <c r="BO262" s="331">
        <f t="shared" si="105"/>
        <v>0</v>
      </c>
      <c r="BP262" s="393"/>
      <c r="BQ262" s="331">
        <f t="shared" si="107"/>
        <v>0</v>
      </c>
      <c r="BR262" s="393"/>
    </row>
    <row r="263" spans="1:70" ht="27.75" customHeight="1" x14ac:dyDescent="0.45">
      <c r="A263" s="872">
        <v>255</v>
      </c>
      <c r="B263" s="867" t="s">
        <v>39</v>
      </c>
      <c r="C263" s="841">
        <f t="shared" ref="C263:C291" si="109">C262+1</f>
        <v>44898</v>
      </c>
      <c r="D263" s="842" t="str">
        <f>IF(C263="","",INDEX({"रविवार";"सोमवार";"मंगळवार";"बुधवार";"गुरूवार";"शुक्रवार";"शनिवार"},WEEKDAY(C263)))</f>
        <v>शनिवार</v>
      </c>
      <c r="E263" s="673">
        <v>21</v>
      </c>
      <c r="F263" s="673">
        <v>21</v>
      </c>
      <c r="G263" s="673">
        <v>21</v>
      </c>
      <c r="H263" s="673" t="s">
        <v>74</v>
      </c>
      <c r="I263" s="673" t="s">
        <v>359</v>
      </c>
      <c r="J263" s="673"/>
      <c r="K263" s="673"/>
      <c r="L263" s="673"/>
      <c r="M263" s="828"/>
      <c r="N263" s="828"/>
      <c r="O263" s="673" t="s">
        <v>781</v>
      </c>
      <c r="P263" s="673" t="s">
        <v>424</v>
      </c>
      <c r="BE263" s="40" t="s">
        <v>35</v>
      </c>
      <c r="BF263" s="331" t="str">
        <f>L39</f>
        <v/>
      </c>
      <c r="BG263" s="331" t="str">
        <f t="shared" si="97"/>
        <v/>
      </c>
      <c r="BH263" s="331" t="str">
        <f>L102</f>
        <v/>
      </c>
      <c r="BI263" s="331" t="str">
        <f t="shared" si="99"/>
        <v/>
      </c>
      <c r="BJ263" s="331" t="str">
        <f t="shared" si="100"/>
        <v/>
      </c>
      <c r="BK263" s="331" t="str">
        <f>L197</f>
        <v/>
      </c>
      <c r="BL263" s="331" t="str">
        <f t="shared" si="102"/>
        <v/>
      </c>
      <c r="BM263" s="331" t="str">
        <f>L260</f>
        <v/>
      </c>
      <c r="BN263" s="331" t="str">
        <f t="shared" si="104"/>
        <v/>
      </c>
      <c r="BO263" s="331" t="str">
        <f t="shared" si="105"/>
        <v/>
      </c>
      <c r="BP263" s="331" t="str">
        <f>L354</f>
        <v/>
      </c>
      <c r="BQ263" s="331" t="str">
        <f t="shared" si="107"/>
        <v/>
      </c>
      <c r="BR263" s="393"/>
    </row>
    <row r="264" spans="1:70" ht="27.75" customHeight="1" x14ac:dyDescent="0.4">
      <c r="A264" s="872">
        <v>256</v>
      </c>
      <c r="B264" s="867" t="s">
        <v>39</v>
      </c>
      <c r="C264" s="841">
        <f t="shared" si="109"/>
        <v>44899</v>
      </c>
      <c r="D264" s="842" t="str">
        <f>IF(C264="","",INDEX({"रविवार";"सोमवार";"मंगळवार";"बुधवार";"गुरूवार";"शुक्रवार";"शनिवार"},WEEKDAY(C264)))</f>
        <v>रविवार</v>
      </c>
      <c r="E264" s="673"/>
      <c r="F264" s="673"/>
      <c r="G264" s="673"/>
      <c r="H264" s="673"/>
      <c r="I264" s="673"/>
      <c r="J264" s="673"/>
      <c r="K264" s="673"/>
      <c r="L264" s="673"/>
      <c r="M264" s="828"/>
      <c r="N264" s="828"/>
      <c r="O264" s="673"/>
      <c r="P264" s="673"/>
    </row>
    <row r="265" spans="1:70" ht="27.75" customHeight="1" x14ac:dyDescent="0.4">
      <c r="A265" s="872">
        <v>257</v>
      </c>
      <c r="B265" s="867" t="s">
        <v>39</v>
      </c>
      <c r="C265" s="841">
        <f t="shared" si="109"/>
        <v>44900</v>
      </c>
      <c r="D265" s="842" t="str">
        <f>IF(C265="","",INDEX({"रविवार";"सोमवार";"मंगळवार";"बुधवार";"गुरूवार";"शुक्रवार";"शनिवार"},WEEKDAY(C265)))</f>
        <v>सोमवार</v>
      </c>
      <c r="E265" s="673">
        <v>21</v>
      </c>
      <c r="F265" s="673">
        <v>21</v>
      </c>
      <c r="G265" s="673">
        <v>21</v>
      </c>
      <c r="H265" s="673" t="s">
        <v>74</v>
      </c>
      <c r="I265" s="673" t="s">
        <v>359</v>
      </c>
      <c r="J265" s="673"/>
      <c r="K265" s="673"/>
      <c r="L265" s="673"/>
      <c r="M265" s="828"/>
      <c r="N265" s="828"/>
      <c r="O265" s="673" t="s">
        <v>779</v>
      </c>
      <c r="P265" s="673" t="s">
        <v>422</v>
      </c>
    </row>
    <row r="266" spans="1:70" ht="27.75" customHeight="1" x14ac:dyDescent="0.4">
      <c r="A266" s="872">
        <v>258</v>
      </c>
      <c r="B266" s="867" t="s">
        <v>39</v>
      </c>
      <c r="C266" s="841">
        <f t="shared" si="109"/>
        <v>44901</v>
      </c>
      <c r="D266" s="842" t="str">
        <f>IF(C266="","",INDEX({"रविवार";"सोमवार";"मंगळवार";"बुधवार";"गुरूवार";"शुक्रवार";"शनिवार"},WEEKDAY(C266)))</f>
        <v>मंगळवार</v>
      </c>
      <c r="E266" s="673">
        <v>0</v>
      </c>
      <c r="F266" s="673">
        <v>0</v>
      </c>
      <c r="G266" s="673">
        <v>0</v>
      </c>
      <c r="H266" s="673"/>
      <c r="I266" s="673"/>
      <c r="J266" s="673"/>
      <c r="K266" s="673"/>
      <c r="L266" s="673"/>
      <c r="M266" s="828"/>
      <c r="N266" s="828"/>
      <c r="O266" s="673"/>
      <c r="P266" s="673"/>
    </row>
    <row r="267" spans="1:70" ht="27.75" customHeight="1" x14ac:dyDescent="0.4">
      <c r="A267" s="872">
        <v>259</v>
      </c>
      <c r="B267" s="867" t="s">
        <v>39</v>
      </c>
      <c r="C267" s="841">
        <f t="shared" si="109"/>
        <v>44902</v>
      </c>
      <c r="D267" s="842" t="str">
        <f>IF(C267="","",INDEX({"रविवार";"सोमवार";"मंगळवार";"बुधवार";"गुरूवार";"शुक्रवार";"शनिवार"},WEEKDAY(C267)))</f>
        <v>बुधवार</v>
      </c>
      <c r="E267" s="673">
        <v>21</v>
      </c>
      <c r="F267" s="673">
        <v>21</v>
      </c>
      <c r="G267" s="673">
        <v>21</v>
      </c>
      <c r="H267" s="673" t="s">
        <v>444</v>
      </c>
      <c r="I267" s="673" t="s">
        <v>384</v>
      </c>
      <c r="J267" s="673"/>
      <c r="K267" s="673"/>
      <c r="L267" s="673"/>
      <c r="M267" s="828"/>
      <c r="N267" s="828"/>
      <c r="O267" s="673" t="s">
        <v>781</v>
      </c>
      <c r="P267" s="673" t="s">
        <v>423</v>
      </c>
      <c r="BK267" s="380" t="s">
        <v>292</v>
      </c>
    </row>
    <row r="268" spans="1:70" ht="27.75" customHeight="1" x14ac:dyDescent="0.4">
      <c r="A268" s="872">
        <v>260</v>
      </c>
      <c r="B268" s="867" t="s">
        <v>39</v>
      </c>
      <c r="C268" s="841">
        <f t="shared" si="109"/>
        <v>44903</v>
      </c>
      <c r="D268" s="842" t="str">
        <f>IF(C268="","",INDEX({"रविवार";"सोमवार";"मंगळवार";"बुधवार";"गुरूवार";"शुक्रवार";"शनिवार"},WEEKDAY(C268)))</f>
        <v>गुरूवार</v>
      </c>
      <c r="E268" s="673">
        <v>21</v>
      </c>
      <c r="F268" s="673">
        <v>21</v>
      </c>
      <c r="G268" s="673">
        <v>21</v>
      </c>
      <c r="H268" s="673" t="s">
        <v>67</v>
      </c>
      <c r="I268" s="673" t="s">
        <v>384</v>
      </c>
      <c r="J268" s="673"/>
      <c r="K268" s="673"/>
      <c r="L268" s="673"/>
      <c r="M268" s="828"/>
      <c r="N268" s="828"/>
      <c r="O268" s="673" t="s">
        <v>777</v>
      </c>
      <c r="P268" s="673" t="s">
        <v>421</v>
      </c>
      <c r="BE268" s="38" t="s">
        <v>17</v>
      </c>
      <c r="BF268" s="38" t="s">
        <v>42</v>
      </c>
      <c r="BG268" s="38" t="s">
        <v>44</v>
      </c>
      <c r="BH268" s="38" t="s">
        <v>94</v>
      </c>
      <c r="BI268" s="38" t="s">
        <v>46</v>
      </c>
      <c r="BJ268" s="38" t="s">
        <v>34</v>
      </c>
      <c r="BK268" s="38" t="s">
        <v>37</v>
      </c>
      <c r="BL268" s="38" t="s">
        <v>47</v>
      </c>
      <c r="BM268" s="38" t="s">
        <v>38</v>
      </c>
      <c r="BN268" s="38" t="s">
        <v>39</v>
      </c>
      <c r="BO268" s="329" t="s">
        <v>33</v>
      </c>
      <c r="BP268" s="38" t="s">
        <v>40</v>
      </c>
      <c r="BQ268" s="38" t="s">
        <v>41</v>
      </c>
      <c r="BR268" s="192"/>
    </row>
    <row r="269" spans="1:70" ht="27.75" customHeight="1" x14ac:dyDescent="0.4">
      <c r="A269" s="872">
        <v>261</v>
      </c>
      <c r="B269" s="867" t="s">
        <v>39</v>
      </c>
      <c r="C269" s="841">
        <f t="shared" si="109"/>
        <v>44904</v>
      </c>
      <c r="D269" s="842" t="str">
        <f>IF(C269="","",INDEX({"रविवार";"सोमवार";"मंगळवार";"बुधवार";"गुरूवार";"शुक्रवार";"शनिवार"},WEEKDAY(C269)))</f>
        <v>शुक्रवार</v>
      </c>
      <c r="E269" s="673">
        <v>21</v>
      </c>
      <c r="F269" s="673">
        <v>21</v>
      </c>
      <c r="G269" s="673">
        <v>21</v>
      </c>
      <c r="H269" s="673" t="s">
        <v>444</v>
      </c>
      <c r="I269" s="673" t="s">
        <v>384</v>
      </c>
      <c r="J269" s="673"/>
      <c r="K269" s="673"/>
      <c r="L269" s="673"/>
      <c r="M269" s="828"/>
      <c r="N269" s="828"/>
      <c r="O269" s="673" t="s">
        <v>780</v>
      </c>
      <c r="P269" s="673" t="s">
        <v>425</v>
      </c>
      <c r="BE269" s="392">
        <v>1</v>
      </c>
      <c r="BF269" s="331">
        <f>M9</f>
        <v>0</v>
      </c>
      <c r="BG269" s="331">
        <f>M40</f>
        <v>0</v>
      </c>
      <c r="BH269" s="331">
        <f>M72</f>
        <v>0</v>
      </c>
      <c r="BI269" s="331">
        <f>M103</f>
        <v>0</v>
      </c>
      <c r="BJ269" s="331">
        <f>M135</f>
        <v>0</v>
      </c>
      <c r="BK269" s="331">
        <f>M167</f>
        <v>0</v>
      </c>
      <c r="BL269" s="331">
        <f>M198</f>
        <v>0</v>
      </c>
      <c r="BM269" s="331">
        <f>M230</f>
        <v>0</v>
      </c>
      <c r="BN269" s="331">
        <f>M261</f>
        <v>0</v>
      </c>
      <c r="BO269" s="331">
        <f>M293</f>
        <v>0</v>
      </c>
      <c r="BP269" s="331">
        <f>M325</f>
        <v>0</v>
      </c>
      <c r="BQ269" s="331">
        <f>M355</f>
        <v>0</v>
      </c>
      <c r="BR269" s="393"/>
    </row>
    <row r="270" spans="1:70" ht="27.75" customHeight="1" x14ac:dyDescent="0.4">
      <c r="A270" s="872">
        <v>262</v>
      </c>
      <c r="B270" s="867" t="s">
        <v>39</v>
      </c>
      <c r="C270" s="841">
        <f t="shared" si="109"/>
        <v>44905</v>
      </c>
      <c r="D270" s="842" t="str">
        <f>IF(C270="","",INDEX({"रविवार";"सोमवार";"मंगळवार";"बुधवार";"गुरूवार";"शुक्रवार";"शनिवार"},WEEKDAY(C270)))</f>
        <v>शनिवार</v>
      </c>
      <c r="E270" s="673">
        <v>21</v>
      </c>
      <c r="F270" s="673">
        <v>21</v>
      </c>
      <c r="G270" s="673">
        <v>21</v>
      </c>
      <c r="H270" s="673" t="s">
        <v>74</v>
      </c>
      <c r="I270" s="673" t="s">
        <v>359</v>
      </c>
      <c r="J270" s="673"/>
      <c r="K270" s="673"/>
      <c r="L270" s="673"/>
      <c r="M270" s="828"/>
      <c r="N270" s="828"/>
      <c r="O270" s="673" t="s">
        <v>781</v>
      </c>
      <c r="P270" s="673" t="s">
        <v>424</v>
      </c>
      <c r="BE270" s="392">
        <v>2</v>
      </c>
      <c r="BF270" s="331">
        <f t="shared" ref="BF270:BF299" si="110">M10</f>
        <v>0</v>
      </c>
      <c r="BG270" s="331">
        <f t="shared" ref="BG270:BG299" si="111">M41</f>
        <v>0</v>
      </c>
      <c r="BH270" s="331">
        <f t="shared" ref="BH270:BH299" si="112">M73</f>
        <v>0</v>
      </c>
      <c r="BI270" s="331">
        <f t="shared" ref="BI270:BI299" si="113">M104</f>
        <v>0</v>
      </c>
      <c r="BJ270" s="331">
        <f t="shared" ref="BJ270:BJ299" si="114">M136</f>
        <v>0</v>
      </c>
      <c r="BK270" s="331">
        <f t="shared" ref="BK270:BK299" si="115">M168</f>
        <v>0</v>
      </c>
      <c r="BL270" s="331">
        <f t="shared" ref="BL270:BL299" si="116">M199</f>
        <v>0</v>
      </c>
      <c r="BM270" s="331">
        <f t="shared" ref="BM270:BM299" si="117">M231</f>
        <v>0</v>
      </c>
      <c r="BN270" s="331">
        <f t="shared" ref="BN270:BN299" si="118">M262</f>
        <v>0</v>
      </c>
      <c r="BO270" s="331">
        <f t="shared" ref="BO270:BO299" si="119">M294</f>
        <v>0</v>
      </c>
      <c r="BP270" s="331">
        <f t="shared" ref="BP270:BP298" si="120">M326</f>
        <v>0</v>
      </c>
      <c r="BQ270" s="331">
        <f t="shared" ref="BQ270:BQ299" si="121">M356</f>
        <v>0</v>
      </c>
      <c r="BR270" s="393"/>
    </row>
    <row r="271" spans="1:70" ht="27.75" customHeight="1" x14ac:dyDescent="0.4">
      <c r="A271" s="872">
        <v>263</v>
      </c>
      <c r="B271" s="867" t="s">
        <v>39</v>
      </c>
      <c r="C271" s="841">
        <f t="shared" si="109"/>
        <v>44906</v>
      </c>
      <c r="D271" s="842" t="str">
        <f>IF(C271="","",INDEX({"रविवार";"सोमवार";"मंगळवार";"बुधवार";"गुरूवार";"शुक्रवार";"शनिवार"},WEEKDAY(C271)))</f>
        <v>रविवार</v>
      </c>
      <c r="E271" s="673"/>
      <c r="F271" s="673"/>
      <c r="G271" s="673"/>
      <c r="H271" s="673"/>
      <c r="I271" s="673"/>
      <c r="J271" s="673"/>
      <c r="K271" s="673"/>
      <c r="L271" s="673"/>
      <c r="M271" s="828"/>
      <c r="N271" s="828"/>
      <c r="O271" s="673"/>
      <c r="P271" s="673"/>
      <c r="BE271" s="392">
        <v>3</v>
      </c>
      <c r="BF271" s="331">
        <f t="shared" si="110"/>
        <v>0</v>
      </c>
      <c r="BG271" s="331">
        <f t="shared" si="111"/>
        <v>0</v>
      </c>
      <c r="BH271" s="331">
        <f t="shared" si="112"/>
        <v>0</v>
      </c>
      <c r="BI271" s="331">
        <f t="shared" si="113"/>
        <v>0</v>
      </c>
      <c r="BJ271" s="331">
        <f t="shared" si="114"/>
        <v>0</v>
      </c>
      <c r="BK271" s="331">
        <f t="shared" si="115"/>
        <v>0</v>
      </c>
      <c r="BL271" s="331">
        <f t="shared" si="116"/>
        <v>0</v>
      </c>
      <c r="BM271" s="331">
        <f t="shared" si="117"/>
        <v>0</v>
      </c>
      <c r="BN271" s="331">
        <f t="shared" si="118"/>
        <v>0</v>
      </c>
      <c r="BO271" s="331">
        <f t="shared" si="119"/>
        <v>0</v>
      </c>
      <c r="BP271" s="331">
        <f t="shared" si="120"/>
        <v>0</v>
      </c>
      <c r="BQ271" s="331">
        <f t="shared" si="121"/>
        <v>0</v>
      </c>
      <c r="BR271" s="393"/>
    </row>
    <row r="272" spans="1:70" ht="27.75" customHeight="1" x14ac:dyDescent="0.4">
      <c r="A272" s="872">
        <v>264</v>
      </c>
      <c r="B272" s="867" t="s">
        <v>39</v>
      </c>
      <c r="C272" s="841">
        <f t="shared" si="109"/>
        <v>44907</v>
      </c>
      <c r="D272" s="842" t="str">
        <f>IF(C272="","",INDEX({"रविवार";"सोमवार";"मंगळवार";"बुधवार";"गुरूवार";"शुक्रवार";"शनिवार"},WEEKDAY(C272)))</f>
        <v>सोमवार</v>
      </c>
      <c r="E272" s="673">
        <v>21</v>
      </c>
      <c r="F272" s="673">
        <v>21</v>
      </c>
      <c r="G272" s="673">
        <v>21</v>
      </c>
      <c r="H272" s="673" t="s">
        <v>74</v>
      </c>
      <c r="I272" s="673" t="s">
        <v>359</v>
      </c>
      <c r="J272" s="673"/>
      <c r="K272" s="673"/>
      <c r="L272" s="673"/>
      <c r="M272" s="828"/>
      <c r="N272" s="828"/>
      <c r="O272" s="673" t="s">
        <v>779</v>
      </c>
      <c r="P272" s="673" t="s">
        <v>422</v>
      </c>
      <c r="BE272" s="392">
        <v>4</v>
      </c>
      <c r="BF272" s="331">
        <f t="shared" si="110"/>
        <v>0</v>
      </c>
      <c r="BG272" s="331">
        <f t="shared" si="111"/>
        <v>0</v>
      </c>
      <c r="BH272" s="331">
        <f t="shared" si="112"/>
        <v>0</v>
      </c>
      <c r="BI272" s="331">
        <f t="shared" si="113"/>
        <v>0</v>
      </c>
      <c r="BJ272" s="331">
        <f t="shared" si="114"/>
        <v>0</v>
      </c>
      <c r="BK272" s="331">
        <f t="shared" si="115"/>
        <v>0</v>
      </c>
      <c r="BL272" s="331">
        <f t="shared" si="116"/>
        <v>0</v>
      </c>
      <c r="BM272" s="331">
        <f t="shared" si="117"/>
        <v>0</v>
      </c>
      <c r="BN272" s="331">
        <f t="shared" si="118"/>
        <v>0</v>
      </c>
      <c r="BO272" s="331">
        <f t="shared" si="119"/>
        <v>0</v>
      </c>
      <c r="BP272" s="331">
        <f t="shared" si="120"/>
        <v>0</v>
      </c>
      <c r="BQ272" s="331">
        <f t="shared" si="121"/>
        <v>0</v>
      </c>
      <c r="BR272" s="393"/>
    </row>
    <row r="273" spans="1:70" ht="27.75" customHeight="1" x14ac:dyDescent="0.4">
      <c r="A273" s="872">
        <v>265</v>
      </c>
      <c r="B273" s="867" t="s">
        <v>39</v>
      </c>
      <c r="C273" s="841">
        <f t="shared" si="109"/>
        <v>44908</v>
      </c>
      <c r="D273" s="842" t="str">
        <f>IF(C273="","",INDEX({"रविवार";"सोमवार";"मंगळवार";"बुधवार";"गुरूवार";"शुक्रवार";"शनिवार"},WEEKDAY(C273)))</f>
        <v>मंगळवार</v>
      </c>
      <c r="E273" s="673">
        <v>21</v>
      </c>
      <c r="F273" s="673">
        <v>21</v>
      </c>
      <c r="G273" s="673">
        <v>21</v>
      </c>
      <c r="H273" s="673" t="s">
        <v>67</v>
      </c>
      <c r="I273" s="673" t="s">
        <v>384</v>
      </c>
      <c r="J273" s="673"/>
      <c r="K273" s="673"/>
      <c r="L273" s="673"/>
      <c r="M273" s="828"/>
      <c r="N273" s="828"/>
      <c r="O273" s="673" t="s">
        <v>777</v>
      </c>
      <c r="P273" s="673" t="s">
        <v>421</v>
      </c>
      <c r="BE273" s="392">
        <v>5</v>
      </c>
      <c r="BF273" s="331">
        <f t="shared" si="110"/>
        <v>0</v>
      </c>
      <c r="BG273" s="331">
        <f t="shared" si="111"/>
        <v>0</v>
      </c>
      <c r="BH273" s="331">
        <f t="shared" si="112"/>
        <v>0</v>
      </c>
      <c r="BI273" s="331">
        <f t="shared" si="113"/>
        <v>0</v>
      </c>
      <c r="BJ273" s="331">
        <f t="shared" si="114"/>
        <v>0</v>
      </c>
      <c r="BK273" s="331">
        <f t="shared" si="115"/>
        <v>0</v>
      </c>
      <c r="BL273" s="331">
        <f t="shared" si="116"/>
        <v>0</v>
      </c>
      <c r="BM273" s="331">
        <f t="shared" si="117"/>
        <v>0</v>
      </c>
      <c r="BN273" s="331">
        <f t="shared" si="118"/>
        <v>0</v>
      </c>
      <c r="BO273" s="331">
        <f t="shared" si="119"/>
        <v>0</v>
      </c>
      <c r="BP273" s="331">
        <f t="shared" si="120"/>
        <v>0</v>
      </c>
      <c r="BQ273" s="331">
        <f t="shared" si="121"/>
        <v>0</v>
      </c>
      <c r="BR273" s="393"/>
    </row>
    <row r="274" spans="1:70" ht="27.75" customHeight="1" x14ac:dyDescent="0.4">
      <c r="A274" s="872">
        <v>266</v>
      </c>
      <c r="B274" s="867" t="s">
        <v>39</v>
      </c>
      <c r="C274" s="841">
        <f t="shared" si="109"/>
        <v>44909</v>
      </c>
      <c r="D274" s="842" t="str">
        <f>IF(C274="","",INDEX({"रविवार";"सोमवार";"मंगळवार";"बुधवार";"गुरूवार";"शुक्रवार";"शनिवार"},WEEKDAY(C274)))</f>
        <v>बुधवार</v>
      </c>
      <c r="E274" s="673">
        <v>21</v>
      </c>
      <c r="F274" s="673">
        <v>21</v>
      </c>
      <c r="G274" s="673">
        <v>21</v>
      </c>
      <c r="H274" s="673" t="s">
        <v>444</v>
      </c>
      <c r="I274" s="673" t="s">
        <v>384</v>
      </c>
      <c r="J274" s="673"/>
      <c r="K274" s="673"/>
      <c r="L274" s="673"/>
      <c r="M274" s="828"/>
      <c r="N274" s="828"/>
      <c r="O274" s="673" t="s">
        <v>781</v>
      </c>
      <c r="P274" s="673" t="s">
        <v>423</v>
      </c>
      <c r="BE274" s="392">
        <v>6</v>
      </c>
      <c r="BF274" s="331">
        <f t="shared" si="110"/>
        <v>0</v>
      </c>
      <c r="BG274" s="331">
        <f t="shared" si="111"/>
        <v>0</v>
      </c>
      <c r="BH274" s="331">
        <f t="shared" si="112"/>
        <v>0</v>
      </c>
      <c r="BI274" s="331">
        <f t="shared" si="113"/>
        <v>0</v>
      </c>
      <c r="BJ274" s="331">
        <f t="shared" si="114"/>
        <v>0</v>
      </c>
      <c r="BK274" s="331">
        <f t="shared" si="115"/>
        <v>0</v>
      </c>
      <c r="BL274" s="331">
        <f t="shared" si="116"/>
        <v>0</v>
      </c>
      <c r="BM274" s="331">
        <f t="shared" si="117"/>
        <v>0</v>
      </c>
      <c r="BN274" s="331">
        <f t="shared" si="118"/>
        <v>0</v>
      </c>
      <c r="BO274" s="331">
        <f t="shared" si="119"/>
        <v>0</v>
      </c>
      <c r="BP274" s="331">
        <f t="shared" si="120"/>
        <v>0</v>
      </c>
      <c r="BQ274" s="331">
        <f t="shared" si="121"/>
        <v>0</v>
      </c>
      <c r="BR274" s="393"/>
    </row>
    <row r="275" spans="1:70" ht="27.75" customHeight="1" x14ac:dyDescent="0.4">
      <c r="A275" s="872">
        <v>267</v>
      </c>
      <c r="B275" s="867" t="s">
        <v>39</v>
      </c>
      <c r="C275" s="841">
        <f t="shared" si="109"/>
        <v>44910</v>
      </c>
      <c r="D275" s="842" t="str">
        <f>IF(C275="","",INDEX({"रविवार";"सोमवार";"मंगळवार";"बुधवार";"गुरूवार";"शुक्रवार";"शनिवार"},WEEKDAY(C275)))</f>
        <v>गुरूवार</v>
      </c>
      <c r="E275" s="673">
        <v>21</v>
      </c>
      <c r="F275" s="673">
        <v>21</v>
      </c>
      <c r="G275" s="673">
        <v>21</v>
      </c>
      <c r="H275" s="673" t="s">
        <v>67</v>
      </c>
      <c r="I275" s="673" t="s">
        <v>384</v>
      </c>
      <c r="J275" s="673"/>
      <c r="K275" s="673"/>
      <c r="L275" s="673"/>
      <c r="M275" s="828"/>
      <c r="N275" s="828"/>
      <c r="O275" s="673" t="s">
        <v>777</v>
      </c>
      <c r="P275" s="673" t="s">
        <v>421</v>
      </c>
      <c r="BE275" s="392">
        <v>7</v>
      </c>
      <c r="BF275" s="331">
        <f t="shared" si="110"/>
        <v>0</v>
      </c>
      <c r="BG275" s="331">
        <f t="shared" si="111"/>
        <v>0</v>
      </c>
      <c r="BH275" s="331">
        <f t="shared" si="112"/>
        <v>0</v>
      </c>
      <c r="BI275" s="331">
        <f t="shared" si="113"/>
        <v>0</v>
      </c>
      <c r="BJ275" s="331">
        <f t="shared" si="114"/>
        <v>0</v>
      </c>
      <c r="BK275" s="331">
        <f t="shared" si="115"/>
        <v>0</v>
      </c>
      <c r="BL275" s="331">
        <f t="shared" si="116"/>
        <v>0</v>
      </c>
      <c r="BM275" s="331">
        <f t="shared" si="117"/>
        <v>0</v>
      </c>
      <c r="BN275" s="331">
        <f t="shared" si="118"/>
        <v>0</v>
      </c>
      <c r="BO275" s="331">
        <f t="shared" si="119"/>
        <v>0</v>
      </c>
      <c r="BP275" s="331">
        <f t="shared" si="120"/>
        <v>0</v>
      </c>
      <c r="BQ275" s="331">
        <f t="shared" si="121"/>
        <v>0</v>
      </c>
      <c r="BR275" s="393"/>
    </row>
    <row r="276" spans="1:70" ht="27.75" customHeight="1" x14ac:dyDescent="0.4">
      <c r="A276" s="872">
        <v>268</v>
      </c>
      <c r="B276" s="867" t="s">
        <v>39</v>
      </c>
      <c r="C276" s="841">
        <f t="shared" si="109"/>
        <v>44911</v>
      </c>
      <c r="D276" s="842" t="str">
        <f>IF(C276="","",INDEX({"रविवार";"सोमवार";"मंगळवार";"बुधवार";"गुरूवार";"शुक्रवार";"शनिवार"},WEEKDAY(C276)))</f>
        <v>शुक्रवार</v>
      </c>
      <c r="E276" s="673">
        <v>21</v>
      </c>
      <c r="F276" s="673">
        <v>21</v>
      </c>
      <c r="G276" s="673">
        <v>21</v>
      </c>
      <c r="H276" s="673" t="s">
        <v>444</v>
      </c>
      <c r="I276" s="673" t="s">
        <v>384</v>
      </c>
      <c r="J276" s="673"/>
      <c r="K276" s="673"/>
      <c r="L276" s="673"/>
      <c r="M276" s="828"/>
      <c r="N276" s="828"/>
      <c r="O276" s="673" t="s">
        <v>780</v>
      </c>
      <c r="P276" s="673" t="s">
        <v>425</v>
      </c>
      <c r="BE276" s="392">
        <v>8</v>
      </c>
      <c r="BF276" s="331">
        <f t="shared" si="110"/>
        <v>0</v>
      </c>
      <c r="BG276" s="331">
        <f t="shared" si="111"/>
        <v>0</v>
      </c>
      <c r="BH276" s="331">
        <f t="shared" si="112"/>
        <v>0</v>
      </c>
      <c r="BI276" s="331">
        <f t="shared" si="113"/>
        <v>0</v>
      </c>
      <c r="BJ276" s="331">
        <f t="shared" si="114"/>
        <v>0</v>
      </c>
      <c r="BK276" s="331">
        <f t="shared" si="115"/>
        <v>0</v>
      </c>
      <c r="BL276" s="331">
        <f t="shared" si="116"/>
        <v>0</v>
      </c>
      <c r="BM276" s="331">
        <f t="shared" si="117"/>
        <v>0</v>
      </c>
      <c r="BN276" s="331">
        <f t="shared" si="118"/>
        <v>0</v>
      </c>
      <c r="BO276" s="331">
        <f t="shared" si="119"/>
        <v>0</v>
      </c>
      <c r="BP276" s="331">
        <f t="shared" si="120"/>
        <v>0</v>
      </c>
      <c r="BQ276" s="331">
        <f t="shared" si="121"/>
        <v>0</v>
      </c>
      <c r="BR276" s="393"/>
    </row>
    <row r="277" spans="1:70" ht="27.75" customHeight="1" x14ac:dyDescent="0.4">
      <c r="A277" s="872">
        <v>269</v>
      </c>
      <c r="B277" s="867" t="s">
        <v>39</v>
      </c>
      <c r="C277" s="841">
        <f t="shared" si="109"/>
        <v>44912</v>
      </c>
      <c r="D277" s="842" t="str">
        <f>IF(C277="","",INDEX({"रविवार";"सोमवार";"मंगळवार";"बुधवार";"गुरूवार";"शुक्रवार";"शनिवार"},WEEKDAY(C277)))</f>
        <v>शनिवार</v>
      </c>
      <c r="E277" s="673">
        <v>21</v>
      </c>
      <c r="F277" s="673">
        <v>21</v>
      </c>
      <c r="G277" s="673">
        <v>21</v>
      </c>
      <c r="H277" s="673" t="s">
        <v>74</v>
      </c>
      <c r="I277" s="673" t="s">
        <v>359</v>
      </c>
      <c r="J277" s="673"/>
      <c r="K277" s="673"/>
      <c r="L277" s="673"/>
      <c r="M277" s="828"/>
      <c r="N277" s="828"/>
      <c r="O277" s="673" t="s">
        <v>781</v>
      </c>
      <c r="P277" s="673" t="s">
        <v>424</v>
      </c>
      <c r="BE277" s="392">
        <v>9</v>
      </c>
      <c r="BF277" s="331">
        <f t="shared" si="110"/>
        <v>0</v>
      </c>
      <c r="BG277" s="331">
        <f t="shared" si="111"/>
        <v>0</v>
      </c>
      <c r="BH277" s="331">
        <f t="shared" si="112"/>
        <v>0</v>
      </c>
      <c r="BI277" s="331">
        <f t="shared" si="113"/>
        <v>0</v>
      </c>
      <c r="BJ277" s="331">
        <f t="shared" si="114"/>
        <v>0</v>
      </c>
      <c r="BK277" s="331">
        <f t="shared" si="115"/>
        <v>0</v>
      </c>
      <c r="BL277" s="331">
        <f t="shared" si="116"/>
        <v>0</v>
      </c>
      <c r="BM277" s="331">
        <f t="shared" si="117"/>
        <v>0</v>
      </c>
      <c r="BN277" s="331">
        <f t="shared" si="118"/>
        <v>0</v>
      </c>
      <c r="BO277" s="331">
        <f t="shared" si="119"/>
        <v>0</v>
      </c>
      <c r="BP277" s="331">
        <f t="shared" si="120"/>
        <v>0</v>
      </c>
      <c r="BQ277" s="331">
        <f t="shared" si="121"/>
        <v>0</v>
      </c>
      <c r="BR277" s="393"/>
    </row>
    <row r="278" spans="1:70" ht="27.75" customHeight="1" x14ac:dyDescent="0.4">
      <c r="A278" s="872">
        <v>270</v>
      </c>
      <c r="B278" s="867" t="s">
        <v>39</v>
      </c>
      <c r="C278" s="841">
        <f t="shared" si="109"/>
        <v>44913</v>
      </c>
      <c r="D278" s="842" t="str">
        <f>IF(C278="","",INDEX({"रविवार";"सोमवार";"मंगळवार";"बुधवार";"गुरूवार";"शुक्रवार";"शनिवार"},WEEKDAY(C278)))</f>
        <v>रविवार</v>
      </c>
      <c r="E278" s="673"/>
      <c r="F278" s="673"/>
      <c r="G278" s="673"/>
      <c r="H278" s="673"/>
      <c r="I278" s="673"/>
      <c r="J278" s="673"/>
      <c r="K278" s="673"/>
      <c r="L278" s="673"/>
      <c r="M278" s="828"/>
      <c r="N278" s="828"/>
      <c r="O278" s="673"/>
      <c r="P278" s="673"/>
      <c r="BE278" s="392">
        <v>10</v>
      </c>
      <c r="BF278" s="331">
        <f t="shared" si="110"/>
        <v>0</v>
      </c>
      <c r="BG278" s="331">
        <f t="shared" si="111"/>
        <v>0</v>
      </c>
      <c r="BH278" s="331">
        <f t="shared" si="112"/>
        <v>0</v>
      </c>
      <c r="BI278" s="331">
        <f t="shared" si="113"/>
        <v>0</v>
      </c>
      <c r="BJ278" s="331">
        <f t="shared" si="114"/>
        <v>0</v>
      </c>
      <c r="BK278" s="331">
        <f t="shared" si="115"/>
        <v>0</v>
      </c>
      <c r="BL278" s="331">
        <f t="shared" si="116"/>
        <v>0</v>
      </c>
      <c r="BM278" s="331">
        <f t="shared" si="117"/>
        <v>0</v>
      </c>
      <c r="BN278" s="331">
        <f t="shared" si="118"/>
        <v>0</v>
      </c>
      <c r="BO278" s="331">
        <f t="shared" si="119"/>
        <v>0</v>
      </c>
      <c r="BP278" s="331">
        <f t="shared" si="120"/>
        <v>0</v>
      </c>
      <c r="BQ278" s="331">
        <f t="shared" si="121"/>
        <v>0</v>
      </c>
      <c r="BR278" s="393"/>
    </row>
    <row r="279" spans="1:70" ht="27.75" customHeight="1" x14ac:dyDescent="0.4">
      <c r="A279" s="872">
        <v>271</v>
      </c>
      <c r="B279" s="867" t="s">
        <v>39</v>
      </c>
      <c r="C279" s="841">
        <f t="shared" si="109"/>
        <v>44914</v>
      </c>
      <c r="D279" s="842" t="str">
        <f>IF(C279="","",INDEX({"रविवार";"सोमवार";"मंगळवार";"बुधवार";"गुरूवार";"शुक्रवार";"शनिवार"},WEEKDAY(C279)))</f>
        <v>सोमवार</v>
      </c>
      <c r="E279" s="673">
        <v>21</v>
      </c>
      <c r="F279" s="673">
        <v>21</v>
      </c>
      <c r="G279" s="673">
        <v>21</v>
      </c>
      <c r="H279" s="673" t="s">
        <v>74</v>
      </c>
      <c r="I279" s="673" t="s">
        <v>359</v>
      </c>
      <c r="J279" s="673"/>
      <c r="K279" s="673"/>
      <c r="L279" s="673"/>
      <c r="M279" s="828"/>
      <c r="N279" s="828"/>
      <c r="O279" s="673" t="s">
        <v>779</v>
      </c>
      <c r="P279" s="673" t="s">
        <v>422</v>
      </c>
      <c r="BE279" s="392">
        <v>11</v>
      </c>
      <c r="BF279" s="331">
        <f t="shared" si="110"/>
        <v>0</v>
      </c>
      <c r="BG279" s="331">
        <f t="shared" si="111"/>
        <v>0</v>
      </c>
      <c r="BH279" s="331">
        <f t="shared" si="112"/>
        <v>0</v>
      </c>
      <c r="BI279" s="331">
        <f t="shared" si="113"/>
        <v>0</v>
      </c>
      <c r="BJ279" s="331">
        <f t="shared" si="114"/>
        <v>0</v>
      </c>
      <c r="BK279" s="331">
        <f t="shared" si="115"/>
        <v>0</v>
      </c>
      <c r="BL279" s="331">
        <f t="shared" si="116"/>
        <v>0</v>
      </c>
      <c r="BM279" s="331">
        <f t="shared" si="117"/>
        <v>0</v>
      </c>
      <c r="BN279" s="331">
        <f t="shared" si="118"/>
        <v>0</v>
      </c>
      <c r="BO279" s="331">
        <f t="shared" si="119"/>
        <v>0</v>
      </c>
      <c r="BP279" s="331">
        <f t="shared" si="120"/>
        <v>0</v>
      </c>
      <c r="BQ279" s="331">
        <f t="shared" si="121"/>
        <v>0</v>
      </c>
      <c r="BR279" s="393"/>
    </row>
    <row r="280" spans="1:70" ht="27.75" customHeight="1" x14ac:dyDescent="0.4">
      <c r="A280" s="872">
        <v>272</v>
      </c>
      <c r="B280" s="867" t="s">
        <v>39</v>
      </c>
      <c r="C280" s="841">
        <f t="shared" si="109"/>
        <v>44915</v>
      </c>
      <c r="D280" s="842" t="str">
        <f>IF(C280="","",INDEX({"रविवार";"सोमवार";"मंगळवार";"बुधवार";"गुरूवार";"शुक्रवार";"शनिवार"},WEEKDAY(C280)))</f>
        <v>मंगळवार</v>
      </c>
      <c r="E280" s="673">
        <v>21</v>
      </c>
      <c r="F280" s="673">
        <v>21</v>
      </c>
      <c r="G280" s="673">
        <v>21</v>
      </c>
      <c r="H280" s="673" t="s">
        <v>67</v>
      </c>
      <c r="I280" s="673" t="s">
        <v>384</v>
      </c>
      <c r="J280" s="673"/>
      <c r="K280" s="673"/>
      <c r="L280" s="673"/>
      <c r="M280" s="828"/>
      <c r="N280" s="828"/>
      <c r="O280" s="673" t="s">
        <v>777</v>
      </c>
      <c r="P280" s="673" t="s">
        <v>421</v>
      </c>
      <c r="BE280" s="392">
        <v>12</v>
      </c>
      <c r="BF280" s="331">
        <f t="shared" si="110"/>
        <v>0</v>
      </c>
      <c r="BG280" s="331">
        <f t="shared" si="111"/>
        <v>0</v>
      </c>
      <c r="BH280" s="331">
        <f t="shared" si="112"/>
        <v>0</v>
      </c>
      <c r="BI280" s="331">
        <f t="shared" si="113"/>
        <v>0</v>
      </c>
      <c r="BJ280" s="331">
        <f t="shared" si="114"/>
        <v>0</v>
      </c>
      <c r="BK280" s="331">
        <f t="shared" si="115"/>
        <v>0</v>
      </c>
      <c r="BL280" s="331">
        <f t="shared" si="116"/>
        <v>0</v>
      </c>
      <c r="BM280" s="331">
        <f t="shared" si="117"/>
        <v>0</v>
      </c>
      <c r="BN280" s="331">
        <f t="shared" si="118"/>
        <v>0</v>
      </c>
      <c r="BO280" s="331">
        <f t="shared" si="119"/>
        <v>0</v>
      </c>
      <c r="BP280" s="331">
        <f t="shared" si="120"/>
        <v>0</v>
      </c>
      <c r="BQ280" s="331">
        <f t="shared" si="121"/>
        <v>0</v>
      </c>
      <c r="BR280" s="393"/>
    </row>
    <row r="281" spans="1:70" ht="27.75" customHeight="1" x14ac:dyDescent="0.4">
      <c r="A281" s="872">
        <v>273</v>
      </c>
      <c r="B281" s="867" t="s">
        <v>39</v>
      </c>
      <c r="C281" s="841">
        <f t="shared" si="109"/>
        <v>44916</v>
      </c>
      <c r="D281" s="842" t="str">
        <f>IF(C281="","",INDEX({"रविवार";"सोमवार";"मंगळवार";"बुधवार";"गुरूवार";"शुक्रवार";"शनिवार"},WEEKDAY(C281)))</f>
        <v>बुधवार</v>
      </c>
      <c r="E281" s="673">
        <v>21</v>
      </c>
      <c r="F281" s="673">
        <v>21</v>
      </c>
      <c r="G281" s="673">
        <v>21</v>
      </c>
      <c r="H281" s="673" t="s">
        <v>444</v>
      </c>
      <c r="I281" s="673" t="s">
        <v>384</v>
      </c>
      <c r="J281" s="673"/>
      <c r="K281" s="673"/>
      <c r="L281" s="673"/>
      <c r="M281" s="828"/>
      <c r="N281" s="828"/>
      <c r="O281" s="673" t="s">
        <v>781</v>
      </c>
      <c r="P281" s="673" t="s">
        <v>423</v>
      </c>
      <c r="BE281" s="392">
        <v>13</v>
      </c>
      <c r="BF281" s="331">
        <f t="shared" si="110"/>
        <v>0</v>
      </c>
      <c r="BG281" s="331">
        <f t="shared" si="111"/>
        <v>0</v>
      </c>
      <c r="BH281" s="331">
        <f t="shared" si="112"/>
        <v>0</v>
      </c>
      <c r="BI281" s="331">
        <f t="shared" si="113"/>
        <v>0</v>
      </c>
      <c r="BJ281" s="331">
        <f t="shared" si="114"/>
        <v>0</v>
      </c>
      <c r="BK281" s="331">
        <f t="shared" si="115"/>
        <v>0</v>
      </c>
      <c r="BL281" s="331">
        <f t="shared" si="116"/>
        <v>0</v>
      </c>
      <c r="BM281" s="331">
        <f t="shared" si="117"/>
        <v>0</v>
      </c>
      <c r="BN281" s="331">
        <f t="shared" si="118"/>
        <v>0</v>
      </c>
      <c r="BO281" s="331">
        <f t="shared" si="119"/>
        <v>0</v>
      </c>
      <c r="BP281" s="331">
        <f t="shared" si="120"/>
        <v>0</v>
      </c>
      <c r="BQ281" s="331">
        <f t="shared" si="121"/>
        <v>0</v>
      </c>
      <c r="BR281" s="393"/>
    </row>
    <row r="282" spans="1:70" ht="27.75" customHeight="1" x14ac:dyDescent="0.4">
      <c r="A282" s="872">
        <v>274</v>
      </c>
      <c r="B282" s="867" t="s">
        <v>39</v>
      </c>
      <c r="C282" s="841">
        <f t="shared" si="109"/>
        <v>44917</v>
      </c>
      <c r="D282" s="842" t="str">
        <f>IF(C282="","",INDEX({"रविवार";"सोमवार";"मंगळवार";"बुधवार";"गुरूवार";"शुक्रवार";"शनिवार"},WEEKDAY(C282)))</f>
        <v>गुरूवार</v>
      </c>
      <c r="E282" s="673">
        <v>21</v>
      </c>
      <c r="F282" s="673">
        <v>21</v>
      </c>
      <c r="G282" s="673">
        <v>21</v>
      </c>
      <c r="H282" s="673" t="s">
        <v>67</v>
      </c>
      <c r="I282" s="673" t="s">
        <v>384</v>
      </c>
      <c r="J282" s="673"/>
      <c r="K282" s="673"/>
      <c r="L282" s="673"/>
      <c r="M282" s="828"/>
      <c r="N282" s="828"/>
      <c r="O282" s="673" t="s">
        <v>777</v>
      </c>
      <c r="P282" s="673" t="s">
        <v>421</v>
      </c>
      <c r="BE282" s="392">
        <v>14</v>
      </c>
      <c r="BF282" s="331">
        <f t="shared" si="110"/>
        <v>0</v>
      </c>
      <c r="BG282" s="331">
        <f t="shared" si="111"/>
        <v>0</v>
      </c>
      <c r="BH282" s="331">
        <f t="shared" si="112"/>
        <v>0</v>
      </c>
      <c r="BI282" s="331">
        <f t="shared" si="113"/>
        <v>0</v>
      </c>
      <c r="BJ282" s="331">
        <f t="shared" si="114"/>
        <v>0</v>
      </c>
      <c r="BK282" s="331">
        <f t="shared" si="115"/>
        <v>0</v>
      </c>
      <c r="BL282" s="331">
        <f t="shared" si="116"/>
        <v>0</v>
      </c>
      <c r="BM282" s="331">
        <f t="shared" si="117"/>
        <v>0</v>
      </c>
      <c r="BN282" s="331">
        <f t="shared" si="118"/>
        <v>0</v>
      </c>
      <c r="BO282" s="331">
        <f t="shared" si="119"/>
        <v>0</v>
      </c>
      <c r="BP282" s="331">
        <f t="shared" si="120"/>
        <v>0</v>
      </c>
      <c r="BQ282" s="331">
        <f t="shared" si="121"/>
        <v>0</v>
      </c>
      <c r="BR282" s="393"/>
    </row>
    <row r="283" spans="1:70" ht="27.75" customHeight="1" x14ac:dyDescent="0.4">
      <c r="A283" s="872">
        <v>275</v>
      </c>
      <c r="B283" s="867" t="s">
        <v>39</v>
      </c>
      <c r="C283" s="841">
        <f t="shared" si="109"/>
        <v>44918</v>
      </c>
      <c r="D283" s="842" t="str">
        <f>IF(C283="","",INDEX({"रविवार";"सोमवार";"मंगळवार";"बुधवार";"गुरूवार";"शुक्रवार";"शनिवार"},WEEKDAY(C283)))</f>
        <v>शुक्रवार</v>
      </c>
      <c r="E283" s="673">
        <v>21</v>
      </c>
      <c r="F283" s="673">
        <v>21</v>
      </c>
      <c r="G283" s="673">
        <v>21</v>
      </c>
      <c r="H283" s="673" t="s">
        <v>444</v>
      </c>
      <c r="I283" s="673" t="s">
        <v>384</v>
      </c>
      <c r="J283" s="673"/>
      <c r="K283" s="673"/>
      <c r="L283" s="673"/>
      <c r="M283" s="828"/>
      <c r="N283" s="828"/>
      <c r="O283" s="673" t="s">
        <v>780</v>
      </c>
      <c r="P283" s="673" t="s">
        <v>425</v>
      </c>
      <c r="BE283" s="392">
        <v>15</v>
      </c>
      <c r="BF283" s="331">
        <f t="shared" si="110"/>
        <v>0</v>
      </c>
      <c r="BG283" s="331">
        <f t="shared" si="111"/>
        <v>0</v>
      </c>
      <c r="BH283" s="331">
        <f t="shared" si="112"/>
        <v>0</v>
      </c>
      <c r="BI283" s="331">
        <f t="shared" si="113"/>
        <v>0</v>
      </c>
      <c r="BJ283" s="331">
        <f t="shared" si="114"/>
        <v>0</v>
      </c>
      <c r="BK283" s="331">
        <f t="shared" si="115"/>
        <v>0</v>
      </c>
      <c r="BL283" s="331">
        <f t="shared" si="116"/>
        <v>0</v>
      </c>
      <c r="BM283" s="331">
        <f t="shared" si="117"/>
        <v>0</v>
      </c>
      <c r="BN283" s="331">
        <f t="shared" si="118"/>
        <v>0</v>
      </c>
      <c r="BO283" s="331">
        <f t="shared" si="119"/>
        <v>0</v>
      </c>
      <c r="BP283" s="331">
        <f t="shared" si="120"/>
        <v>0</v>
      </c>
      <c r="BQ283" s="331">
        <f t="shared" si="121"/>
        <v>0</v>
      </c>
      <c r="BR283" s="393"/>
    </row>
    <row r="284" spans="1:70" ht="27.75" customHeight="1" x14ac:dyDescent="0.4">
      <c r="A284" s="872">
        <v>276</v>
      </c>
      <c r="B284" s="867" t="s">
        <v>39</v>
      </c>
      <c r="C284" s="841">
        <f t="shared" si="109"/>
        <v>44919</v>
      </c>
      <c r="D284" s="842" t="str">
        <f>IF(C284="","",INDEX({"रविवार";"सोमवार";"मंगळवार";"बुधवार";"गुरूवार";"शुक्रवार";"शनिवार"},WEEKDAY(C284)))</f>
        <v>शनिवार</v>
      </c>
      <c r="E284" s="673">
        <v>21</v>
      </c>
      <c r="F284" s="673">
        <v>21</v>
      </c>
      <c r="G284" s="673">
        <v>21</v>
      </c>
      <c r="H284" s="673" t="s">
        <v>74</v>
      </c>
      <c r="I284" s="673" t="s">
        <v>359</v>
      </c>
      <c r="J284" s="673"/>
      <c r="K284" s="673"/>
      <c r="L284" s="673"/>
      <c r="M284" s="828"/>
      <c r="N284" s="828"/>
      <c r="O284" s="673" t="s">
        <v>781</v>
      </c>
      <c r="P284" s="673" t="s">
        <v>424</v>
      </c>
      <c r="BE284" s="392">
        <v>16</v>
      </c>
      <c r="BF284" s="331">
        <f t="shared" si="110"/>
        <v>0</v>
      </c>
      <c r="BG284" s="331">
        <f t="shared" si="111"/>
        <v>0</v>
      </c>
      <c r="BH284" s="331">
        <f t="shared" si="112"/>
        <v>0</v>
      </c>
      <c r="BI284" s="331">
        <f t="shared" si="113"/>
        <v>0</v>
      </c>
      <c r="BJ284" s="331">
        <f t="shared" si="114"/>
        <v>0</v>
      </c>
      <c r="BK284" s="331">
        <f t="shared" si="115"/>
        <v>0</v>
      </c>
      <c r="BL284" s="331">
        <f t="shared" si="116"/>
        <v>0</v>
      </c>
      <c r="BM284" s="331">
        <f t="shared" si="117"/>
        <v>0</v>
      </c>
      <c r="BN284" s="331">
        <f t="shared" si="118"/>
        <v>0</v>
      </c>
      <c r="BO284" s="331">
        <f t="shared" si="119"/>
        <v>0</v>
      </c>
      <c r="BP284" s="331">
        <f t="shared" si="120"/>
        <v>0</v>
      </c>
      <c r="BQ284" s="331">
        <f t="shared" si="121"/>
        <v>0</v>
      </c>
      <c r="BR284" s="393"/>
    </row>
    <row r="285" spans="1:70" ht="27.75" customHeight="1" x14ac:dyDescent="0.4">
      <c r="A285" s="872">
        <v>277</v>
      </c>
      <c r="B285" s="867" t="s">
        <v>39</v>
      </c>
      <c r="C285" s="841">
        <f t="shared" si="109"/>
        <v>44920</v>
      </c>
      <c r="D285" s="842" t="str">
        <f>IF(C285="","",INDEX({"रविवार";"सोमवार";"मंगळवार";"बुधवार";"गुरूवार";"शुक्रवार";"शनिवार"},WEEKDAY(C285)))</f>
        <v>रविवार</v>
      </c>
      <c r="E285" s="673"/>
      <c r="F285" s="673"/>
      <c r="G285" s="673"/>
      <c r="H285" s="673"/>
      <c r="I285" s="673"/>
      <c r="J285" s="673"/>
      <c r="K285" s="673"/>
      <c r="L285" s="673"/>
      <c r="M285" s="828"/>
      <c r="N285" s="828"/>
      <c r="O285" s="673"/>
      <c r="P285" s="673"/>
      <c r="BE285" s="392">
        <v>17</v>
      </c>
      <c r="BF285" s="331">
        <f t="shared" si="110"/>
        <v>0</v>
      </c>
      <c r="BG285" s="331">
        <f t="shared" si="111"/>
        <v>0</v>
      </c>
      <c r="BH285" s="331">
        <f t="shared" si="112"/>
        <v>0</v>
      </c>
      <c r="BI285" s="331">
        <f t="shared" si="113"/>
        <v>0</v>
      </c>
      <c r="BJ285" s="331">
        <f t="shared" si="114"/>
        <v>0</v>
      </c>
      <c r="BK285" s="331">
        <f t="shared" si="115"/>
        <v>0</v>
      </c>
      <c r="BL285" s="331">
        <f t="shared" si="116"/>
        <v>0</v>
      </c>
      <c r="BM285" s="331">
        <f t="shared" si="117"/>
        <v>0</v>
      </c>
      <c r="BN285" s="331">
        <f t="shared" si="118"/>
        <v>0</v>
      </c>
      <c r="BO285" s="331">
        <f t="shared" si="119"/>
        <v>0</v>
      </c>
      <c r="BP285" s="331">
        <f t="shared" si="120"/>
        <v>0</v>
      </c>
      <c r="BQ285" s="331">
        <f t="shared" si="121"/>
        <v>0</v>
      </c>
      <c r="BR285" s="393"/>
    </row>
    <row r="286" spans="1:70" ht="27.75" customHeight="1" x14ac:dyDescent="0.4">
      <c r="A286" s="872">
        <v>278</v>
      </c>
      <c r="B286" s="867" t="s">
        <v>39</v>
      </c>
      <c r="C286" s="841">
        <f t="shared" si="109"/>
        <v>44921</v>
      </c>
      <c r="D286" s="842" t="str">
        <f>IF(C286="","",INDEX({"रविवार";"सोमवार";"मंगळवार";"बुधवार";"गुरूवार";"शुक्रवार";"शनिवार"},WEEKDAY(C286)))</f>
        <v>सोमवार</v>
      </c>
      <c r="E286" s="673">
        <v>21</v>
      </c>
      <c r="F286" s="673">
        <v>21</v>
      </c>
      <c r="G286" s="673">
        <v>21</v>
      </c>
      <c r="H286" s="673" t="s">
        <v>74</v>
      </c>
      <c r="I286" s="673" t="s">
        <v>359</v>
      </c>
      <c r="J286" s="673"/>
      <c r="K286" s="673"/>
      <c r="L286" s="673"/>
      <c r="M286" s="828"/>
      <c r="N286" s="828"/>
      <c r="O286" s="673" t="s">
        <v>779</v>
      </c>
      <c r="P286" s="673" t="s">
        <v>422</v>
      </c>
      <c r="BE286" s="392">
        <v>18</v>
      </c>
      <c r="BF286" s="331">
        <f t="shared" si="110"/>
        <v>0</v>
      </c>
      <c r="BG286" s="331">
        <f t="shared" si="111"/>
        <v>0</v>
      </c>
      <c r="BH286" s="331">
        <f t="shared" si="112"/>
        <v>0</v>
      </c>
      <c r="BI286" s="331">
        <f t="shared" si="113"/>
        <v>0</v>
      </c>
      <c r="BJ286" s="331">
        <f t="shared" si="114"/>
        <v>0</v>
      </c>
      <c r="BK286" s="331">
        <f t="shared" si="115"/>
        <v>0</v>
      </c>
      <c r="BL286" s="331">
        <f t="shared" si="116"/>
        <v>0</v>
      </c>
      <c r="BM286" s="331">
        <f t="shared" si="117"/>
        <v>0</v>
      </c>
      <c r="BN286" s="331">
        <f t="shared" si="118"/>
        <v>0</v>
      </c>
      <c r="BO286" s="331">
        <f t="shared" si="119"/>
        <v>0</v>
      </c>
      <c r="BP286" s="331">
        <f t="shared" si="120"/>
        <v>0</v>
      </c>
      <c r="BQ286" s="331">
        <f t="shared" si="121"/>
        <v>0</v>
      </c>
      <c r="BR286" s="393"/>
    </row>
    <row r="287" spans="1:70" ht="27.75" customHeight="1" x14ac:dyDescent="0.4">
      <c r="A287" s="872">
        <v>279</v>
      </c>
      <c r="B287" s="867" t="s">
        <v>39</v>
      </c>
      <c r="C287" s="841">
        <f t="shared" si="109"/>
        <v>44922</v>
      </c>
      <c r="D287" s="842" t="str">
        <f>IF(C287="","",INDEX({"रविवार";"सोमवार";"मंगळवार";"बुधवार";"गुरूवार";"शुक्रवार";"शनिवार"},WEEKDAY(C287)))</f>
        <v>मंगळवार</v>
      </c>
      <c r="E287" s="673">
        <v>21</v>
      </c>
      <c r="F287" s="673">
        <v>21</v>
      </c>
      <c r="G287" s="673">
        <v>21</v>
      </c>
      <c r="H287" s="673" t="s">
        <v>67</v>
      </c>
      <c r="I287" s="673" t="s">
        <v>384</v>
      </c>
      <c r="J287" s="673"/>
      <c r="K287" s="673"/>
      <c r="L287" s="673"/>
      <c r="M287" s="828"/>
      <c r="N287" s="828"/>
      <c r="O287" s="673" t="s">
        <v>777</v>
      </c>
      <c r="P287" s="673" t="s">
        <v>421</v>
      </c>
      <c r="BE287" s="392">
        <v>19</v>
      </c>
      <c r="BF287" s="331">
        <f t="shared" si="110"/>
        <v>0</v>
      </c>
      <c r="BG287" s="331">
        <f t="shared" si="111"/>
        <v>0</v>
      </c>
      <c r="BH287" s="331">
        <f t="shared" si="112"/>
        <v>0</v>
      </c>
      <c r="BI287" s="331">
        <f t="shared" si="113"/>
        <v>0</v>
      </c>
      <c r="BJ287" s="331">
        <f t="shared" si="114"/>
        <v>0</v>
      </c>
      <c r="BK287" s="331">
        <f t="shared" si="115"/>
        <v>0</v>
      </c>
      <c r="BL287" s="331">
        <f t="shared" si="116"/>
        <v>0</v>
      </c>
      <c r="BM287" s="331">
        <f t="shared" si="117"/>
        <v>0</v>
      </c>
      <c r="BN287" s="331">
        <f t="shared" si="118"/>
        <v>0</v>
      </c>
      <c r="BO287" s="331">
        <f t="shared" si="119"/>
        <v>0</v>
      </c>
      <c r="BP287" s="331">
        <f t="shared" si="120"/>
        <v>0</v>
      </c>
      <c r="BQ287" s="331">
        <f t="shared" si="121"/>
        <v>0</v>
      </c>
      <c r="BR287" s="393"/>
    </row>
    <row r="288" spans="1:70" ht="27.75" customHeight="1" x14ac:dyDescent="0.4">
      <c r="A288" s="872">
        <v>280</v>
      </c>
      <c r="B288" s="867" t="s">
        <v>39</v>
      </c>
      <c r="C288" s="841">
        <f t="shared" si="109"/>
        <v>44923</v>
      </c>
      <c r="D288" s="842" t="str">
        <f>IF(C288="","",INDEX({"रविवार";"सोमवार";"मंगळवार";"बुधवार";"गुरूवार";"शुक्रवार";"शनिवार"},WEEKDAY(C288)))</f>
        <v>बुधवार</v>
      </c>
      <c r="E288" s="673">
        <v>21</v>
      </c>
      <c r="F288" s="673">
        <v>21</v>
      </c>
      <c r="G288" s="673">
        <v>21</v>
      </c>
      <c r="H288" s="673" t="s">
        <v>444</v>
      </c>
      <c r="I288" s="673" t="s">
        <v>384</v>
      </c>
      <c r="J288" s="673"/>
      <c r="K288" s="673"/>
      <c r="L288" s="673"/>
      <c r="M288" s="828"/>
      <c r="N288" s="828"/>
      <c r="O288" s="673" t="s">
        <v>781</v>
      </c>
      <c r="P288" s="673" t="s">
        <v>423</v>
      </c>
      <c r="BE288" s="392">
        <v>20</v>
      </c>
      <c r="BF288" s="331">
        <f t="shared" si="110"/>
        <v>0</v>
      </c>
      <c r="BG288" s="331">
        <f t="shared" si="111"/>
        <v>0</v>
      </c>
      <c r="BH288" s="331">
        <f t="shared" si="112"/>
        <v>0</v>
      </c>
      <c r="BI288" s="331">
        <f t="shared" si="113"/>
        <v>0</v>
      </c>
      <c r="BJ288" s="331">
        <f t="shared" si="114"/>
        <v>0</v>
      </c>
      <c r="BK288" s="331">
        <f t="shared" si="115"/>
        <v>0</v>
      </c>
      <c r="BL288" s="331">
        <f t="shared" si="116"/>
        <v>0</v>
      </c>
      <c r="BM288" s="331">
        <f t="shared" si="117"/>
        <v>0</v>
      </c>
      <c r="BN288" s="331">
        <f t="shared" si="118"/>
        <v>0</v>
      </c>
      <c r="BO288" s="331">
        <f t="shared" si="119"/>
        <v>0</v>
      </c>
      <c r="BP288" s="331">
        <f t="shared" si="120"/>
        <v>0</v>
      </c>
      <c r="BQ288" s="331">
        <f t="shared" si="121"/>
        <v>0</v>
      </c>
      <c r="BR288" s="393"/>
    </row>
    <row r="289" spans="1:70" ht="27.75" customHeight="1" x14ac:dyDescent="0.4">
      <c r="A289" s="872">
        <v>281</v>
      </c>
      <c r="B289" s="867" t="s">
        <v>39</v>
      </c>
      <c r="C289" s="841">
        <f t="shared" si="109"/>
        <v>44924</v>
      </c>
      <c r="D289" s="842" t="str">
        <f>IF(C289="","",INDEX({"रविवार";"सोमवार";"मंगळवार";"बुधवार";"गुरूवार";"शुक्रवार";"शनिवार"},WEEKDAY(C289)))</f>
        <v>गुरूवार</v>
      </c>
      <c r="E289" s="673">
        <v>21</v>
      </c>
      <c r="F289" s="673">
        <v>21</v>
      </c>
      <c r="G289" s="673">
        <v>21</v>
      </c>
      <c r="H289" s="673" t="s">
        <v>67</v>
      </c>
      <c r="I289" s="673" t="s">
        <v>384</v>
      </c>
      <c r="J289" s="673"/>
      <c r="K289" s="673"/>
      <c r="L289" s="673"/>
      <c r="M289" s="828"/>
      <c r="N289" s="828"/>
      <c r="O289" s="673" t="s">
        <v>777</v>
      </c>
      <c r="P289" s="673" t="s">
        <v>421</v>
      </c>
      <c r="BE289" s="392">
        <v>21</v>
      </c>
      <c r="BF289" s="331">
        <f t="shared" si="110"/>
        <v>0</v>
      </c>
      <c r="BG289" s="331">
        <f t="shared" si="111"/>
        <v>0</v>
      </c>
      <c r="BH289" s="331">
        <f t="shared" si="112"/>
        <v>0</v>
      </c>
      <c r="BI289" s="331">
        <f t="shared" si="113"/>
        <v>0</v>
      </c>
      <c r="BJ289" s="331">
        <f t="shared" si="114"/>
        <v>0</v>
      </c>
      <c r="BK289" s="331">
        <f t="shared" si="115"/>
        <v>0</v>
      </c>
      <c r="BL289" s="331">
        <f t="shared" si="116"/>
        <v>0</v>
      </c>
      <c r="BM289" s="331">
        <f t="shared" si="117"/>
        <v>0</v>
      </c>
      <c r="BN289" s="331">
        <f t="shared" si="118"/>
        <v>0</v>
      </c>
      <c r="BO289" s="331">
        <f t="shared" si="119"/>
        <v>0</v>
      </c>
      <c r="BP289" s="331">
        <f t="shared" si="120"/>
        <v>0</v>
      </c>
      <c r="BQ289" s="331">
        <f t="shared" si="121"/>
        <v>0</v>
      </c>
      <c r="BR289" s="393"/>
    </row>
    <row r="290" spans="1:70" ht="27.75" customHeight="1" x14ac:dyDescent="0.4">
      <c r="A290" s="872">
        <v>282</v>
      </c>
      <c r="B290" s="867" t="s">
        <v>39</v>
      </c>
      <c r="C290" s="841">
        <f t="shared" si="109"/>
        <v>44925</v>
      </c>
      <c r="D290" s="842" t="str">
        <f>IF(C290="","",INDEX({"रविवार";"सोमवार";"मंगळवार";"बुधवार";"गुरूवार";"शुक्रवार";"शनिवार"},WEEKDAY(C290)))</f>
        <v>शुक्रवार</v>
      </c>
      <c r="E290" s="673">
        <v>21</v>
      </c>
      <c r="F290" s="673">
        <v>21</v>
      </c>
      <c r="G290" s="673">
        <v>21</v>
      </c>
      <c r="H290" s="673" t="s">
        <v>444</v>
      </c>
      <c r="I290" s="673" t="s">
        <v>384</v>
      </c>
      <c r="J290" s="673"/>
      <c r="K290" s="673"/>
      <c r="L290" s="673"/>
      <c r="M290" s="828"/>
      <c r="N290" s="828"/>
      <c r="O290" s="673" t="s">
        <v>780</v>
      </c>
      <c r="P290" s="673" t="s">
        <v>425</v>
      </c>
      <c r="BE290" s="392">
        <v>22</v>
      </c>
      <c r="BF290" s="331">
        <f t="shared" si="110"/>
        <v>0</v>
      </c>
      <c r="BG290" s="331">
        <f t="shared" si="111"/>
        <v>0</v>
      </c>
      <c r="BH290" s="331">
        <f t="shared" si="112"/>
        <v>0</v>
      </c>
      <c r="BI290" s="331">
        <f t="shared" si="113"/>
        <v>0</v>
      </c>
      <c r="BJ290" s="331">
        <f t="shared" si="114"/>
        <v>0</v>
      </c>
      <c r="BK290" s="331">
        <f t="shared" si="115"/>
        <v>0</v>
      </c>
      <c r="BL290" s="331">
        <f t="shared" si="116"/>
        <v>0</v>
      </c>
      <c r="BM290" s="331">
        <f t="shared" si="117"/>
        <v>0</v>
      </c>
      <c r="BN290" s="331">
        <f t="shared" si="118"/>
        <v>0</v>
      </c>
      <c r="BO290" s="331">
        <f t="shared" si="119"/>
        <v>0</v>
      </c>
      <c r="BP290" s="331">
        <f t="shared" si="120"/>
        <v>0</v>
      </c>
      <c r="BQ290" s="331">
        <f t="shared" si="121"/>
        <v>0</v>
      </c>
      <c r="BR290" s="393"/>
    </row>
    <row r="291" spans="1:70" ht="27.75" customHeight="1" x14ac:dyDescent="0.4">
      <c r="A291" s="872">
        <v>283</v>
      </c>
      <c r="B291" s="867" t="s">
        <v>39</v>
      </c>
      <c r="C291" s="841">
        <f t="shared" si="109"/>
        <v>44926</v>
      </c>
      <c r="D291" s="842" t="str">
        <f>IF(C291="","",INDEX({"रविवार";"सोमवार";"मंगळवार";"बुधवार";"गुरूवार";"शुक्रवार";"शनिवार"},WEEKDAY(C291)))</f>
        <v>शनिवार</v>
      </c>
      <c r="E291" s="673">
        <v>21</v>
      </c>
      <c r="F291" s="673">
        <v>21</v>
      </c>
      <c r="G291" s="673">
        <v>21</v>
      </c>
      <c r="H291" s="673" t="s">
        <v>74</v>
      </c>
      <c r="I291" s="673" t="s">
        <v>359</v>
      </c>
      <c r="J291" s="673"/>
      <c r="K291" s="673"/>
      <c r="L291" s="673"/>
      <c r="M291" s="828"/>
      <c r="N291" s="828"/>
      <c r="O291" s="673" t="s">
        <v>781</v>
      </c>
      <c r="P291" s="673" t="s">
        <v>424</v>
      </c>
      <c r="BE291" s="392">
        <v>23</v>
      </c>
      <c r="BF291" s="331">
        <f t="shared" si="110"/>
        <v>0</v>
      </c>
      <c r="BG291" s="331">
        <f t="shared" si="111"/>
        <v>0</v>
      </c>
      <c r="BH291" s="331">
        <f t="shared" si="112"/>
        <v>0</v>
      </c>
      <c r="BI291" s="331">
        <f t="shared" si="113"/>
        <v>0</v>
      </c>
      <c r="BJ291" s="331">
        <f t="shared" si="114"/>
        <v>0</v>
      </c>
      <c r="BK291" s="331">
        <f t="shared" si="115"/>
        <v>0</v>
      </c>
      <c r="BL291" s="331">
        <f t="shared" si="116"/>
        <v>0</v>
      </c>
      <c r="BM291" s="331">
        <f t="shared" si="117"/>
        <v>0</v>
      </c>
      <c r="BN291" s="331">
        <f t="shared" si="118"/>
        <v>0</v>
      </c>
      <c r="BO291" s="331">
        <f t="shared" si="119"/>
        <v>0</v>
      </c>
      <c r="BP291" s="331">
        <f t="shared" si="120"/>
        <v>0</v>
      </c>
      <c r="BQ291" s="331">
        <f t="shared" si="121"/>
        <v>0</v>
      </c>
      <c r="BR291" s="393"/>
    </row>
    <row r="292" spans="1:70" ht="27.75" customHeight="1" x14ac:dyDescent="0.4">
      <c r="A292" s="872">
        <v>284</v>
      </c>
      <c r="B292" s="867" t="s">
        <v>39</v>
      </c>
      <c r="C292" s="841" t="s">
        <v>35</v>
      </c>
      <c r="D292" s="841"/>
      <c r="E292" s="829">
        <f>IF(SUM(E261:E291)&gt;0,SUM(E261:E291),"")</f>
        <v>547</v>
      </c>
      <c r="F292" s="829">
        <f t="shared" ref="F292:N292" si="122">IF(SUM(F261:F291)&gt;0,SUM(F261:F291),"")</f>
        <v>547</v>
      </c>
      <c r="G292" s="829">
        <f t="shared" si="122"/>
        <v>547</v>
      </c>
      <c r="H292" s="829" t="str">
        <f t="shared" si="122"/>
        <v/>
      </c>
      <c r="I292" s="829" t="str">
        <f t="shared" si="122"/>
        <v/>
      </c>
      <c r="J292" s="829" t="str">
        <f t="shared" si="122"/>
        <v/>
      </c>
      <c r="K292" s="829" t="str">
        <f t="shared" si="122"/>
        <v/>
      </c>
      <c r="L292" s="829" t="str">
        <f t="shared" si="122"/>
        <v/>
      </c>
      <c r="M292" s="829" t="str">
        <f t="shared" si="122"/>
        <v/>
      </c>
      <c r="N292" s="829" t="str">
        <f t="shared" si="122"/>
        <v/>
      </c>
      <c r="O292" s="830"/>
      <c r="P292" s="830"/>
      <c r="BE292" s="392">
        <v>24</v>
      </c>
      <c r="BF292" s="331">
        <f t="shared" si="110"/>
        <v>0</v>
      </c>
      <c r="BG292" s="331">
        <f t="shared" si="111"/>
        <v>0</v>
      </c>
      <c r="BH292" s="331">
        <f t="shared" si="112"/>
        <v>0</v>
      </c>
      <c r="BI292" s="331">
        <f t="shared" si="113"/>
        <v>0</v>
      </c>
      <c r="BJ292" s="331">
        <f t="shared" si="114"/>
        <v>0</v>
      </c>
      <c r="BK292" s="331">
        <f t="shared" si="115"/>
        <v>0</v>
      </c>
      <c r="BL292" s="331">
        <f t="shared" si="116"/>
        <v>0</v>
      </c>
      <c r="BM292" s="331">
        <f t="shared" si="117"/>
        <v>0</v>
      </c>
      <c r="BN292" s="331">
        <f t="shared" si="118"/>
        <v>0</v>
      </c>
      <c r="BO292" s="331">
        <f t="shared" si="119"/>
        <v>0</v>
      </c>
      <c r="BP292" s="331">
        <f t="shared" si="120"/>
        <v>0</v>
      </c>
      <c r="BQ292" s="331">
        <f t="shared" si="121"/>
        <v>0</v>
      </c>
      <c r="BR292" s="393"/>
    </row>
    <row r="293" spans="1:70" ht="27.75" customHeight="1" x14ac:dyDescent="0.4">
      <c r="A293" s="872">
        <v>285</v>
      </c>
      <c r="B293" s="868" t="s">
        <v>33</v>
      </c>
      <c r="C293" s="841">
        <f>DATE(O6,"1","1")</f>
        <v>44927</v>
      </c>
      <c r="D293" s="842" t="str">
        <f>IF(C293="","",INDEX({"रविवार";"सोमवार";"मंगळवार";"बुधवार";"गुरूवार";"शुक्रवार";"शनिवार"},WEEKDAY(C293)))</f>
        <v>रविवार</v>
      </c>
      <c r="E293" s="673"/>
      <c r="F293" s="673"/>
      <c r="G293" s="673"/>
      <c r="H293" s="673"/>
      <c r="I293" s="673"/>
      <c r="J293" s="673"/>
      <c r="K293" s="673"/>
      <c r="L293" s="673"/>
      <c r="M293" s="828"/>
      <c r="N293" s="828"/>
      <c r="O293" s="673"/>
      <c r="P293" s="673"/>
      <c r="BE293" s="392">
        <v>25</v>
      </c>
      <c r="BF293" s="331">
        <f t="shared" si="110"/>
        <v>0</v>
      </c>
      <c r="BG293" s="331">
        <f t="shared" si="111"/>
        <v>0</v>
      </c>
      <c r="BH293" s="331">
        <f t="shared" si="112"/>
        <v>0</v>
      </c>
      <c r="BI293" s="331">
        <f t="shared" si="113"/>
        <v>0</v>
      </c>
      <c r="BJ293" s="331">
        <f t="shared" si="114"/>
        <v>0</v>
      </c>
      <c r="BK293" s="331">
        <f t="shared" si="115"/>
        <v>0</v>
      </c>
      <c r="BL293" s="331">
        <f t="shared" si="116"/>
        <v>0</v>
      </c>
      <c r="BM293" s="331">
        <f t="shared" si="117"/>
        <v>0</v>
      </c>
      <c r="BN293" s="331">
        <f t="shared" si="118"/>
        <v>0</v>
      </c>
      <c r="BO293" s="331">
        <f t="shared" si="119"/>
        <v>0</v>
      </c>
      <c r="BP293" s="331">
        <f t="shared" si="120"/>
        <v>0</v>
      </c>
      <c r="BQ293" s="331">
        <f t="shared" si="121"/>
        <v>0</v>
      </c>
      <c r="BR293" s="393"/>
    </row>
    <row r="294" spans="1:70" ht="27.75" customHeight="1" x14ac:dyDescent="0.4">
      <c r="A294" s="872">
        <v>286</v>
      </c>
      <c r="B294" s="868" t="s">
        <v>33</v>
      </c>
      <c r="C294" s="841">
        <f>C293+1</f>
        <v>44928</v>
      </c>
      <c r="D294" s="842" t="str">
        <f>IF(C294="","",INDEX({"रविवार";"सोमवार";"मंगळवार";"बुधवार";"गुरूवार";"शुक्रवार";"शनिवार"},WEEKDAY(C294)))</f>
        <v>सोमवार</v>
      </c>
      <c r="E294" s="673"/>
      <c r="F294" s="673"/>
      <c r="G294" s="673"/>
      <c r="H294" s="673"/>
      <c r="I294" s="673"/>
      <c r="J294" s="673"/>
      <c r="K294" s="673"/>
      <c r="L294" s="673"/>
      <c r="M294" s="828"/>
      <c r="N294" s="828"/>
      <c r="O294" s="673"/>
      <c r="P294" s="673"/>
      <c r="BE294" s="392">
        <v>26</v>
      </c>
      <c r="BF294" s="331">
        <f t="shared" si="110"/>
        <v>0</v>
      </c>
      <c r="BG294" s="331">
        <f t="shared" si="111"/>
        <v>0</v>
      </c>
      <c r="BH294" s="331">
        <f t="shared" si="112"/>
        <v>0</v>
      </c>
      <c r="BI294" s="331">
        <f t="shared" si="113"/>
        <v>0</v>
      </c>
      <c r="BJ294" s="331">
        <f t="shared" si="114"/>
        <v>0</v>
      </c>
      <c r="BK294" s="331">
        <f t="shared" si="115"/>
        <v>0</v>
      </c>
      <c r="BL294" s="331">
        <f t="shared" si="116"/>
        <v>0</v>
      </c>
      <c r="BM294" s="331">
        <f t="shared" si="117"/>
        <v>0</v>
      </c>
      <c r="BN294" s="331">
        <f t="shared" si="118"/>
        <v>0</v>
      </c>
      <c r="BO294" s="331">
        <f t="shared" si="119"/>
        <v>0</v>
      </c>
      <c r="BP294" s="331">
        <f t="shared" si="120"/>
        <v>0</v>
      </c>
      <c r="BQ294" s="331">
        <f t="shared" si="121"/>
        <v>0</v>
      </c>
      <c r="BR294" s="393"/>
    </row>
    <row r="295" spans="1:70" ht="27.75" customHeight="1" x14ac:dyDescent="0.4">
      <c r="A295" s="872">
        <v>287</v>
      </c>
      <c r="B295" s="868" t="s">
        <v>33</v>
      </c>
      <c r="C295" s="841">
        <f t="shared" ref="C295:C323" si="123">C294+1</f>
        <v>44929</v>
      </c>
      <c r="D295" s="842" t="str">
        <f>IF(C295="","",INDEX({"रविवार";"सोमवार";"मंगळवार";"बुधवार";"गुरूवार";"शुक्रवार";"शनिवार"},WEEKDAY(C295)))</f>
        <v>मंगळवार</v>
      </c>
      <c r="E295" s="673"/>
      <c r="F295" s="673"/>
      <c r="G295" s="673"/>
      <c r="H295" s="673"/>
      <c r="I295" s="673"/>
      <c r="J295" s="673"/>
      <c r="K295" s="673"/>
      <c r="L295" s="673"/>
      <c r="M295" s="828"/>
      <c r="N295" s="828"/>
      <c r="O295" s="673"/>
      <c r="P295" s="673"/>
      <c r="BE295" s="392">
        <v>27</v>
      </c>
      <c r="BF295" s="331">
        <f t="shared" si="110"/>
        <v>0</v>
      </c>
      <c r="BG295" s="331">
        <f t="shared" si="111"/>
        <v>0</v>
      </c>
      <c r="BH295" s="331">
        <f t="shared" si="112"/>
        <v>0</v>
      </c>
      <c r="BI295" s="331">
        <f t="shared" si="113"/>
        <v>0</v>
      </c>
      <c r="BJ295" s="331">
        <f t="shared" si="114"/>
        <v>0</v>
      </c>
      <c r="BK295" s="331">
        <f t="shared" si="115"/>
        <v>0</v>
      </c>
      <c r="BL295" s="331">
        <f t="shared" si="116"/>
        <v>0</v>
      </c>
      <c r="BM295" s="331">
        <f t="shared" si="117"/>
        <v>0</v>
      </c>
      <c r="BN295" s="331">
        <f t="shared" si="118"/>
        <v>0</v>
      </c>
      <c r="BO295" s="331">
        <f t="shared" si="119"/>
        <v>0</v>
      </c>
      <c r="BP295" s="331">
        <f t="shared" si="120"/>
        <v>0</v>
      </c>
      <c r="BQ295" s="331">
        <f t="shared" si="121"/>
        <v>0</v>
      </c>
      <c r="BR295" s="393"/>
    </row>
    <row r="296" spans="1:70" ht="27.75" customHeight="1" x14ac:dyDescent="0.4">
      <c r="A296" s="872">
        <v>288</v>
      </c>
      <c r="B296" s="868" t="s">
        <v>33</v>
      </c>
      <c r="C296" s="841">
        <f t="shared" si="123"/>
        <v>44930</v>
      </c>
      <c r="D296" s="842" t="str">
        <f>IF(C296="","",INDEX({"रविवार";"सोमवार";"मंगळवार";"बुधवार";"गुरूवार";"शुक्रवार";"शनिवार"},WEEKDAY(C296)))</f>
        <v>बुधवार</v>
      </c>
      <c r="E296" s="673"/>
      <c r="F296" s="673"/>
      <c r="G296" s="673"/>
      <c r="H296" s="673"/>
      <c r="I296" s="673"/>
      <c r="J296" s="673"/>
      <c r="K296" s="673"/>
      <c r="L296" s="673"/>
      <c r="M296" s="828"/>
      <c r="N296" s="828"/>
      <c r="O296" s="673"/>
      <c r="P296" s="673"/>
      <c r="BE296" s="392">
        <v>28</v>
      </c>
      <c r="BF296" s="331">
        <f t="shared" si="110"/>
        <v>0</v>
      </c>
      <c r="BG296" s="331">
        <f t="shared" si="111"/>
        <v>0</v>
      </c>
      <c r="BH296" s="331">
        <f t="shared" si="112"/>
        <v>0</v>
      </c>
      <c r="BI296" s="331">
        <f t="shared" si="113"/>
        <v>0</v>
      </c>
      <c r="BJ296" s="331">
        <f t="shared" si="114"/>
        <v>0</v>
      </c>
      <c r="BK296" s="331">
        <f t="shared" si="115"/>
        <v>0</v>
      </c>
      <c r="BL296" s="331">
        <f t="shared" si="116"/>
        <v>0</v>
      </c>
      <c r="BM296" s="331">
        <f t="shared" si="117"/>
        <v>0</v>
      </c>
      <c r="BN296" s="331">
        <f t="shared" si="118"/>
        <v>0</v>
      </c>
      <c r="BO296" s="331">
        <f t="shared" si="119"/>
        <v>0</v>
      </c>
      <c r="BP296" s="331">
        <f t="shared" si="120"/>
        <v>0</v>
      </c>
      <c r="BQ296" s="331">
        <f t="shared" si="121"/>
        <v>0</v>
      </c>
      <c r="BR296" s="393"/>
    </row>
    <row r="297" spans="1:70" ht="27.75" customHeight="1" x14ac:dyDescent="0.4">
      <c r="A297" s="872">
        <v>289</v>
      </c>
      <c r="B297" s="868" t="s">
        <v>33</v>
      </c>
      <c r="C297" s="841">
        <f t="shared" si="123"/>
        <v>44931</v>
      </c>
      <c r="D297" s="842" t="str">
        <f>IF(C297="","",INDEX({"रविवार";"सोमवार";"मंगळवार";"बुधवार";"गुरूवार";"शुक्रवार";"शनिवार"},WEEKDAY(C297)))</f>
        <v>गुरूवार</v>
      </c>
      <c r="E297" s="673"/>
      <c r="F297" s="673"/>
      <c r="G297" s="673"/>
      <c r="H297" s="673"/>
      <c r="I297" s="673"/>
      <c r="J297" s="673"/>
      <c r="K297" s="673"/>
      <c r="L297" s="673"/>
      <c r="M297" s="828"/>
      <c r="N297" s="828"/>
      <c r="O297" s="673"/>
      <c r="P297" s="673"/>
      <c r="BE297" s="392">
        <v>29</v>
      </c>
      <c r="BF297" s="331">
        <f t="shared" si="110"/>
        <v>0</v>
      </c>
      <c r="BG297" s="331">
        <f t="shared" si="111"/>
        <v>0</v>
      </c>
      <c r="BH297" s="331">
        <f t="shared" si="112"/>
        <v>0</v>
      </c>
      <c r="BI297" s="331">
        <f t="shared" si="113"/>
        <v>0</v>
      </c>
      <c r="BJ297" s="331">
        <f t="shared" si="114"/>
        <v>0</v>
      </c>
      <c r="BK297" s="331">
        <f t="shared" si="115"/>
        <v>0</v>
      </c>
      <c r="BL297" s="331">
        <f t="shared" si="116"/>
        <v>0</v>
      </c>
      <c r="BM297" s="331">
        <f t="shared" si="117"/>
        <v>0</v>
      </c>
      <c r="BN297" s="331">
        <f t="shared" si="118"/>
        <v>0</v>
      </c>
      <c r="BO297" s="331">
        <f t="shared" si="119"/>
        <v>0</v>
      </c>
      <c r="BP297" s="331">
        <f t="shared" si="120"/>
        <v>0</v>
      </c>
      <c r="BQ297" s="331">
        <f t="shared" si="121"/>
        <v>0</v>
      </c>
      <c r="BR297" s="393"/>
    </row>
    <row r="298" spans="1:70" ht="27.75" customHeight="1" x14ac:dyDescent="0.4">
      <c r="A298" s="872">
        <v>290</v>
      </c>
      <c r="B298" s="868" t="s">
        <v>33</v>
      </c>
      <c r="C298" s="841">
        <f t="shared" si="123"/>
        <v>44932</v>
      </c>
      <c r="D298" s="842" t="str">
        <f>IF(C298="","",INDEX({"रविवार";"सोमवार";"मंगळवार";"बुधवार";"गुरूवार";"शुक्रवार";"शनिवार"},WEEKDAY(C298)))</f>
        <v>शुक्रवार</v>
      </c>
      <c r="E298" s="673"/>
      <c r="F298" s="673"/>
      <c r="G298" s="673"/>
      <c r="H298" s="673"/>
      <c r="I298" s="673"/>
      <c r="J298" s="673"/>
      <c r="K298" s="673"/>
      <c r="L298" s="673"/>
      <c r="M298" s="828"/>
      <c r="N298" s="828"/>
      <c r="O298" s="673"/>
      <c r="P298" s="673"/>
      <c r="BE298" s="392">
        <v>30</v>
      </c>
      <c r="BF298" s="331">
        <f t="shared" si="110"/>
        <v>0</v>
      </c>
      <c r="BG298" s="331">
        <f t="shared" si="111"/>
        <v>0</v>
      </c>
      <c r="BH298" s="331">
        <f t="shared" si="112"/>
        <v>0</v>
      </c>
      <c r="BI298" s="331">
        <f t="shared" si="113"/>
        <v>0</v>
      </c>
      <c r="BJ298" s="331">
        <f t="shared" si="114"/>
        <v>0</v>
      </c>
      <c r="BK298" s="331">
        <f t="shared" si="115"/>
        <v>0</v>
      </c>
      <c r="BL298" s="331">
        <f t="shared" si="116"/>
        <v>0</v>
      </c>
      <c r="BM298" s="331">
        <f t="shared" si="117"/>
        <v>0</v>
      </c>
      <c r="BN298" s="331">
        <f t="shared" si="118"/>
        <v>0</v>
      </c>
      <c r="BO298" s="331">
        <f t="shared" si="119"/>
        <v>0</v>
      </c>
      <c r="BP298" s="331" t="str">
        <f t="shared" si="120"/>
        <v/>
      </c>
      <c r="BQ298" s="331">
        <f t="shared" si="121"/>
        <v>0</v>
      </c>
      <c r="BR298" s="393"/>
    </row>
    <row r="299" spans="1:70" ht="27.75" customHeight="1" x14ac:dyDescent="0.4">
      <c r="A299" s="872">
        <v>291</v>
      </c>
      <c r="B299" s="868" t="s">
        <v>33</v>
      </c>
      <c r="C299" s="841">
        <f t="shared" si="123"/>
        <v>44933</v>
      </c>
      <c r="D299" s="842" t="str">
        <f>IF(C299="","",INDEX({"रविवार";"सोमवार";"मंगळवार";"बुधवार";"गुरूवार";"शुक्रवार";"शनिवार"},WEEKDAY(C299)))</f>
        <v>शनिवार</v>
      </c>
      <c r="E299" s="673"/>
      <c r="F299" s="673"/>
      <c r="G299" s="673"/>
      <c r="H299" s="673"/>
      <c r="I299" s="673"/>
      <c r="J299" s="673"/>
      <c r="K299" s="673"/>
      <c r="L299" s="673"/>
      <c r="M299" s="828"/>
      <c r="N299" s="828"/>
      <c r="O299" s="673"/>
      <c r="P299" s="673"/>
      <c r="BE299" s="392">
        <v>31</v>
      </c>
      <c r="BF299" s="331" t="str">
        <f t="shared" si="110"/>
        <v/>
      </c>
      <c r="BG299" s="331">
        <f t="shared" si="111"/>
        <v>0</v>
      </c>
      <c r="BH299" s="331" t="str">
        <f t="shared" si="112"/>
        <v/>
      </c>
      <c r="BI299" s="331">
        <f t="shared" si="113"/>
        <v>0</v>
      </c>
      <c r="BJ299" s="331">
        <f t="shared" si="114"/>
        <v>0</v>
      </c>
      <c r="BK299" s="331" t="str">
        <f t="shared" si="115"/>
        <v/>
      </c>
      <c r="BL299" s="331">
        <f t="shared" si="116"/>
        <v>0</v>
      </c>
      <c r="BM299" s="331" t="str">
        <f t="shared" si="117"/>
        <v/>
      </c>
      <c r="BN299" s="331">
        <f t="shared" si="118"/>
        <v>0</v>
      </c>
      <c r="BO299" s="331">
        <f t="shared" si="119"/>
        <v>0</v>
      </c>
      <c r="BP299" s="393">
        <v>0</v>
      </c>
      <c r="BQ299" s="331">
        <f t="shared" si="121"/>
        <v>0</v>
      </c>
      <c r="BR299" s="393"/>
    </row>
    <row r="300" spans="1:70" ht="27.75" customHeight="1" x14ac:dyDescent="0.4">
      <c r="A300" s="872">
        <v>292</v>
      </c>
      <c r="B300" s="868" t="s">
        <v>33</v>
      </c>
      <c r="C300" s="841">
        <f t="shared" si="123"/>
        <v>44934</v>
      </c>
      <c r="D300" s="842" t="str">
        <f>IF(C300="","",INDEX({"रविवार";"सोमवार";"मंगळवार";"बुधवार";"गुरूवार";"शुक्रवार";"शनिवार"},WEEKDAY(C300)))</f>
        <v>रविवार</v>
      </c>
      <c r="E300" s="673"/>
      <c r="F300" s="673"/>
      <c r="G300" s="673"/>
      <c r="H300" s="673"/>
      <c r="I300" s="673"/>
      <c r="J300" s="673"/>
      <c r="K300" s="673"/>
      <c r="L300" s="673"/>
      <c r="M300" s="828"/>
      <c r="N300" s="828"/>
      <c r="O300" s="673"/>
      <c r="P300" s="673"/>
    </row>
    <row r="301" spans="1:70" ht="27.75" customHeight="1" x14ac:dyDescent="0.4">
      <c r="A301" s="872">
        <v>293</v>
      </c>
      <c r="B301" s="868" t="s">
        <v>33</v>
      </c>
      <c r="C301" s="841">
        <f t="shared" si="123"/>
        <v>44935</v>
      </c>
      <c r="D301" s="842" t="str">
        <f>IF(C301="","",INDEX({"रविवार";"सोमवार";"मंगळवार";"बुधवार";"गुरूवार";"शुक्रवार";"शनिवार"},WEEKDAY(C301)))</f>
        <v>सोमवार</v>
      </c>
      <c r="E301" s="673"/>
      <c r="F301" s="673"/>
      <c r="G301" s="673"/>
      <c r="H301" s="673"/>
      <c r="I301" s="673"/>
      <c r="J301" s="673"/>
      <c r="K301" s="673"/>
      <c r="L301" s="673"/>
      <c r="M301" s="828"/>
      <c r="N301" s="828"/>
      <c r="O301" s="673"/>
      <c r="P301" s="673"/>
    </row>
    <row r="302" spans="1:70" ht="27.75" customHeight="1" x14ac:dyDescent="0.4">
      <c r="A302" s="872">
        <v>294</v>
      </c>
      <c r="B302" s="868" t="s">
        <v>33</v>
      </c>
      <c r="C302" s="841">
        <f t="shared" si="123"/>
        <v>44936</v>
      </c>
      <c r="D302" s="842" t="str">
        <f>IF(C302="","",INDEX({"रविवार";"सोमवार";"मंगळवार";"बुधवार";"गुरूवार";"शुक्रवार";"शनिवार"},WEEKDAY(C302)))</f>
        <v>मंगळवार</v>
      </c>
      <c r="E302" s="673"/>
      <c r="F302" s="673"/>
      <c r="G302" s="673"/>
      <c r="H302" s="673"/>
      <c r="I302" s="673"/>
      <c r="J302" s="673"/>
      <c r="K302" s="673"/>
      <c r="L302" s="673"/>
      <c r="M302" s="828"/>
      <c r="N302" s="828"/>
      <c r="O302" s="673"/>
      <c r="P302" s="673"/>
      <c r="BK302" s="380" t="s">
        <v>395</v>
      </c>
    </row>
    <row r="303" spans="1:70" ht="27.75" customHeight="1" x14ac:dyDescent="0.4">
      <c r="A303" s="872">
        <v>295</v>
      </c>
      <c r="B303" s="868" t="s">
        <v>33</v>
      </c>
      <c r="C303" s="841">
        <f t="shared" si="123"/>
        <v>44937</v>
      </c>
      <c r="D303" s="842" t="str">
        <f>IF(C303="","",INDEX({"रविवार";"सोमवार";"मंगळवार";"बुधवार";"गुरूवार";"शुक्रवार";"शनिवार"},WEEKDAY(C303)))</f>
        <v>बुधवार</v>
      </c>
      <c r="E303" s="673"/>
      <c r="F303" s="673"/>
      <c r="G303" s="673"/>
      <c r="H303" s="673"/>
      <c r="I303" s="673"/>
      <c r="J303" s="673"/>
      <c r="K303" s="673"/>
      <c r="L303" s="673"/>
      <c r="M303" s="828"/>
      <c r="N303" s="828"/>
      <c r="O303" s="673"/>
      <c r="P303" s="673"/>
      <c r="BE303" s="38" t="s">
        <v>17</v>
      </c>
      <c r="BF303" s="38" t="s">
        <v>42</v>
      </c>
      <c r="BG303" s="38" t="s">
        <v>44</v>
      </c>
      <c r="BH303" s="38" t="s">
        <v>94</v>
      </c>
      <c r="BI303" s="38" t="s">
        <v>46</v>
      </c>
      <c r="BJ303" s="38" t="s">
        <v>34</v>
      </c>
      <c r="BK303" s="38" t="s">
        <v>37</v>
      </c>
      <c r="BL303" s="38" t="s">
        <v>47</v>
      </c>
      <c r="BM303" s="38" t="s">
        <v>38</v>
      </c>
      <c r="BN303" s="38" t="s">
        <v>39</v>
      </c>
      <c r="BO303" s="329" t="s">
        <v>33</v>
      </c>
      <c r="BP303" s="38" t="s">
        <v>40</v>
      </c>
      <c r="BQ303" s="38" t="s">
        <v>41</v>
      </c>
    </row>
    <row r="304" spans="1:70" ht="27.75" customHeight="1" x14ac:dyDescent="0.4">
      <c r="A304" s="872">
        <v>296</v>
      </c>
      <c r="B304" s="868" t="s">
        <v>33</v>
      </c>
      <c r="C304" s="841">
        <f t="shared" si="123"/>
        <v>44938</v>
      </c>
      <c r="D304" s="842" t="str">
        <f>IF(C304="","",INDEX({"रविवार";"सोमवार";"मंगळवार";"बुधवार";"गुरूवार";"शुक्रवार";"शनिवार"},WEEKDAY(C304)))</f>
        <v>गुरूवार</v>
      </c>
      <c r="E304" s="673"/>
      <c r="F304" s="673"/>
      <c r="G304" s="673"/>
      <c r="H304" s="673"/>
      <c r="I304" s="673"/>
      <c r="J304" s="673"/>
      <c r="K304" s="673"/>
      <c r="L304" s="673"/>
      <c r="M304" s="828"/>
      <c r="N304" s="828"/>
      <c r="O304" s="673"/>
      <c r="P304" s="673"/>
      <c r="BE304" s="392">
        <v>1</v>
      </c>
      <c r="BF304" s="331">
        <f>N9</f>
        <v>0</v>
      </c>
      <c r="BG304" s="331">
        <f>N40</f>
        <v>0</v>
      </c>
      <c r="BH304" s="331">
        <f>N72</f>
        <v>0</v>
      </c>
      <c r="BI304" s="331">
        <f>N103</f>
        <v>0</v>
      </c>
      <c r="BJ304" s="331">
        <f>N135</f>
        <v>0</v>
      </c>
      <c r="BK304" s="331">
        <f>N167</f>
        <v>0</v>
      </c>
      <c r="BL304" s="331">
        <f>N198</f>
        <v>0</v>
      </c>
      <c r="BM304" s="331">
        <f>N230</f>
        <v>0</v>
      </c>
      <c r="BN304" s="331">
        <f>N261</f>
        <v>0</v>
      </c>
      <c r="BO304" s="331">
        <f>N293</f>
        <v>0</v>
      </c>
      <c r="BP304" s="331">
        <f>N325</f>
        <v>0</v>
      </c>
      <c r="BQ304" s="331">
        <f>N355</f>
        <v>0</v>
      </c>
    </row>
    <row r="305" spans="1:69" ht="27.75" customHeight="1" x14ac:dyDescent="0.4">
      <c r="A305" s="872">
        <v>297</v>
      </c>
      <c r="B305" s="868" t="s">
        <v>33</v>
      </c>
      <c r="C305" s="841">
        <f t="shared" si="123"/>
        <v>44939</v>
      </c>
      <c r="D305" s="842" t="str">
        <f>IF(C305="","",INDEX({"रविवार";"सोमवार";"मंगळवार";"बुधवार";"गुरूवार";"शुक्रवार";"शनिवार"},WEEKDAY(C305)))</f>
        <v>शुक्रवार</v>
      </c>
      <c r="E305" s="673"/>
      <c r="F305" s="673"/>
      <c r="G305" s="673"/>
      <c r="H305" s="673"/>
      <c r="I305" s="673"/>
      <c r="J305" s="673"/>
      <c r="K305" s="673"/>
      <c r="L305" s="673"/>
      <c r="M305" s="828"/>
      <c r="N305" s="828"/>
      <c r="O305" s="673"/>
      <c r="P305" s="673"/>
      <c r="BE305" s="392">
        <v>2</v>
      </c>
      <c r="BF305" s="331">
        <f t="shared" ref="BF305:BF333" si="124">N10</f>
        <v>0</v>
      </c>
      <c r="BG305" s="331">
        <f t="shared" ref="BG305:BG334" si="125">N41</f>
        <v>0</v>
      </c>
      <c r="BH305" s="331">
        <f t="shared" ref="BH305:BH333" si="126">N73</f>
        <v>0</v>
      </c>
      <c r="BI305" s="331">
        <f t="shared" ref="BI305:BI334" si="127">N104</f>
        <v>0</v>
      </c>
      <c r="BJ305" s="331">
        <f t="shared" ref="BJ305:BJ334" si="128">N136</f>
        <v>0</v>
      </c>
      <c r="BK305" s="331">
        <f t="shared" ref="BK305:BK333" si="129">N168</f>
        <v>0</v>
      </c>
      <c r="BL305" s="331">
        <f t="shared" ref="BL305:BL334" si="130">N199</f>
        <v>0</v>
      </c>
      <c r="BM305" s="331">
        <f t="shared" ref="BM305:BM333" si="131">N231</f>
        <v>0</v>
      </c>
      <c r="BN305" s="331">
        <f t="shared" ref="BN305:BN334" si="132">N262</f>
        <v>0</v>
      </c>
      <c r="BO305" s="331">
        <f t="shared" ref="BO305:BO334" si="133">N294</f>
        <v>0</v>
      </c>
      <c r="BP305" s="331">
        <f t="shared" ref="BP305:BP332" si="134">N326</f>
        <v>0</v>
      </c>
      <c r="BQ305" s="331">
        <f t="shared" ref="BQ305:BQ334" si="135">N356</f>
        <v>0</v>
      </c>
    </row>
    <row r="306" spans="1:69" ht="27.75" customHeight="1" x14ac:dyDescent="0.4">
      <c r="A306" s="872">
        <v>298</v>
      </c>
      <c r="B306" s="868" t="s">
        <v>33</v>
      </c>
      <c r="C306" s="841">
        <f t="shared" si="123"/>
        <v>44940</v>
      </c>
      <c r="D306" s="842" t="str">
        <f>IF(C306="","",INDEX({"रविवार";"सोमवार";"मंगळवार";"बुधवार";"गुरूवार";"शुक्रवार";"शनिवार"},WEEKDAY(C306)))</f>
        <v>शनिवार</v>
      </c>
      <c r="E306" s="673"/>
      <c r="F306" s="673"/>
      <c r="G306" s="673"/>
      <c r="H306" s="673"/>
      <c r="I306" s="673"/>
      <c r="J306" s="673"/>
      <c r="K306" s="673"/>
      <c r="L306" s="673"/>
      <c r="M306" s="828"/>
      <c r="N306" s="828"/>
      <c r="O306" s="673"/>
      <c r="P306" s="673"/>
      <c r="BE306" s="392">
        <v>3</v>
      </c>
      <c r="BF306" s="331">
        <f t="shared" si="124"/>
        <v>0</v>
      </c>
      <c r="BG306" s="331">
        <f t="shared" si="125"/>
        <v>0</v>
      </c>
      <c r="BH306" s="331">
        <f t="shared" si="126"/>
        <v>0</v>
      </c>
      <c r="BI306" s="331">
        <f t="shared" si="127"/>
        <v>0</v>
      </c>
      <c r="BJ306" s="331">
        <f t="shared" si="128"/>
        <v>0</v>
      </c>
      <c r="BK306" s="331">
        <f t="shared" si="129"/>
        <v>0</v>
      </c>
      <c r="BL306" s="331">
        <f t="shared" si="130"/>
        <v>0</v>
      </c>
      <c r="BM306" s="331">
        <f t="shared" si="131"/>
        <v>0</v>
      </c>
      <c r="BN306" s="331">
        <f t="shared" si="132"/>
        <v>0</v>
      </c>
      <c r="BO306" s="331">
        <f t="shared" si="133"/>
        <v>0</v>
      </c>
      <c r="BP306" s="331">
        <f t="shared" si="134"/>
        <v>0</v>
      </c>
      <c r="BQ306" s="331">
        <f t="shared" si="135"/>
        <v>0</v>
      </c>
    </row>
    <row r="307" spans="1:69" ht="27.75" customHeight="1" x14ac:dyDescent="0.4">
      <c r="A307" s="872">
        <v>299</v>
      </c>
      <c r="B307" s="868" t="s">
        <v>33</v>
      </c>
      <c r="C307" s="841">
        <f t="shared" si="123"/>
        <v>44941</v>
      </c>
      <c r="D307" s="842" t="str">
        <f>IF(C307="","",INDEX({"रविवार";"सोमवार";"मंगळवार";"बुधवार";"गुरूवार";"शुक्रवार";"शनिवार"},WEEKDAY(C307)))</f>
        <v>रविवार</v>
      </c>
      <c r="E307" s="673"/>
      <c r="F307" s="673"/>
      <c r="G307" s="673"/>
      <c r="H307" s="673"/>
      <c r="I307" s="673"/>
      <c r="J307" s="673"/>
      <c r="K307" s="673"/>
      <c r="L307" s="673"/>
      <c r="M307" s="828"/>
      <c r="N307" s="828"/>
      <c r="O307" s="673"/>
      <c r="P307" s="673"/>
      <c r="BE307" s="392">
        <v>4</v>
      </c>
      <c r="BF307" s="331">
        <f t="shared" si="124"/>
        <v>0</v>
      </c>
      <c r="BG307" s="331">
        <f t="shared" si="125"/>
        <v>0</v>
      </c>
      <c r="BH307" s="331">
        <f t="shared" si="126"/>
        <v>0</v>
      </c>
      <c r="BI307" s="331">
        <f t="shared" si="127"/>
        <v>0</v>
      </c>
      <c r="BJ307" s="331">
        <f t="shared" si="128"/>
        <v>0</v>
      </c>
      <c r="BK307" s="331">
        <f t="shared" si="129"/>
        <v>0</v>
      </c>
      <c r="BL307" s="331">
        <f t="shared" si="130"/>
        <v>0</v>
      </c>
      <c r="BM307" s="331">
        <f t="shared" si="131"/>
        <v>0</v>
      </c>
      <c r="BN307" s="331">
        <f t="shared" si="132"/>
        <v>0</v>
      </c>
      <c r="BO307" s="331">
        <f t="shared" si="133"/>
        <v>0</v>
      </c>
      <c r="BP307" s="331">
        <f t="shared" si="134"/>
        <v>0</v>
      </c>
      <c r="BQ307" s="331">
        <f t="shared" si="135"/>
        <v>0</v>
      </c>
    </row>
    <row r="308" spans="1:69" ht="27.75" customHeight="1" x14ac:dyDescent="0.4">
      <c r="A308" s="872">
        <v>300</v>
      </c>
      <c r="B308" s="868" t="s">
        <v>33</v>
      </c>
      <c r="C308" s="841">
        <f t="shared" si="123"/>
        <v>44942</v>
      </c>
      <c r="D308" s="842" t="str">
        <f>IF(C308="","",INDEX({"रविवार";"सोमवार";"मंगळवार";"बुधवार";"गुरूवार";"शुक्रवार";"शनिवार"},WEEKDAY(C308)))</f>
        <v>सोमवार</v>
      </c>
      <c r="E308" s="673"/>
      <c r="F308" s="673"/>
      <c r="G308" s="673"/>
      <c r="H308" s="673"/>
      <c r="I308" s="673"/>
      <c r="J308" s="673"/>
      <c r="K308" s="673"/>
      <c r="L308" s="673"/>
      <c r="M308" s="828"/>
      <c r="N308" s="828"/>
      <c r="O308" s="673"/>
      <c r="P308" s="673"/>
      <c r="BE308" s="392">
        <v>5</v>
      </c>
      <c r="BF308" s="331">
        <f t="shared" si="124"/>
        <v>0</v>
      </c>
      <c r="BG308" s="331">
        <f t="shared" si="125"/>
        <v>0</v>
      </c>
      <c r="BH308" s="331">
        <f t="shared" si="126"/>
        <v>0</v>
      </c>
      <c r="BI308" s="331">
        <f t="shared" si="127"/>
        <v>0</v>
      </c>
      <c r="BJ308" s="331">
        <f t="shared" si="128"/>
        <v>0</v>
      </c>
      <c r="BK308" s="331">
        <f t="shared" si="129"/>
        <v>0</v>
      </c>
      <c r="BL308" s="331">
        <f t="shared" si="130"/>
        <v>0</v>
      </c>
      <c r="BM308" s="331">
        <f t="shared" si="131"/>
        <v>0</v>
      </c>
      <c r="BN308" s="331">
        <f t="shared" si="132"/>
        <v>0</v>
      </c>
      <c r="BO308" s="331">
        <f t="shared" si="133"/>
        <v>0</v>
      </c>
      <c r="BP308" s="331">
        <f t="shared" si="134"/>
        <v>0</v>
      </c>
      <c r="BQ308" s="331">
        <f t="shared" si="135"/>
        <v>0</v>
      </c>
    </row>
    <row r="309" spans="1:69" ht="27.75" customHeight="1" x14ac:dyDescent="0.4">
      <c r="A309" s="872">
        <v>301</v>
      </c>
      <c r="B309" s="868" t="s">
        <v>33</v>
      </c>
      <c r="C309" s="841">
        <f t="shared" si="123"/>
        <v>44943</v>
      </c>
      <c r="D309" s="842" t="str">
        <f>IF(C309="","",INDEX({"रविवार";"सोमवार";"मंगळवार";"बुधवार";"गुरूवार";"शुक्रवार";"शनिवार"},WEEKDAY(C309)))</f>
        <v>मंगळवार</v>
      </c>
      <c r="E309" s="673"/>
      <c r="F309" s="673"/>
      <c r="G309" s="673"/>
      <c r="H309" s="673"/>
      <c r="I309" s="673"/>
      <c r="J309" s="673"/>
      <c r="K309" s="673"/>
      <c r="L309" s="673"/>
      <c r="M309" s="828"/>
      <c r="N309" s="828"/>
      <c r="O309" s="673"/>
      <c r="P309" s="673"/>
      <c r="BE309" s="392">
        <v>6</v>
      </c>
      <c r="BF309" s="331">
        <f t="shared" si="124"/>
        <v>0</v>
      </c>
      <c r="BG309" s="331">
        <f t="shared" si="125"/>
        <v>0</v>
      </c>
      <c r="BH309" s="331">
        <f t="shared" si="126"/>
        <v>0</v>
      </c>
      <c r="BI309" s="331">
        <f t="shared" si="127"/>
        <v>0</v>
      </c>
      <c r="BJ309" s="331">
        <f t="shared" si="128"/>
        <v>0</v>
      </c>
      <c r="BK309" s="331">
        <f t="shared" si="129"/>
        <v>0</v>
      </c>
      <c r="BL309" s="331">
        <f t="shared" si="130"/>
        <v>0</v>
      </c>
      <c r="BM309" s="331">
        <f t="shared" si="131"/>
        <v>0</v>
      </c>
      <c r="BN309" s="331">
        <f t="shared" si="132"/>
        <v>0</v>
      </c>
      <c r="BO309" s="331">
        <f t="shared" si="133"/>
        <v>0</v>
      </c>
      <c r="BP309" s="331">
        <f t="shared" si="134"/>
        <v>0</v>
      </c>
      <c r="BQ309" s="331">
        <f t="shared" si="135"/>
        <v>0</v>
      </c>
    </row>
    <row r="310" spans="1:69" ht="27.75" customHeight="1" x14ac:dyDescent="0.4">
      <c r="A310" s="872">
        <v>302</v>
      </c>
      <c r="B310" s="868" t="s">
        <v>33</v>
      </c>
      <c r="C310" s="841">
        <f t="shared" si="123"/>
        <v>44944</v>
      </c>
      <c r="D310" s="842" t="str">
        <f>IF(C310="","",INDEX({"रविवार";"सोमवार";"मंगळवार";"बुधवार";"गुरूवार";"शुक्रवार";"शनिवार"},WEEKDAY(C310)))</f>
        <v>बुधवार</v>
      </c>
      <c r="E310" s="673"/>
      <c r="F310" s="673"/>
      <c r="G310" s="673"/>
      <c r="H310" s="673"/>
      <c r="I310" s="673"/>
      <c r="J310" s="673"/>
      <c r="K310" s="673"/>
      <c r="L310" s="673"/>
      <c r="M310" s="828"/>
      <c r="N310" s="828"/>
      <c r="O310" s="673"/>
      <c r="P310" s="673"/>
      <c r="BE310" s="392">
        <v>7</v>
      </c>
      <c r="BF310" s="331">
        <f t="shared" si="124"/>
        <v>0</v>
      </c>
      <c r="BG310" s="331">
        <f t="shared" si="125"/>
        <v>0</v>
      </c>
      <c r="BH310" s="331">
        <f t="shared" si="126"/>
        <v>0</v>
      </c>
      <c r="BI310" s="331">
        <f t="shared" si="127"/>
        <v>0</v>
      </c>
      <c r="BJ310" s="331">
        <f t="shared" si="128"/>
        <v>0</v>
      </c>
      <c r="BK310" s="331">
        <f t="shared" si="129"/>
        <v>0</v>
      </c>
      <c r="BL310" s="331">
        <f t="shared" si="130"/>
        <v>0</v>
      </c>
      <c r="BM310" s="331">
        <f t="shared" si="131"/>
        <v>0</v>
      </c>
      <c r="BN310" s="331">
        <f t="shared" si="132"/>
        <v>0</v>
      </c>
      <c r="BO310" s="331">
        <f t="shared" si="133"/>
        <v>0</v>
      </c>
      <c r="BP310" s="331">
        <f t="shared" si="134"/>
        <v>0</v>
      </c>
      <c r="BQ310" s="331">
        <f t="shared" si="135"/>
        <v>0</v>
      </c>
    </row>
    <row r="311" spans="1:69" ht="27.75" customHeight="1" x14ac:dyDescent="0.4">
      <c r="A311" s="872">
        <v>303</v>
      </c>
      <c r="B311" s="868" t="s">
        <v>33</v>
      </c>
      <c r="C311" s="841">
        <f t="shared" si="123"/>
        <v>44945</v>
      </c>
      <c r="D311" s="842" t="str">
        <f>IF(C311="","",INDEX({"रविवार";"सोमवार";"मंगळवार";"बुधवार";"गुरूवार";"शुक्रवार";"शनिवार"},WEEKDAY(C311)))</f>
        <v>गुरूवार</v>
      </c>
      <c r="E311" s="673"/>
      <c r="F311" s="673"/>
      <c r="G311" s="673"/>
      <c r="H311" s="673"/>
      <c r="I311" s="673"/>
      <c r="J311" s="673"/>
      <c r="K311" s="673"/>
      <c r="L311" s="673"/>
      <c r="M311" s="828"/>
      <c r="N311" s="828"/>
      <c r="O311" s="673"/>
      <c r="P311" s="673"/>
      <c r="BE311" s="392">
        <v>8</v>
      </c>
      <c r="BF311" s="331">
        <f t="shared" si="124"/>
        <v>0</v>
      </c>
      <c r="BG311" s="331">
        <f t="shared" si="125"/>
        <v>0</v>
      </c>
      <c r="BH311" s="331">
        <f t="shared" si="126"/>
        <v>0</v>
      </c>
      <c r="BI311" s="331">
        <f t="shared" si="127"/>
        <v>0</v>
      </c>
      <c r="BJ311" s="331">
        <f t="shared" si="128"/>
        <v>0</v>
      </c>
      <c r="BK311" s="331">
        <f t="shared" si="129"/>
        <v>0</v>
      </c>
      <c r="BL311" s="331">
        <f t="shared" si="130"/>
        <v>0</v>
      </c>
      <c r="BM311" s="331">
        <f t="shared" si="131"/>
        <v>0</v>
      </c>
      <c r="BN311" s="331">
        <f t="shared" si="132"/>
        <v>0</v>
      </c>
      <c r="BO311" s="331">
        <f t="shared" si="133"/>
        <v>0</v>
      </c>
      <c r="BP311" s="331">
        <f t="shared" si="134"/>
        <v>0</v>
      </c>
      <c r="BQ311" s="331">
        <f t="shared" si="135"/>
        <v>0</v>
      </c>
    </row>
    <row r="312" spans="1:69" ht="27.75" customHeight="1" x14ac:dyDescent="0.4">
      <c r="A312" s="872">
        <v>304</v>
      </c>
      <c r="B312" s="868" t="s">
        <v>33</v>
      </c>
      <c r="C312" s="841">
        <f t="shared" si="123"/>
        <v>44946</v>
      </c>
      <c r="D312" s="842" t="str">
        <f>IF(C312="","",INDEX({"रविवार";"सोमवार";"मंगळवार";"बुधवार";"गुरूवार";"शुक्रवार";"शनिवार"},WEEKDAY(C312)))</f>
        <v>शुक्रवार</v>
      </c>
      <c r="E312" s="673"/>
      <c r="F312" s="673"/>
      <c r="G312" s="673"/>
      <c r="H312" s="673"/>
      <c r="I312" s="673"/>
      <c r="J312" s="673"/>
      <c r="K312" s="673"/>
      <c r="L312" s="673"/>
      <c r="M312" s="828"/>
      <c r="N312" s="828"/>
      <c r="O312" s="673"/>
      <c r="P312" s="673"/>
      <c r="BE312" s="392">
        <v>9</v>
      </c>
      <c r="BF312" s="331">
        <f t="shared" si="124"/>
        <v>0</v>
      </c>
      <c r="BG312" s="331">
        <f t="shared" si="125"/>
        <v>0</v>
      </c>
      <c r="BH312" s="331">
        <f t="shared" si="126"/>
        <v>0</v>
      </c>
      <c r="BI312" s="331">
        <f t="shared" si="127"/>
        <v>0</v>
      </c>
      <c r="BJ312" s="331">
        <f t="shared" si="128"/>
        <v>0</v>
      </c>
      <c r="BK312" s="331">
        <f t="shared" si="129"/>
        <v>0</v>
      </c>
      <c r="BL312" s="331">
        <f t="shared" si="130"/>
        <v>0</v>
      </c>
      <c r="BM312" s="331">
        <f t="shared" si="131"/>
        <v>0</v>
      </c>
      <c r="BN312" s="331">
        <f t="shared" si="132"/>
        <v>0</v>
      </c>
      <c r="BO312" s="331">
        <f t="shared" si="133"/>
        <v>0</v>
      </c>
      <c r="BP312" s="331">
        <f t="shared" si="134"/>
        <v>0</v>
      </c>
      <c r="BQ312" s="331">
        <f t="shared" si="135"/>
        <v>0</v>
      </c>
    </row>
    <row r="313" spans="1:69" ht="27.75" customHeight="1" x14ac:dyDescent="0.4">
      <c r="A313" s="872">
        <v>305</v>
      </c>
      <c r="B313" s="868" t="s">
        <v>33</v>
      </c>
      <c r="C313" s="841">
        <f t="shared" si="123"/>
        <v>44947</v>
      </c>
      <c r="D313" s="842" t="str">
        <f>IF(C313="","",INDEX({"रविवार";"सोमवार";"मंगळवार";"बुधवार";"गुरूवार";"शुक्रवार";"शनिवार"},WEEKDAY(C313)))</f>
        <v>शनिवार</v>
      </c>
      <c r="E313" s="673"/>
      <c r="F313" s="673"/>
      <c r="G313" s="673"/>
      <c r="H313" s="673"/>
      <c r="I313" s="673"/>
      <c r="J313" s="673"/>
      <c r="K313" s="673"/>
      <c r="L313" s="673"/>
      <c r="M313" s="828"/>
      <c r="N313" s="828"/>
      <c r="O313" s="673"/>
      <c r="P313" s="673"/>
      <c r="BE313" s="392">
        <v>10</v>
      </c>
      <c r="BF313" s="331">
        <f t="shared" si="124"/>
        <v>0</v>
      </c>
      <c r="BG313" s="331">
        <f t="shared" si="125"/>
        <v>0</v>
      </c>
      <c r="BH313" s="331">
        <f t="shared" si="126"/>
        <v>0</v>
      </c>
      <c r="BI313" s="331">
        <f t="shared" si="127"/>
        <v>0</v>
      </c>
      <c r="BJ313" s="331">
        <f t="shared" si="128"/>
        <v>0</v>
      </c>
      <c r="BK313" s="331">
        <f t="shared" si="129"/>
        <v>0</v>
      </c>
      <c r="BL313" s="331">
        <f t="shared" si="130"/>
        <v>0</v>
      </c>
      <c r="BM313" s="331">
        <f t="shared" si="131"/>
        <v>0</v>
      </c>
      <c r="BN313" s="331">
        <f t="shared" si="132"/>
        <v>0</v>
      </c>
      <c r="BO313" s="331">
        <f t="shared" si="133"/>
        <v>0</v>
      </c>
      <c r="BP313" s="331">
        <f t="shared" si="134"/>
        <v>0</v>
      </c>
      <c r="BQ313" s="331">
        <f t="shared" si="135"/>
        <v>0</v>
      </c>
    </row>
    <row r="314" spans="1:69" ht="27.75" customHeight="1" x14ac:dyDescent="0.4">
      <c r="A314" s="872">
        <v>306</v>
      </c>
      <c r="B314" s="868" t="s">
        <v>33</v>
      </c>
      <c r="C314" s="841">
        <f t="shared" si="123"/>
        <v>44948</v>
      </c>
      <c r="D314" s="842" t="str">
        <f>IF(C314="","",INDEX({"रविवार";"सोमवार";"मंगळवार";"बुधवार";"गुरूवार";"शुक्रवार";"शनिवार"},WEEKDAY(C314)))</f>
        <v>रविवार</v>
      </c>
      <c r="E314" s="673"/>
      <c r="F314" s="673"/>
      <c r="G314" s="673"/>
      <c r="H314" s="673"/>
      <c r="I314" s="673"/>
      <c r="J314" s="673"/>
      <c r="K314" s="673"/>
      <c r="L314" s="673"/>
      <c r="M314" s="828"/>
      <c r="N314" s="828"/>
      <c r="O314" s="673"/>
      <c r="P314" s="673"/>
      <c r="BE314" s="392">
        <v>11</v>
      </c>
      <c r="BF314" s="331">
        <f t="shared" si="124"/>
        <v>0</v>
      </c>
      <c r="BG314" s="331">
        <f t="shared" si="125"/>
        <v>0</v>
      </c>
      <c r="BH314" s="331">
        <f t="shared" si="126"/>
        <v>0</v>
      </c>
      <c r="BI314" s="331">
        <f t="shared" si="127"/>
        <v>0</v>
      </c>
      <c r="BJ314" s="331">
        <f t="shared" si="128"/>
        <v>0</v>
      </c>
      <c r="BK314" s="331">
        <f t="shared" si="129"/>
        <v>0</v>
      </c>
      <c r="BL314" s="331">
        <f t="shared" si="130"/>
        <v>0</v>
      </c>
      <c r="BM314" s="331">
        <f t="shared" si="131"/>
        <v>0</v>
      </c>
      <c r="BN314" s="331">
        <f t="shared" si="132"/>
        <v>0</v>
      </c>
      <c r="BO314" s="331">
        <f t="shared" si="133"/>
        <v>0</v>
      </c>
      <c r="BP314" s="331">
        <f t="shared" si="134"/>
        <v>0</v>
      </c>
      <c r="BQ314" s="331">
        <f t="shared" si="135"/>
        <v>0</v>
      </c>
    </row>
    <row r="315" spans="1:69" ht="27.75" customHeight="1" x14ac:dyDescent="0.4">
      <c r="A315" s="872">
        <v>307</v>
      </c>
      <c r="B315" s="868" t="s">
        <v>33</v>
      </c>
      <c r="C315" s="841">
        <f t="shared" si="123"/>
        <v>44949</v>
      </c>
      <c r="D315" s="842" t="str">
        <f>IF(C315="","",INDEX({"रविवार";"सोमवार";"मंगळवार";"बुधवार";"गुरूवार";"शुक्रवार";"शनिवार"},WEEKDAY(C315)))</f>
        <v>सोमवार</v>
      </c>
      <c r="E315" s="673"/>
      <c r="F315" s="673"/>
      <c r="G315" s="673"/>
      <c r="H315" s="673"/>
      <c r="I315" s="673"/>
      <c r="J315" s="673"/>
      <c r="K315" s="673"/>
      <c r="L315" s="673"/>
      <c r="M315" s="828"/>
      <c r="N315" s="828"/>
      <c r="O315" s="673"/>
      <c r="P315" s="673"/>
      <c r="BE315" s="392">
        <v>12</v>
      </c>
      <c r="BF315" s="331">
        <f t="shared" si="124"/>
        <v>0</v>
      </c>
      <c r="BG315" s="331">
        <f t="shared" si="125"/>
        <v>0</v>
      </c>
      <c r="BH315" s="331">
        <f t="shared" si="126"/>
        <v>0</v>
      </c>
      <c r="BI315" s="331">
        <f t="shared" si="127"/>
        <v>0</v>
      </c>
      <c r="BJ315" s="331">
        <f t="shared" si="128"/>
        <v>0</v>
      </c>
      <c r="BK315" s="331">
        <f t="shared" si="129"/>
        <v>0</v>
      </c>
      <c r="BL315" s="331">
        <f t="shared" si="130"/>
        <v>0</v>
      </c>
      <c r="BM315" s="331">
        <f t="shared" si="131"/>
        <v>0</v>
      </c>
      <c r="BN315" s="331">
        <f t="shared" si="132"/>
        <v>0</v>
      </c>
      <c r="BO315" s="331">
        <f t="shared" si="133"/>
        <v>0</v>
      </c>
      <c r="BP315" s="331">
        <f t="shared" si="134"/>
        <v>0</v>
      </c>
      <c r="BQ315" s="331">
        <f t="shared" si="135"/>
        <v>0</v>
      </c>
    </row>
    <row r="316" spans="1:69" ht="27.75" customHeight="1" x14ac:dyDescent="0.4">
      <c r="A316" s="872">
        <v>308</v>
      </c>
      <c r="B316" s="868" t="s">
        <v>33</v>
      </c>
      <c r="C316" s="841">
        <f t="shared" si="123"/>
        <v>44950</v>
      </c>
      <c r="D316" s="842" t="str">
        <f>IF(C316="","",INDEX({"रविवार";"सोमवार";"मंगळवार";"बुधवार";"गुरूवार";"शुक्रवार";"शनिवार"},WEEKDAY(C316)))</f>
        <v>मंगळवार</v>
      </c>
      <c r="E316" s="673"/>
      <c r="F316" s="673"/>
      <c r="G316" s="673"/>
      <c r="H316" s="673"/>
      <c r="I316" s="673"/>
      <c r="J316" s="673"/>
      <c r="K316" s="673"/>
      <c r="L316" s="673"/>
      <c r="M316" s="828"/>
      <c r="N316" s="828"/>
      <c r="O316" s="673"/>
      <c r="P316" s="673"/>
      <c r="BE316" s="392">
        <v>13</v>
      </c>
      <c r="BF316" s="331">
        <f t="shared" si="124"/>
        <v>0</v>
      </c>
      <c r="BG316" s="331">
        <f t="shared" si="125"/>
        <v>0</v>
      </c>
      <c r="BH316" s="331">
        <f t="shared" si="126"/>
        <v>0</v>
      </c>
      <c r="BI316" s="331">
        <f t="shared" si="127"/>
        <v>0</v>
      </c>
      <c r="BJ316" s="331">
        <f t="shared" si="128"/>
        <v>0</v>
      </c>
      <c r="BK316" s="331">
        <f t="shared" si="129"/>
        <v>0</v>
      </c>
      <c r="BL316" s="331">
        <f t="shared" si="130"/>
        <v>0</v>
      </c>
      <c r="BM316" s="331">
        <f t="shared" si="131"/>
        <v>0</v>
      </c>
      <c r="BN316" s="331">
        <f t="shared" si="132"/>
        <v>0</v>
      </c>
      <c r="BO316" s="331">
        <f t="shared" si="133"/>
        <v>0</v>
      </c>
      <c r="BP316" s="331">
        <f t="shared" si="134"/>
        <v>0</v>
      </c>
      <c r="BQ316" s="331">
        <f t="shared" si="135"/>
        <v>0</v>
      </c>
    </row>
    <row r="317" spans="1:69" ht="27.75" customHeight="1" x14ac:dyDescent="0.4">
      <c r="A317" s="872">
        <v>309</v>
      </c>
      <c r="B317" s="868" t="s">
        <v>33</v>
      </c>
      <c r="C317" s="841">
        <f t="shared" si="123"/>
        <v>44951</v>
      </c>
      <c r="D317" s="842" t="str">
        <f>IF(C317="","",INDEX({"रविवार";"सोमवार";"मंगळवार";"बुधवार";"गुरूवार";"शुक्रवार";"शनिवार"},WEEKDAY(C317)))</f>
        <v>बुधवार</v>
      </c>
      <c r="E317" s="673"/>
      <c r="F317" s="673"/>
      <c r="G317" s="673"/>
      <c r="H317" s="673"/>
      <c r="I317" s="673"/>
      <c r="J317" s="673"/>
      <c r="K317" s="673"/>
      <c r="L317" s="673"/>
      <c r="M317" s="828"/>
      <c r="N317" s="828"/>
      <c r="O317" s="673"/>
      <c r="P317" s="673"/>
      <c r="BE317" s="392">
        <v>14</v>
      </c>
      <c r="BF317" s="331">
        <f t="shared" si="124"/>
        <v>0</v>
      </c>
      <c r="BG317" s="331">
        <f t="shared" si="125"/>
        <v>0</v>
      </c>
      <c r="BH317" s="331">
        <f t="shared" si="126"/>
        <v>0</v>
      </c>
      <c r="BI317" s="331">
        <f t="shared" si="127"/>
        <v>0</v>
      </c>
      <c r="BJ317" s="331">
        <f t="shared" si="128"/>
        <v>0</v>
      </c>
      <c r="BK317" s="331">
        <f t="shared" si="129"/>
        <v>0</v>
      </c>
      <c r="BL317" s="331">
        <f t="shared" si="130"/>
        <v>0</v>
      </c>
      <c r="BM317" s="331">
        <f t="shared" si="131"/>
        <v>0</v>
      </c>
      <c r="BN317" s="331">
        <f t="shared" si="132"/>
        <v>0</v>
      </c>
      <c r="BO317" s="331">
        <f t="shared" si="133"/>
        <v>0</v>
      </c>
      <c r="BP317" s="331">
        <f t="shared" si="134"/>
        <v>0</v>
      </c>
      <c r="BQ317" s="331">
        <f t="shared" si="135"/>
        <v>0</v>
      </c>
    </row>
    <row r="318" spans="1:69" ht="27.75" customHeight="1" x14ac:dyDescent="0.4">
      <c r="A318" s="872">
        <v>310</v>
      </c>
      <c r="B318" s="868" t="s">
        <v>33</v>
      </c>
      <c r="C318" s="841">
        <f t="shared" si="123"/>
        <v>44952</v>
      </c>
      <c r="D318" s="842" t="str">
        <f>IF(C318="","",INDEX({"रविवार";"सोमवार";"मंगळवार";"बुधवार";"गुरूवार";"शुक्रवार";"शनिवार"},WEEKDAY(C318)))</f>
        <v>गुरूवार</v>
      </c>
      <c r="E318" s="673"/>
      <c r="F318" s="673"/>
      <c r="G318" s="673"/>
      <c r="H318" s="673"/>
      <c r="I318" s="673"/>
      <c r="J318" s="673"/>
      <c r="K318" s="673"/>
      <c r="L318" s="673"/>
      <c r="M318" s="828"/>
      <c r="N318" s="828"/>
      <c r="O318" s="673"/>
      <c r="P318" s="673"/>
      <c r="BE318" s="392">
        <v>15</v>
      </c>
      <c r="BF318" s="331">
        <f t="shared" si="124"/>
        <v>0</v>
      </c>
      <c r="BG318" s="331">
        <f t="shared" si="125"/>
        <v>0</v>
      </c>
      <c r="BH318" s="331">
        <f t="shared" si="126"/>
        <v>0</v>
      </c>
      <c r="BI318" s="331">
        <f t="shared" si="127"/>
        <v>0</v>
      </c>
      <c r="BJ318" s="331">
        <f t="shared" si="128"/>
        <v>0</v>
      </c>
      <c r="BK318" s="331">
        <f t="shared" si="129"/>
        <v>0</v>
      </c>
      <c r="BL318" s="331">
        <f t="shared" si="130"/>
        <v>0</v>
      </c>
      <c r="BM318" s="331">
        <f t="shared" si="131"/>
        <v>0</v>
      </c>
      <c r="BN318" s="331">
        <f t="shared" si="132"/>
        <v>0</v>
      </c>
      <c r="BO318" s="331">
        <f t="shared" si="133"/>
        <v>0</v>
      </c>
      <c r="BP318" s="331">
        <f t="shared" si="134"/>
        <v>0</v>
      </c>
      <c r="BQ318" s="331">
        <f t="shared" si="135"/>
        <v>0</v>
      </c>
    </row>
    <row r="319" spans="1:69" ht="27.75" customHeight="1" x14ac:dyDescent="0.4">
      <c r="A319" s="872">
        <v>311</v>
      </c>
      <c r="B319" s="868" t="s">
        <v>33</v>
      </c>
      <c r="C319" s="841">
        <f t="shared" si="123"/>
        <v>44953</v>
      </c>
      <c r="D319" s="842" t="str">
        <f>IF(C319="","",INDEX({"रविवार";"सोमवार";"मंगळवार";"बुधवार";"गुरूवार";"शुक्रवार";"शनिवार"},WEEKDAY(C319)))</f>
        <v>शुक्रवार</v>
      </c>
      <c r="E319" s="673"/>
      <c r="F319" s="673"/>
      <c r="G319" s="673"/>
      <c r="H319" s="673"/>
      <c r="I319" s="673"/>
      <c r="J319" s="673"/>
      <c r="K319" s="673"/>
      <c r="L319" s="673"/>
      <c r="M319" s="828"/>
      <c r="N319" s="828"/>
      <c r="O319" s="673"/>
      <c r="P319" s="673"/>
      <c r="BE319" s="392">
        <v>16</v>
      </c>
      <c r="BF319" s="331">
        <f t="shared" si="124"/>
        <v>0</v>
      </c>
      <c r="BG319" s="331">
        <f t="shared" si="125"/>
        <v>0</v>
      </c>
      <c r="BH319" s="331">
        <f t="shared" si="126"/>
        <v>0</v>
      </c>
      <c r="BI319" s="331">
        <f t="shared" si="127"/>
        <v>0</v>
      </c>
      <c r="BJ319" s="331">
        <f t="shared" si="128"/>
        <v>0</v>
      </c>
      <c r="BK319" s="331">
        <f t="shared" si="129"/>
        <v>0</v>
      </c>
      <c r="BL319" s="331">
        <f t="shared" si="130"/>
        <v>0</v>
      </c>
      <c r="BM319" s="331">
        <f t="shared" si="131"/>
        <v>0</v>
      </c>
      <c r="BN319" s="331">
        <f t="shared" si="132"/>
        <v>0</v>
      </c>
      <c r="BO319" s="331">
        <f t="shared" si="133"/>
        <v>0</v>
      </c>
      <c r="BP319" s="331">
        <f t="shared" si="134"/>
        <v>0</v>
      </c>
      <c r="BQ319" s="331">
        <f t="shared" si="135"/>
        <v>0</v>
      </c>
    </row>
    <row r="320" spans="1:69" ht="27.75" customHeight="1" x14ac:dyDescent="0.4">
      <c r="A320" s="872">
        <v>312</v>
      </c>
      <c r="B320" s="868" t="s">
        <v>33</v>
      </c>
      <c r="C320" s="841">
        <f t="shared" si="123"/>
        <v>44954</v>
      </c>
      <c r="D320" s="842" t="str">
        <f>IF(C320="","",INDEX({"रविवार";"सोमवार";"मंगळवार";"बुधवार";"गुरूवार";"शुक्रवार";"शनिवार"},WEEKDAY(C320)))</f>
        <v>शनिवार</v>
      </c>
      <c r="E320" s="673"/>
      <c r="F320" s="673"/>
      <c r="G320" s="673"/>
      <c r="H320" s="673"/>
      <c r="I320" s="673"/>
      <c r="J320" s="673"/>
      <c r="K320" s="673"/>
      <c r="L320" s="673"/>
      <c r="M320" s="828"/>
      <c r="N320" s="828"/>
      <c r="O320" s="673"/>
      <c r="P320" s="673"/>
      <c r="BE320" s="392">
        <v>17</v>
      </c>
      <c r="BF320" s="331">
        <f t="shared" si="124"/>
        <v>0</v>
      </c>
      <c r="BG320" s="331">
        <f t="shared" si="125"/>
        <v>0</v>
      </c>
      <c r="BH320" s="331">
        <f t="shared" si="126"/>
        <v>0</v>
      </c>
      <c r="BI320" s="331">
        <f t="shared" si="127"/>
        <v>0</v>
      </c>
      <c r="BJ320" s="331">
        <f t="shared" si="128"/>
        <v>0</v>
      </c>
      <c r="BK320" s="331">
        <f t="shared" si="129"/>
        <v>0</v>
      </c>
      <c r="BL320" s="331">
        <f t="shared" si="130"/>
        <v>0</v>
      </c>
      <c r="BM320" s="331">
        <f t="shared" si="131"/>
        <v>0</v>
      </c>
      <c r="BN320" s="331">
        <f t="shared" si="132"/>
        <v>0</v>
      </c>
      <c r="BO320" s="331">
        <f t="shared" si="133"/>
        <v>0</v>
      </c>
      <c r="BP320" s="331">
        <f t="shared" si="134"/>
        <v>0</v>
      </c>
      <c r="BQ320" s="331">
        <f t="shared" si="135"/>
        <v>0</v>
      </c>
    </row>
    <row r="321" spans="1:69" ht="27.75" customHeight="1" x14ac:dyDescent="0.4">
      <c r="A321" s="872">
        <v>313</v>
      </c>
      <c r="B321" s="868" t="s">
        <v>33</v>
      </c>
      <c r="C321" s="841">
        <f t="shared" si="123"/>
        <v>44955</v>
      </c>
      <c r="D321" s="842" t="str">
        <f>IF(C321="","",INDEX({"रविवार";"सोमवार";"मंगळवार";"बुधवार";"गुरूवार";"शुक्रवार";"शनिवार"},WEEKDAY(C321)))</f>
        <v>रविवार</v>
      </c>
      <c r="E321" s="673"/>
      <c r="F321" s="673"/>
      <c r="G321" s="673"/>
      <c r="H321" s="673"/>
      <c r="I321" s="673"/>
      <c r="J321" s="673"/>
      <c r="K321" s="673"/>
      <c r="L321" s="673"/>
      <c r="M321" s="828"/>
      <c r="N321" s="828"/>
      <c r="O321" s="673"/>
      <c r="P321" s="673"/>
      <c r="BE321" s="392">
        <v>18</v>
      </c>
      <c r="BF321" s="331">
        <f t="shared" si="124"/>
        <v>0</v>
      </c>
      <c r="BG321" s="331">
        <f t="shared" si="125"/>
        <v>0</v>
      </c>
      <c r="BH321" s="331">
        <f t="shared" si="126"/>
        <v>0</v>
      </c>
      <c r="BI321" s="331">
        <f t="shared" si="127"/>
        <v>0</v>
      </c>
      <c r="BJ321" s="331">
        <f t="shared" si="128"/>
        <v>0</v>
      </c>
      <c r="BK321" s="331">
        <f t="shared" si="129"/>
        <v>0</v>
      </c>
      <c r="BL321" s="331">
        <f t="shared" si="130"/>
        <v>0</v>
      </c>
      <c r="BM321" s="331">
        <f t="shared" si="131"/>
        <v>0</v>
      </c>
      <c r="BN321" s="331">
        <f t="shared" si="132"/>
        <v>0</v>
      </c>
      <c r="BO321" s="331">
        <f t="shared" si="133"/>
        <v>0</v>
      </c>
      <c r="BP321" s="331">
        <f t="shared" si="134"/>
        <v>0</v>
      </c>
      <c r="BQ321" s="331">
        <f t="shared" si="135"/>
        <v>0</v>
      </c>
    </row>
    <row r="322" spans="1:69" ht="27.75" customHeight="1" x14ac:dyDescent="0.4">
      <c r="A322" s="872">
        <v>314</v>
      </c>
      <c r="B322" s="868" t="s">
        <v>33</v>
      </c>
      <c r="C322" s="841">
        <f t="shared" si="123"/>
        <v>44956</v>
      </c>
      <c r="D322" s="842" t="str">
        <f>IF(C322="","",INDEX({"रविवार";"सोमवार";"मंगळवार";"बुधवार";"गुरूवार";"शुक्रवार";"शनिवार"},WEEKDAY(C322)))</f>
        <v>सोमवार</v>
      </c>
      <c r="E322" s="673"/>
      <c r="F322" s="673"/>
      <c r="G322" s="673"/>
      <c r="H322" s="673"/>
      <c r="I322" s="673"/>
      <c r="J322" s="673"/>
      <c r="K322" s="673"/>
      <c r="L322" s="673"/>
      <c r="M322" s="828"/>
      <c r="N322" s="828"/>
      <c r="O322" s="673"/>
      <c r="P322" s="673"/>
      <c r="BE322" s="392">
        <v>19</v>
      </c>
      <c r="BF322" s="331">
        <f t="shared" si="124"/>
        <v>0</v>
      </c>
      <c r="BG322" s="331">
        <f t="shared" si="125"/>
        <v>0</v>
      </c>
      <c r="BH322" s="331">
        <f t="shared" si="126"/>
        <v>0</v>
      </c>
      <c r="BI322" s="331">
        <f t="shared" si="127"/>
        <v>0</v>
      </c>
      <c r="BJ322" s="331">
        <f t="shared" si="128"/>
        <v>0</v>
      </c>
      <c r="BK322" s="331">
        <f t="shared" si="129"/>
        <v>0</v>
      </c>
      <c r="BL322" s="331">
        <f t="shared" si="130"/>
        <v>0</v>
      </c>
      <c r="BM322" s="331">
        <f t="shared" si="131"/>
        <v>0</v>
      </c>
      <c r="BN322" s="331">
        <f t="shared" si="132"/>
        <v>0</v>
      </c>
      <c r="BO322" s="331">
        <f t="shared" si="133"/>
        <v>0</v>
      </c>
      <c r="BP322" s="331">
        <f t="shared" si="134"/>
        <v>0</v>
      </c>
      <c r="BQ322" s="331">
        <f t="shared" si="135"/>
        <v>0</v>
      </c>
    </row>
    <row r="323" spans="1:69" ht="27.75" customHeight="1" x14ac:dyDescent="0.4">
      <c r="A323" s="872">
        <v>315</v>
      </c>
      <c r="B323" s="868" t="s">
        <v>33</v>
      </c>
      <c r="C323" s="841">
        <f t="shared" si="123"/>
        <v>44957</v>
      </c>
      <c r="D323" s="842" t="str">
        <f>IF(C323="","",INDEX({"रविवार";"सोमवार";"मंगळवार";"बुधवार";"गुरूवार";"शुक्रवार";"शनिवार"},WEEKDAY(C323)))</f>
        <v>मंगळवार</v>
      </c>
      <c r="E323" s="673"/>
      <c r="F323" s="673"/>
      <c r="G323" s="673"/>
      <c r="H323" s="673"/>
      <c r="I323" s="673"/>
      <c r="J323" s="673"/>
      <c r="K323" s="673"/>
      <c r="L323" s="673"/>
      <c r="M323" s="828"/>
      <c r="N323" s="828"/>
      <c r="O323" s="673"/>
      <c r="P323" s="673"/>
      <c r="BE323" s="392">
        <v>20</v>
      </c>
      <c r="BF323" s="331">
        <f t="shared" si="124"/>
        <v>0</v>
      </c>
      <c r="BG323" s="331">
        <f t="shared" si="125"/>
        <v>0</v>
      </c>
      <c r="BH323" s="331">
        <f t="shared" si="126"/>
        <v>0</v>
      </c>
      <c r="BI323" s="331">
        <f t="shared" si="127"/>
        <v>0</v>
      </c>
      <c r="BJ323" s="331">
        <f t="shared" si="128"/>
        <v>0</v>
      </c>
      <c r="BK323" s="331">
        <f t="shared" si="129"/>
        <v>0</v>
      </c>
      <c r="BL323" s="331">
        <f t="shared" si="130"/>
        <v>0</v>
      </c>
      <c r="BM323" s="331">
        <f t="shared" si="131"/>
        <v>0</v>
      </c>
      <c r="BN323" s="331">
        <f t="shared" si="132"/>
        <v>0</v>
      </c>
      <c r="BO323" s="331">
        <f t="shared" si="133"/>
        <v>0</v>
      </c>
      <c r="BP323" s="331">
        <f t="shared" si="134"/>
        <v>0</v>
      </c>
      <c r="BQ323" s="331">
        <f t="shared" si="135"/>
        <v>0</v>
      </c>
    </row>
    <row r="324" spans="1:69" ht="27.75" customHeight="1" x14ac:dyDescent="0.4">
      <c r="A324" s="872">
        <v>316</v>
      </c>
      <c r="B324" s="868" t="s">
        <v>33</v>
      </c>
      <c r="C324" s="841" t="s">
        <v>35</v>
      </c>
      <c r="D324" s="841"/>
      <c r="E324" s="829" t="str">
        <f>IF(SUM(E293:E323)&gt;0,SUM(E293:E323),"")</f>
        <v/>
      </c>
      <c r="F324" s="829" t="str">
        <f t="shared" ref="F324:N324" si="136">IF(SUM(F293:F323)&gt;0,SUM(F293:F323),"")</f>
        <v/>
      </c>
      <c r="G324" s="829" t="str">
        <f t="shared" si="136"/>
        <v/>
      </c>
      <c r="H324" s="829" t="str">
        <f t="shared" si="136"/>
        <v/>
      </c>
      <c r="I324" s="829" t="str">
        <f t="shared" si="136"/>
        <v/>
      </c>
      <c r="J324" s="829" t="str">
        <f t="shared" si="136"/>
        <v/>
      </c>
      <c r="K324" s="829" t="str">
        <f t="shared" si="136"/>
        <v/>
      </c>
      <c r="L324" s="829" t="str">
        <f t="shared" si="136"/>
        <v/>
      </c>
      <c r="M324" s="829" t="str">
        <f t="shared" si="136"/>
        <v/>
      </c>
      <c r="N324" s="829" t="str">
        <f t="shared" si="136"/>
        <v/>
      </c>
      <c r="O324" s="830"/>
      <c r="P324" s="830"/>
      <c r="BE324" s="392">
        <v>21</v>
      </c>
      <c r="BF324" s="331">
        <f t="shared" si="124"/>
        <v>0</v>
      </c>
      <c r="BG324" s="331">
        <f t="shared" si="125"/>
        <v>0</v>
      </c>
      <c r="BH324" s="331">
        <f t="shared" si="126"/>
        <v>0</v>
      </c>
      <c r="BI324" s="331">
        <f t="shared" si="127"/>
        <v>0</v>
      </c>
      <c r="BJ324" s="331">
        <f t="shared" si="128"/>
        <v>0</v>
      </c>
      <c r="BK324" s="331">
        <f t="shared" si="129"/>
        <v>0</v>
      </c>
      <c r="BL324" s="331">
        <f t="shared" si="130"/>
        <v>0</v>
      </c>
      <c r="BM324" s="331">
        <f t="shared" si="131"/>
        <v>0</v>
      </c>
      <c r="BN324" s="331">
        <f t="shared" si="132"/>
        <v>0</v>
      </c>
      <c r="BO324" s="331">
        <f t="shared" si="133"/>
        <v>0</v>
      </c>
      <c r="BP324" s="331">
        <f t="shared" si="134"/>
        <v>0</v>
      </c>
      <c r="BQ324" s="331">
        <f t="shared" si="135"/>
        <v>0</v>
      </c>
    </row>
    <row r="325" spans="1:69" ht="27.75" customHeight="1" x14ac:dyDescent="0.4">
      <c r="A325" s="872">
        <v>317</v>
      </c>
      <c r="B325" s="869" t="s">
        <v>40</v>
      </c>
      <c r="C325" s="841">
        <f>DATE(O6,"2","1")</f>
        <v>44958</v>
      </c>
      <c r="D325" s="842" t="str">
        <f>IF(C325="","",INDEX({"रविवार";"सोमवार";"मंगळवार";"बुधवार";"गुरूवार";"शुक्रवार";"शनिवार"},WEEKDAY(C325)))</f>
        <v>बुधवार</v>
      </c>
      <c r="E325" s="673"/>
      <c r="F325" s="673"/>
      <c r="G325" s="673"/>
      <c r="H325" s="673"/>
      <c r="I325" s="673"/>
      <c r="J325" s="673"/>
      <c r="K325" s="673"/>
      <c r="L325" s="673"/>
      <c r="M325" s="828"/>
      <c r="N325" s="828"/>
      <c r="O325" s="673"/>
      <c r="P325" s="673"/>
      <c r="BE325" s="392">
        <v>22</v>
      </c>
      <c r="BF325" s="331">
        <f t="shared" si="124"/>
        <v>0</v>
      </c>
      <c r="BG325" s="331">
        <f t="shared" si="125"/>
        <v>0</v>
      </c>
      <c r="BH325" s="331">
        <f t="shared" si="126"/>
        <v>0</v>
      </c>
      <c r="BI325" s="331">
        <f t="shared" si="127"/>
        <v>0</v>
      </c>
      <c r="BJ325" s="331">
        <f t="shared" si="128"/>
        <v>0</v>
      </c>
      <c r="BK325" s="331">
        <f t="shared" si="129"/>
        <v>0</v>
      </c>
      <c r="BL325" s="331">
        <f t="shared" si="130"/>
        <v>0</v>
      </c>
      <c r="BM325" s="331">
        <f t="shared" si="131"/>
        <v>0</v>
      </c>
      <c r="BN325" s="331">
        <f t="shared" si="132"/>
        <v>0</v>
      </c>
      <c r="BO325" s="331">
        <f t="shared" si="133"/>
        <v>0</v>
      </c>
      <c r="BP325" s="331">
        <f t="shared" si="134"/>
        <v>0</v>
      </c>
      <c r="BQ325" s="331">
        <f t="shared" si="135"/>
        <v>0</v>
      </c>
    </row>
    <row r="326" spans="1:69" ht="27.75" customHeight="1" x14ac:dyDescent="0.4">
      <c r="A326" s="872">
        <v>318</v>
      </c>
      <c r="B326" s="869" t="s">
        <v>40</v>
      </c>
      <c r="C326" s="841">
        <f>C325+1</f>
        <v>44959</v>
      </c>
      <c r="D326" s="842" t="str">
        <f>IF(C326="","",INDEX({"रविवार";"सोमवार";"मंगळवार";"बुधवार";"गुरूवार";"शुक्रवार";"शनिवार"},WEEKDAY(C326)))</f>
        <v>गुरूवार</v>
      </c>
      <c r="E326" s="673"/>
      <c r="F326" s="673"/>
      <c r="G326" s="673"/>
      <c r="H326" s="673"/>
      <c r="I326" s="673"/>
      <c r="J326" s="673"/>
      <c r="K326" s="673"/>
      <c r="L326" s="673"/>
      <c r="M326" s="828"/>
      <c r="N326" s="828"/>
      <c r="O326" s="673"/>
      <c r="P326" s="673"/>
      <c r="BE326" s="392">
        <v>23</v>
      </c>
      <c r="BF326" s="331">
        <f t="shared" si="124"/>
        <v>0</v>
      </c>
      <c r="BG326" s="331">
        <f t="shared" si="125"/>
        <v>0</v>
      </c>
      <c r="BH326" s="331">
        <f t="shared" si="126"/>
        <v>0</v>
      </c>
      <c r="BI326" s="331">
        <f t="shared" si="127"/>
        <v>0</v>
      </c>
      <c r="BJ326" s="331">
        <f t="shared" si="128"/>
        <v>0</v>
      </c>
      <c r="BK326" s="331">
        <f t="shared" si="129"/>
        <v>0</v>
      </c>
      <c r="BL326" s="331">
        <f t="shared" si="130"/>
        <v>0</v>
      </c>
      <c r="BM326" s="331">
        <f t="shared" si="131"/>
        <v>0</v>
      </c>
      <c r="BN326" s="331">
        <f t="shared" si="132"/>
        <v>0</v>
      </c>
      <c r="BO326" s="331">
        <f t="shared" si="133"/>
        <v>0</v>
      </c>
      <c r="BP326" s="331">
        <f t="shared" si="134"/>
        <v>0</v>
      </c>
      <c r="BQ326" s="331">
        <f t="shared" si="135"/>
        <v>0</v>
      </c>
    </row>
    <row r="327" spans="1:69" ht="27.75" customHeight="1" x14ac:dyDescent="0.4">
      <c r="A327" s="872">
        <v>319</v>
      </c>
      <c r="B327" s="869" t="s">
        <v>40</v>
      </c>
      <c r="C327" s="841">
        <f t="shared" ref="C327:C353" si="137">C326+1</f>
        <v>44960</v>
      </c>
      <c r="D327" s="842" t="str">
        <f>IF(C327="","",INDEX({"रविवार";"सोमवार";"मंगळवार";"बुधवार";"गुरूवार";"शुक्रवार";"शनिवार"},WEEKDAY(C327)))</f>
        <v>शुक्रवार</v>
      </c>
      <c r="E327" s="673"/>
      <c r="F327" s="673"/>
      <c r="G327" s="673"/>
      <c r="H327" s="673"/>
      <c r="I327" s="673"/>
      <c r="J327" s="673"/>
      <c r="K327" s="673"/>
      <c r="L327" s="673"/>
      <c r="M327" s="828"/>
      <c r="N327" s="828"/>
      <c r="O327" s="673"/>
      <c r="P327" s="673"/>
      <c r="BE327" s="392">
        <v>24</v>
      </c>
      <c r="BF327" s="331">
        <f t="shared" si="124"/>
        <v>0</v>
      </c>
      <c r="BG327" s="331">
        <f t="shared" si="125"/>
        <v>0</v>
      </c>
      <c r="BH327" s="331">
        <f t="shared" si="126"/>
        <v>0</v>
      </c>
      <c r="BI327" s="331">
        <f t="shared" si="127"/>
        <v>0</v>
      </c>
      <c r="BJ327" s="331">
        <f t="shared" si="128"/>
        <v>0</v>
      </c>
      <c r="BK327" s="331">
        <f t="shared" si="129"/>
        <v>0</v>
      </c>
      <c r="BL327" s="331">
        <f t="shared" si="130"/>
        <v>0</v>
      </c>
      <c r="BM327" s="331">
        <f t="shared" si="131"/>
        <v>0</v>
      </c>
      <c r="BN327" s="331">
        <f t="shared" si="132"/>
        <v>0</v>
      </c>
      <c r="BO327" s="331">
        <f t="shared" si="133"/>
        <v>0</v>
      </c>
      <c r="BP327" s="331">
        <f t="shared" si="134"/>
        <v>0</v>
      </c>
      <c r="BQ327" s="331">
        <f t="shared" si="135"/>
        <v>0</v>
      </c>
    </row>
    <row r="328" spans="1:69" ht="27.75" customHeight="1" x14ac:dyDescent="0.4">
      <c r="A328" s="872">
        <v>320</v>
      </c>
      <c r="B328" s="869" t="s">
        <v>40</v>
      </c>
      <c r="C328" s="841">
        <f t="shared" si="137"/>
        <v>44961</v>
      </c>
      <c r="D328" s="842" t="str">
        <f>IF(C328="","",INDEX({"रविवार";"सोमवार";"मंगळवार";"बुधवार";"गुरूवार";"शुक्रवार";"शनिवार"},WEEKDAY(C328)))</f>
        <v>शनिवार</v>
      </c>
      <c r="E328" s="673"/>
      <c r="F328" s="673"/>
      <c r="G328" s="673"/>
      <c r="H328" s="673"/>
      <c r="I328" s="673"/>
      <c r="J328" s="673"/>
      <c r="K328" s="673"/>
      <c r="L328" s="673"/>
      <c r="M328" s="828"/>
      <c r="N328" s="828"/>
      <c r="O328" s="673"/>
      <c r="P328" s="673"/>
      <c r="BE328" s="392">
        <v>25</v>
      </c>
      <c r="BF328" s="331">
        <f t="shared" si="124"/>
        <v>0</v>
      </c>
      <c r="BG328" s="331">
        <f t="shared" si="125"/>
        <v>0</v>
      </c>
      <c r="BH328" s="331">
        <f t="shared" si="126"/>
        <v>0</v>
      </c>
      <c r="BI328" s="331">
        <f t="shared" si="127"/>
        <v>0</v>
      </c>
      <c r="BJ328" s="331">
        <f t="shared" si="128"/>
        <v>0</v>
      </c>
      <c r="BK328" s="331">
        <f t="shared" si="129"/>
        <v>0</v>
      </c>
      <c r="BL328" s="331">
        <f t="shared" si="130"/>
        <v>0</v>
      </c>
      <c r="BM328" s="331">
        <f t="shared" si="131"/>
        <v>0</v>
      </c>
      <c r="BN328" s="331">
        <f t="shared" si="132"/>
        <v>0</v>
      </c>
      <c r="BO328" s="331">
        <f t="shared" si="133"/>
        <v>0</v>
      </c>
      <c r="BP328" s="331">
        <f t="shared" si="134"/>
        <v>0</v>
      </c>
      <c r="BQ328" s="331">
        <f t="shared" si="135"/>
        <v>0</v>
      </c>
    </row>
    <row r="329" spans="1:69" ht="27.75" customHeight="1" x14ac:dyDescent="0.4">
      <c r="A329" s="872">
        <v>321</v>
      </c>
      <c r="B329" s="869" t="s">
        <v>40</v>
      </c>
      <c r="C329" s="841">
        <f t="shared" si="137"/>
        <v>44962</v>
      </c>
      <c r="D329" s="842" t="str">
        <f>IF(C329="","",INDEX({"रविवार";"सोमवार";"मंगळवार";"बुधवार";"गुरूवार";"शुक्रवार";"शनिवार"},WEEKDAY(C329)))</f>
        <v>रविवार</v>
      </c>
      <c r="E329" s="673"/>
      <c r="F329" s="673"/>
      <c r="G329" s="673"/>
      <c r="H329" s="673"/>
      <c r="I329" s="673"/>
      <c r="J329" s="673"/>
      <c r="K329" s="673"/>
      <c r="L329" s="673"/>
      <c r="M329" s="828"/>
      <c r="N329" s="828"/>
      <c r="O329" s="673"/>
      <c r="P329" s="673"/>
      <c r="BE329" s="392">
        <v>26</v>
      </c>
      <c r="BF329" s="331">
        <f t="shared" si="124"/>
        <v>0</v>
      </c>
      <c r="BG329" s="331">
        <f t="shared" si="125"/>
        <v>0</v>
      </c>
      <c r="BH329" s="331">
        <f t="shared" si="126"/>
        <v>0</v>
      </c>
      <c r="BI329" s="331">
        <f t="shared" si="127"/>
        <v>0</v>
      </c>
      <c r="BJ329" s="331">
        <f t="shared" si="128"/>
        <v>0</v>
      </c>
      <c r="BK329" s="331">
        <f t="shared" si="129"/>
        <v>0</v>
      </c>
      <c r="BL329" s="331">
        <f t="shared" si="130"/>
        <v>0</v>
      </c>
      <c r="BM329" s="331">
        <f t="shared" si="131"/>
        <v>0</v>
      </c>
      <c r="BN329" s="331">
        <f t="shared" si="132"/>
        <v>0</v>
      </c>
      <c r="BO329" s="331">
        <f t="shared" si="133"/>
        <v>0</v>
      </c>
      <c r="BP329" s="331">
        <f t="shared" si="134"/>
        <v>0</v>
      </c>
      <c r="BQ329" s="331">
        <f t="shared" si="135"/>
        <v>0</v>
      </c>
    </row>
    <row r="330" spans="1:69" ht="27.75" customHeight="1" x14ac:dyDescent="0.4">
      <c r="A330" s="872">
        <v>322</v>
      </c>
      <c r="B330" s="869" t="s">
        <v>40</v>
      </c>
      <c r="C330" s="841">
        <f t="shared" si="137"/>
        <v>44963</v>
      </c>
      <c r="D330" s="842" t="str">
        <f>IF(C330="","",INDEX({"रविवार";"सोमवार";"मंगळवार";"बुधवार";"गुरूवार";"शुक्रवार";"शनिवार"},WEEKDAY(C330)))</f>
        <v>सोमवार</v>
      </c>
      <c r="E330" s="673"/>
      <c r="F330" s="673"/>
      <c r="G330" s="673"/>
      <c r="H330" s="673"/>
      <c r="I330" s="673"/>
      <c r="J330" s="673"/>
      <c r="K330" s="673"/>
      <c r="L330" s="673"/>
      <c r="M330" s="828"/>
      <c r="N330" s="828"/>
      <c r="O330" s="673"/>
      <c r="P330" s="673"/>
      <c r="BE330" s="392">
        <v>27</v>
      </c>
      <c r="BF330" s="331">
        <f t="shared" si="124"/>
        <v>0</v>
      </c>
      <c r="BG330" s="331">
        <f t="shared" si="125"/>
        <v>0</v>
      </c>
      <c r="BH330" s="331">
        <f t="shared" si="126"/>
        <v>0</v>
      </c>
      <c r="BI330" s="331">
        <f t="shared" si="127"/>
        <v>0</v>
      </c>
      <c r="BJ330" s="331">
        <f t="shared" si="128"/>
        <v>0</v>
      </c>
      <c r="BK330" s="331">
        <f t="shared" si="129"/>
        <v>0</v>
      </c>
      <c r="BL330" s="331">
        <f t="shared" si="130"/>
        <v>0</v>
      </c>
      <c r="BM330" s="331">
        <f t="shared" si="131"/>
        <v>0</v>
      </c>
      <c r="BN330" s="331">
        <f t="shared" si="132"/>
        <v>0</v>
      </c>
      <c r="BO330" s="331">
        <f t="shared" si="133"/>
        <v>0</v>
      </c>
      <c r="BP330" s="331">
        <f t="shared" si="134"/>
        <v>0</v>
      </c>
      <c r="BQ330" s="331">
        <f t="shared" si="135"/>
        <v>0</v>
      </c>
    </row>
    <row r="331" spans="1:69" ht="27.75" customHeight="1" x14ac:dyDescent="0.4">
      <c r="A331" s="872">
        <v>323</v>
      </c>
      <c r="B331" s="869" t="s">
        <v>40</v>
      </c>
      <c r="C331" s="841">
        <f t="shared" si="137"/>
        <v>44964</v>
      </c>
      <c r="D331" s="842" t="str">
        <f>IF(C331="","",INDEX({"रविवार";"सोमवार";"मंगळवार";"बुधवार";"गुरूवार";"शुक्रवार";"शनिवार"},WEEKDAY(C331)))</f>
        <v>मंगळवार</v>
      </c>
      <c r="E331" s="673"/>
      <c r="F331" s="673"/>
      <c r="G331" s="673"/>
      <c r="H331" s="673"/>
      <c r="I331" s="673"/>
      <c r="J331" s="673"/>
      <c r="K331" s="673"/>
      <c r="L331" s="673"/>
      <c r="M331" s="828"/>
      <c r="N331" s="828"/>
      <c r="O331" s="673"/>
      <c r="P331" s="673"/>
      <c r="BE331" s="392">
        <v>28</v>
      </c>
      <c r="BF331" s="331">
        <f t="shared" si="124"/>
        <v>0</v>
      </c>
      <c r="BG331" s="331">
        <f t="shared" si="125"/>
        <v>0</v>
      </c>
      <c r="BH331" s="331">
        <f t="shared" si="126"/>
        <v>0</v>
      </c>
      <c r="BI331" s="331">
        <f t="shared" si="127"/>
        <v>0</v>
      </c>
      <c r="BJ331" s="331">
        <f t="shared" si="128"/>
        <v>0</v>
      </c>
      <c r="BK331" s="331">
        <f t="shared" si="129"/>
        <v>0</v>
      </c>
      <c r="BL331" s="331">
        <f t="shared" si="130"/>
        <v>0</v>
      </c>
      <c r="BM331" s="331">
        <f t="shared" si="131"/>
        <v>0</v>
      </c>
      <c r="BN331" s="331">
        <f t="shared" si="132"/>
        <v>0</v>
      </c>
      <c r="BO331" s="331">
        <f t="shared" si="133"/>
        <v>0</v>
      </c>
      <c r="BP331" s="331">
        <f t="shared" si="134"/>
        <v>0</v>
      </c>
      <c r="BQ331" s="331">
        <f t="shared" si="135"/>
        <v>0</v>
      </c>
    </row>
    <row r="332" spans="1:69" ht="27.75" customHeight="1" x14ac:dyDescent="0.4">
      <c r="A332" s="872">
        <v>324</v>
      </c>
      <c r="B332" s="869" t="s">
        <v>40</v>
      </c>
      <c r="C332" s="841">
        <f t="shared" si="137"/>
        <v>44965</v>
      </c>
      <c r="D332" s="842" t="str">
        <f>IF(C332="","",INDEX({"रविवार";"सोमवार";"मंगळवार";"बुधवार";"गुरूवार";"शुक्रवार";"शनिवार"},WEEKDAY(C332)))</f>
        <v>बुधवार</v>
      </c>
      <c r="E332" s="673"/>
      <c r="F332" s="673"/>
      <c r="G332" s="673"/>
      <c r="H332" s="673"/>
      <c r="I332" s="673"/>
      <c r="J332" s="673"/>
      <c r="K332" s="673"/>
      <c r="L332" s="673"/>
      <c r="M332" s="828"/>
      <c r="N332" s="828"/>
      <c r="O332" s="673"/>
      <c r="P332" s="673"/>
      <c r="BE332" s="392">
        <v>29</v>
      </c>
      <c r="BF332" s="331">
        <f t="shared" si="124"/>
        <v>0</v>
      </c>
      <c r="BG332" s="331">
        <f t="shared" si="125"/>
        <v>0</v>
      </c>
      <c r="BH332" s="331">
        <f t="shared" si="126"/>
        <v>0</v>
      </c>
      <c r="BI332" s="331">
        <f t="shared" si="127"/>
        <v>0</v>
      </c>
      <c r="BJ332" s="331">
        <f t="shared" si="128"/>
        <v>0</v>
      </c>
      <c r="BK332" s="331">
        <f t="shared" si="129"/>
        <v>0</v>
      </c>
      <c r="BL332" s="331">
        <f t="shared" si="130"/>
        <v>0</v>
      </c>
      <c r="BM332" s="331">
        <f t="shared" si="131"/>
        <v>0</v>
      </c>
      <c r="BN332" s="331">
        <f t="shared" si="132"/>
        <v>0</v>
      </c>
      <c r="BO332" s="331">
        <f t="shared" si="133"/>
        <v>0</v>
      </c>
      <c r="BP332" s="331">
        <f t="shared" si="134"/>
        <v>0</v>
      </c>
      <c r="BQ332" s="331">
        <f t="shared" si="135"/>
        <v>0</v>
      </c>
    </row>
    <row r="333" spans="1:69" ht="27.75" customHeight="1" x14ac:dyDescent="0.4">
      <c r="A333" s="872">
        <v>325</v>
      </c>
      <c r="B333" s="869" t="s">
        <v>40</v>
      </c>
      <c r="C333" s="841">
        <f t="shared" si="137"/>
        <v>44966</v>
      </c>
      <c r="D333" s="842" t="str">
        <f>IF(C333="","",INDEX({"रविवार";"सोमवार";"मंगळवार";"बुधवार";"गुरूवार";"शुक्रवार";"शनिवार"},WEEKDAY(C333)))</f>
        <v>गुरूवार</v>
      </c>
      <c r="E333" s="673"/>
      <c r="F333" s="673"/>
      <c r="G333" s="673"/>
      <c r="H333" s="673"/>
      <c r="I333" s="673"/>
      <c r="J333" s="673"/>
      <c r="K333" s="673"/>
      <c r="L333" s="673"/>
      <c r="M333" s="828"/>
      <c r="N333" s="828"/>
      <c r="O333" s="673"/>
      <c r="P333" s="673"/>
      <c r="BE333" s="392">
        <v>30</v>
      </c>
      <c r="BF333" s="331">
        <f t="shared" si="124"/>
        <v>0</v>
      </c>
      <c r="BG333" s="331">
        <f t="shared" si="125"/>
        <v>0</v>
      </c>
      <c r="BH333" s="331">
        <f t="shared" si="126"/>
        <v>0</v>
      </c>
      <c r="BI333" s="331">
        <f t="shared" si="127"/>
        <v>0</v>
      </c>
      <c r="BJ333" s="331">
        <f t="shared" si="128"/>
        <v>0</v>
      </c>
      <c r="BK333" s="331">
        <f t="shared" si="129"/>
        <v>0</v>
      </c>
      <c r="BL333" s="331">
        <f t="shared" si="130"/>
        <v>0</v>
      </c>
      <c r="BM333" s="331">
        <f t="shared" si="131"/>
        <v>0</v>
      </c>
      <c r="BN333" s="331">
        <f t="shared" si="132"/>
        <v>0</v>
      </c>
      <c r="BO333" s="331">
        <f t="shared" si="133"/>
        <v>0</v>
      </c>
      <c r="BP333" s="393"/>
      <c r="BQ333" s="331">
        <f t="shared" si="135"/>
        <v>0</v>
      </c>
    </row>
    <row r="334" spans="1:69" ht="27.75" customHeight="1" x14ac:dyDescent="0.4">
      <c r="A334" s="872">
        <v>326</v>
      </c>
      <c r="B334" s="869" t="s">
        <v>40</v>
      </c>
      <c r="C334" s="841">
        <f t="shared" si="137"/>
        <v>44967</v>
      </c>
      <c r="D334" s="842" t="str">
        <f>IF(C334="","",INDEX({"रविवार";"सोमवार";"मंगळवार";"बुधवार";"गुरूवार";"शुक्रवार";"शनिवार"},WEEKDAY(C334)))</f>
        <v>शुक्रवार</v>
      </c>
      <c r="E334" s="673"/>
      <c r="F334" s="673"/>
      <c r="G334" s="673"/>
      <c r="H334" s="673"/>
      <c r="I334" s="673"/>
      <c r="J334" s="673"/>
      <c r="K334" s="673"/>
      <c r="L334" s="673"/>
      <c r="M334" s="828"/>
      <c r="N334" s="828"/>
      <c r="O334" s="673"/>
      <c r="P334" s="673"/>
      <c r="BE334" s="392">
        <v>31</v>
      </c>
      <c r="BF334" s="393"/>
      <c r="BG334" s="331">
        <f t="shared" si="125"/>
        <v>0</v>
      </c>
      <c r="BH334" s="393"/>
      <c r="BI334" s="331">
        <f t="shared" si="127"/>
        <v>0</v>
      </c>
      <c r="BJ334" s="331">
        <f t="shared" si="128"/>
        <v>0</v>
      </c>
      <c r="BK334" s="393"/>
      <c r="BL334" s="331">
        <f t="shared" si="130"/>
        <v>0</v>
      </c>
      <c r="BM334" s="393"/>
      <c r="BN334" s="331">
        <f t="shared" si="132"/>
        <v>0</v>
      </c>
      <c r="BO334" s="331">
        <f t="shared" si="133"/>
        <v>0</v>
      </c>
      <c r="BP334" s="393"/>
      <c r="BQ334" s="331">
        <f t="shared" si="135"/>
        <v>0</v>
      </c>
    </row>
    <row r="335" spans="1:69" ht="27.75" customHeight="1" x14ac:dyDescent="0.4">
      <c r="A335" s="872">
        <v>327</v>
      </c>
      <c r="B335" s="869" t="s">
        <v>40</v>
      </c>
      <c r="C335" s="841">
        <f t="shared" si="137"/>
        <v>44968</v>
      </c>
      <c r="D335" s="842" t="str">
        <f>IF(C335="","",INDEX({"रविवार";"सोमवार";"मंगळवार";"बुधवार";"गुरूवार";"शुक्रवार";"शनिवार"},WEEKDAY(C335)))</f>
        <v>शनिवार</v>
      </c>
      <c r="E335" s="673"/>
      <c r="F335" s="673"/>
      <c r="G335" s="673"/>
      <c r="H335" s="673"/>
      <c r="I335" s="673"/>
      <c r="J335" s="673"/>
      <c r="K335" s="673"/>
      <c r="L335" s="673"/>
      <c r="M335" s="828"/>
      <c r="N335" s="828"/>
      <c r="O335" s="673"/>
      <c r="P335" s="673"/>
    </row>
    <row r="336" spans="1:69" ht="27.75" customHeight="1" x14ac:dyDescent="0.4">
      <c r="A336" s="872">
        <v>328</v>
      </c>
      <c r="B336" s="869" t="s">
        <v>40</v>
      </c>
      <c r="C336" s="841">
        <f t="shared" si="137"/>
        <v>44969</v>
      </c>
      <c r="D336" s="842" t="str">
        <f>IF(C336="","",INDEX({"रविवार";"सोमवार";"मंगळवार";"बुधवार";"गुरूवार";"शुक्रवार";"शनिवार"},WEEKDAY(C336)))</f>
        <v>रविवार</v>
      </c>
      <c r="E336" s="673"/>
      <c r="F336" s="673"/>
      <c r="G336" s="673"/>
      <c r="H336" s="673"/>
      <c r="I336" s="673"/>
      <c r="J336" s="673"/>
      <c r="K336" s="673"/>
      <c r="L336" s="673"/>
      <c r="M336" s="828"/>
      <c r="N336" s="828"/>
      <c r="O336" s="673"/>
      <c r="P336" s="673"/>
    </row>
    <row r="337" spans="1:69" ht="27.75" customHeight="1" x14ac:dyDescent="0.4">
      <c r="A337" s="872">
        <v>329</v>
      </c>
      <c r="B337" s="869" t="s">
        <v>40</v>
      </c>
      <c r="C337" s="841">
        <f t="shared" si="137"/>
        <v>44970</v>
      </c>
      <c r="D337" s="842" t="str">
        <f>IF(C337="","",INDEX({"रविवार";"सोमवार";"मंगळवार";"बुधवार";"गुरूवार";"शुक्रवार";"शनिवार"},WEEKDAY(C337)))</f>
        <v>सोमवार</v>
      </c>
      <c r="E337" s="673"/>
      <c r="F337" s="673"/>
      <c r="G337" s="673"/>
      <c r="H337" s="673"/>
      <c r="I337" s="673"/>
      <c r="J337" s="673"/>
      <c r="K337" s="673"/>
      <c r="L337" s="673"/>
      <c r="M337" s="828"/>
      <c r="N337" s="828"/>
      <c r="O337" s="673"/>
      <c r="P337" s="673"/>
      <c r="BK337" s="380" t="s">
        <v>396</v>
      </c>
    </row>
    <row r="338" spans="1:69" ht="27.75" customHeight="1" x14ac:dyDescent="0.4">
      <c r="A338" s="872">
        <v>330</v>
      </c>
      <c r="B338" s="869" t="s">
        <v>40</v>
      </c>
      <c r="C338" s="841">
        <f t="shared" si="137"/>
        <v>44971</v>
      </c>
      <c r="D338" s="842" t="str">
        <f>IF(C338="","",INDEX({"रविवार";"सोमवार";"मंगळवार";"बुधवार";"गुरूवार";"शुक्रवार";"शनिवार"},WEEKDAY(C338)))</f>
        <v>मंगळवार</v>
      </c>
      <c r="E338" s="673"/>
      <c r="F338" s="673"/>
      <c r="G338" s="673"/>
      <c r="H338" s="673"/>
      <c r="I338" s="673"/>
      <c r="J338" s="673"/>
      <c r="K338" s="673"/>
      <c r="L338" s="673"/>
      <c r="M338" s="828"/>
      <c r="N338" s="828"/>
      <c r="O338" s="673"/>
      <c r="P338" s="673"/>
      <c r="BE338" s="38" t="s">
        <v>17</v>
      </c>
      <c r="BF338" s="38" t="s">
        <v>42</v>
      </c>
      <c r="BG338" s="38" t="s">
        <v>44</v>
      </c>
      <c r="BH338" s="38" t="s">
        <v>94</v>
      </c>
      <c r="BI338" s="38" t="s">
        <v>46</v>
      </c>
      <c r="BJ338" s="38" t="s">
        <v>34</v>
      </c>
      <c r="BK338" s="38" t="s">
        <v>37</v>
      </c>
      <c r="BL338" s="38" t="s">
        <v>47</v>
      </c>
      <c r="BM338" s="38" t="s">
        <v>38</v>
      </c>
      <c r="BN338" s="38" t="s">
        <v>39</v>
      </c>
      <c r="BO338" s="329" t="s">
        <v>33</v>
      </c>
      <c r="BP338" s="38" t="s">
        <v>40</v>
      </c>
      <c r="BQ338" s="38" t="s">
        <v>41</v>
      </c>
    </row>
    <row r="339" spans="1:69" ht="27.75" customHeight="1" x14ac:dyDescent="0.4">
      <c r="A339" s="872">
        <v>331</v>
      </c>
      <c r="B339" s="869" t="s">
        <v>40</v>
      </c>
      <c r="C339" s="841">
        <f t="shared" si="137"/>
        <v>44972</v>
      </c>
      <c r="D339" s="842" t="str">
        <f>IF(C339="","",INDEX({"रविवार";"सोमवार";"मंगळवार";"बुधवार";"गुरूवार";"शुक्रवार";"शनिवार"},WEEKDAY(C339)))</f>
        <v>बुधवार</v>
      </c>
      <c r="E339" s="673"/>
      <c r="F339" s="673"/>
      <c r="G339" s="673"/>
      <c r="H339" s="673"/>
      <c r="I339" s="673"/>
      <c r="J339" s="673"/>
      <c r="K339" s="673"/>
      <c r="L339" s="673"/>
      <c r="M339" s="828"/>
      <c r="N339" s="828"/>
      <c r="O339" s="673"/>
      <c r="P339" s="673"/>
      <c r="BE339" s="392">
        <v>1</v>
      </c>
      <c r="BF339" s="331" t="str">
        <f>I9</f>
        <v>उसळ</v>
      </c>
      <c r="BG339" s="331">
        <f>I40</f>
        <v>0</v>
      </c>
      <c r="BH339" s="331">
        <f>I72</f>
        <v>0</v>
      </c>
      <c r="BI339" s="331" t="str">
        <f>I103</f>
        <v>उसळ</v>
      </c>
      <c r="BJ339" s="331" t="str">
        <f>I135</f>
        <v>खिचडी</v>
      </c>
      <c r="BK339" s="331" t="str">
        <f>I167</f>
        <v>उसळ</v>
      </c>
      <c r="BL339" s="331" t="str">
        <f>I198</f>
        <v>खिचडी</v>
      </c>
      <c r="BM339" s="331">
        <f>I230</f>
        <v>0</v>
      </c>
      <c r="BN339" s="331" t="str">
        <f>I261</f>
        <v>उसळ</v>
      </c>
      <c r="BO339" s="331">
        <f>I293</f>
        <v>0</v>
      </c>
      <c r="BP339" s="331">
        <f>I325</f>
        <v>0</v>
      </c>
      <c r="BQ339" s="331">
        <f>I355</f>
        <v>0</v>
      </c>
    </row>
    <row r="340" spans="1:69" ht="27.75" customHeight="1" x14ac:dyDescent="0.4">
      <c r="A340" s="872">
        <v>332</v>
      </c>
      <c r="B340" s="869" t="s">
        <v>40</v>
      </c>
      <c r="C340" s="841">
        <f t="shared" si="137"/>
        <v>44973</v>
      </c>
      <c r="D340" s="842" t="str">
        <f>IF(C340="","",INDEX({"रविवार";"सोमवार";"मंगळवार";"बुधवार";"गुरूवार";"शुक्रवार";"शनिवार"},WEEKDAY(C340)))</f>
        <v>गुरूवार</v>
      </c>
      <c r="E340" s="673"/>
      <c r="F340" s="673"/>
      <c r="G340" s="673"/>
      <c r="H340" s="673"/>
      <c r="I340" s="673"/>
      <c r="J340" s="673"/>
      <c r="K340" s="673"/>
      <c r="L340" s="673"/>
      <c r="M340" s="828"/>
      <c r="N340" s="828"/>
      <c r="O340" s="673"/>
      <c r="P340" s="673"/>
      <c r="BE340" s="392">
        <v>2</v>
      </c>
      <c r="BF340" s="331">
        <f t="shared" ref="BF340:BF368" si="138">I10</f>
        <v>0</v>
      </c>
      <c r="BG340" s="331">
        <f t="shared" ref="BG340:BG369" si="139">I41</f>
        <v>0</v>
      </c>
      <c r="BH340" s="331">
        <f t="shared" ref="BH340:BH368" si="140">I73</f>
        <v>0</v>
      </c>
      <c r="BI340" s="331" t="str">
        <f t="shared" ref="BI340:BI369" si="141">I104</f>
        <v>खिचडी</v>
      </c>
      <c r="BJ340" s="331" t="str">
        <f t="shared" ref="BJ340:BJ369" si="142">I136</f>
        <v>उसळ</v>
      </c>
      <c r="BK340" s="331" t="str">
        <f t="shared" ref="BK340:BK368" si="143">I168</f>
        <v>उसळ</v>
      </c>
      <c r="BL340" s="331">
        <f t="shared" ref="BL340:BL369" si="144">I199</f>
        <v>0</v>
      </c>
      <c r="BM340" s="331">
        <f t="shared" ref="BM340:BM368" si="145">I231</f>
        <v>0</v>
      </c>
      <c r="BN340" s="331" t="str">
        <f t="shared" ref="BN340:BN369" si="146">I262</f>
        <v>उसळ</v>
      </c>
      <c r="BO340" s="331">
        <f t="shared" ref="BO340:BO369" si="147">I294</f>
        <v>0</v>
      </c>
      <c r="BP340" s="331">
        <f t="shared" ref="BP340:BP367" si="148">I326</f>
        <v>0</v>
      </c>
      <c r="BQ340" s="331">
        <f t="shared" ref="BQ340:BQ369" si="149">I356</f>
        <v>0</v>
      </c>
    </row>
    <row r="341" spans="1:69" ht="27.75" customHeight="1" x14ac:dyDescent="0.4">
      <c r="A341" s="872">
        <v>333</v>
      </c>
      <c r="B341" s="869" t="s">
        <v>40</v>
      </c>
      <c r="C341" s="841">
        <f t="shared" si="137"/>
        <v>44974</v>
      </c>
      <c r="D341" s="842" t="str">
        <f>IF(C341="","",INDEX({"रविवार";"सोमवार";"मंगळवार";"बुधवार";"गुरूवार";"शुक्रवार";"शनिवार"},WEEKDAY(C341)))</f>
        <v>शुक्रवार</v>
      </c>
      <c r="E341" s="673"/>
      <c r="F341" s="673"/>
      <c r="G341" s="673"/>
      <c r="H341" s="673"/>
      <c r="I341" s="673"/>
      <c r="J341" s="673"/>
      <c r="K341" s="673"/>
      <c r="L341" s="673"/>
      <c r="M341" s="828"/>
      <c r="N341" s="828"/>
      <c r="O341" s="673"/>
      <c r="P341" s="673"/>
      <c r="BE341" s="392">
        <v>3</v>
      </c>
      <c r="BF341" s="331">
        <f t="shared" si="138"/>
        <v>0</v>
      </c>
      <c r="BG341" s="331">
        <f t="shared" si="139"/>
        <v>0</v>
      </c>
      <c r="BH341" s="331">
        <f t="shared" si="140"/>
        <v>0</v>
      </c>
      <c r="BI341" s="331">
        <f t="shared" si="141"/>
        <v>0</v>
      </c>
      <c r="BJ341" s="331" t="str">
        <f t="shared" si="142"/>
        <v>उसळ</v>
      </c>
      <c r="BK341" s="331" t="str">
        <f t="shared" si="143"/>
        <v>खिचडी</v>
      </c>
      <c r="BL341" s="331" t="str">
        <f t="shared" si="144"/>
        <v>खिचडी</v>
      </c>
      <c r="BM341" s="331">
        <f t="shared" si="145"/>
        <v>0</v>
      </c>
      <c r="BN341" s="331" t="str">
        <f t="shared" si="146"/>
        <v>खिचडी</v>
      </c>
      <c r="BO341" s="331">
        <f t="shared" si="147"/>
        <v>0</v>
      </c>
      <c r="BP341" s="331">
        <f t="shared" si="148"/>
        <v>0</v>
      </c>
      <c r="BQ341" s="331">
        <f t="shared" si="149"/>
        <v>0</v>
      </c>
    </row>
    <row r="342" spans="1:69" ht="27.75" customHeight="1" x14ac:dyDescent="0.4">
      <c r="A342" s="872">
        <v>334</v>
      </c>
      <c r="B342" s="869" t="s">
        <v>40</v>
      </c>
      <c r="C342" s="841">
        <f t="shared" si="137"/>
        <v>44975</v>
      </c>
      <c r="D342" s="842" t="str">
        <f>IF(C342="","",INDEX({"रविवार";"सोमवार";"मंगळवार";"बुधवार";"गुरूवार";"शुक्रवार";"शनिवार"},WEEKDAY(C342)))</f>
        <v>शनिवार</v>
      </c>
      <c r="E342" s="673"/>
      <c r="F342" s="673"/>
      <c r="G342" s="673"/>
      <c r="H342" s="673"/>
      <c r="I342" s="673"/>
      <c r="J342" s="673"/>
      <c r="K342" s="673"/>
      <c r="L342" s="673"/>
      <c r="M342" s="828"/>
      <c r="N342" s="828"/>
      <c r="O342" s="673"/>
      <c r="P342" s="673"/>
      <c r="BE342" s="392">
        <v>4</v>
      </c>
      <c r="BF342" s="331" t="str">
        <f t="shared" si="138"/>
        <v>खिचडी</v>
      </c>
      <c r="BG342" s="331">
        <f t="shared" si="139"/>
        <v>0</v>
      </c>
      <c r="BH342" s="331">
        <f t="shared" si="140"/>
        <v>0</v>
      </c>
      <c r="BI342" s="331" t="str">
        <f t="shared" si="141"/>
        <v>खिचडी</v>
      </c>
      <c r="BJ342" s="331" t="str">
        <f t="shared" si="142"/>
        <v>उसळ</v>
      </c>
      <c r="BK342" s="331">
        <f t="shared" si="143"/>
        <v>0</v>
      </c>
      <c r="BL342" s="331">
        <f t="shared" si="144"/>
        <v>0</v>
      </c>
      <c r="BM342" s="331">
        <f t="shared" si="145"/>
        <v>0</v>
      </c>
      <c r="BN342" s="331">
        <f t="shared" si="146"/>
        <v>0</v>
      </c>
      <c r="BO342" s="331">
        <f t="shared" si="147"/>
        <v>0</v>
      </c>
      <c r="BP342" s="331">
        <f t="shared" si="148"/>
        <v>0</v>
      </c>
      <c r="BQ342" s="331">
        <f t="shared" si="149"/>
        <v>0</v>
      </c>
    </row>
    <row r="343" spans="1:69" ht="27.75" customHeight="1" x14ac:dyDescent="0.4">
      <c r="A343" s="872">
        <v>335</v>
      </c>
      <c r="B343" s="869" t="s">
        <v>40</v>
      </c>
      <c r="C343" s="841">
        <f t="shared" si="137"/>
        <v>44976</v>
      </c>
      <c r="D343" s="842" t="str">
        <f>IF(C343="","",INDEX({"रविवार";"सोमवार";"मंगळवार";"बुधवार";"गुरूवार";"शुक्रवार";"शनिवार"},WEEKDAY(C343)))</f>
        <v>रविवार</v>
      </c>
      <c r="E343" s="673"/>
      <c r="F343" s="673"/>
      <c r="G343" s="673"/>
      <c r="H343" s="673"/>
      <c r="I343" s="673"/>
      <c r="J343" s="673"/>
      <c r="K343" s="673"/>
      <c r="L343" s="673"/>
      <c r="M343" s="828"/>
      <c r="N343" s="828"/>
      <c r="O343" s="673"/>
      <c r="P343" s="673"/>
      <c r="BE343" s="392">
        <v>5</v>
      </c>
      <c r="BF343" s="331" t="str">
        <f t="shared" si="138"/>
        <v>उसळ</v>
      </c>
      <c r="BG343" s="331">
        <f t="shared" si="139"/>
        <v>0</v>
      </c>
      <c r="BH343" s="331">
        <f t="shared" si="140"/>
        <v>0</v>
      </c>
      <c r="BI343" s="331" t="str">
        <f t="shared" si="141"/>
        <v>उसळ</v>
      </c>
      <c r="BJ343" s="331" t="str">
        <f t="shared" si="142"/>
        <v>उसळ</v>
      </c>
      <c r="BK343" s="331" t="str">
        <f t="shared" si="143"/>
        <v>खिचडी</v>
      </c>
      <c r="BL343" s="331">
        <f t="shared" si="144"/>
        <v>0</v>
      </c>
      <c r="BM343" s="331">
        <f t="shared" si="145"/>
        <v>0</v>
      </c>
      <c r="BN343" s="331" t="str">
        <f t="shared" si="146"/>
        <v>खिचडी</v>
      </c>
      <c r="BO343" s="331">
        <f t="shared" si="147"/>
        <v>0</v>
      </c>
      <c r="BP343" s="331">
        <f t="shared" si="148"/>
        <v>0</v>
      </c>
      <c r="BQ343" s="331">
        <f t="shared" si="149"/>
        <v>0</v>
      </c>
    </row>
    <row r="344" spans="1:69" ht="27.75" customHeight="1" x14ac:dyDescent="0.4">
      <c r="A344" s="872">
        <v>336</v>
      </c>
      <c r="B344" s="869" t="s">
        <v>40</v>
      </c>
      <c r="C344" s="841">
        <f t="shared" si="137"/>
        <v>44977</v>
      </c>
      <c r="D344" s="842" t="str">
        <f>IF(C344="","",INDEX({"रविवार";"सोमवार";"मंगळवार";"बुधवार";"गुरूवार";"शुक्रवार";"शनिवार"},WEEKDAY(C344)))</f>
        <v>सोमवार</v>
      </c>
      <c r="E344" s="673"/>
      <c r="F344" s="673"/>
      <c r="G344" s="673"/>
      <c r="H344" s="673"/>
      <c r="I344" s="673"/>
      <c r="J344" s="673"/>
      <c r="K344" s="673"/>
      <c r="L344" s="673"/>
      <c r="M344" s="828"/>
      <c r="N344" s="828"/>
      <c r="O344" s="673"/>
      <c r="P344" s="673"/>
      <c r="BE344" s="392">
        <v>6</v>
      </c>
      <c r="BF344" s="331" t="str">
        <f t="shared" si="138"/>
        <v>उसळ</v>
      </c>
      <c r="BG344" s="331">
        <f t="shared" si="139"/>
        <v>0</v>
      </c>
      <c r="BH344" s="331">
        <f t="shared" si="140"/>
        <v>0</v>
      </c>
      <c r="BI344" s="331" t="str">
        <f t="shared" si="141"/>
        <v>उसळ</v>
      </c>
      <c r="BJ344" s="331" t="str">
        <f t="shared" si="142"/>
        <v>खिचडी</v>
      </c>
      <c r="BK344" s="331" t="str">
        <f t="shared" si="143"/>
        <v>उसळ</v>
      </c>
      <c r="BL344" s="331" t="str">
        <f t="shared" si="144"/>
        <v>उसळ</v>
      </c>
      <c r="BM344" s="331">
        <f t="shared" si="145"/>
        <v>0</v>
      </c>
      <c r="BN344" s="331">
        <f t="shared" si="146"/>
        <v>0</v>
      </c>
      <c r="BO344" s="331">
        <f t="shared" si="147"/>
        <v>0</v>
      </c>
      <c r="BP344" s="331">
        <f t="shared" si="148"/>
        <v>0</v>
      </c>
      <c r="BQ344" s="331">
        <f t="shared" si="149"/>
        <v>0</v>
      </c>
    </row>
    <row r="345" spans="1:69" ht="27.75" customHeight="1" x14ac:dyDescent="0.4">
      <c r="A345" s="872">
        <v>337</v>
      </c>
      <c r="B345" s="869" t="s">
        <v>40</v>
      </c>
      <c r="C345" s="841">
        <f t="shared" si="137"/>
        <v>44978</v>
      </c>
      <c r="D345" s="842" t="str">
        <f>IF(C345="","",INDEX({"रविवार";"सोमवार";"मंगळवार";"बुधवार";"गुरूवार";"शुक्रवार";"शनिवार"},WEEKDAY(C345)))</f>
        <v>मंगळवार</v>
      </c>
      <c r="E345" s="673"/>
      <c r="F345" s="673"/>
      <c r="G345" s="673"/>
      <c r="H345" s="673"/>
      <c r="I345" s="673"/>
      <c r="J345" s="673"/>
      <c r="K345" s="673"/>
      <c r="L345" s="673"/>
      <c r="M345" s="828"/>
      <c r="N345" s="828"/>
      <c r="O345" s="673"/>
      <c r="P345" s="673"/>
      <c r="BE345" s="392">
        <v>7</v>
      </c>
      <c r="BF345" s="331" t="str">
        <f t="shared" si="138"/>
        <v>उसळ</v>
      </c>
      <c r="BG345" s="331">
        <f t="shared" si="139"/>
        <v>0</v>
      </c>
      <c r="BH345" s="331">
        <f t="shared" si="140"/>
        <v>0</v>
      </c>
      <c r="BI345" s="331" t="str">
        <f t="shared" si="141"/>
        <v>उसळ</v>
      </c>
      <c r="BJ345" s="331">
        <f t="shared" si="142"/>
        <v>0</v>
      </c>
      <c r="BK345" s="331" t="str">
        <f t="shared" si="143"/>
        <v>उसळ</v>
      </c>
      <c r="BL345" s="331" t="str">
        <f t="shared" si="144"/>
        <v>उसळ</v>
      </c>
      <c r="BM345" s="331">
        <f t="shared" si="145"/>
        <v>0</v>
      </c>
      <c r="BN345" s="331" t="str">
        <f t="shared" si="146"/>
        <v>उसळ</v>
      </c>
      <c r="BO345" s="331">
        <f t="shared" si="147"/>
        <v>0</v>
      </c>
      <c r="BP345" s="331">
        <f t="shared" si="148"/>
        <v>0</v>
      </c>
      <c r="BQ345" s="331">
        <f t="shared" si="149"/>
        <v>0</v>
      </c>
    </row>
    <row r="346" spans="1:69" ht="27.75" customHeight="1" x14ac:dyDescent="0.4">
      <c r="A346" s="872">
        <v>338</v>
      </c>
      <c r="B346" s="869" t="s">
        <v>40</v>
      </c>
      <c r="C346" s="841">
        <f t="shared" si="137"/>
        <v>44979</v>
      </c>
      <c r="D346" s="842" t="str">
        <f>IF(C346="","",INDEX({"रविवार";"सोमवार";"मंगळवार";"बुधवार";"गुरूवार";"शुक्रवार";"शनिवार"},WEEKDAY(C346)))</f>
        <v>बुधवार</v>
      </c>
      <c r="E346" s="673"/>
      <c r="F346" s="673"/>
      <c r="G346" s="673"/>
      <c r="H346" s="673"/>
      <c r="I346" s="673"/>
      <c r="J346" s="673"/>
      <c r="K346" s="673"/>
      <c r="L346" s="673"/>
      <c r="M346" s="828"/>
      <c r="N346" s="828"/>
      <c r="O346" s="673"/>
      <c r="P346" s="673"/>
      <c r="BE346" s="392">
        <v>8</v>
      </c>
      <c r="BF346" s="331" t="str">
        <f t="shared" si="138"/>
        <v>उसळ</v>
      </c>
      <c r="BG346" s="331">
        <f t="shared" si="139"/>
        <v>0</v>
      </c>
      <c r="BH346" s="331">
        <f t="shared" si="140"/>
        <v>0</v>
      </c>
      <c r="BI346" s="331" t="str">
        <f t="shared" si="141"/>
        <v>उसळ</v>
      </c>
      <c r="BJ346" s="331" t="str">
        <f t="shared" si="142"/>
        <v>खिचडी</v>
      </c>
      <c r="BK346" s="331" t="str">
        <f t="shared" si="143"/>
        <v>उसळ</v>
      </c>
      <c r="BL346" s="331" t="str">
        <f t="shared" si="144"/>
        <v>खिचडी</v>
      </c>
      <c r="BM346" s="331">
        <f t="shared" si="145"/>
        <v>0</v>
      </c>
      <c r="BN346" s="331" t="str">
        <f t="shared" si="146"/>
        <v>उसळ</v>
      </c>
      <c r="BO346" s="331">
        <f t="shared" si="147"/>
        <v>0</v>
      </c>
      <c r="BP346" s="331">
        <f t="shared" si="148"/>
        <v>0</v>
      </c>
      <c r="BQ346" s="331">
        <f t="shared" si="149"/>
        <v>0</v>
      </c>
    </row>
    <row r="347" spans="1:69" ht="27.75" customHeight="1" x14ac:dyDescent="0.4">
      <c r="A347" s="872">
        <v>339</v>
      </c>
      <c r="B347" s="869" t="s">
        <v>40</v>
      </c>
      <c r="C347" s="841">
        <f t="shared" si="137"/>
        <v>44980</v>
      </c>
      <c r="D347" s="842" t="str">
        <f>IF(C347="","",INDEX({"रविवार";"सोमवार";"मंगळवार";"बुधवार";"गुरूवार";"शुक्रवार";"शनिवार"},WEEKDAY(C347)))</f>
        <v>गुरूवार</v>
      </c>
      <c r="E347" s="673"/>
      <c r="F347" s="673"/>
      <c r="G347" s="673"/>
      <c r="H347" s="673"/>
      <c r="I347" s="673"/>
      <c r="J347" s="673"/>
      <c r="K347" s="673"/>
      <c r="L347" s="673"/>
      <c r="M347" s="828"/>
      <c r="N347" s="828"/>
      <c r="O347" s="673"/>
      <c r="P347" s="673"/>
      <c r="BE347" s="392">
        <v>9</v>
      </c>
      <c r="BF347" s="331" t="str">
        <f t="shared" si="138"/>
        <v>खिचडी</v>
      </c>
      <c r="BG347" s="331">
        <f t="shared" si="139"/>
        <v>0</v>
      </c>
      <c r="BH347" s="331">
        <f t="shared" si="140"/>
        <v>0</v>
      </c>
      <c r="BI347" s="331" t="str">
        <f t="shared" si="141"/>
        <v>खिचडी</v>
      </c>
      <c r="BJ347" s="331">
        <f t="shared" si="142"/>
        <v>0</v>
      </c>
      <c r="BK347" s="331">
        <f t="shared" si="143"/>
        <v>0</v>
      </c>
      <c r="BL347" s="331">
        <f t="shared" si="144"/>
        <v>0</v>
      </c>
      <c r="BM347" s="331" t="str">
        <f t="shared" si="145"/>
        <v>उसळ</v>
      </c>
      <c r="BN347" s="331" t="str">
        <f t="shared" si="146"/>
        <v>उसळ</v>
      </c>
      <c r="BO347" s="331">
        <f t="shared" si="147"/>
        <v>0</v>
      </c>
      <c r="BP347" s="331">
        <f t="shared" si="148"/>
        <v>0</v>
      </c>
      <c r="BQ347" s="331">
        <f t="shared" si="149"/>
        <v>0</v>
      </c>
    </row>
    <row r="348" spans="1:69" ht="27.75" customHeight="1" x14ac:dyDescent="0.4">
      <c r="A348" s="872">
        <v>340</v>
      </c>
      <c r="B348" s="869" t="s">
        <v>40</v>
      </c>
      <c r="C348" s="841">
        <f t="shared" si="137"/>
        <v>44981</v>
      </c>
      <c r="D348" s="842" t="str">
        <f>IF(C348="","",INDEX({"रविवार";"सोमवार";"मंगळवार";"बुधवार";"गुरूवार";"शुक्रवार";"शनिवार"},WEEKDAY(C348)))</f>
        <v>शुक्रवार</v>
      </c>
      <c r="E348" s="673"/>
      <c r="F348" s="673"/>
      <c r="G348" s="673"/>
      <c r="H348" s="673"/>
      <c r="I348" s="673"/>
      <c r="J348" s="673"/>
      <c r="K348" s="673"/>
      <c r="L348" s="673"/>
      <c r="M348" s="828"/>
      <c r="N348" s="828"/>
      <c r="O348" s="673"/>
      <c r="P348" s="673"/>
      <c r="BE348" s="392">
        <v>10</v>
      </c>
      <c r="BF348" s="331">
        <f t="shared" si="138"/>
        <v>0</v>
      </c>
      <c r="BG348" s="331">
        <f t="shared" si="139"/>
        <v>0</v>
      </c>
      <c r="BH348" s="331">
        <f t="shared" si="140"/>
        <v>0</v>
      </c>
      <c r="BI348" s="331">
        <f t="shared" si="141"/>
        <v>0</v>
      </c>
      <c r="BJ348" s="331" t="str">
        <f t="shared" si="142"/>
        <v>उसळ</v>
      </c>
      <c r="BK348" s="331" t="str">
        <f t="shared" si="143"/>
        <v>खिचडी</v>
      </c>
      <c r="BL348" s="331" t="str">
        <f t="shared" si="144"/>
        <v>खिचडी</v>
      </c>
      <c r="BM348" s="331" t="str">
        <f t="shared" si="145"/>
        <v>उसळ</v>
      </c>
      <c r="BN348" s="331" t="str">
        <f t="shared" si="146"/>
        <v>खिचडी</v>
      </c>
      <c r="BO348" s="331">
        <f t="shared" si="147"/>
        <v>0</v>
      </c>
      <c r="BP348" s="331">
        <f t="shared" si="148"/>
        <v>0</v>
      </c>
      <c r="BQ348" s="331">
        <f t="shared" si="149"/>
        <v>0</v>
      </c>
    </row>
    <row r="349" spans="1:69" ht="27.75" customHeight="1" x14ac:dyDescent="0.4">
      <c r="A349" s="872">
        <v>341</v>
      </c>
      <c r="B349" s="869" t="s">
        <v>40</v>
      </c>
      <c r="C349" s="841">
        <f t="shared" si="137"/>
        <v>44982</v>
      </c>
      <c r="D349" s="842" t="str">
        <f>IF(C349="","",INDEX({"रविवार";"सोमवार";"मंगळवार";"बुधवार";"गुरूवार";"शुक्रवार";"शनिवार"},WEEKDAY(C349)))</f>
        <v>शनिवार</v>
      </c>
      <c r="E349" s="673"/>
      <c r="F349" s="673"/>
      <c r="G349" s="673"/>
      <c r="H349" s="673"/>
      <c r="I349" s="673"/>
      <c r="J349" s="673"/>
      <c r="K349" s="673"/>
      <c r="L349" s="673"/>
      <c r="M349" s="828"/>
      <c r="N349" s="828"/>
      <c r="O349" s="673"/>
      <c r="P349" s="673"/>
      <c r="BE349" s="392">
        <v>11</v>
      </c>
      <c r="BF349" s="331" t="str">
        <f t="shared" si="138"/>
        <v>खिचडी</v>
      </c>
      <c r="BG349" s="331">
        <f t="shared" si="139"/>
        <v>0</v>
      </c>
      <c r="BH349" s="331">
        <f t="shared" si="140"/>
        <v>0</v>
      </c>
      <c r="BI349" s="331" t="str">
        <f t="shared" si="141"/>
        <v>खिचडी</v>
      </c>
      <c r="BJ349" s="331" t="str">
        <f t="shared" si="142"/>
        <v>उसळ</v>
      </c>
      <c r="BK349" s="331">
        <f t="shared" si="143"/>
        <v>0</v>
      </c>
      <c r="BL349" s="331" t="str">
        <f t="shared" si="144"/>
        <v>उसळ</v>
      </c>
      <c r="BM349" s="331" t="str">
        <f t="shared" si="145"/>
        <v>उसळ</v>
      </c>
      <c r="BN349" s="331">
        <f t="shared" si="146"/>
        <v>0</v>
      </c>
      <c r="BO349" s="331">
        <f t="shared" si="147"/>
        <v>0</v>
      </c>
      <c r="BP349" s="331">
        <f t="shared" si="148"/>
        <v>0</v>
      </c>
      <c r="BQ349" s="331">
        <f t="shared" si="149"/>
        <v>0</v>
      </c>
    </row>
    <row r="350" spans="1:69" ht="27.75" customHeight="1" x14ac:dyDescent="0.4">
      <c r="A350" s="872">
        <v>342</v>
      </c>
      <c r="B350" s="869" t="s">
        <v>40</v>
      </c>
      <c r="C350" s="841">
        <f t="shared" si="137"/>
        <v>44983</v>
      </c>
      <c r="D350" s="842" t="str">
        <f>IF(C350="","",INDEX({"रविवार";"सोमवार";"मंगळवार";"बुधवार";"गुरूवार";"शुक्रवार";"शनिवार"},WEEKDAY(C350)))</f>
        <v>रविवार</v>
      </c>
      <c r="E350" s="673"/>
      <c r="F350" s="673"/>
      <c r="G350" s="673"/>
      <c r="H350" s="673"/>
      <c r="I350" s="673"/>
      <c r="J350" s="673"/>
      <c r="K350" s="673"/>
      <c r="L350" s="673"/>
      <c r="M350" s="828"/>
      <c r="N350" s="828"/>
      <c r="O350" s="673"/>
      <c r="P350" s="673"/>
      <c r="BE350" s="392">
        <v>12</v>
      </c>
      <c r="BF350" s="331" t="str">
        <f t="shared" si="138"/>
        <v>उसळ</v>
      </c>
      <c r="BG350" s="331">
        <f t="shared" si="139"/>
        <v>0</v>
      </c>
      <c r="BH350" s="331">
        <f t="shared" si="140"/>
        <v>0</v>
      </c>
      <c r="BI350" s="331" t="str">
        <f t="shared" si="141"/>
        <v>उसळ</v>
      </c>
      <c r="BJ350" s="331" t="str">
        <f t="shared" si="142"/>
        <v>उसळ</v>
      </c>
      <c r="BK350" s="331" t="str">
        <f t="shared" si="143"/>
        <v>खिचडी</v>
      </c>
      <c r="BL350" s="331" t="str">
        <f t="shared" si="144"/>
        <v>उसळ</v>
      </c>
      <c r="BM350" s="331" t="str">
        <f t="shared" si="145"/>
        <v>खिचडी</v>
      </c>
      <c r="BN350" s="331" t="str">
        <f t="shared" si="146"/>
        <v>खिचडी</v>
      </c>
      <c r="BO350" s="331">
        <f t="shared" si="147"/>
        <v>0</v>
      </c>
      <c r="BP350" s="331">
        <f t="shared" si="148"/>
        <v>0</v>
      </c>
      <c r="BQ350" s="331">
        <f t="shared" si="149"/>
        <v>0</v>
      </c>
    </row>
    <row r="351" spans="1:69" ht="27.75" customHeight="1" x14ac:dyDescent="0.4">
      <c r="A351" s="872">
        <v>343</v>
      </c>
      <c r="B351" s="869" t="s">
        <v>40</v>
      </c>
      <c r="C351" s="841">
        <f t="shared" si="137"/>
        <v>44984</v>
      </c>
      <c r="D351" s="842" t="str">
        <f>IF(C351="","",INDEX({"रविवार";"सोमवार";"मंगळवार";"बुधवार";"गुरूवार";"शुक्रवार";"शनिवार"},WEEKDAY(C351)))</f>
        <v>सोमवार</v>
      </c>
      <c r="E351" s="673"/>
      <c r="F351" s="673"/>
      <c r="G351" s="673"/>
      <c r="H351" s="673"/>
      <c r="I351" s="673"/>
      <c r="J351" s="673"/>
      <c r="K351" s="673"/>
      <c r="L351" s="673"/>
      <c r="M351" s="828"/>
      <c r="N351" s="828"/>
      <c r="O351" s="673"/>
      <c r="P351" s="673"/>
      <c r="BE351" s="392">
        <v>13</v>
      </c>
      <c r="BF351" s="331" t="str">
        <f t="shared" si="138"/>
        <v>उसळ</v>
      </c>
      <c r="BG351" s="331">
        <f t="shared" si="139"/>
        <v>0</v>
      </c>
      <c r="BH351" s="331">
        <f t="shared" si="140"/>
        <v>0</v>
      </c>
      <c r="BI351" s="331" t="str">
        <f t="shared" si="141"/>
        <v>उसळ</v>
      </c>
      <c r="BJ351" s="331" t="str">
        <f t="shared" si="142"/>
        <v>खिचडी</v>
      </c>
      <c r="BK351" s="331" t="str">
        <f t="shared" si="143"/>
        <v>उसळ</v>
      </c>
      <c r="BL351" s="331" t="str">
        <f t="shared" si="144"/>
        <v>उसळ</v>
      </c>
      <c r="BM351" s="331">
        <f t="shared" si="145"/>
        <v>0</v>
      </c>
      <c r="BN351" s="331" t="str">
        <f t="shared" si="146"/>
        <v>उसळ</v>
      </c>
      <c r="BO351" s="331">
        <f t="shared" si="147"/>
        <v>0</v>
      </c>
      <c r="BP351" s="331">
        <f t="shared" si="148"/>
        <v>0</v>
      </c>
      <c r="BQ351" s="331">
        <f t="shared" si="149"/>
        <v>0</v>
      </c>
    </row>
    <row r="352" spans="1:69" ht="27.75" customHeight="1" x14ac:dyDescent="0.4">
      <c r="A352" s="872">
        <v>344</v>
      </c>
      <c r="B352" s="869" t="s">
        <v>40</v>
      </c>
      <c r="C352" s="841">
        <f t="shared" si="137"/>
        <v>44985</v>
      </c>
      <c r="D352" s="842" t="str">
        <f>IF(C352="","",INDEX({"रविवार";"सोमवार";"मंगळवार";"बुधवार";"गुरूवार";"शुक्रवार";"शनिवार"},WEEKDAY(C352)))</f>
        <v>मंगळवार</v>
      </c>
      <c r="E352" s="673"/>
      <c r="F352" s="673"/>
      <c r="G352" s="673"/>
      <c r="H352" s="673"/>
      <c r="I352" s="673"/>
      <c r="J352" s="673"/>
      <c r="K352" s="673"/>
      <c r="L352" s="673"/>
      <c r="M352" s="828"/>
      <c r="N352" s="828"/>
      <c r="O352" s="673"/>
      <c r="P352" s="673"/>
      <c r="BE352" s="392">
        <v>14</v>
      </c>
      <c r="BF352" s="331">
        <f t="shared" si="138"/>
        <v>0</v>
      </c>
      <c r="BG352" s="331">
        <f t="shared" si="139"/>
        <v>0</v>
      </c>
      <c r="BH352" s="331">
        <f t="shared" si="140"/>
        <v>0</v>
      </c>
      <c r="BI352" s="331" t="str">
        <f t="shared" si="141"/>
        <v>उसळ</v>
      </c>
      <c r="BJ352" s="331">
        <f t="shared" si="142"/>
        <v>0</v>
      </c>
      <c r="BK352" s="331" t="str">
        <f t="shared" si="143"/>
        <v>उसळ</v>
      </c>
      <c r="BL352" s="331" t="str">
        <f t="shared" si="144"/>
        <v>उसळ</v>
      </c>
      <c r="BM352" s="331" t="str">
        <f t="shared" si="145"/>
        <v>खिचडी</v>
      </c>
      <c r="BN352" s="331" t="str">
        <f t="shared" si="146"/>
        <v>उसळ</v>
      </c>
      <c r="BO352" s="331">
        <f t="shared" si="147"/>
        <v>0</v>
      </c>
      <c r="BP352" s="331">
        <f t="shared" si="148"/>
        <v>0</v>
      </c>
      <c r="BQ352" s="331">
        <f t="shared" si="149"/>
        <v>0</v>
      </c>
    </row>
    <row r="353" spans="1:69" ht="27.75" customHeight="1" x14ac:dyDescent="0.4">
      <c r="A353" s="872">
        <v>345</v>
      </c>
      <c r="B353" s="869" t="s">
        <v>40</v>
      </c>
      <c r="C353" s="841">
        <f t="shared" si="137"/>
        <v>44986</v>
      </c>
      <c r="D353" s="842" t="str">
        <f>IF(C353="","",INDEX({"रविवार";"सोमवार";"मंगळवार";"बुधवार";"गुरूवार";"शुक्रवार";"शनिवार"},WEEKDAY(C353)))</f>
        <v>बुधवार</v>
      </c>
      <c r="E353" s="673"/>
      <c r="F353" s="673"/>
      <c r="G353" s="673"/>
      <c r="H353" s="673"/>
      <c r="I353" s="673"/>
      <c r="J353" s="673"/>
      <c r="K353" s="673"/>
      <c r="L353" s="673"/>
      <c r="M353" s="828"/>
      <c r="N353" s="828"/>
      <c r="O353" s="673"/>
      <c r="P353" s="673"/>
      <c r="BE353" s="392">
        <v>15</v>
      </c>
      <c r="BF353" s="331">
        <f t="shared" si="138"/>
        <v>0</v>
      </c>
      <c r="BG353" s="331">
        <f t="shared" si="139"/>
        <v>0</v>
      </c>
      <c r="BH353" s="331" t="str">
        <f t="shared" si="140"/>
        <v>उसळ</v>
      </c>
      <c r="BI353" s="331" t="str">
        <f t="shared" si="141"/>
        <v>उसळ</v>
      </c>
      <c r="BJ353" s="331">
        <f t="shared" si="142"/>
        <v>0</v>
      </c>
      <c r="BK353" s="331" t="str">
        <f t="shared" si="143"/>
        <v>उसळ</v>
      </c>
      <c r="BL353" s="331" t="str">
        <f t="shared" si="144"/>
        <v>खिचडी</v>
      </c>
      <c r="BM353" s="331" t="str">
        <f t="shared" si="145"/>
        <v>उसळ</v>
      </c>
      <c r="BN353" s="331" t="str">
        <f t="shared" si="146"/>
        <v>उसळ</v>
      </c>
      <c r="BO353" s="331">
        <f t="shared" si="147"/>
        <v>0</v>
      </c>
      <c r="BP353" s="331">
        <f t="shared" si="148"/>
        <v>0</v>
      </c>
      <c r="BQ353" s="331">
        <f t="shared" si="149"/>
        <v>0</v>
      </c>
    </row>
    <row r="354" spans="1:69" ht="27.75" customHeight="1" x14ac:dyDescent="0.4">
      <c r="A354" s="872">
        <v>346</v>
      </c>
      <c r="B354" s="869" t="s">
        <v>40</v>
      </c>
      <c r="C354" s="841" t="s">
        <v>35</v>
      </c>
      <c r="D354" s="841"/>
      <c r="E354" s="829" t="str">
        <f>IF(SUM(E325:E353)&gt;0,SUM(E325:E353),"")</f>
        <v/>
      </c>
      <c r="F354" s="829" t="str">
        <f t="shared" ref="F354:N354" si="150">IF(SUM(F325:F353)&gt;0,SUM(F325:F353),"")</f>
        <v/>
      </c>
      <c r="G354" s="829" t="str">
        <f t="shared" si="150"/>
        <v/>
      </c>
      <c r="H354" s="829" t="str">
        <f t="shared" si="150"/>
        <v/>
      </c>
      <c r="I354" s="829" t="str">
        <f t="shared" si="150"/>
        <v/>
      </c>
      <c r="J354" s="829" t="str">
        <f t="shared" si="150"/>
        <v/>
      </c>
      <c r="K354" s="829" t="str">
        <f t="shared" si="150"/>
        <v/>
      </c>
      <c r="L354" s="829" t="str">
        <f t="shared" si="150"/>
        <v/>
      </c>
      <c r="M354" s="829" t="str">
        <f t="shared" si="150"/>
        <v/>
      </c>
      <c r="N354" s="829" t="str">
        <f t="shared" si="150"/>
        <v/>
      </c>
      <c r="O354" s="830"/>
      <c r="P354" s="830"/>
      <c r="BE354" s="392">
        <v>16</v>
      </c>
      <c r="BF354" s="331" t="str">
        <f t="shared" si="138"/>
        <v>खिचडी</v>
      </c>
      <c r="BG354" s="331">
        <f t="shared" si="139"/>
        <v>0</v>
      </c>
      <c r="BH354" s="331" t="str">
        <f t="shared" si="140"/>
        <v>उसळ</v>
      </c>
      <c r="BI354" s="331" t="str">
        <f t="shared" si="141"/>
        <v>खिचडी</v>
      </c>
      <c r="BJ354" s="331">
        <f t="shared" si="142"/>
        <v>0</v>
      </c>
      <c r="BK354" s="331" t="str">
        <f t="shared" si="143"/>
        <v>उसळ</v>
      </c>
      <c r="BL354" s="331">
        <f t="shared" si="144"/>
        <v>0</v>
      </c>
      <c r="BM354" s="331" t="str">
        <f t="shared" si="145"/>
        <v>उसळ</v>
      </c>
      <c r="BN354" s="331" t="str">
        <f t="shared" si="146"/>
        <v>उसळ</v>
      </c>
      <c r="BO354" s="331">
        <f t="shared" si="147"/>
        <v>0</v>
      </c>
      <c r="BP354" s="331">
        <f t="shared" si="148"/>
        <v>0</v>
      </c>
      <c r="BQ354" s="331">
        <f t="shared" si="149"/>
        <v>0</v>
      </c>
    </row>
    <row r="355" spans="1:69" ht="27.75" customHeight="1" x14ac:dyDescent="0.4">
      <c r="A355" s="872">
        <v>347</v>
      </c>
      <c r="B355" s="870" t="s">
        <v>41</v>
      </c>
      <c r="C355" s="841">
        <f>DATE(O6,"3","1")</f>
        <v>44986</v>
      </c>
      <c r="D355" s="842" t="str">
        <f>IF(C355="","",INDEX({"रविवार";"सोमवार";"मंगळवार";"बुधवार";"गुरूवार";"शुक्रवार";"शनिवार"},WEEKDAY(C355)))</f>
        <v>बुधवार</v>
      </c>
      <c r="E355" s="673"/>
      <c r="F355" s="673"/>
      <c r="G355" s="673"/>
      <c r="H355" s="673"/>
      <c r="I355" s="673"/>
      <c r="J355" s="673"/>
      <c r="K355" s="673"/>
      <c r="L355" s="673"/>
      <c r="M355" s="828"/>
      <c r="N355" s="828"/>
      <c r="O355" s="673"/>
      <c r="P355" s="673"/>
      <c r="BE355" s="392">
        <v>17</v>
      </c>
      <c r="BF355" s="331">
        <f t="shared" si="138"/>
        <v>0</v>
      </c>
      <c r="BG355" s="331">
        <f t="shared" si="139"/>
        <v>0</v>
      </c>
      <c r="BH355" s="331" t="str">
        <f t="shared" si="140"/>
        <v>उसळ</v>
      </c>
      <c r="BI355" s="331">
        <f t="shared" si="141"/>
        <v>0</v>
      </c>
      <c r="BJ355" s="331" t="str">
        <f t="shared" si="142"/>
        <v>उसळ</v>
      </c>
      <c r="BK355" s="331">
        <f t="shared" si="143"/>
        <v>0</v>
      </c>
      <c r="BL355" s="331">
        <f t="shared" si="144"/>
        <v>0</v>
      </c>
      <c r="BM355" s="331" t="str">
        <f t="shared" si="145"/>
        <v>उसळ</v>
      </c>
      <c r="BN355" s="331" t="str">
        <f t="shared" si="146"/>
        <v>खिचडी</v>
      </c>
      <c r="BO355" s="331">
        <f t="shared" si="147"/>
        <v>0</v>
      </c>
      <c r="BP355" s="331">
        <f t="shared" si="148"/>
        <v>0</v>
      </c>
      <c r="BQ355" s="331">
        <f t="shared" si="149"/>
        <v>0</v>
      </c>
    </row>
    <row r="356" spans="1:69" ht="27.75" customHeight="1" x14ac:dyDescent="0.4">
      <c r="A356" s="872">
        <v>348</v>
      </c>
      <c r="B356" s="870" t="s">
        <v>41</v>
      </c>
      <c r="C356" s="841">
        <f>C355+1</f>
        <v>44987</v>
      </c>
      <c r="D356" s="842" t="str">
        <f>IF(C356="","",INDEX({"रविवार";"सोमवार";"मंगळवार";"बुधवार";"गुरूवार";"शुक्रवार";"शनिवार"},WEEKDAY(C356)))</f>
        <v>गुरूवार</v>
      </c>
      <c r="E356" s="673"/>
      <c r="F356" s="673"/>
      <c r="G356" s="673"/>
      <c r="H356" s="673"/>
      <c r="I356" s="673"/>
      <c r="J356" s="673"/>
      <c r="K356" s="673"/>
      <c r="L356" s="673"/>
      <c r="M356" s="828"/>
      <c r="N356" s="828"/>
      <c r="O356" s="673"/>
      <c r="P356" s="673"/>
      <c r="BE356" s="392">
        <v>18</v>
      </c>
      <c r="BF356" s="331" t="str">
        <f t="shared" si="138"/>
        <v>खिचडी</v>
      </c>
      <c r="BG356" s="331">
        <f t="shared" si="139"/>
        <v>0</v>
      </c>
      <c r="BH356" s="331" t="str">
        <f t="shared" si="140"/>
        <v>खिचडी</v>
      </c>
      <c r="BI356" s="331" t="str">
        <f t="shared" si="141"/>
        <v>खिचडी</v>
      </c>
      <c r="BJ356" s="331" t="str">
        <f t="shared" si="142"/>
        <v>उसळ</v>
      </c>
      <c r="BK356" s="331">
        <f t="shared" si="143"/>
        <v>0</v>
      </c>
      <c r="BL356" s="331">
        <f t="shared" si="144"/>
        <v>0</v>
      </c>
      <c r="BM356" s="331" t="str">
        <f t="shared" si="145"/>
        <v>उसळ</v>
      </c>
      <c r="BN356" s="331">
        <f t="shared" si="146"/>
        <v>0</v>
      </c>
      <c r="BO356" s="331">
        <f t="shared" si="147"/>
        <v>0</v>
      </c>
      <c r="BP356" s="331">
        <f t="shared" si="148"/>
        <v>0</v>
      </c>
      <c r="BQ356" s="331">
        <f t="shared" si="149"/>
        <v>0</v>
      </c>
    </row>
    <row r="357" spans="1:69" ht="27.75" customHeight="1" x14ac:dyDescent="0.4">
      <c r="A357" s="872">
        <v>349</v>
      </c>
      <c r="B357" s="870" t="s">
        <v>41</v>
      </c>
      <c r="C357" s="841">
        <f t="shared" ref="C357:C385" si="151">C356+1</f>
        <v>44988</v>
      </c>
      <c r="D357" s="842" t="str">
        <f>IF(C357="","",INDEX({"रविवार";"सोमवार";"मंगळवार";"बुधवार";"गुरूवार";"शुक्रवार";"शनिवार"},WEEKDAY(C357)))</f>
        <v>शुक्रवार</v>
      </c>
      <c r="E357" s="673"/>
      <c r="F357" s="673"/>
      <c r="G357" s="673"/>
      <c r="H357" s="673"/>
      <c r="I357" s="673"/>
      <c r="J357" s="673"/>
      <c r="K357" s="673"/>
      <c r="L357" s="673"/>
      <c r="M357" s="828"/>
      <c r="N357" s="828"/>
      <c r="O357" s="673"/>
      <c r="P357" s="673"/>
      <c r="BE357" s="392">
        <v>19</v>
      </c>
      <c r="BF357" s="331" t="str">
        <f t="shared" si="138"/>
        <v>उसळ</v>
      </c>
      <c r="BG357" s="331">
        <f t="shared" si="139"/>
        <v>0</v>
      </c>
      <c r="BH357" s="331">
        <f t="shared" si="140"/>
        <v>0</v>
      </c>
      <c r="BI357" s="331" t="str">
        <f t="shared" si="141"/>
        <v>उसळ</v>
      </c>
      <c r="BJ357" s="331" t="str">
        <f t="shared" si="142"/>
        <v>उसळ</v>
      </c>
      <c r="BK357" s="331" t="str">
        <f t="shared" si="143"/>
        <v>खिचडी</v>
      </c>
      <c r="BL357" s="331">
        <f t="shared" si="144"/>
        <v>0</v>
      </c>
      <c r="BM357" s="331" t="str">
        <f t="shared" si="145"/>
        <v>खिचडी</v>
      </c>
      <c r="BN357" s="331" t="str">
        <f t="shared" si="146"/>
        <v>खिचडी</v>
      </c>
      <c r="BO357" s="331">
        <f t="shared" si="147"/>
        <v>0</v>
      </c>
      <c r="BP357" s="331">
        <f t="shared" si="148"/>
        <v>0</v>
      </c>
      <c r="BQ357" s="331">
        <f t="shared" si="149"/>
        <v>0</v>
      </c>
    </row>
    <row r="358" spans="1:69" ht="27.75" customHeight="1" x14ac:dyDescent="0.4">
      <c r="A358" s="872">
        <v>350</v>
      </c>
      <c r="B358" s="870" t="s">
        <v>41</v>
      </c>
      <c r="C358" s="841">
        <f t="shared" si="151"/>
        <v>44989</v>
      </c>
      <c r="D358" s="842" t="str">
        <f>IF(C358="","",INDEX({"रविवार";"सोमवार";"मंगळवार";"बुधवार";"गुरूवार";"शुक्रवार";"शनिवार"},WEEKDAY(C358)))</f>
        <v>शनिवार</v>
      </c>
      <c r="E358" s="673"/>
      <c r="F358" s="673"/>
      <c r="G358" s="673"/>
      <c r="H358" s="673"/>
      <c r="I358" s="673"/>
      <c r="J358" s="673"/>
      <c r="K358" s="673"/>
      <c r="L358" s="673"/>
      <c r="M358" s="828"/>
      <c r="N358" s="828"/>
      <c r="O358" s="673"/>
      <c r="P358" s="673"/>
      <c r="BE358" s="392">
        <v>20</v>
      </c>
      <c r="BF358" s="331" t="str">
        <f t="shared" si="138"/>
        <v>उसळ</v>
      </c>
      <c r="BG358" s="331">
        <f t="shared" si="139"/>
        <v>0</v>
      </c>
      <c r="BH358" s="331" t="str">
        <f t="shared" si="140"/>
        <v>खिचडी</v>
      </c>
      <c r="BI358" s="331" t="str">
        <f t="shared" si="141"/>
        <v>उसळ</v>
      </c>
      <c r="BJ358" s="331" t="str">
        <f t="shared" si="142"/>
        <v>खिचडी</v>
      </c>
      <c r="BK358" s="331" t="str">
        <f t="shared" si="143"/>
        <v>उसळ</v>
      </c>
      <c r="BL358" s="331">
        <f t="shared" si="144"/>
        <v>0</v>
      </c>
      <c r="BM358" s="331">
        <f t="shared" si="145"/>
        <v>0</v>
      </c>
      <c r="BN358" s="331" t="str">
        <f t="shared" si="146"/>
        <v>उसळ</v>
      </c>
      <c r="BO358" s="331">
        <f t="shared" si="147"/>
        <v>0</v>
      </c>
      <c r="BP358" s="331">
        <f t="shared" si="148"/>
        <v>0</v>
      </c>
      <c r="BQ358" s="331">
        <f t="shared" si="149"/>
        <v>0</v>
      </c>
    </row>
    <row r="359" spans="1:69" ht="27.75" customHeight="1" x14ac:dyDescent="0.4">
      <c r="A359" s="872">
        <v>351</v>
      </c>
      <c r="B359" s="870" t="s">
        <v>41</v>
      </c>
      <c r="C359" s="841">
        <f t="shared" si="151"/>
        <v>44990</v>
      </c>
      <c r="D359" s="842" t="str">
        <f>IF(C359="","",INDEX({"रविवार";"सोमवार";"मंगळवार";"बुधवार";"गुरूवार";"शुक्रवार";"शनिवार"},WEEKDAY(C359)))</f>
        <v>रविवार</v>
      </c>
      <c r="E359" s="673"/>
      <c r="F359" s="673"/>
      <c r="G359" s="673"/>
      <c r="H359" s="673"/>
      <c r="I359" s="673"/>
      <c r="J359" s="673"/>
      <c r="K359" s="673"/>
      <c r="L359" s="673"/>
      <c r="M359" s="828"/>
      <c r="N359" s="828"/>
      <c r="O359" s="673"/>
      <c r="P359" s="673"/>
      <c r="BE359" s="392">
        <v>21</v>
      </c>
      <c r="BF359" s="331" t="str">
        <f t="shared" si="138"/>
        <v>उसळ</v>
      </c>
      <c r="BG359" s="331">
        <f t="shared" si="139"/>
        <v>0</v>
      </c>
      <c r="BH359" s="331" t="str">
        <f t="shared" si="140"/>
        <v>उसळ</v>
      </c>
      <c r="BI359" s="331" t="str">
        <f t="shared" si="141"/>
        <v>उसळ</v>
      </c>
      <c r="BJ359" s="331">
        <f t="shared" si="142"/>
        <v>0</v>
      </c>
      <c r="BK359" s="331" t="str">
        <f t="shared" si="143"/>
        <v>उसळ</v>
      </c>
      <c r="BL359" s="331">
        <f t="shared" si="144"/>
        <v>0</v>
      </c>
      <c r="BM359" s="331" t="str">
        <f t="shared" si="145"/>
        <v>खिचडी</v>
      </c>
      <c r="BN359" s="331" t="str">
        <f t="shared" si="146"/>
        <v>उसळ</v>
      </c>
      <c r="BO359" s="331">
        <f t="shared" si="147"/>
        <v>0</v>
      </c>
      <c r="BP359" s="331">
        <f t="shared" si="148"/>
        <v>0</v>
      </c>
      <c r="BQ359" s="331">
        <f t="shared" si="149"/>
        <v>0</v>
      </c>
    </row>
    <row r="360" spans="1:69" ht="27.75" customHeight="1" x14ac:dyDescent="0.4">
      <c r="A360" s="872">
        <v>352</v>
      </c>
      <c r="B360" s="870" t="s">
        <v>41</v>
      </c>
      <c r="C360" s="841">
        <f t="shared" si="151"/>
        <v>44991</v>
      </c>
      <c r="D360" s="842" t="str">
        <f>IF(C360="","",INDEX({"रविवार";"सोमवार";"मंगळवार";"बुधवार";"गुरूवार";"शुक्रवार";"शनिवार"},WEEKDAY(C360)))</f>
        <v>सोमवार</v>
      </c>
      <c r="E360" s="673"/>
      <c r="F360" s="673"/>
      <c r="G360" s="673"/>
      <c r="H360" s="673"/>
      <c r="I360" s="673"/>
      <c r="J360" s="673"/>
      <c r="K360" s="673"/>
      <c r="L360" s="673"/>
      <c r="M360" s="828"/>
      <c r="N360" s="828"/>
      <c r="O360" s="673"/>
      <c r="P360" s="673"/>
      <c r="BE360" s="392">
        <v>22</v>
      </c>
      <c r="BF360" s="331" t="str">
        <f t="shared" si="138"/>
        <v>उसळ</v>
      </c>
      <c r="BG360" s="331">
        <f t="shared" si="139"/>
        <v>0</v>
      </c>
      <c r="BH360" s="331" t="str">
        <f t="shared" si="140"/>
        <v>उसळ</v>
      </c>
      <c r="BI360" s="331" t="str">
        <f t="shared" si="141"/>
        <v>उसळ</v>
      </c>
      <c r="BJ360" s="331" t="str">
        <f t="shared" si="142"/>
        <v>खिचडी</v>
      </c>
      <c r="BK360" s="331" t="str">
        <f t="shared" si="143"/>
        <v>उसळ</v>
      </c>
      <c r="BL360" s="331">
        <f t="shared" si="144"/>
        <v>0</v>
      </c>
      <c r="BM360" s="331" t="str">
        <f t="shared" si="145"/>
        <v>उसळ</v>
      </c>
      <c r="BN360" s="331" t="str">
        <f t="shared" si="146"/>
        <v>उसळ</v>
      </c>
      <c r="BO360" s="331">
        <f t="shared" si="147"/>
        <v>0</v>
      </c>
      <c r="BP360" s="331">
        <f t="shared" si="148"/>
        <v>0</v>
      </c>
      <c r="BQ360" s="331">
        <f t="shared" si="149"/>
        <v>0</v>
      </c>
    </row>
    <row r="361" spans="1:69" ht="27.75" customHeight="1" x14ac:dyDescent="0.4">
      <c r="A361" s="872">
        <v>353</v>
      </c>
      <c r="B361" s="870" t="s">
        <v>41</v>
      </c>
      <c r="C361" s="841">
        <f t="shared" si="151"/>
        <v>44992</v>
      </c>
      <c r="D361" s="842" t="str">
        <f>IF(C361="","",INDEX({"रविवार";"सोमवार";"मंगळवार";"बुधवार";"गुरूवार";"शुक्रवार";"शनिवार"},WEEKDAY(C361)))</f>
        <v>मंगळवार</v>
      </c>
      <c r="E361" s="673"/>
      <c r="F361" s="673"/>
      <c r="G361" s="673"/>
      <c r="H361" s="673"/>
      <c r="I361" s="673"/>
      <c r="J361" s="673"/>
      <c r="K361" s="673"/>
      <c r="L361" s="673"/>
      <c r="M361" s="828"/>
      <c r="N361" s="828"/>
      <c r="O361" s="673"/>
      <c r="P361" s="673"/>
      <c r="BE361" s="392">
        <v>23</v>
      </c>
      <c r="BF361" s="331" t="str">
        <f t="shared" si="138"/>
        <v>खिचडी</v>
      </c>
      <c r="BG361" s="331">
        <f t="shared" si="139"/>
        <v>0</v>
      </c>
      <c r="BH361" s="331" t="str">
        <f t="shared" si="140"/>
        <v>उसळ</v>
      </c>
      <c r="BI361" s="331" t="str">
        <f t="shared" si="141"/>
        <v>खिचडी</v>
      </c>
      <c r="BJ361" s="331" t="str">
        <f t="shared" si="142"/>
        <v>उसळ</v>
      </c>
      <c r="BK361" s="331" t="str">
        <f t="shared" si="143"/>
        <v>उसळ</v>
      </c>
      <c r="BL361" s="331">
        <f t="shared" si="144"/>
        <v>0</v>
      </c>
      <c r="BM361" s="331" t="str">
        <f t="shared" si="145"/>
        <v>उसळ</v>
      </c>
      <c r="BN361" s="331" t="str">
        <f t="shared" si="146"/>
        <v>उसळ</v>
      </c>
      <c r="BO361" s="331">
        <f t="shared" si="147"/>
        <v>0</v>
      </c>
      <c r="BP361" s="331">
        <f t="shared" si="148"/>
        <v>0</v>
      </c>
      <c r="BQ361" s="331">
        <f t="shared" si="149"/>
        <v>0</v>
      </c>
    </row>
    <row r="362" spans="1:69" ht="27.75" customHeight="1" x14ac:dyDescent="0.4">
      <c r="A362" s="872">
        <v>354</v>
      </c>
      <c r="B362" s="870" t="s">
        <v>41</v>
      </c>
      <c r="C362" s="841">
        <f t="shared" si="151"/>
        <v>44993</v>
      </c>
      <c r="D362" s="842" t="str">
        <f>IF(C362="","",INDEX({"रविवार";"सोमवार";"मंगळवार";"बुधवार";"गुरूवार";"शुक्रवार";"शनिवार"},WEEKDAY(C362)))</f>
        <v>बुधवार</v>
      </c>
      <c r="E362" s="673"/>
      <c r="F362" s="673"/>
      <c r="G362" s="673"/>
      <c r="H362" s="673"/>
      <c r="I362" s="673"/>
      <c r="J362" s="673"/>
      <c r="K362" s="673"/>
      <c r="L362" s="673"/>
      <c r="M362" s="828"/>
      <c r="N362" s="828"/>
      <c r="O362" s="673"/>
      <c r="P362" s="673"/>
      <c r="BE362" s="392">
        <v>24</v>
      </c>
      <c r="BF362" s="331">
        <f t="shared" si="138"/>
        <v>0</v>
      </c>
      <c r="BG362" s="331">
        <f t="shared" si="139"/>
        <v>0</v>
      </c>
      <c r="BH362" s="331" t="str">
        <f t="shared" si="140"/>
        <v>उसळ</v>
      </c>
      <c r="BI362" s="331">
        <f t="shared" si="141"/>
        <v>0</v>
      </c>
      <c r="BJ362" s="331" t="str">
        <f t="shared" si="142"/>
        <v>उसळ</v>
      </c>
      <c r="BK362" s="331" t="str">
        <f t="shared" si="143"/>
        <v>खिचडी</v>
      </c>
      <c r="BL362" s="331">
        <f t="shared" si="144"/>
        <v>0</v>
      </c>
      <c r="BM362" s="331" t="str">
        <f t="shared" si="145"/>
        <v>उसळ</v>
      </c>
      <c r="BN362" s="331" t="str">
        <f t="shared" si="146"/>
        <v>खिचडी</v>
      </c>
      <c r="BO362" s="331">
        <f t="shared" si="147"/>
        <v>0</v>
      </c>
      <c r="BP362" s="331">
        <f t="shared" si="148"/>
        <v>0</v>
      </c>
      <c r="BQ362" s="331">
        <f t="shared" si="149"/>
        <v>0</v>
      </c>
    </row>
    <row r="363" spans="1:69" ht="27.75" customHeight="1" x14ac:dyDescent="0.4">
      <c r="A363" s="872">
        <v>355</v>
      </c>
      <c r="B363" s="870" t="s">
        <v>41</v>
      </c>
      <c r="C363" s="841">
        <f t="shared" si="151"/>
        <v>44994</v>
      </c>
      <c r="D363" s="842" t="str">
        <f>IF(C363="","",INDEX({"रविवार";"सोमवार";"मंगळवार";"बुधवार";"गुरूवार";"शुक्रवार";"शनिवार"},WEEKDAY(C363)))</f>
        <v>गुरूवार</v>
      </c>
      <c r="E363" s="673"/>
      <c r="F363" s="673"/>
      <c r="G363" s="673"/>
      <c r="H363" s="673"/>
      <c r="I363" s="673"/>
      <c r="J363" s="673"/>
      <c r="K363" s="673"/>
      <c r="L363" s="673"/>
      <c r="M363" s="828"/>
      <c r="N363" s="828"/>
      <c r="O363" s="673"/>
      <c r="P363" s="673"/>
      <c r="BE363" s="392">
        <v>25</v>
      </c>
      <c r="BF363" s="331" t="str">
        <f t="shared" si="138"/>
        <v>खिचडी</v>
      </c>
      <c r="BG363" s="331">
        <f t="shared" si="139"/>
        <v>0</v>
      </c>
      <c r="BH363" s="331" t="str">
        <f t="shared" si="140"/>
        <v>खिचडी</v>
      </c>
      <c r="BI363" s="331" t="str">
        <f t="shared" si="141"/>
        <v>खिचडी</v>
      </c>
      <c r="BJ363" s="331" t="str">
        <f t="shared" si="142"/>
        <v>उसळ</v>
      </c>
      <c r="BK363" s="331">
        <f t="shared" si="143"/>
        <v>0</v>
      </c>
      <c r="BL363" s="331">
        <f t="shared" si="144"/>
        <v>0</v>
      </c>
      <c r="BM363" s="331" t="str">
        <f t="shared" si="145"/>
        <v>उसळ</v>
      </c>
      <c r="BN363" s="331">
        <f t="shared" si="146"/>
        <v>0</v>
      </c>
      <c r="BO363" s="331">
        <f t="shared" si="147"/>
        <v>0</v>
      </c>
      <c r="BP363" s="331">
        <f t="shared" si="148"/>
        <v>0</v>
      </c>
      <c r="BQ363" s="331">
        <f t="shared" si="149"/>
        <v>0</v>
      </c>
    </row>
    <row r="364" spans="1:69" ht="27.75" customHeight="1" x14ac:dyDescent="0.4">
      <c r="A364" s="872">
        <v>356</v>
      </c>
      <c r="B364" s="870" t="s">
        <v>41</v>
      </c>
      <c r="C364" s="841">
        <f t="shared" si="151"/>
        <v>44995</v>
      </c>
      <c r="D364" s="842" t="str">
        <f>IF(C364="","",INDEX({"रविवार";"सोमवार";"मंगळवार";"बुधवार";"गुरूवार";"शुक्रवार";"शनिवार"},WEEKDAY(C364)))</f>
        <v>शुक्रवार</v>
      </c>
      <c r="E364" s="673"/>
      <c r="F364" s="673"/>
      <c r="G364" s="673"/>
      <c r="H364" s="673"/>
      <c r="I364" s="673"/>
      <c r="J364" s="673"/>
      <c r="K364" s="673"/>
      <c r="L364" s="673"/>
      <c r="M364" s="828"/>
      <c r="N364" s="828"/>
      <c r="O364" s="673"/>
      <c r="P364" s="673"/>
      <c r="BE364" s="392">
        <v>26</v>
      </c>
      <c r="BF364" s="331" t="str">
        <f t="shared" si="138"/>
        <v>उसळ</v>
      </c>
      <c r="BG364" s="331">
        <f t="shared" si="139"/>
        <v>0</v>
      </c>
      <c r="BH364" s="331">
        <f t="shared" si="140"/>
        <v>0</v>
      </c>
      <c r="BI364" s="331" t="str">
        <f t="shared" si="141"/>
        <v>उसळ</v>
      </c>
      <c r="BJ364" s="331">
        <f t="shared" si="142"/>
        <v>0</v>
      </c>
      <c r="BK364" s="331">
        <f t="shared" si="143"/>
        <v>0</v>
      </c>
      <c r="BL364" s="331">
        <f t="shared" si="144"/>
        <v>0</v>
      </c>
      <c r="BM364" s="331" t="str">
        <f t="shared" si="145"/>
        <v>खिचडी</v>
      </c>
      <c r="BN364" s="331" t="str">
        <f t="shared" si="146"/>
        <v>खिचडी</v>
      </c>
      <c r="BO364" s="331">
        <f t="shared" si="147"/>
        <v>0</v>
      </c>
      <c r="BP364" s="331">
        <f t="shared" si="148"/>
        <v>0</v>
      </c>
      <c r="BQ364" s="331">
        <f t="shared" si="149"/>
        <v>0</v>
      </c>
    </row>
    <row r="365" spans="1:69" ht="27.75" customHeight="1" x14ac:dyDescent="0.4">
      <c r="A365" s="872">
        <v>357</v>
      </c>
      <c r="B365" s="870" t="s">
        <v>41</v>
      </c>
      <c r="C365" s="841">
        <f t="shared" si="151"/>
        <v>44996</v>
      </c>
      <c r="D365" s="842" t="str">
        <f>IF(C365="","",INDEX({"रविवार";"सोमवार";"मंगळवार";"बुधवार";"गुरूवार";"शुक्रवार";"शनिवार"},WEEKDAY(C365)))</f>
        <v>शनिवार</v>
      </c>
      <c r="E365" s="673"/>
      <c r="F365" s="673"/>
      <c r="G365" s="673"/>
      <c r="H365" s="673"/>
      <c r="I365" s="673"/>
      <c r="J365" s="673"/>
      <c r="K365" s="673"/>
      <c r="L365" s="673"/>
      <c r="M365" s="828"/>
      <c r="N365" s="828"/>
      <c r="O365" s="673"/>
      <c r="P365" s="673"/>
      <c r="BE365" s="392">
        <v>27</v>
      </c>
      <c r="BF365" s="331" t="str">
        <f t="shared" si="138"/>
        <v>उसळ</v>
      </c>
      <c r="BG365" s="331">
        <f t="shared" si="139"/>
        <v>0</v>
      </c>
      <c r="BH365" s="331" t="str">
        <f t="shared" si="140"/>
        <v>खिचडी</v>
      </c>
      <c r="BI365" s="331" t="str">
        <f t="shared" si="141"/>
        <v>उसळ</v>
      </c>
      <c r="BJ365" s="331" t="str">
        <f t="shared" si="142"/>
        <v>खिचडी</v>
      </c>
      <c r="BK365" s="331" t="str">
        <f t="shared" si="143"/>
        <v>उसळ</v>
      </c>
      <c r="BL365" s="331">
        <f t="shared" si="144"/>
        <v>0</v>
      </c>
      <c r="BM365" s="331">
        <f t="shared" si="145"/>
        <v>0</v>
      </c>
      <c r="BN365" s="331" t="str">
        <f t="shared" si="146"/>
        <v>उसळ</v>
      </c>
      <c r="BO365" s="331">
        <f t="shared" si="147"/>
        <v>0</v>
      </c>
      <c r="BP365" s="331">
        <f t="shared" si="148"/>
        <v>0</v>
      </c>
      <c r="BQ365" s="331">
        <f t="shared" si="149"/>
        <v>0</v>
      </c>
    </row>
    <row r="366" spans="1:69" ht="27.75" customHeight="1" x14ac:dyDescent="0.4">
      <c r="A366" s="872">
        <v>358</v>
      </c>
      <c r="B366" s="870" t="s">
        <v>41</v>
      </c>
      <c r="C366" s="841">
        <f t="shared" si="151"/>
        <v>44997</v>
      </c>
      <c r="D366" s="842" t="str">
        <f>IF(C366="","",INDEX({"रविवार";"सोमवार";"मंगळवार";"बुधवार";"गुरूवार";"शुक्रवार";"शनिवार"},WEEKDAY(C366)))</f>
        <v>रविवार</v>
      </c>
      <c r="E366" s="673"/>
      <c r="F366" s="673"/>
      <c r="G366" s="673"/>
      <c r="H366" s="673"/>
      <c r="I366" s="673"/>
      <c r="J366" s="673"/>
      <c r="K366" s="673"/>
      <c r="L366" s="673"/>
      <c r="M366" s="828"/>
      <c r="N366" s="828"/>
      <c r="O366" s="673"/>
      <c r="P366" s="673"/>
      <c r="BE366" s="392">
        <v>28</v>
      </c>
      <c r="BF366" s="331" t="str">
        <f t="shared" si="138"/>
        <v>उसळ</v>
      </c>
      <c r="BG366" s="331">
        <f t="shared" si="139"/>
        <v>0</v>
      </c>
      <c r="BH366" s="331" t="str">
        <f t="shared" si="140"/>
        <v>उसळ</v>
      </c>
      <c r="BI366" s="331" t="str">
        <f t="shared" si="141"/>
        <v>उसळ</v>
      </c>
      <c r="BJ366" s="331">
        <f t="shared" si="142"/>
        <v>0</v>
      </c>
      <c r="BK366" s="331" t="str">
        <f t="shared" si="143"/>
        <v>उसळ</v>
      </c>
      <c r="BL366" s="331">
        <f t="shared" si="144"/>
        <v>0</v>
      </c>
      <c r="BM366" s="331" t="str">
        <f t="shared" si="145"/>
        <v>खिचडी</v>
      </c>
      <c r="BN366" s="331" t="str">
        <f t="shared" si="146"/>
        <v>उसळ</v>
      </c>
      <c r="BO366" s="331">
        <f t="shared" si="147"/>
        <v>0</v>
      </c>
      <c r="BP366" s="331">
        <f t="shared" si="148"/>
        <v>0</v>
      </c>
      <c r="BQ366" s="331">
        <f t="shared" si="149"/>
        <v>0</v>
      </c>
    </row>
    <row r="367" spans="1:69" ht="27.75" customHeight="1" x14ac:dyDescent="0.4">
      <c r="A367" s="872">
        <v>359</v>
      </c>
      <c r="B367" s="870" t="s">
        <v>41</v>
      </c>
      <c r="C367" s="841">
        <f t="shared" si="151"/>
        <v>44998</v>
      </c>
      <c r="D367" s="842" t="str">
        <f>IF(C367="","",INDEX({"रविवार";"सोमवार";"मंगळवार";"बुधवार";"गुरूवार";"शुक्रवार";"शनिवार"},WEEKDAY(C367)))</f>
        <v>सोमवार</v>
      </c>
      <c r="E367" s="673"/>
      <c r="F367" s="673"/>
      <c r="G367" s="673"/>
      <c r="H367" s="673"/>
      <c r="I367" s="673"/>
      <c r="J367" s="673"/>
      <c r="K367" s="673"/>
      <c r="L367" s="673"/>
      <c r="M367" s="828"/>
      <c r="N367" s="828"/>
      <c r="O367" s="673"/>
      <c r="P367" s="673"/>
      <c r="BE367" s="392">
        <v>29</v>
      </c>
      <c r="BF367" s="331" t="str">
        <f t="shared" si="138"/>
        <v>उसळ</v>
      </c>
      <c r="BG367" s="331">
        <f t="shared" si="139"/>
        <v>0</v>
      </c>
      <c r="BH367" s="331" t="str">
        <f t="shared" si="140"/>
        <v>उसळ</v>
      </c>
      <c r="BI367" s="331" t="str">
        <f t="shared" si="141"/>
        <v>उसळ</v>
      </c>
      <c r="BJ367" s="331" t="str">
        <f t="shared" si="142"/>
        <v>खिचडी</v>
      </c>
      <c r="BK367" s="331" t="str">
        <f t="shared" si="143"/>
        <v>उसळ</v>
      </c>
      <c r="BL367" s="331">
        <f t="shared" si="144"/>
        <v>0</v>
      </c>
      <c r="BM367" s="331" t="str">
        <f t="shared" si="145"/>
        <v>उसळ</v>
      </c>
      <c r="BN367" s="331" t="str">
        <f t="shared" si="146"/>
        <v>उसळ</v>
      </c>
      <c r="BO367" s="331">
        <f t="shared" si="147"/>
        <v>0</v>
      </c>
      <c r="BP367" s="331">
        <f t="shared" si="148"/>
        <v>0</v>
      </c>
      <c r="BQ367" s="331">
        <f t="shared" si="149"/>
        <v>0</v>
      </c>
    </row>
    <row r="368" spans="1:69" ht="27.75" customHeight="1" x14ac:dyDescent="0.4">
      <c r="A368" s="872">
        <v>360</v>
      </c>
      <c r="B368" s="870" t="s">
        <v>41</v>
      </c>
      <c r="C368" s="841">
        <f t="shared" si="151"/>
        <v>44999</v>
      </c>
      <c r="D368" s="842" t="str">
        <f>IF(C368="","",INDEX({"रविवार";"सोमवार";"मंगळवार";"बुधवार";"गुरूवार";"शुक्रवार";"शनिवार"},WEEKDAY(C368)))</f>
        <v>मंगळवार</v>
      </c>
      <c r="E368" s="673"/>
      <c r="F368" s="673"/>
      <c r="G368" s="673"/>
      <c r="H368" s="673"/>
      <c r="I368" s="673"/>
      <c r="J368" s="673"/>
      <c r="K368" s="673"/>
      <c r="L368" s="673"/>
      <c r="M368" s="828"/>
      <c r="N368" s="828"/>
      <c r="O368" s="673"/>
      <c r="P368" s="673"/>
      <c r="BE368" s="392">
        <v>30</v>
      </c>
      <c r="BF368" s="331" t="str">
        <f t="shared" si="138"/>
        <v>खिचडी</v>
      </c>
      <c r="BG368" s="331">
        <f t="shared" si="139"/>
        <v>0</v>
      </c>
      <c r="BH368" s="331" t="str">
        <f t="shared" si="140"/>
        <v>उसळ</v>
      </c>
      <c r="BI368" s="331" t="str">
        <f t="shared" si="141"/>
        <v>खिचडी</v>
      </c>
      <c r="BJ368" s="331" t="str">
        <f t="shared" si="142"/>
        <v>उसळ</v>
      </c>
      <c r="BK368" s="331" t="str">
        <f t="shared" si="143"/>
        <v>उसळ</v>
      </c>
      <c r="BL368" s="331">
        <f t="shared" si="144"/>
        <v>0</v>
      </c>
      <c r="BM368" s="331" t="str">
        <f t="shared" si="145"/>
        <v>उसळ</v>
      </c>
      <c r="BN368" s="331" t="str">
        <f t="shared" si="146"/>
        <v>उसळ</v>
      </c>
      <c r="BO368" s="331">
        <f t="shared" si="147"/>
        <v>0</v>
      </c>
      <c r="BP368" s="393"/>
      <c r="BQ368" s="331">
        <f t="shared" si="149"/>
        <v>0</v>
      </c>
    </row>
    <row r="369" spans="1:69" ht="27.75" customHeight="1" x14ac:dyDescent="0.4">
      <c r="A369" s="872">
        <v>361</v>
      </c>
      <c r="B369" s="870" t="s">
        <v>41</v>
      </c>
      <c r="C369" s="841">
        <f t="shared" si="151"/>
        <v>45000</v>
      </c>
      <c r="D369" s="842" t="str">
        <f>IF(C369="","",INDEX({"रविवार";"सोमवार";"मंगळवार";"बुधवार";"गुरूवार";"शुक्रवार";"शनिवार"},WEEKDAY(C369)))</f>
        <v>बुधवार</v>
      </c>
      <c r="E369" s="673"/>
      <c r="F369" s="673"/>
      <c r="G369" s="673"/>
      <c r="H369" s="673"/>
      <c r="I369" s="673"/>
      <c r="J369" s="673"/>
      <c r="K369" s="673"/>
      <c r="L369" s="673"/>
      <c r="M369" s="828"/>
      <c r="N369" s="828"/>
      <c r="O369" s="673"/>
      <c r="P369" s="673"/>
      <c r="BE369" s="392">
        <v>31</v>
      </c>
      <c r="BF369" s="393"/>
      <c r="BG369" s="331">
        <f t="shared" si="139"/>
        <v>0</v>
      </c>
      <c r="BH369" s="393"/>
      <c r="BI369" s="331">
        <f t="shared" si="141"/>
        <v>0</v>
      </c>
      <c r="BJ369" s="331">
        <f t="shared" si="142"/>
        <v>0</v>
      </c>
      <c r="BK369" s="393"/>
      <c r="BL369" s="331">
        <f t="shared" si="144"/>
        <v>0</v>
      </c>
      <c r="BM369" s="393"/>
      <c r="BN369" s="331" t="str">
        <f t="shared" si="146"/>
        <v>खिचडी</v>
      </c>
      <c r="BO369" s="331">
        <f t="shared" si="147"/>
        <v>0</v>
      </c>
      <c r="BP369" s="393"/>
      <c r="BQ369" s="331">
        <f t="shared" si="149"/>
        <v>0</v>
      </c>
    </row>
    <row r="370" spans="1:69" ht="27.75" customHeight="1" x14ac:dyDescent="0.4">
      <c r="A370" s="872">
        <v>362</v>
      </c>
      <c r="B370" s="870" t="s">
        <v>41</v>
      </c>
      <c r="C370" s="841">
        <f t="shared" si="151"/>
        <v>45001</v>
      </c>
      <c r="D370" s="842" t="str">
        <f>IF(C370="","",INDEX({"रविवार";"सोमवार";"मंगळवार";"बुधवार";"गुरूवार";"शुक्रवार";"शनिवार"},WEEKDAY(C370)))</f>
        <v>गुरूवार</v>
      </c>
      <c r="E370" s="673"/>
      <c r="F370" s="673"/>
      <c r="G370" s="673"/>
      <c r="H370" s="673"/>
      <c r="I370" s="673"/>
      <c r="J370" s="673"/>
      <c r="K370" s="673"/>
      <c r="L370" s="673"/>
      <c r="M370" s="828"/>
      <c r="N370" s="828"/>
      <c r="O370" s="673"/>
      <c r="P370" s="673"/>
    </row>
    <row r="371" spans="1:69" ht="27.75" customHeight="1" x14ac:dyDescent="0.4">
      <c r="A371" s="872">
        <v>363</v>
      </c>
      <c r="B371" s="870" t="s">
        <v>41</v>
      </c>
      <c r="C371" s="841">
        <f t="shared" si="151"/>
        <v>45002</v>
      </c>
      <c r="D371" s="842" t="str">
        <f>IF(C371="","",INDEX({"रविवार";"सोमवार";"मंगळवार";"बुधवार";"गुरूवार";"शुक्रवार";"शनिवार"},WEEKDAY(C371)))</f>
        <v>शुक्रवार</v>
      </c>
      <c r="E371" s="673"/>
      <c r="F371" s="673"/>
      <c r="G371" s="673"/>
      <c r="H371" s="673"/>
      <c r="I371" s="673"/>
      <c r="J371" s="673"/>
      <c r="K371" s="673"/>
      <c r="L371" s="673"/>
      <c r="M371" s="828"/>
      <c r="N371" s="828"/>
      <c r="O371" s="673"/>
      <c r="P371" s="673"/>
    </row>
    <row r="372" spans="1:69" ht="27.75" customHeight="1" x14ac:dyDescent="0.4">
      <c r="A372" s="872">
        <v>364</v>
      </c>
      <c r="B372" s="870" t="s">
        <v>41</v>
      </c>
      <c r="C372" s="841">
        <f t="shared" si="151"/>
        <v>45003</v>
      </c>
      <c r="D372" s="842" t="str">
        <f>IF(C372="","",INDEX({"रविवार";"सोमवार";"मंगळवार";"बुधवार";"गुरूवार";"शुक्रवार";"शनिवार"},WEEKDAY(C372)))</f>
        <v>शनिवार</v>
      </c>
      <c r="E372" s="673"/>
      <c r="F372" s="673"/>
      <c r="G372" s="673"/>
      <c r="H372" s="673"/>
      <c r="I372" s="673"/>
      <c r="J372" s="673"/>
      <c r="K372" s="673"/>
      <c r="L372" s="673"/>
      <c r="M372" s="828"/>
      <c r="N372" s="828"/>
      <c r="O372" s="673"/>
      <c r="P372" s="673"/>
    </row>
    <row r="373" spans="1:69" ht="27.75" customHeight="1" x14ac:dyDescent="0.4">
      <c r="A373" s="872">
        <v>365</v>
      </c>
      <c r="B373" s="870" t="s">
        <v>41</v>
      </c>
      <c r="C373" s="841">
        <f t="shared" si="151"/>
        <v>45004</v>
      </c>
      <c r="D373" s="842" t="str">
        <f>IF(C373="","",INDEX({"रविवार";"सोमवार";"मंगळवार";"बुधवार";"गुरूवार";"शुक्रवार";"शनिवार"},WEEKDAY(C373)))</f>
        <v>रविवार</v>
      </c>
      <c r="E373" s="673"/>
      <c r="F373" s="673"/>
      <c r="G373" s="673"/>
      <c r="H373" s="673"/>
      <c r="I373" s="673"/>
      <c r="J373" s="673"/>
      <c r="K373" s="673"/>
      <c r="L373" s="673"/>
      <c r="M373" s="828"/>
      <c r="N373" s="828"/>
      <c r="O373" s="673"/>
      <c r="P373" s="673"/>
    </row>
    <row r="374" spans="1:69" ht="27.75" customHeight="1" x14ac:dyDescent="0.4">
      <c r="A374" s="872">
        <v>366</v>
      </c>
      <c r="B374" s="870" t="s">
        <v>41</v>
      </c>
      <c r="C374" s="841">
        <f t="shared" si="151"/>
        <v>45005</v>
      </c>
      <c r="D374" s="842" t="str">
        <f>IF(C374="","",INDEX({"रविवार";"सोमवार";"मंगळवार";"बुधवार";"गुरूवार";"शुक्रवार";"शनिवार"},WEEKDAY(C374)))</f>
        <v>सोमवार</v>
      </c>
      <c r="E374" s="673"/>
      <c r="F374" s="673"/>
      <c r="G374" s="673"/>
      <c r="H374" s="673"/>
      <c r="I374" s="673"/>
      <c r="J374" s="673"/>
      <c r="K374" s="673"/>
      <c r="L374" s="673"/>
      <c r="M374" s="828"/>
      <c r="N374" s="828"/>
      <c r="O374" s="673"/>
      <c r="P374" s="673"/>
    </row>
    <row r="375" spans="1:69" ht="27.75" customHeight="1" x14ac:dyDescent="0.4">
      <c r="A375" s="872">
        <v>367</v>
      </c>
      <c r="B375" s="870" t="s">
        <v>41</v>
      </c>
      <c r="C375" s="841">
        <f t="shared" si="151"/>
        <v>45006</v>
      </c>
      <c r="D375" s="842" t="str">
        <f>IF(C375="","",INDEX({"रविवार";"सोमवार";"मंगळवार";"बुधवार";"गुरूवार";"शुक्रवार";"शनिवार"},WEEKDAY(C375)))</f>
        <v>मंगळवार</v>
      </c>
      <c r="E375" s="673"/>
      <c r="F375" s="673"/>
      <c r="G375" s="673"/>
      <c r="H375" s="673"/>
      <c r="I375" s="673"/>
      <c r="J375" s="673"/>
      <c r="K375" s="673"/>
      <c r="L375" s="673"/>
      <c r="M375" s="828"/>
      <c r="N375" s="828"/>
      <c r="O375" s="673"/>
      <c r="P375" s="673"/>
    </row>
    <row r="376" spans="1:69" ht="27.75" customHeight="1" x14ac:dyDescent="0.4">
      <c r="A376" s="872">
        <v>368</v>
      </c>
      <c r="B376" s="870" t="s">
        <v>41</v>
      </c>
      <c r="C376" s="841">
        <f t="shared" si="151"/>
        <v>45007</v>
      </c>
      <c r="D376" s="842" t="str">
        <f>IF(C376="","",INDEX({"रविवार";"सोमवार";"मंगळवार";"बुधवार";"गुरूवार";"शुक्रवार";"शनिवार"},WEEKDAY(C376)))</f>
        <v>बुधवार</v>
      </c>
      <c r="E376" s="673"/>
      <c r="F376" s="673"/>
      <c r="G376" s="673"/>
      <c r="H376" s="673"/>
      <c r="I376" s="673"/>
      <c r="J376" s="673"/>
      <c r="K376" s="673"/>
      <c r="L376" s="673"/>
      <c r="M376" s="828"/>
      <c r="N376" s="828"/>
      <c r="O376" s="673"/>
      <c r="P376" s="673"/>
    </row>
    <row r="377" spans="1:69" ht="27.75" customHeight="1" x14ac:dyDescent="0.4">
      <c r="A377" s="872">
        <v>369</v>
      </c>
      <c r="B377" s="870" t="s">
        <v>41</v>
      </c>
      <c r="C377" s="841">
        <f t="shared" si="151"/>
        <v>45008</v>
      </c>
      <c r="D377" s="842" t="str">
        <f>IF(C377="","",INDEX({"रविवार";"सोमवार";"मंगळवार";"बुधवार";"गुरूवार";"शुक्रवार";"शनिवार"},WEEKDAY(C377)))</f>
        <v>गुरूवार</v>
      </c>
      <c r="E377" s="673"/>
      <c r="F377" s="673"/>
      <c r="G377" s="673"/>
      <c r="H377" s="673"/>
      <c r="I377" s="673"/>
      <c r="J377" s="673"/>
      <c r="K377" s="673"/>
      <c r="L377" s="673"/>
      <c r="M377" s="828"/>
      <c r="N377" s="828"/>
      <c r="O377" s="673"/>
      <c r="P377" s="673"/>
    </row>
    <row r="378" spans="1:69" ht="27.75" customHeight="1" x14ac:dyDescent="0.4">
      <c r="A378" s="872">
        <v>370</v>
      </c>
      <c r="B378" s="870" t="s">
        <v>41</v>
      </c>
      <c r="C378" s="841">
        <f t="shared" si="151"/>
        <v>45009</v>
      </c>
      <c r="D378" s="842" t="str">
        <f>IF(C378="","",INDEX({"रविवार";"सोमवार";"मंगळवार";"बुधवार";"गुरूवार";"शुक्रवार";"शनिवार"},WEEKDAY(C378)))</f>
        <v>शुक्रवार</v>
      </c>
      <c r="E378" s="673"/>
      <c r="F378" s="673"/>
      <c r="G378" s="673"/>
      <c r="H378" s="673"/>
      <c r="I378" s="673"/>
      <c r="J378" s="673"/>
      <c r="K378" s="673"/>
      <c r="L378" s="673"/>
      <c r="M378" s="828"/>
      <c r="N378" s="828"/>
      <c r="O378" s="673"/>
      <c r="P378" s="673"/>
    </row>
    <row r="379" spans="1:69" ht="27.75" customHeight="1" x14ac:dyDescent="0.4">
      <c r="A379" s="872">
        <v>371</v>
      </c>
      <c r="B379" s="870" t="s">
        <v>41</v>
      </c>
      <c r="C379" s="841">
        <f t="shared" si="151"/>
        <v>45010</v>
      </c>
      <c r="D379" s="842" t="str">
        <f>IF(C379="","",INDEX({"रविवार";"सोमवार";"मंगळवार";"बुधवार";"गुरूवार";"शुक्रवार";"शनिवार"},WEEKDAY(C379)))</f>
        <v>शनिवार</v>
      </c>
      <c r="E379" s="673"/>
      <c r="F379" s="673"/>
      <c r="G379" s="673"/>
      <c r="H379" s="673"/>
      <c r="I379" s="673"/>
      <c r="J379" s="673"/>
      <c r="K379" s="673"/>
      <c r="L379" s="673"/>
      <c r="M379" s="828"/>
      <c r="N379" s="828"/>
      <c r="O379" s="673"/>
      <c r="P379" s="673"/>
    </row>
    <row r="380" spans="1:69" ht="27.75" customHeight="1" x14ac:dyDescent="0.4">
      <c r="A380" s="872">
        <v>372</v>
      </c>
      <c r="B380" s="870" t="s">
        <v>41</v>
      </c>
      <c r="C380" s="841">
        <f t="shared" si="151"/>
        <v>45011</v>
      </c>
      <c r="D380" s="842" t="str">
        <f>IF(C380="","",INDEX({"रविवार";"सोमवार";"मंगळवार";"बुधवार";"गुरूवार";"शुक्रवार";"शनिवार"},WEEKDAY(C380)))</f>
        <v>रविवार</v>
      </c>
      <c r="E380" s="673"/>
      <c r="F380" s="673"/>
      <c r="G380" s="673"/>
      <c r="H380" s="673"/>
      <c r="I380" s="673"/>
      <c r="J380" s="673"/>
      <c r="K380" s="673"/>
      <c r="L380" s="673"/>
      <c r="M380" s="828"/>
      <c r="N380" s="828"/>
      <c r="O380" s="673"/>
      <c r="P380" s="673"/>
    </row>
    <row r="381" spans="1:69" ht="27.75" customHeight="1" x14ac:dyDescent="0.4">
      <c r="A381" s="872">
        <v>373</v>
      </c>
      <c r="B381" s="870" t="s">
        <v>41</v>
      </c>
      <c r="C381" s="841">
        <f t="shared" si="151"/>
        <v>45012</v>
      </c>
      <c r="D381" s="842" t="str">
        <f>IF(C381="","",INDEX({"रविवार";"सोमवार";"मंगळवार";"बुधवार";"गुरूवार";"शुक्रवार";"शनिवार"},WEEKDAY(C381)))</f>
        <v>सोमवार</v>
      </c>
      <c r="E381" s="673"/>
      <c r="F381" s="673"/>
      <c r="G381" s="673"/>
      <c r="H381" s="673"/>
      <c r="I381" s="673"/>
      <c r="J381" s="673"/>
      <c r="K381" s="673"/>
      <c r="L381" s="673"/>
      <c r="M381" s="828"/>
      <c r="N381" s="828"/>
      <c r="O381" s="673"/>
      <c r="P381" s="673"/>
    </row>
    <row r="382" spans="1:69" ht="27.75" customHeight="1" x14ac:dyDescent="0.4">
      <c r="A382" s="872">
        <v>374</v>
      </c>
      <c r="B382" s="870" t="s">
        <v>41</v>
      </c>
      <c r="C382" s="841">
        <f t="shared" si="151"/>
        <v>45013</v>
      </c>
      <c r="D382" s="842" t="str">
        <f>IF(C382="","",INDEX({"रविवार";"सोमवार";"मंगळवार";"बुधवार";"गुरूवार";"शुक्रवार";"शनिवार"},WEEKDAY(C382)))</f>
        <v>मंगळवार</v>
      </c>
      <c r="E382" s="673"/>
      <c r="F382" s="673"/>
      <c r="G382" s="673"/>
      <c r="H382" s="673"/>
      <c r="I382" s="673"/>
      <c r="J382" s="673"/>
      <c r="K382" s="673"/>
      <c r="L382" s="673"/>
      <c r="M382" s="828"/>
      <c r="N382" s="828"/>
      <c r="O382" s="673"/>
      <c r="P382" s="673"/>
    </row>
    <row r="383" spans="1:69" ht="27.75" customHeight="1" x14ac:dyDescent="0.4">
      <c r="A383" s="872">
        <v>375</v>
      </c>
      <c r="B383" s="870" t="s">
        <v>41</v>
      </c>
      <c r="C383" s="841">
        <f t="shared" si="151"/>
        <v>45014</v>
      </c>
      <c r="D383" s="842" t="str">
        <f>IF(C383="","",INDEX({"रविवार";"सोमवार";"मंगळवार";"बुधवार";"गुरूवार";"शुक्रवार";"शनिवार"},WEEKDAY(C383)))</f>
        <v>बुधवार</v>
      </c>
      <c r="E383" s="673"/>
      <c r="F383" s="673"/>
      <c r="G383" s="673"/>
      <c r="H383" s="673"/>
      <c r="I383" s="673"/>
      <c r="J383" s="673"/>
      <c r="K383" s="673"/>
      <c r="L383" s="673"/>
      <c r="M383" s="828"/>
      <c r="N383" s="828"/>
      <c r="O383" s="673"/>
      <c r="P383" s="673"/>
    </row>
    <row r="384" spans="1:69" ht="27.75" customHeight="1" x14ac:dyDescent="0.4">
      <c r="A384" s="872">
        <v>376</v>
      </c>
      <c r="B384" s="870" t="s">
        <v>41</v>
      </c>
      <c r="C384" s="841">
        <f t="shared" si="151"/>
        <v>45015</v>
      </c>
      <c r="D384" s="842" t="str">
        <f>IF(C384="","",INDEX({"रविवार";"सोमवार";"मंगळवार";"बुधवार";"गुरूवार";"शुक्रवार";"शनिवार"},WEEKDAY(C384)))</f>
        <v>गुरूवार</v>
      </c>
      <c r="E384" s="673"/>
      <c r="F384" s="673"/>
      <c r="G384" s="673"/>
      <c r="H384" s="673"/>
      <c r="I384" s="673"/>
      <c r="J384" s="673"/>
      <c r="K384" s="673"/>
      <c r="L384" s="673"/>
      <c r="M384" s="828"/>
      <c r="N384" s="828"/>
      <c r="O384" s="673"/>
      <c r="P384" s="673"/>
    </row>
    <row r="385" spans="1:70" ht="27.75" customHeight="1" x14ac:dyDescent="0.4">
      <c r="A385" s="872">
        <v>377</v>
      </c>
      <c r="B385" s="870" t="s">
        <v>41</v>
      </c>
      <c r="C385" s="841">
        <f t="shared" si="151"/>
        <v>45016</v>
      </c>
      <c r="D385" s="842" t="str">
        <f>IF(C385="","",INDEX({"रविवार";"सोमवार";"मंगळवार";"बुधवार";"गुरूवार";"शुक्रवार";"शनिवार"},WEEKDAY(C385)))</f>
        <v>शुक्रवार</v>
      </c>
      <c r="E385" s="673"/>
      <c r="F385" s="673"/>
      <c r="G385" s="673"/>
      <c r="H385" s="673"/>
      <c r="I385" s="673"/>
      <c r="J385" s="673"/>
      <c r="K385" s="673"/>
      <c r="L385" s="673"/>
      <c r="M385" s="828"/>
      <c r="N385" s="828"/>
      <c r="O385" s="673"/>
      <c r="P385" s="673"/>
    </row>
    <row r="386" spans="1:70" ht="27.75" customHeight="1" x14ac:dyDescent="0.4">
      <c r="A386" s="872">
        <v>378</v>
      </c>
      <c r="B386" s="870" t="s">
        <v>41</v>
      </c>
      <c r="C386" s="841" t="s">
        <v>35</v>
      </c>
      <c r="D386" s="841"/>
      <c r="E386" s="829" t="str">
        <f>IF(SUM(E355:E385)&gt;0,SUM(E355:E385),"")</f>
        <v/>
      </c>
      <c r="F386" s="829" t="str">
        <f t="shared" ref="F386:N386" si="152">IF(SUM(F355:F385)&gt;0,SUM(F355:F385),"")</f>
        <v/>
      </c>
      <c r="G386" s="829" t="str">
        <f t="shared" si="152"/>
        <v/>
      </c>
      <c r="H386" s="829" t="str">
        <f t="shared" ref="H386" si="153">IF(SUM(H355:H385)&gt;0,SUM(H355:H385),"")</f>
        <v/>
      </c>
      <c r="I386" s="829" t="str">
        <f t="shared" ref="I386" si="154">IF(SUM(I355:I385)&gt;0,SUM(I355:I385),"")</f>
        <v/>
      </c>
      <c r="J386" s="829" t="str">
        <f t="shared" si="152"/>
        <v/>
      </c>
      <c r="K386" s="829" t="str">
        <f t="shared" si="152"/>
        <v/>
      </c>
      <c r="L386" s="829" t="str">
        <f t="shared" si="152"/>
        <v/>
      </c>
      <c r="M386" s="829" t="str">
        <f t="shared" si="152"/>
        <v/>
      </c>
      <c r="N386" s="829" t="str">
        <f t="shared" si="152"/>
        <v/>
      </c>
      <c r="O386" s="830"/>
      <c r="P386" s="830"/>
      <c r="Q386" s="1"/>
      <c r="R386" s="1"/>
      <c r="S386" s="1"/>
      <c r="T386" s="1"/>
      <c r="U386" s="1"/>
      <c r="V386" s="1"/>
    </row>
    <row r="387" spans="1:70" ht="27.75" customHeight="1" x14ac:dyDescent="0.45">
      <c r="A387" s="872">
        <v>379</v>
      </c>
      <c r="B387" s="395"/>
      <c r="C387" s="746"/>
      <c r="D387" s="395"/>
      <c r="E387" s="395"/>
      <c r="F387" s="395"/>
      <c r="G387" s="395"/>
      <c r="H387" s="395"/>
      <c r="I387" s="395"/>
      <c r="J387" s="395"/>
      <c r="K387" s="395"/>
      <c r="L387" s="575"/>
      <c r="M387" s="422"/>
      <c r="N387" s="422"/>
      <c r="O387" s="749"/>
      <c r="P387" s="749"/>
      <c r="Q387" s="1"/>
      <c r="R387" s="1"/>
      <c r="S387" s="1"/>
      <c r="T387" s="1"/>
      <c r="U387" s="1"/>
      <c r="V387" s="1"/>
    </row>
    <row r="388" spans="1:70" ht="27.75" customHeight="1" x14ac:dyDescent="0.45">
      <c r="A388" s="872">
        <v>380</v>
      </c>
      <c r="B388" s="871" t="s">
        <v>382</v>
      </c>
      <c r="C388" s="844" t="s">
        <v>35</v>
      </c>
      <c r="D388" s="843"/>
      <c r="E388" s="833" t="str">
        <f>IFERROR(E39+E71+E102+E134+E166+E197+E229+E260+E292+E324+E354+E386,"")</f>
        <v/>
      </c>
      <c r="F388" s="833" t="str">
        <f t="shared" ref="F388:L388" si="155">IFERROR(F39+F71+F102+F134+F166+F197+F229+F260+F292+F324+F354+F386,"")</f>
        <v/>
      </c>
      <c r="G388" s="833" t="str">
        <f t="shared" si="155"/>
        <v/>
      </c>
      <c r="H388" s="833"/>
      <c r="I388" s="833"/>
      <c r="J388" s="833" t="str">
        <f t="shared" si="155"/>
        <v/>
      </c>
      <c r="K388" s="833" t="str">
        <f t="shared" si="155"/>
        <v/>
      </c>
      <c r="L388" s="833" t="str">
        <f t="shared" si="155"/>
        <v/>
      </c>
      <c r="M388" s="834"/>
      <c r="N388" s="835"/>
      <c r="O388" s="834"/>
      <c r="P388" s="834"/>
      <c r="Q388" s="1"/>
      <c r="R388" s="1"/>
      <c r="S388" s="1"/>
      <c r="T388" s="1"/>
      <c r="U388" s="1"/>
      <c r="V388" s="1"/>
    </row>
    <row r="389" spans="1:70" ht="27.75" customHeight="1" x14ac:dyDescent="0.4"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70" ht="5.25" hidden="1" customHeight="1" x14ac:dyDescent="0.4">
      <c r="M390" s="1"/>
      <c r="N390" s="1"/>
      <c r="O390" s="1"/>
      <c r="P390" s="1"/>
      <c r="Q390" s="1"/>
      <c r="R390" s="1"/>
      <c r="S390" s="1"/>
      <c r="T390" s="1"/>
      <c r="U390" s="1"/>
      <c r="V390" s="1"/>
      <c r="BE390" s="38"/>
      <c r="BF390" s="390"/>
      <c r="BG390" s="390"/>
      <c r="BH390" s="390"/>
      <c r="BI390" s="390"/>
      <c r="BJ390" s="390"/>
      <c r="BK390" s="390"/>
      <c r="BL390" s="390"/>
      <c r="BM390" s="390"/>
      <c r="BN390" s="390"/>
      <c r="BO390" s="396"/>
      <c r="BP390" s="390"/>
      <c r="BQ390" s="390"/>
      <c r="BR390" s="192"/>
    </row>
    <row r="391" spans="1:70" ht="2.25" hidden="1" customHeight="1" x14ac:dyDescent="0.4">
      <c r="B391" s="376"/>
      <c r="C391" s="310"/>
      <c r="D391" s="376"/>
      <c r="E391" s="376"/>
      <c r="F391" s="376"/>
      <c r="G391" s="376"/>
      <c r="H391" s="376"/>
      <c r="I391" s="376"/>
      <c r="J391" s="376"/>
      <c r="K391" s="376"/>
      <c r="L391" s="376"/>
      <c r="M391" s="399"/>
      <c r="N391" s="399"/>
      <c r="O391" s="399"/>
      <c r="P391" s="399"/>
      <c r="Q391" s="399"/>
      <c r="R391" s="399"/>
      <c r="S391" s="399"/>
      <c r="T391" s="399"/>
      <c r="U391" s="399"/>
      <c r="V391" s="399"/>
      <c r="W391" s="399"/>
      <c r="X391" s="399"/>
      <c r="Y391" s="399"/>
      <c r="Z391" s="399"/>
      <c r="AA391" s="399"/>
      <c r="AB391" s="399"/>
      <c r="AC391" s="399"/>
      <c r="AD391" s="399"/>
      <c r="BE391" s="392"/>
      <c r="BF391" s="331"/>
      <c r="BG391" s="331"/>
      <c r="BH391" s="331"/>
      <c r="BI391" s="331"/>
      <c r="BJ391" s="331"/>
      <c r="BK391" s="331"/>
      <c r="BL391" s="331"/>
      <c r="BM391" s="331"/>
      <c r="BN391" s="331"/>
      <c r="BO391" s="331"/>
      <c r="BP391" s="331"/>
      <c r="BQ391" s="331"/>
      <c r="BR391" s="393"/>
    </row>
    <row r="392" spans="1:70" ht="27.75" hidden="1" customHeight="1" x14ac:dyDescent="0.4">
      <c r="B392" s="376"/>
      <c r="C392" s="310"/>
      <c r="D392" s="376"/>
      <c r="E392" s="376"/>
      <c r="F392" s="376"/>
      <c r="G392" s="376"/>
      <c r="H392" s="376"/>
      <c r="I392" s="376"/>
      <c r="J392" s="376"/>
      <c r="K392" s="376"/>
      <c r="L392" s="376"/>
      <c r="M392" s="399"/>
      <c r="N392" s="399"/>
      <c r="O392" s="399"/>
      <c r="P392" s="399"/>
      <c r="Q392" s="399"/>
      <c r="R392" s="399"/>
      <c r="S392" s="399"/>
      <c r="T392" s="399"/>
      <c r="U392" s="399"/>
      <c r="V392" s="399"/>
      <c r="W392" s="399"/>
      <c r="X392" s="399"/>
      <c r="Y392" s="399"/>
      <c r="Z392" s="399"/>
      <c r="AA392" s="399"/>
      <c r="AB392" s="399"/>
      <c r="AC392" s="399"/>
      <c r="AD392" s="399"/>
      <c r="BE392" s="392"/>
      <c r="BF392" s="331"/>
      <c r="BG392" s="331"/>
      <c r="BH392" s="331"/>
      <c r="BI392" s="331"/>
      <c r="BJ392" s="331"/>
      <c r="BK392" s="331"/>
      <c r="BL392" s="331"/>
      <c r="BM392" s="331"/>
      <c r="BN392" s="331"/>
      <c r="BO392" s="331"/>
      <c r="BP392" s="331"/>
      <c r="BQ392" s="331"/>
      <c r="BR392" s="393"/>
    </row>
    <row r="393" spans="1:70" ht="27.75" hidden="1" customHeight="1" x14ac:dyDescent="0.45">
      <c r="B393" s="376"/>
      <c r="C393" s="309" t="s">
        <v>42</v>
      </c>
      <c r="D393" s="166" t="s">
        <v>44</v>
      </c>
      <c r="E393" s="166" t="s">
        <v>94</v>
      </c>
      <c r="F393" s="166" t="s">
        <v>46</v>
      </c>
      <c r="G393" s="166" t="s">
        <v>34</v>
      </c>
      <c r="H393" s="166" t="s">
        <v>37</v>
      </c>
      <c r="I393" s="166" t="s">
        <v>47</v>
      </c>
      <c r="J393" s="166" t="s">
        <v>38</v>
      </c>
      <c r="K393" s="166" t="s">
        <v>39</v>
      </c>
      <c r="L393" s="166" t="s">
        <v>33</v>
      </c>
      <c r="M393" s="166" t="s">
        <v>40</v>
      </c>
      <c r="N393" s="166" t="s">
        <v>41</v>
      </c>
      <c r="O393" s="399"/>
      <c r="P393" s="376"/>
      <c r="Q393" s="166" t="s">
        <v>42</v>
      </c>
      <c r="R393" s="166" t="s">
        <v>44</v>
      </c>
      <c r="S393" s="166" t="s">
        <v>94</v>
      </c>
      <c r="T393" s="166" t="s">
        <v>46</v>
      </c>
      <c r="U393" s="166" t="s">
        <v>34</v>
      </c>
      <c r="V393" s="166" t="s">
        <v>37</v>
      </c>
      <c r="W393" s="166" t="s">
        <v>47</v>
      </c>
      <c r="X393" s="166" t="s">
        <v>38</v>
      </c>
      <c r="Y393" s="166" t="s">
        <v>39</v>
      </c>
      <c r="Z393" s="166" t="s">
        <v>33</v>
      </c>
      <c r="AA393" s="166" t="s">
        <v>40</v>
      </c>
      <c r="AB393" s="166" t="s">
        <v>41</v>
      </c>
      <c r="AC393" s="399"/>
      <c r="AD393" s="399"/>
      <c r="BE393" s="392"/>
      <c r="BF393" s="331"/>
      <c r="BG393" s="331"/>
      <c r="BH393" s="331"/>
      <c r="BI393" s="331"/>
      <c r="BJ393" s="331"/>
      <c r="BK393" s="331"/>
      <c r="BL393" s="331"/>
      <c r="BM393" s="331"/>
      <c r="BN393" s="331"/>
      <c r="BO393" s="331"/>
      <c r="BP393" s="331"/>
      <c r="BQ393" s="331"/>
      <c r="BR393" s="393"/>
    </row>
    <row r="394" spans="1:70" ht="27.75" hidden="1" customHeight="1" x14ac:dyDescent="0.4">
      <c r="B394" s="376">
        <v>1</v>
      </c>
      <c r="C394" s="310" t="str">
        <f>O9</f>
        <v xml:space="preserve">श्री.प्रविण ज्ञानदेव कोल्हे </v>
      </c>
      <c r="D394" s="376">
        <f>O40</f>
        <v>0</v>
      </c>
      <c r="E394" s="376">
        <f>O72</f>
        <v>0</v>
      </c>
      <c r="F394" s="376" t="str">
        <f>O103</f>
        <v>श्रीम.वृषाली सुदाम गायकवाड</v>
      </c>
      <c r="G394" s="376" t="str">
        <f>O135</f>
        <v>श्रीम.वृषाली सुदाम गायकवाड</v>
      </c>
      <c r="H394" s="376" t="str">
        <f>O167</f>
        <v>सौ.रंजना राजेंद्र मेहेरे</v>
      </c>
      <c r="I394" s="376" t="str">
        <f>O198</f>
        <v xml:space="preserve">श्री.प्रविण ज्ञानदेव कोल्हे </v>
      </c>
      <c r="J394" s="376">
        <f>O230</f>
        <v>0</v>
      </c>
      <c r="K394" s="376" t="str">
        <f>O261</f>
        <v xml:space="preserve">श्री.प्रविण ज्ञानदेव कोल्हे </v>
      </c>
      <c r="L394" s="376">
        <f>O293</f>
        <v>0</v>
      </c>
      <c r="M394" s="376">
        <f>O325</f>
        <v>0</v>
      </c>
      <c r="N394" s="376">
        <f>O355</f>
        <v>0</v>
      </c>
      <c r="O394" s="399"/>
      <c r="P394" s="376">
        <v>1</v>
      </c>
      <c r="Q394" s="376" t="str">
        <f>P9</f>
        <v>रुचकर</v>
      </c>
      <c r="R394" s="376">
        <f>P40</f>
        <v>0</v>
      </c>
      <c r="S394" s="376">
        <f>P72</f>
        <v>0</v>
      </c>
      <c r="T394" s="376" t="str">
        <f>P103</f>
        <v>छान</v>
      </c>
      <c r="U394" s="376" t="str">
        <f>P135</f>
        <v>चविष्ठ</v>
      </c>
      <c r="V394" s="376" t="str">
        <f>P167</f>
        <v>छान</v>
      </c>
      <c r="W394" s="376" t="str">
        <f>P198</f>
        <v>स्वादिष्ठ</v>
      </c>
      <c r="X394" s="376">
        <f>P230</f>
        <v>0</v>
      </c>
      <c r="Y394" s="376" t="str">
        <f>P261</f>
        <v>स्वादिष्ठ</v>
      </c>
      <c r="Z394" s="376">
        <f>P293</f>
        <v>0</v>
      </c>
      <c r="AA394" s="376">
        <f>P325</f>
        <v>0</v>
      </c>
      <c r="AB394" s="376">
        <f>P355</f>
        <v>0</v>
      </c>
      <c r="AC394" s="399"/>
      <c r="AD394" s="399"/>
      <c r="BE394" s="392"/>
      <c r="BF394" s="331"/>
      <c r="BG394" s="331"/>
      <c r="BH394" s="331"/>
      <c r="BI394" s="331"/>
      <c r="BJ394" s="331"/>
      <c r="BK394" s="331"/>
      <c r="BL394" s="331"/>
      <c r="BM394" s="331"/>
      <c r="BN394" s="331"/>
      <c r="BO394" s="331"/>
      <c r="BP394" s="331"/>
      <c r="BQ394" s="331"/>
      <c r="BR394" s="393"/>
    </row>
    <row r="395" spans="1:70" ht="27.75" hidden="1" customHeight="1" x14ac:dyDescent="0.4">
      <c r="B395" s="376">
        <v>2</v>
      </c>
      <c r="C395" s="310">
        <f t="shared" ref="C395:C423" si="156">O10</f>
        <v>0</v>
      </c>
      <c r="D395" s="376">
        <f t="shared" ref="D395:D424" si="157">O41</f>
        <v>0</v>
      </c>
      <c r="E395" s="376">
        <f t="shared" ref="E395:E423" si="158">O73</f>
        <v>0</v>
      </c>
      <c r="F395" s="376" t="str">
        <f t="shared" ref="F395:F424" si="159">O104</f>
        <v>श्री.मोहन भिकाजी तागड</v>
      </c>
      <c r="G395" s="376" t="str">
        <f t="shared" ref="G395:G424" si="160">O136</f>
        <v xml:space="preserve">श्री.प्रविण ज्ञानदेव कोल्हे </v>
      </c>
      <c r="H395" s="376" t="str">
        <f t="shared" ref="H395:H423" si="161">O168</f>
        <v>श्री.मोहन भिकाजी तागड</v>
      </c>
      <c r="I395" s="376">
        <f t="shared" ref="I395:I424" si="162">O199</f>
        <v>0</v>
      </c>
      <c r="J395" s="376">
        <f t="shared" ref="J395:J423" si="163">O231</f>
        <v>0</v>
      </c>
      <c r="K395" s="376" t="str">
        <f t="shared" ref="K395:K424" si="164">O262</f>
        <v>श्रीम.रुपाली गणेश तागड</v>
      </c>
      <c r="L395" s="376">
        <f t="shared" ref="L395:L424" si="165">O294</f>
        <v>0</v>
      </c>
      <c r="M395" s="376">
        <f t="shared" ref="M395:M422" si="166">O326</f>
        <v>0</v>
      </c>
      <c r="N395" s="376">
        <f t="shared" ref="N395:N424" si="167">O356</f>
        <v>0</v>
      </c>
      <c r="O395" s="399"/>
      <c r="P395" s="376">
        <v>2</v>
      </c>
      <c r="Q395" s="376">
        <f t="shared" ref="Q395:Q423" si="168">P10</f>
        <v>0</v>
      </c>
      <c r="R395" s="376">
        <f t="shared" ref="R395:R424" si="169">P41</f>
        <v>0</v>
      </c>
      <c r="S395" s="376">
        <f t="shared" ref="S395:S423" si="170">P73</f>
        <v>0</v>
      </c>
      <c r="T395" s="376" t="str">
        <f t="shared" ref="T395:T424" si="171">P104</f>
        <v>रुचकर</v>
      </c>
      <c r="U395" s="376" t="str">
        <f t="shared" ref="U395:U424" si="172">P136</f>
        <v>स्वादिष्ठ</v>
      </c>
      <c r="V395" s="376" t="str">
        <f t="shared" ref="V395:V423" si="173">P168</f>
        <v>रुचकर</v>
      </c>
      <c r="W395" s="376">
        <f t="shared" ref="W395:W424" si="174">P199</f>
        <v>0</v>
      </c>
      <c r="X395" s="376">
        <f t="shared" ref="X395:X423" si="175">P231</f>
        <v>0</v>
      </c>
      <c r="Y395" s="376" t="str">
        <f t="shared" ref="Y395:Y424" si="176">P262</f>
        <v>उत्तम</v>
      </c>
      <c r="Z395" s="376">
        <f t="shared" ref="Z395:Z424" si="177">P294</f>
        <v>0</v>
      </c>
      <c r="AA395" s="376">
        <f t="shared" ref="AA395:AA422" si="178">P326</f>
        <v>0</v>
      </c>
      <c r="AB395" s="376">
        <f t="shared" ref="AB395:AB424" si="179">P356</f>
        <v>0</v>
      </c>
      <c r="AC395" s="399"/>
      <c r="AD395" s="399"/>
      <c r="BE395" s="392"/>
      <c r="BF395" s="331"/>
      <c r="BG395" s="331"/>
      <c r="BH395" s="331"/>
      <c r="BI395" s="331"/>
      <c r="BJ395" s="331"/>
      <c r="BK395" s="331"/>
      <c r="BL395" s="331"/>
      <c r="BM395" s="331"/>
      <c r="BN395" s="331"/>
      <c r="BO395" s="331"/>
      <c r="BP395" s="331"/>
      <c r="BQ395" s="331"/>
      <c r="BR395" s="393"/>
    </row>
    <row r="396" spans="1:70" ht="27.75" hidden="1" customHeight="1" x14ac:dyDescent="0.4">
      <c r="B396" s="376">
        <v>3</v>
      </c>
      <c r="C396" s="310">
        <f t="shared" si="156"/>
        <v>0</v>
      </c>
      <c r="D396" s="376">
        <f t="shared" si="157"/>
        <v>0</v>
      </c>
      <c r="E396" s="376">
        <f t="shared" si="158"/>
        <v>0</v>
      </c>
      <c r="F396" s="376">
        <f t="shared" si="159"/>
        <v>0</v>
      </c>
      <c r="G396" s="376" t="str">
        <f t="shared" si="160"/>
        <v>श्रीम.रुपाली गणेश तागड</v>
      </c>
      <c r="H396" s="376" t="str">
        <f t="shared" si="161"/>
        <v xml:space="preserve">श्री.प्रविण ज्ञानदेव कोल्हे </v>
      </c>
      <c r="I396" s="376" t="str">
        <f t="shared" si="162"/>
        <v xml:space="preserve">श्री.प्रविण ज्ञानदेव कोल्हे </v>
      </c>
      <c r="J396" s="376">
        <f t="shared" si="163"/>
        <v>0</v>
      </c>
      <c r="K396" s="376" t="str">
        <f t="shared" si="164"/>
        <v>सौ.रंजना राजेंद्र मेहेरे</v>
      </c>
      <c r="L396" s="376">
        <f t="shared" si="165"/>
        <v>0</v>
      </c>
      <c r="M396" s="376">
        <f t="shared" si="166"/>
        <v>0</v>
      </c>
      <c r="N396" s="376">
        <f t="shared" si="167"/>
        <v>0</v>
      </c>
      <c r="O396" s="399"/>
      <c r="P396" s="376">
        <v>3</v>
      </c>
      <c r="Q396" s="376">
        <f t="shared" si="168"/>
        <v>0</v>
      </c>
      <c r="R396" s="376">
        <f t="shared" si="169"/>
        <v>0</v>
      </c>
      <c r="S396" s="376">
        <f t="shared" si="170"/>
        <v>0</v>
      </c>
      <c r="T396" s="376">
        <f t="shared" si="171"/>
        <v>0</v>
      </c>
      <c r="U396" s="376" t="str">
        <f t="shared" si="172"/>
        <v>उत्तम</v>
      </c>
      <c r="V396" s="376" t="str">
        <f t="shared" si="173"/>
        <v>स्वादिष्ठ</v>
      </c>
      <c r="W396" s="376" t="str">
        <f t="shared" si="174"/>
        <v>स्वादिष्ठ</v>
      </c>
      <c r="X396" s="376">
        <f t="shared" si="175"/>
        <v>0</v>
      </c>
      <c r="Y396" s="376" t="str">
        <f t="shared" si="176"/>
        <v>छान</v>
      </c>
      <c r="Z396" s="376">
        <f t="shared" si="177"/>
        <v>0</v>
      </c>
      <c r="AA396" s="376">
        <f t="shared" si="178"/>
        <v>0</v>
      </c>
      <c r="AB396" s="376">
        <f t="shared" si="179"/>
        <v>0</v>
      </c>
      <c r="AC396" s="399"/>
      <c r="AD396" s="399"/>
      <c r="BE396" s="392"/>
      <c r="BF396" s="331"/>
      <c r="BG396" s="331"/>
      <c r="BH396" s="331"/>
      <c r="BI396" s="331"/>
      <c r="BJ396" s="331"/>
      <c r="BK396" s="331"/>
      <c r="BL396" s="331"/>
      <c r="BM396" s="331"/>
      <c r="BN396" s="331"/>
      <c r="BO396" s="331"/>
      <c r="BP396" s="331"/>
      <c r="BQ396" s="331"/>
      <c r="BR396" s="393"/>
    </row>
    <row r="397" spans="1:70" ht="27.75" hidden="1" customHeight="1" x14ac:dyDescent="0.4">
      <c r="B397" s="376">
        <v>4</v>
      </c>
      <c r="C397" s="310" t="str">
        <f t="shared" si="156"/>
        <v>श्रीम.वृषाली सुदाम गायकवाड</v>
      </c>
      <c r="D397" s="376">
        <f t="shared" si="157"/>
        <v>0</v>
      </c>
      <c r="E397" s="376">
        <f t="shared" si="158"/>
        <v>0</v>
      </c>
      <c r="F397" s="376" t="str">
        <f t="shared" si="159"/>
        <v>श्रीम.वृषाली सुदाम गायकवाड</v>
      </c>
      <c r="G397" s="376" t="str">
        <f t="shared" si="160"/>
        <v>श्रीम.वृषाली सुदाम गायकवाड</v>
      </c>
      <c r="H397" s="376">
        <f t="shared" si="161"/>
        <v>0</v>
      </c>
      <c r="I397" s="376">
        <f t="shared" si="162"/>
        <v>0</v>
      </c>
      <c r="J397" s="376">
        <f t="shared" si="163"/>
        <v>0</v>
      </c>
      <c r="K397" s="376">
        <f t="shared" si="164"/>
        <v>0</v>
      </c>
      <c r="L397" s="376">
        <f t="shared" si="165"/>
        <v>0</v>
      </c>
      <c r="M397" s="376">
        <f t="shared" si="166"/>
        <v>0</v>
      </c>
      <c r="N397" s="376">
        <f t="shared" si="167"/>
        <v>0</v>
      </c>
      <c r="O397" s="399"/>
      <c r="P397" s="376">
        <v>4</v>
      </c>
      <c r="Q397" s="376" t="str">
        <f t="shared" si="168"/>
        <v>चविष्ठ</v>
      </c>
      <c r="R397" s="376">
        <f t="shared" si="169"/>
        <v>0</v>
      </c>
      <c r="S397" s="376">
        <f t="shared" si="170"/>
        <v>0</v>
      </c>
      <c r="T397" s="376" t="str">
        <f t="shared" si="171"/>
        <v>चविष्ठ</v>
      </c>
      <c r="U397" s="376" t="str">
        <f t="shared" si="172"/>
        <v>छान</v>
      </c>
      <c r="V397" s="376">
        <f t="shared" si="173"/>
        <v>0</v>
      </c>
      <c r="W397" s="376">
        <f t="shared" si="174"/>
        <v>0</v>
      </c>
      <c r="X397" s="376">
        <f t="shared" si="175"/>
        <v>0</v>
      </c>
      <c r="Y397" s="376">
        <f t="shared" si="176"/>
        <v>0</v>
      </c>
      <c r="Z397" s="376">
        <f t="shared" si="177"/>
        <v>0</v>
      </c>
      <c r="AA397" s="376">
        <f t="shared" si="178"/>
        <v>0</v>
      </c>
      <c r="AB397" s="376">
        <f t="shared" si="179"/>
        <v>0</v>
      </c>
      <c r="AC397" s="399"/>
      <c r="AD397" s="399"/>
      <c r="BE397" s="392"/>
      <c r="BF397" s="331"/>
      <c r="BG397" s="331"/>
      <c r="BH397" s="331"/>
      <c r="BI397" s="331"/>
      <c r="BJ397" s="331"/>
      <c r="BK397" s="331"/>
      <c r="BL397" s="331"/>
      <c r="BM397" s="331"/>
      <c r="BN397" s="331"/>
      <c r="BO397" s="331"/>
      <c r="BP397" s="331"/>
      <c r="BQ397" s="331"/>
      <c r="BR397" s="393"/>
    </row>
    <row r="398" spans="1:70" ht="27.75" hidden="1" customHeight="1" x14ac:dyDescent="0.4">
      <c r="B398" s="376">
        <v>5</v>
      </c>
      <c r="C398" s="310" t="str">
        <f t="shared" si="156"/>
        <v>श्री.मोहन भिकाजी तागड</v>
      </c>
      <c r="D398" s="376">
        <f t="shared" si="157"/>
        <v>0</v>
      </c>
      <c r="E398" s="376">
        <f t="shared" si="158"/>
        <v>0</v>
      </c>
      <c r="F398" s="376" t="str">
        <f t="shared" si="159"/>
        <v xml:space="preserve">श्री.प्रविण ज्ञानदेव कोल्हे </v>
      </c>
      <c r="G398" s="376" t="str">
        <f t="shared" si="160"/>
        <v>श्री.मोहन भिकाजी तागड</v>
      </c>
      <c r="H398" s="376" t="str">
        <f t="shared" si="161"/>
        <v>सौ.रंजना राजेंद्र मेहेरे</v>
      </c>
      <c r="I398" s="376">
        <f t="shared" si="162"/>
        <v>0</v>
      </c>
      <c r="J398" s="376">
        <f t="shared" si="163"/>
        <v>0</v>
      </c>
      <c r="K398" s="376" t="str">
        <f t="shared" si="164"/>
        <v>श्री.मोहन भिकाजी तागड</v>
      </c>
      <c r="L398" s="376">
        <f t="shared" si="165"/>
        <v>0</v>
      </c>
      <c r="M398" s="376">
        <f t="shared" si="166"/>
        <v>0</v>
      </c>
      <c r="N398" s="376">
        <f t="shared" si="167"/>
        <v>0</v>
      </c>
      <c r="O398" s="399"/>
      <c r="P398" s="376">
        <v>5</v>
      </c>
      <c r="Q398" s="376" t="str">
        <f t="shared" si="168"/>
        <v>छान</v>
      </c>
      <c r="R398" s="376">
        <f t="shared" si="169"/>
        <v>0</v>
      </c>
      <c r="S398" s="376">
        <f t="shared" si="170"/>
        <v>0</v>
      </c>
      <c r="T398" s="376" t="str">
        <f t="shared" si="171"/>
        <v>स्वादिष्ठ</v>
      </c>
      <c r="U398" s="376" t="str">
        <f t="shared" si="172"/>
        <v>रुचकर</v>
      </c>
      <c r="V398" s="376" t="str">
        <f t="shared" si="173"/>
        <v>चविष्ठ</v>
      </c>
      <c r="W398" s="376">
        <f t="shared" si="174"/>
        <v>0</v>
      </c>
      <c r="X398" s="376">
        <f t="shared" si="175"/>
        <v>0</v>
      </c>
      <c r="Y398" s="376" t="str">
        <f t="shared" si="176"/>
        <v>रुचकर</v>
      </c>
      <c r="Z398" s="376">
        <f t="shared" si="177"/>
        <v>0</v>
      </c>
      <c r="AA398" s="376">
        <f t="shared" si="178"/>
        <v>0</v>
      </c>
      <c r="AB398" s="376">
        <f t="shared" si="179"/>
        <v>0</v>
      </c>
      <c r="AC398" s="399"/>
      <c r="AD398" s="399"/>
    </row>
    <row r="399" spans="1:70" ht="27.75" hidden="1" customHeight="1" x14ac:dyDescent="0.4">
      <c r="B399" s="376">
        <v>6</v>
      </c>
      <c r="C399" s="310" t="str">
        <f t="shared" si="156"/>
        <v>श्रीम.रुपाली गणेश तागड</v>
      </c>
      <c r="D399" s="376">
        <f t="shared" si="157"/>
        <v>0</v>
      </c>
      <c r="E399" s="376">
        <f t="shared" si="158"/>
        <v>0</v>
      </c>
      <c r="F399" s="376" t="str">
        <f t="shared" si="159"/>
        <v>श्रीम.रुपाली गणेश तागड</v>
      </c>
      <c r="G399" s="376" t="str">
        <f t="shared" si="160"/>
        <v xml:space="preserve">श्री.प्रविण ज्ञानदेव कोल्हे </v>
      </c>
      <c r="H399" s="376" t="str">
        <f t="shared" si="161"/>
        <v xml:space="preserve">श्री.प्रविण ज्ञानदेव कोल्हे </v>
      </c>
      <c r="I399" s="376" t="str">
        <f t="shared" si="162"/>
        <v>सौ.रंजना राजेंद्र मेहेरे</v>
      </c>
      <c r="J399" s="376">
        <f t="shared" si="163"/>
        <v>0</v>
      </c>
      <c r="K399" s="376">
        <f t="shared" si="164"/>
        <v>0</v>
      </c>
      <c r="L399" s="376">
        <f t="shared" si="165"/>
        <v>0</v>
      </c>
      <c r="M399" s="376">
        <f t="shared" si="166"/>
        <v>0</v>
      </c>
      <c r="N399" s="376">
        <f t="shared" si="167"/>
        <v>0</v>
      </c>
      <c r="O399" s="399"/>
      <c r="P399" s="376">
        <v>6</v>
      </c>
      <c r="Q399" s="376" t="str">
        <f t="shared" si="168"/>
        <v>उत्तम</v>
      </c>
      <c r="R399" s="376">
        <f t="shared" si="169"/>
        <v>0</v>
      </c>
      <c r="S399" s="376">
        <f t="shared" si="170"/>
        <v>0</v>
      </c>
      <c r="T399" s="376" t="str">
        <f t="shared" si="171"/>
        <v>उत्तम</v>
      </c>
      <c r="U399" s="376" t="str">
        <f t="shared" si="172"/>
        <v>स्वादिष्ठ</v>
      </c>
      <c r="V399" s="376" t="str">
        <f t="shared" si="173"/>
        <v>स्वादिष्ठ</v>
      </c>
      <c r="W399" s="376" t="str">
        <f t="shared" si="174"/>
        <v>चविष्ठ</v>
      </c>
      <c r="X399" s="376">
        <f t="shared" si="175"/>
        <v>0</v>
      </c>
      <c r="Y399" s="376">
        <f t="shared" si="176"/>
        <v>0</v>
      </c>
      <c r="Z399" s="376">
        <f t="shared" si="177"/>
        <v>0</v>
      </c>
      <c r="AA399" s="376">
        <f t="shared" si="178"/>
        <v>0</v>
      </c>
      <c r="AB399" s="376">
        <f t="shared" si="179"/>
        <v>0</v>
      </c>
      <c r="AC399" s="399"/>
      <c r="AD399" s="399"/>
    </row>
    <row r="400" spans="1:70" ht="23.25" hidden="1" customHeight="1" x14ac:dyDescent="0.4">
      <c r="B400" s="376">
        <v>7</v>
      </c>
      <c r="C400" s="310" t="str">
        <f t="shared" si="156"/>
        <v xml:space="preserve">श्री.प्रविण ज्ञानदेव कोल्हे </v>
      </c>
      <c r="D400" s="376">
        <f t="shared" si="157"/>
        <v>0</v>
      </c>
      <c r="E400" s="376">
        <f t="shared" si="158"/>
        <v>0</v>
      </c>
      <c r="F400" s="376" t="str">
        <f t="shared" si="159"/>
        <v>श्रीम.वृषाली सुदाम गायकवाड</v>
      </c>
      <c r="G400" s="376">
        <f t="shared" si="160"/>
        <v>0</v>
      </c>
      <c r="H400" s="376" t="str">
        <f t="shared" si="161"/>
        <v>श्रीम.रुपाली गणेश तागड</v>
      </c>
      <c r="I400" s="376" t="str">
        <f t="shared" si="162"/>
        <v xml:space="preserve">श्री.प्रविण ज्ञानदेव कोल्हे </v>
      </c>
      <c r="J400" s="376">
        <f t="shared" si="163"/>
        <v>0</v>
      </c>
      <c r="K400" s="376" t="str">
        <f t="shared" si="164"/>
        <v>सौ.रंजना राजेंद्र मेहेरे</v>
      </c>
      <c r="L400" s="376">
        <f t="shared" si="165"/>
        <v>0</v>
      </c>
      <c r="M400" s="376">
        <f t="shared" si="166"/>
        <v>0</v>
      </c>
      <c r="N400" s="376">
        <f t="shared" si="167"/>
        <v>0</v>
      </c>
      <c r="O400" s="399"/>
      <c r="P400" s="376">
        <v>7</v>
      </c>
      <c r="Q400" s="376" t="str">
        <f t="shared" si="168"/>
        <v>रुचकर</v>
      </c>
      <c r="R400" s="376">
        <f t="shared" si="169"/>
        <v>0</v>
      </c>
      <c r="S400" s="376">
        <f t="shared" si="170"/>
        <v>0</v>
      </c>
      <c r="T400" s="376" t="str">
        <f t="shared" si="171"/>
        <v>छान</v>
      </c>
      <c r="U400" s="376">
        <f t="shared" si="172"/>
        <v>0</v>
      </c>
      <c r="V400" s="376" t="str">
        <f t="shared" si="173"/>
        <v>उत्तम</v>
      </c>
      <c r="W400" s="376" t="str">
        <f t="shared" si="174"/>
        <v>स्वादिष्ठ</v>
      </c>
      <c r="X400" s="376">
        <f t="shared" si="175"/>
        <v>0</v>
      </c>
      <c r="Y400" s="376" t="str">
        <f t="shared" si="176"/>
        <v>चविष्ठ</v>
      </c>
      <c r="Z400" s="376">
        <f t="shared" si="177"/>
        <v>0</v>
      </c>
      <c r="AA400" s="376">
        <f t="shared" si="178"/>
        <v>0</v>
      </c>
      <c r="AB400" s="376">
        <f t="shared" si="179"/>
        <v>0</v>
      </c>
      <c r="AC400" s="399"/>
      <c r="AD400" s="399"/>
      <c r="BE400" s="38"/>
      <c r="BF400" s="390"/>
      <c r="BG400" s="390"/>
      <c r="BH400" s="390"/>
      <c r="BI400" s="390"/>
      <c r="BJ400" s="390"/>
      <c r="BK400" s="390"/>
      <c r="BL400" s="390"/>
      <c r="BM400" s="390"/>
      <c r="BN400" s="390"/>
      <c r="BO400" s="396"/>
      <c r="BP400" s="390"/>
      <c r="BQ400" s="390"/>
      <c r="BR400" s="192"/>
    </row>
    <row r="401" spans="2:70" ht="27.75" hidden="1" customHeight="1" x14ac:dyDescent="0.4">
      <c r="B401" s="376">
        <v>8</v>
      </c>
      <c r="C401" s="310" t="str">
        <f t="shared" si="156"/>
        <v>श्रीम.वृषाली सुदाम गायकवाड</v>
      </c>
      <c r="D401" s="376">
        <f t="shared" si="157"/>
        <v>0</v>
      </c>
      <c r="E401" s="376">
        <f t="shared" si="158"/>
        <v>0</v>
      </c>
      <c r="F401" s="376" t="str">
        <f t="shared" si="159"/>
        <v>श्री.मोहन भिकाजी तागड</v>
      </c>
      <c r="G401" s="376" t="str">
        <f t="shared" si="160"/>
        <v>श्रीम.वृषाली सुदाम गायकवाड</v>
      </c>
      <c r="H401" s="376" t="str">
        <f t="shared" si="161"/>
        <v>सौ.रंजना राजेंद्र मेहेरे</v>
      </c>
      <c r="I401" s="376" t="str">
        <f t="shared" si="162"/>
        <v>श्रीम.रुपाली गणेश तागड</v>
      </c>
      <c r="J401" s="376">
        <f t="shared" si="163"/>
        <v>0</v>
      </c>
      <c r="K401" s="376" t="str">
        <f t="shared" si="164"/>
        <v xml:space="preserve">श्री.प्रविण ज्ञानदेव कोल्हे </v>
      </c>
      <c r="L401" s="376">
        <f t="shared" si="165"/>
        <v>0</v>
      </c>
      <c r="M401" s="376">
        <f t="shared" si="166"/>
        <v>0</v>
      </c>
      <c r="N401" s="376">
        <f t="shared" si="167"/>
        <v>0</v>
      </c>
      <c r="O401" s="399"/>
      <c r="P401" s="376">
        <v>8</v>
      </c>
      <c r="Q401" s="376" t="str">
        <f t="shared" si="168"/>
        <v>चविष्ठ</v>
      </c>
      <c r="R401" s="376">
        <f t="shared" si="169"/>
        <v>0</v>
      </c>
      <c r="S401" s="376">
        <f t="shared" si="170"/>
        <v>0</v>
      </c>
      <c r="T401" s="376" t="str">
        <f t="shared" si="171"/>
        <v>रुचकर</v>
      </c>
      <c r="U401" s="376" t="str">
        <f t="shared" si="172"/>
        <v>चविष्ठ</v>
      </c>
      <c r="V401" s="376" t="str">
        <f t="shared" si="173"/>
        <v>छान</v>
      </c>
      <c r="W401" s="376" t="str">
        <f t="shared" si="174"/>
        <v>उत्तम</v>
      </c>
      <c r="X401" s="376">
        <f t="shared" si="175"/>
        <v>0</v>
      </c>
      <c r="Y401" s="376" t="str">
        <f t="shared" si="176"/>
        <v>स्वादिष्ठ</v>
      </c>
      <c r="Z401" s="376">
        <f t="shared" si="177"/>
        <v>0</v>
      </c>
      <c r="AA401" s="376">
        <f t="shared" si="178"/>
        <v>0</v>
      </c>
      <c r="AB401" s="376">
        <f t="shared" si="179"/>
        <v>0</v>
      </c>
      <c r="AC401" s="399"/>
      <c r="AD401" s="399"/>
      <c r="BE401" s="392"/>
      <c r="BF401" s="331"/>
      <c r="BG401" s="331"/>
      <c r="BH401" s="331"/>
      <c r="BI401" s="331"/>
      <c r="BJ401" s="331"/>
      <c r="BK401" s="331"/>
      <c r="BL401" s="331"/>
      <c r="BM401" s="331"/>
      <c r="BN401" s="331"/>
      <c r="BO401" s="331"/>
      <c r="BP401" s="331"/>
      <c r="BQ401" s="331"/>
      <c r="BR401" s="393"/>
    </row>
    <row r="402" spans="2:70" ht="27.75" hidden="1" customHeight="1" x14ac:dyDescent="0.4">
      <c r="B402" s="376">
        <v>9</v>
      </c>
      <c r="C402" s="310" t="str">
        <f t="shared" si="156"/>
        <v>सौ.रंजना राजेंद्र मेहेरे</v>
      </c>
      <c r="D402" s="376">
        <f t="shared" si="157"/>
        <v>0</v>
      </c>
      <c r="E402" s="376">
        <f t="shared" si="158"/>
        <v>0</v>
      </c>
      <c r="F402" s="376" t="str">
        <f t="shared" si="159"/>
        <v xml:space="preserve">श्री.प्रविण ज्ञानदेव कोल्हे </v>
      </c>
      <c r="G402" s="376">
        <f t="shared" si="160"/>
        <v>0</v>
      </c>
      <c r="H402" s="376">
        <f t="shared" si="161"/>
        <v>0</v>
      </c>
      <c r="I402" s="376">
        <f t="shared" si="162"/>
        <v>0</v>
      </c>
      <c r="J402" s="376" t="str">
        <f t="shared" si="163"/>
        <v>श्री.मोहन भिकाजी तागड</v>
      </c>
      <c r="K402" s="376" t="str">
        <f t="shared" si="164"/>
        <v>श्रीम.रुपाली गणेश तागड</v>
      </c>
      <c r="L402" s="376">
        <f t="shared" si="165"/>
        <v>0</v>
      </c>
      <c r="M402" s="376">
        <f t="shared" si="166"/>
        <v>0</v>
      </c>
      <c r="N402" s="376">
        <f t="shared" si="167"/>
        <v>0</v>
      </c>
      <c r="O402" s="399"/>
      <c r="P402" s="376">
        <v>9</v>
      </c>
      <c r="Q402" s="376" t="str">
        <f t="shared" si="168"/>
        <v>छान</v>
      </c>
      <c r="R402" s="376">
        <f t="shared" si="169"/>
        <v>0</v>
      </c>
      <c r="S402" s="376">
        <f t="shared" si="170"/>
        <v>0</v>
      </c>
      <c r="T402" s="376" t="str">
        <f t="shared" si="171"/>
        <v>स्वादिष्ठ</v>
      </c>
      <c r="U402" s="376">
        <f t="shared" si="172"/>
        <v>0</v>
      </c>
      <c r="V402" s="376">
        <f t="shared" si="173"/>
        <v>0</v>
      </c>
      <c r="W402" s="376">
        <f t="shared" si="174"/>
        <v>0</v>
      </c>
      <c r="X402" s="376" t="str">
        <f t="shared" si="175"/>
        <v>रुचकर</v>
      </c>
      <c r="Y402" s="376" t="str">
        <f t="shared" si="176"/>
        <v>उत्तम</v>
      </c>
      <c r="Z402" s="376">
        <f t="shared" si="177"/>
        <v>0</v>
      </c>
      <c r="AA402" s="376">
        <f t="shared" si="178"/>
        <v>0</v>
      </c>
      <c r="AB402" s="376">
        <f t="shared" si="179"/>
        <v>0</v>
      </c>
      <c r="AC402" s="399"/>
      <c r="AD402" s="399"/>
      <c r="BE402" s="392"/>
      <c r="BF402" s="331"/>
      <c r="BG402" s="331"/>
      <c r="BH402" s="331"/>
      <c r="BI402" s="331"/>
      <c r="BJ402" s="331"/>
      <c r="BK402" s="331"/>
      <c r="BL402" s="331"/>
      <c r="BM402" s="331"/>
      <c r="BN402" s="331"/>
      <c r="BO402" s="331"/>
      <c r="BP402" s="331"/>
      <c r="BQ402" s="331"/>
      <c r="BR402" s="393"/>
    </row>
    <row r="403" spans="2:70" ht="27.75" hidden="1" customHeight="1" x14ac:dyDescent="0.4">
      <c r="B403" s="376">
        <v>10</v>
      </c>
      <c r="C403" s="310">
        <f t="shared" si="156"/>
        <v>0</v>
      </c>
      <c r="D403" s="376">
        <f t="shared" si="157"/>
        <v>0</v>
      </c>
      <c r="E403" s="376">
        <f t="shared" si="158"/>
        <v>0</v>
      </c>
      <c r="F403" s="376">
        <f t="shared" si="159"/>
        <v>0</v>
      </c>
      <c r="G403" s="376" t="str">
        <f t="shared" si="160"/>
        <v>श्रीम.रुपाली गणेश तागड</v>
      </c>
      <c r="H403" s="376" t="str">
        <f t="shared" si="161"/>
        <v xml:space="preserve">श्री.प्रविण ज्ञानदेव कोल्हे </v>
      </c>
      <c r="I403" s="376" t="str">
        <f t="shared" si="162"/>
        <v>श्री.मोहन भिकाजी तागड</v>
      </c>
      <c r="J403" s="376" t="str">
        <f t="shared" si="163"/>
        <v xml:space="preserve">श्री.प्रविण ज्ञानदेव कोल्हे </v>
      </c>
      <c r="K403" s="376" t="str">
        <f t="shared" si="164"/>
        <v>सौ.रंजना राजेंद्र मेहेरे</v>
      </c>
      <c r="L403" s="376">
        <f t="shared" si="165"/>
        <v>0</v>
      </c>
      <c r="M403" s="376">
        <f t="shared" si="166"/>
        <v>0</v>
      </c>
      <c r="N403" s="376">
        <f t="shared" si="167"/>
        <v>0</v>
      </c>
      <c r="O403" s="399"/>
      <c r="P403" s="376">
        <v>10</v>
      </c>
      <c r="Q403" s="376">
        <f t="shared" si="168"/>
        <v>0</v>
      </c>
      <c r="R403" s="376">
        <f t="shared" si="169"/>
        <v>0</v>
      </c>
      <c r="S403" s="376">
        <f t="shared" si="170"/>
        <v>0</v>
      </c>
      <c r="T403" s="376">
        <f t="shared" si="171"/>
        <v>0</v>
      </c>
      <c r="U403" s="376" t="str">
        <f t="shared" si="172"/>
        <v>उत्तम</v>
      </c>
      <c r="V403" s="376" t="str">
        <f t="shared" si="173"/>
        <v>स्वादिष्ठ</v>
      </c>
      <c r="W403" s="376" t="str">
        <f t="shared" si="174"/>
        <v>रुचकर</v>
      </c>
      <c r="X403" s="376" t="str">
        <f t="shared" si="175"/>
        <v>स्वादिष्ठ</v>
      </c>
      <c r="Y403" s="376" t="str">
        <f t="shared" si="176"/>
        <v>छान</v>
      </c>
      <c r="Z403" s="376">
        <f t="shared" si="177"/>
        <v>0</v>
      </c>
      <c r="AA403" s="376">
        <f t="shared" si="178"/>
        <v>0</v>
      </c>
      <c r="AB403" s="376">
        <f t="shared" si="179"/>
        <v>0</v>
      </c>
      <c r="AC403" s="399"/>
      <c r="AD403" s="399"/>
      <c r="BE403" s="392"/>
      <c r="BF403" s="331"/>
      <c r="BG403" s="331"/>
      <c r="BH403" s="331"/>
      <c r="BI403" s="331"/>
      <c r="BJ403" s="331"/>
      <c r="BK403" s="331"/>
      <c r="BL403" s="331"/>
      <c r="BM403" s="331"/>
      <c r="BN403" s="331"/>
      <c r="BO403" s="331"/>
      <c r="BP403" s="331"/>
      <c r="BQ403" s="331"/>
      <c r="BR403" s="393"/>
    </row>
    <row r="404" spans="2:70" ht="27.75" hidden="1" customHeight="1" x14ac:dyDescent="0.4">
      <c r="B404" s="376">
        <v>11</v>
      </c>
      <c r="C404" s="310" t="str">
        <f t="shared" si="156"/>
        <v>श्रीम.वृषाली सुदाम गायकवाड</v>
      </c>
      <c r="D404" s="376">
        <f t="shared" si="157"/>
        <v>0</v>
      </c>
      <c r="E404" s="376">
        <f t="shared" si="158"/>
        <v>0</v>
      </c>
      <c r="F404" s="376" t="str">
        <f t="shared" si="159"/>
        <v>श्रीम.वृषाली सुदाम गायकवाड</v>
      </c>
      <c r="G404" s="376" t="str">
        <f t="shared" si="160"/>
        <v>श्रीम.वृषाली सुदाम गायकवाड</v>
      </c>
      <c r="H404" s="376">
        <f t="shared" si="161"/>
        <v>0</v>
      </c>
      <c r="I404" s="376" t="str">
        <f t="shared" si="162"/>
        <v xml:space="preserve">श्री.प्रविण ज्ञानदेव कोल्हे </v>
      </c>
      <c r="J404" s="376" t="str">
        <f t="shared" si="163"/>
        <v>सौ.रंजना राजेंद्र मेहेरे</v>
      </c>
      <c r="K404" s="376">
        <f t="shared" si="164"/>
        <v>0</v>
      </c>
      <c r="L404" s="376">
        <f t="shared" si="165"/>
        <v>0</v>
      </c>
      <c r="M404" s="376">
        <f t="shared" si="166"/>
        <v>0</v>
      </c>
      <c r="N404" s="376">
        <f t="shared" si="167"/>
        <v>0</v>
      </c>
      <c r="O404" s="399"/>
      <c r="P404" s="376">
        <v>11</v>
      </c>
      <c r="Q404" s="376" t="str">
        <f t="shared" si="168"/>
        <v>स्वादिष्ठ</v>
      </c>
      <c r="R404" s="376">
        <f t="shared" si="169"/>
        <v>0</v>
      </c>
      <c r="S404" s="376">
        <f t="shared" si="170"/>
        <v>0</v>
      </c>
      <c r="T404" s="376" t="str">
        <f t="shared" si="171"/>
        <v>चविष्ठ</v>
      </c>
      <c r="U404" s="376" t="str">
        <f t="shared" si="172"/>
        <v>छान</v>
      </c>
      <c r="V404" s="376">
        <f t="shared" si="173"/>
        <v>0</v>
      </c>
      <c r="W404" s="376" t="str">
        <f t="shared" si="174"/>
        <v>स्वादिष्ठ</v>
      </c>
      <c r="X404" s="376" t="str">
        <f t="shared" si="175"/>
        <v>चविष्ठ</v>
      </c>
      <c r="Y404" s="376">
        <f t="shared" si="176"/>
        <v>0</v>
      </c>
      <c r="Z404" s="376">
        <f t="shared" si="177"/>
        <v>0</v>
      </c>
      <c r="AA404" s="376">
        <f t="shared" si="178"/>
        <v>0</v>
      </c>
      <c r="AB404" s="376">
        <f t="shared" si="179"/>
        <v>0</v>
      </c>
      <c r="AC404" s="399"/>
      <c r="AD404" s="399"/>
      <c r="BE404" s="392"/>
      <c r="BF404" s="331"/>
      <c r="BG404" s="331"/>
      <c r="BH404" s="331"/>
      <c r="BI404" s="331"/>
      <c r="BJ404" s="331"/>
      <c r="BK404" s="331"/>
      <c r="BL404" s="331"/>
      <c r="BM404" s="331"/>
      <c r="BN404" s="331"/>
      <c r="BO404" s="331"/>
      <c r="BP404" s="331"/>
      <c r="BQ404" s="331"/>
      <c r="BR404" s="393"/>
    </row>
    <row r="405" spans="2:70" ht="27.75" hidden="1" customHeight="1" x14ac:dyDescent="0.4">
      <c r="B405" s="376">
        <v>12</v>
      </c>
      <c r="C405" s="310" t="str">
        <f t="shared" si="156"/>
        <v>श्री.मोहन भिकाजी तागड</v>
      </c>
      <c r="D405" s="376">
        <f t="shared" si="157"/>
        <v>0</v>
      </c>
      <c r="E405" s="376">
        <f t="shared" si="158"/>
        <v>0</v>
      </c>
      <c r="F405" s="376" t="str">
        <f t="shared" si="159"/>
        <v xml:space="preserve">श्री.प्रविण ज्ञानदेव कोल्हे </v>
      </c>
      <c r="G405" s="376" t="str">
        <f t="shared" si="160"/>
        <v>श्री.मोहन भिकाजी तागड</v>
      </c>
      <c r="H405" s="376" t="str">
        <f t="shared" si="161"/>
        <v>सौ.रंजना राजेंद्र मेहेरे</v>
      </c>
      <c r="I405" s="376" t="str">
        <f t="shared" si="162"/>
        <v>सौ.रंजना राजेंद्र मेहेरे</v>
      </c>
      <c r="J405" s="376" t="str">
        <f t="shared" si="163"/>
        <v xml:space="preserve">श्री.प्रविण ज्ञानदेव कोल्हे </v>
      </c>
      <c r="K405" s="376" t="str">
        <f t="shared" si="164"/>
        <v>श्री.मोहन भिकाजी तागड</v>
      </c>
      <c r="L405" s="376">
        <f t="shared" si="165"/>
        <v>0</v>
      </c>
      <c r="M405" s="376">
        <f t="shared" si="166"/>
        <v>0</v>
      </c>
      <c r="N405" s="376">
        <f t="shared" si="167"/>
        <v>0</v>
      </c>
      <c r="O405" s="399"/>
      <c r="P405" s="376">
        <v>12</v>
      </c>
      <c r="Q405" s="376" t="str">
        <f t="shared" si="168"/>
        <v>चविष्ठ</v>
      </c>
      <c r="R405" s="376">
        <f t="shared" si="169"/>
        <v>0</v>
      </c>
      <c r="S405" s="376">
        <f t="shared" si="170"/>
        <v>0</v>
      </c>
      <c r="T405" s="376" t="str">
        <f t="shared" si="171"/>
        <v>स्वादिष्ठ</v>
      </c>
      <c r="U405" s="376" t="str">
        <f t="shared" si="172"/>
        <v>रुचकर</v>
      </c>
      <c r="V405" s="376" t="str">
        <f t="shared" si="173"/>
        <v>चविष्ठ</v>
      </c>
      <c r="W405" s="376" t="str">
        <f t="shared" si="174"/>
        <v>चविष्ठ</v>
      </c>
      <c r="X405" s="376" t="str">
        <f t="shared" si="175"/>
        <v>स्वादिष्ठ</v>
      </c>
      <c r="Y405" s="376" t="str">
        <f t="shared" si="176"/>
        <v>रुचकर</v>
      </c>
      <c r="Z405" s="376">
        <f t="shared" si="177"/>
        <v>0</v>
      </c>
      <c r="AA405" s="376">
        <f t="shared" si="178"/>
        <v>0</v>
      </c>
      <c r="AB405" s="376">
        <f t="shared" si="179"/>
        <v>0</v>
      </c>
      <c r="AC405" s="399"/>
      <c r="AD405" s="399"/>
      <c r="BE405" s="392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93"/>
    </row>
    <row r="406" spans="2:70" ht="27.75" hidden="1" customHeight="1" x14ac:dyDescent="0.4">
      <c r="B406" s="376">
        <v>13</v>
      </c>
      <c r="C406" s="310" t="str">
        <f t="shared" si="156"/>
        <v>श्रीम.रुपाली गणेश तागड</v>
      </c>
      <c r="D406" s="376">
        <f t="shared" si="157"/>
        <v>0</v>
      </c>
      <c r="E406" s="376">
        <f t="shared" si="158"/>
        <v>0</v>
      </c>
      <c r="F406" s="376" t="str">
        <f t="shared" si="159"/>
        <v>श्रीम.रुपाली गणेश तागड</v>
      </c>
      <c r="G406" s="376" t="str">
        <f t="shared" si="160"/>
        <v xml:space="preserve">श्री.प्रविण ज्ञानदेव कोल्हे </v>
      </c>
      <c r="H406" s="376" t="str">
        <f t="shared" si="161"/>
        <v xml:space="preserve">श्री.प्रविण ज्ञानदेव कोल्हे </v>
      </c>
      <c r="I406" s="376" t="str">
        <f t="shared" si="162"/>
        <v xml:space="preserve">श्री.प्रविण ज्ञानदेव कोल्हे </v>
      </c>
      <c r="J406" s="376">
        <f t="shared" si="163"/>
        <v>0</v>
      </c>
      <c r="K406" s="376" t="str">
        <f t="shared" si="164"/>
        <v xml:space="preserve">श्री.प्रविण ज्ञानदेव कोल्हे </v>
      </c>
      <c r="L406" s="376">
        <f t="shared" si="165"/>
        <v>0</v>
      </c>
      <c r="M406" s="376">
        <f t="shared" si="166"/>
        <v>0</v>
      </c>
      <c r="N406" s="376">
        <f t="shared" si="167"/>
        <v>0</v>
      </c>
      <c r="O406" s="399"/>
      <c r="P406" s="376">
        <v>13</v>
      </c>
      <c r="Q406" s="376" t="str">
        <f t="shared" si="168"/>
        <v>उत्तम</v>
      </c>
      <c r="R406" s="376">
        <f t="shared" si="169"/>
        <v>0</v>
      </c>
      <c r="S406" s="376">
        <f t="shared" si="170"/>
        <v>0</v>
      </c>
      <c r="T406" s="376" t="str">
        <f t="shared" si="171"/>
        <v>उत्तम</v>
      </c>
      <c r="U406" s="376" t="str">
        <f t="shared" si="172"/>
        <v>स्वादिष्ठ</v>
      </c>
      <c r="V406" s="376" t="str">
        <f t="shared" si="173"/>
        <v>स्वादिष्ठ</v>
      </c>
      <c r="W406" s="376" t="str">
        <f t="shared" si="174"/>
        <v>स्वादिष्ठ</v>
      </c>
      <c r="X406" s="376">
        <f t="shared" si="175"/>
        <v>0</v>
      </c>
      <c r="Y406" s="376" t="str">
        <f t="shared" si="176"/>
        <v>स्वादिष्ठ</v>
      </c>
      <c r="Z406" s="376">
        <f t="shared" si="177"/>
        <v>0</v>
      </c>
      <c r="AA406" s="376">
        <f t="shared" si="178"/>
        <v>0</v>
      </c>
      <c r="AB406" s="376">
        <f t="shared" si="179"/>
        <v>0</v>
      </c>
      <c r="AC406" s="399"/>
      <c r="AD406" s="399"/>
      <c r="BE406" s="392"/>
      <c r="BF406" s="331"/>
      <c r="BG406" s="331"/>
      <c r="BH406" s="331"/>
      <c r="BI406" s="331"/>
      <c r="BJ406" s="331"/>
      <c r="BK406" s="331"/>
      <c r="BL406" s="331"/>
      <c r="BM406" s="331"/>
      <c r="BN406" s="331"/>
      <c r="BO406" s="331"/>
      <c r="BP406" s="331"/>
      <c r="BQ406" s="331"/>
      <c r="BR406" s="393"/>
    </row>
    <row r="407" spans="2:70" ht="27.75" hidden="1" customHeight="1" x14ac:dyDescent="0.4">
      <c r="B407" s="376">
        <v>14</v>
      </c>
      <c r="C407" s="310">
        <f t="shared" si="156"/>
        <v>0</v>
      </c>
      <c r="D407" s="376">
        <f t="shared" si="157"/>
        <v>0</v>
      </c>
      <c r="E407" s="376">
        <f t="shared" si="158"/>
        <v>0</v>
      </c>
      <c r="F407" s="376" t="str">
        <f t="shared" si="159"/>
        <v>श्रीम.वृषाली सुदाम गायकवाड</v>
      </c>
      <c r="G407" s="376">
        <f t="shared" si="160"/>
        <v>0</v>
      </c>
      <c r="H407" s="376" t="str">
        <f t="shared" si="161"/>
        <v>श्रीम.रुपाली गणेश तागड</v>
      </c>
      <c r="I407" s="376" t="str">
        <f t="shared" si="162"/>
        <v>श्रीम.रुपाली गणेश तागड</v>
      </c>
      <c r="J407" s="376" t="str">
        <f t="shared" si="163"/>
        <v>सौ.रंजना राजेंद्र मेहेरे</v>
      </c>
      <c r="K407" s="376" t="str">
        <f t="shared" si="164"/>
        <v>सौ.रंजना राजेंद्र मेहेरे</v>
      </c>
      <c r="L407" s="376">
        <f t="shared" si="165"/>
        <v>0</v>
      </c>
      <c r="M407" s="376">
        <f t="shared" si="166"/>
        <v>0</v>
      </c>
      <c r="N407" s="376">
        <f t="shared" si="167"/>
        <v>0</v>
      </c>
      <c r="O407" s="399"/>
      <c r="P407" s="376">
        <v>14</v>
      </c>
      <c r="Q407" s="376">
        <f t="shared" si="168"/>
        <v>0</v>
      </c>
      <c r="R407" s="376">
        <f t="shared" si="169"/>
        <v>0</v>
      </c>
      <c r="S407" s="376">
        <f t="shared" si="170"/>
        <v>0</v>
      </c>
      <c r="T407" s="376" t="str">
        <f t="shared" si="171"/>
        <v>छान</v>
      </c>
      <c r="U407" s="376">
        <f t="shared" si="172"/>
        <v>0</v>
      </c>
      <c r="V407" s="376" t="str">
        <f t="shared" si="173"/>
        <v>उत्तम</v>
      </c>
      <c r="W407" s="376" t="str">
        <f t="shared" si="174"/>
        <v>उत्तम</v>
      </c>
      <c r="X407" s="376" t="str">
        <f t="shared" si="175"/>
        <v>छान</v>
      </c>
      <c r="Y407" s="376" t="str">
        <f t="shared" si="176"/>
        <v>चविष्ठ</v>
      </c>
      <c r="Z407" s="376">
        <f t="shared" si="177"/>
        <v>0</v>
      </c>
      <c r="AA407" s="376">
        <f t="shared" si="178"/>
        <v>0</v>
      </c>
      <c r="AB407" s="376">
        <f t="shared" si="179"/>
        <v>0</v>
      </c>
      <c r="AC407" s="399"/>
      <c r="AD407" s="399"/>
      <c r="BE407" s="392"/>
      <c r="BF407" s="331"/>
      <c r="BG407" s="331"/>
      <c r="BH407" s="331"/>
      <c r="BI407" s="331"/>
      <c r="BJ407" s="331"/>
      <c r="BK407" s="331"/>
      <c r="BL407" s="331"/>
      <c r="BM407" s="331"/>
      <c r="BN407" s="331"/>
      <c r="BO407" s="331"/>
      <c r="BP407" s="331"/>
      <c r="BQ407" s="331"/>
      <c r="BR407" s="393"/>
    </row>
    <row r="408" spans="2:70" ht="27.75" hidden="1" customHeight="1" x14ac:dyDescent="0.4">
      <c r="B408" s="376">
        <v>15</v>
      </c>
      <c r="C408" s="310">
        <f t="shared" si="156"/>
        <v>0</v>
      </c>
      <c r="D408" s="376">
        <f t="shared" si="157"/>
        <v>0</v>
      </c>
      <c r="E408" s="376" t="str">
        <f t="shared" si="158"/>
        <v>श्रीम.वृषाली सुदाम गायकवाड</v>
      </c>
      <c r="F408" s="376" t="str">
        <f t="shared" si="159"/>
        <v>श्री.मोहन भिकाजी तागड</v>
      </c>
      <c r="G408" s="376">
        <f t="shared" si="160"/>
        <v>0</v>
      </c>
      <c r="H408" s="376" t="str">
        <f t="shared" si="161"/>
        <v>सौ.रंजना राजेंद्र मेहेरे</v>
      </c>
      <c r="I408" s="376" t="str">
        <f t="shared" si="162"/>
        <v>सौ.रंजना राजेंद्र मेहेरे</v>
      </c>
      <c r="J408" s="376" t="str">
        <f t="shared" si="163"/>
        <v>श्री.मोहन भिकाजी तागड</v>
      </c>
      <c r="K408" s="376" t="str">
        <f t="shared" si="164"/>
        <v xml:space="preserve">श्री.प्रविण ज्ञानदेव कोल्हे </v>
      </c>
      <c r="L408" s="376">
        <f t="shared" si="165"/>
        <v>0</v>
      </c>
      <c r="M408" s="376">
        <f t="shared" si="166"/>
        <v>0</v>
      </c>
      <c r="N408" s="376">
        <f t="shared" si="167"/>
        <v>0</v>
      </c>
      <c r="O408" s="399"/>
      <c r="P408" s="376">
        <v>15</v>
      </c>
      <c r="Q408" s="376">
        <f t="shared" si="168"/>
        <v>0</v>
      </c>
      <c r="R408" s="376">
        <f t="shared" si="169"/>
        <v>0</v>
      </c>
      <c r="S408" s="376" t="str">
        <f t="shared" si="170"/>
        <v>चविष्ठ</v>
      </c>
      <c r="T408" s="376" t="str">
        <f t="shared" si="171"/>
        <v>रुचकर</v>
      </c>
      <c r="U408" s="376">
        <f t="shared" si="172"/>
        <v>0</v>
      </c>
      <c r="V408" s="376" t="str">
        <f t="shared" si="173"/>
        <v>छान</v>
      </c>
      <c r="W408" s="376" t="str">
        <f t="shared" si="174"/>
        <v>छान</v>
      </c>
      <c r="X408" s="376" t="str">
        <f t="shared" si="175"/>
        <v>रुचकर</v>
      </c>
      <c r="Y408" s="376" t="str">
        <f t="shared" si="176"/>
        <v>स्वादिष्ठ</v>
      </c>
      <c r="Z408" s="376">
        <f t="shared" si="177"/>
        <v>0</v>
      </c>
      <c r="AA408" s="376">
        <f t="shared" si="178"/>
        <v>0</v>
      </c>
      <c r="AB408" s="376">
        <f t="shared" si="179"/>
        <v>0</v>
      </c>
      <c r="AC408" s="399"/>
      <c r="AD408" s="399"/>
      <c r="BE408" s="392"/>
      <c r="BF408" s="331"/>
      <c r="BG408" s="331"/>
      <c r="BH408" s="331"/>
      <c r="BI408" s="331"/>
      <c r="BJ408" s="331"/>
      <c r="BK408" s="331"/>
      <c r="BL408" s="331"/>
      <c r="BM408" s="331"/>
      <c r="BN408" s="331"/>
      <c r="BO408" s="331"/>
      <c r="BP408" s="331"/>
      <c r="BQ408" s="331"/>
      <c r="BR408" s="393"/>
    </row>
    <row r="409" spans="2:70" ht="0.75" hidden="1" customHeight="1" x14ac:dyDescent="0.4">
      <c r="B409" s="376">
        <v>16</v>
      </c>
      <c r="C409" s="310" t="str">
        <f t="shared" si="156"/>
        <v>सौ.रंजना राजेंद्र मेहेरे</v>
      </c>
      <c r="D409" s="376">
        <f t="shared" si="157"/>
        <v>0</v>
      </c>
      <c r="E409" s="376" t="str">
        <f t="shared" si="158"/>
        <v xml:space="preserve">श्री.प्रविण ज्ञानदेव कोल्हे </v>
      </c>
      <c r="F409" s="376" t="str">
        <f t="shared" si="159"/>
        <v xml:space="preserve">श्री.प्रविण ज्ञानदेव कोल्हे </v>
      </c>
      <c r="G409" s="376">
        <f t="shared" si="160"/>
        <v>0</v>
      </c>
      <c r="H409" s="376" t="str">
        <f t="shared" si="161"/>
        <v>श्री.मोहन भिकाजी तागड</v>
      </c>
      <c r="I409" s="376">
        <f t="shared" si="162"/>
        <v>0</v>
      </c>
      <c r="J409" s="376" t="str">
        <f t="shared" si="163"/>
        <v xml:space="preserve">श्री.प्रविण ज्ञानदेव कोल्हे </v>
      </c>
      <c r="K409" s="376" t="str">
        <f t="shared" si="164"/>
        <v>श्रीम.रुपाली गणेश तागड</v>
      </c>
      <c r="L409" s="376">
        <f t="shared" si="165"/>
        <v>0</v>
      </c>
      <c r="M409" s="376">
        <f t="shared" si="166"/>
        <v>0</v>
      </c>
      <c r="N409" s="376">
        <f t="shared" si="167"/>
        <v>0</v>
      </c>
      <c r="O409" s="376"/>
      <c r="P409" s="376">
        <v>16</v>
      </c>
      <c r="Q409" s="376" t="str">
        <f t="shared" si="168"/>
        <v>स्वादिष्ठ</v>
      </c>
      <c r="R409" s="376">
        <f t="shared" si="169"/>
        <v>0</v>
      </c>
      <c r="S409" s="376" t="str">
        <f t="shared" si="170"/>
        <v>रुचकर</v>
      </c>
      <c r="T409" s="376" t="str">
        <f t="shared" si="171"/>
        <v>स्वादिष्ठ</v>
      </c>
      <c r="U409" s="376">
        <f t="shared" si="172"/>
        <v>0</v>
      </c>
      <c r="V409" s="376" t="str">
        <f t="shared" si="173"/>
        <v>रुचकर</v>
      </c>
      <c r="W409" s="376">
        <f t="shared" si="174"/>
        <v>0</v>
      </c>
      <c r="X409" s="376" t="str">
        <f t="shared" si="175"/>
        <v>स्वादिष्ठ</v>
      </c>
      <c r="Y409" s="376" t="str">
        <f t="shared" si="176"/>
        <v>उत्तम</v>
      </c>
      <c r="Z409" s="376">
        <f t="shared" si="177"/>
        <v>0</v>
      </c>
      <c r="AA409" s="376">
        <f t="shared" si="178"/>
        <v>0</v>
      </c>
      <c r="AB409" s="376">
        <f t="shared" si="179"/>
        <v>0</v>
      </c>
      <c r="AC409" s="399"/>
      <c r="AD409" s="399"/>
      <c r="BE409" s="392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93"/>
    </row>
    <row r="410" spans="2:70" ht="27.75" hidden="1" customHeight="1" x14ac:dyDescent="0.4">
      <c r="B410" s="376">
        <v>17</v>
      </c>
      <c r="C410" s="310">
        <f t="shared" si="156"/>
        <v>0</v>
      </c>
      <c r="D410" s="376">
        <f t="shared" si="157"/>
        <v>0</v>
      </c>
      <c r="E410" s="376" t="str">
        <f t="shared" si="158"/>
        <v>सौ.रंजना राजेंद्र मेहेरे</v>
      </c>
      <c r="F410" s="376">
        <f t="shared" si="159"/>
        <v>0</v>
      </c>
      <c r="G410" s="376" t="str">
        <f t="shared" si="160"/>
        <v>श्रीम.रुपाली गणेश तागड</v>
      </c>
      <c r="H410" s="376">
        <f t="shared" si="161"/>
        <v>0</v>
      </c>
      <c r="I410" s="376">
        <f t="shared" si="162"/>
        <v>0</v>
      </c>
      <c r="J410" s="376" t="str">
        <f t="shared" si="163"/>
        <v>सौ.रंजना राजेंद्र मेहेरे</v>
      </c>
      <c r="K410" s="376" t="str">
        <f t="shared" si="164"/>
        <v>सौ.रंजना राजेंद्र मेहेरे</v>
      </c>
      <c r="L410" s="376">
        <f t="shared" si="165"/>
        <v>0</v>
      </c>
      <c r="M410" s="376">
        <f t="shared" si="166"/>
        <v>0</v>
      </c>
      <c r="N410" s="376">
        <f t="shared" si="167"/>
        <v>0</v>
      </c>
      <c r="O410" s="376"/>
      <c r="P410" s="376">
        <v>17</v>
      </c>
      <c r="Q410" s="376">
        <f t="shared" si="168"/>
        <v>0</v>
      </c>
      <c r="R410" s="376">
        <f t="shared" si="169"/>
        <v>0</v>
      </c>
      <c r="S410" s="376" t="str">
        <f t="shared" si="170"/>
        <v>उत्तम</v>
      </c>
      <c r="T410" s="376">
        <f t="shared" si="171"/>
        <v>0</v>
      </c>
      <c r="U410" s="376" t="str">
        <f t="shared" si="172"/>
        <v>उत्तम</v>
      </c>
      <c r="V410" s="376">
        <f t="shared" si="173"/>
        <v>0</v>
      </c>
      <c r="W410" s="376">
        <f t="shared" si="174"/>
        <v>0</v>
      </c>
      <c r="X410" s="376" t="str">
        <f t="shared" si="175"/>
        <v>चविष्ठ</v>
      </c>
      <c r="Y410" s="376" t="str">
        <f t="shared" si="176"/>
        <v>छान</v>
      </c>
      <c r="Z410" s="376">
        <f t="shared" si="177"/>
        <v>0</v>
      </c>
      <c r="AA410" s="376">
        <f t="shared" si="178"/>
        <v>0</v>
      </c>
      <c r="AB410" s="376">
        <f t="shared" si="179"/>
        <v>0</v>
      </c>
      <c r="AC410" s="399"/>
      <c r="AD410" s="399"/>
      <c r="BE410" s="392"/>
      <c r="BF410" s="331"/>
      <c r="BG410" s="331"/>
      <c r="BH410" s="331"/>
      <c r="BI410" s="331"/>
      <c r="BJ410" s="331"/>
      <c r="BK410" s="331"/>
      <c r="BL410" s="331"/>
      <c r="BM410" s="331"/>
      <c r="BN410" s="331"/>
      <c r="BO410" s="331"/>
      <c r="BP410" s="331"/>
      <c r="BQ410" s="331"/>
      <c r="BR410" s="393"/>
    </row>
    <row r="411" spans="2:70" ht="27.75" hidden="1" customHeight="1" x14ac:dyDescent="0.4">
      <c r="B411" s="376">
        <v>18</v>
      </c>
      <c r="C411" s="310" t="str">
        <f t="shared" si="156"/>
        <v>श्रीम.वृषाली सुदाम गायकवाड</v>
      </c>
      <c r="D411" s="376">
        <f t="shared" si="157"/>
        <v>0</v>
      </c>
      <c r="E411" s="376" t="str">
        <f t="shared" si="158"/>
        <v>श्रीम.रुपाली गणेश तागड</v>
      </c>
      <c r="F411" s="376" t="str">
        <f t="shared" si="159"/>
        <v>श्रीम.वृषाली सुदाम गायकवाड</v>
      </c>
      <c r="G411" s="376" t="str">
        <f t="shared" si="160"/>
        <v>श्रीम.वृषाली सुदाम गायकवाड</v>
      </c>
      <c r="H411" s="376">
        <f t="shared" si="161"/>
        <v>0</v>
      </c>
      <c r="I411" s="376">
        <f t="shared" si="162"/>
        <v>0</v>
      </c>
      <c r="J411" s="376" t="str">
        <f t="shared" si="163"/>
        <v xml:space="preserve">श्री.प्रविण ज्ञानदेव कोल्हे </v>
      </c>
      <c r="K411" s="376">
        <f t="shared" si="164"/>
        <v>0</v>
      </c>
      <c r="L411" s="376">
        <f t="shared" si="165"/>
        <v>0</v>
      </c>
      <c r="M411" s="376">
        <f t="shared" si="166"/>
        <v>0</v>
      </c>
      <c r="N411" s="376">
        <f t="shared" si="167"/>
        <v>0</v>
      </c>
      <c r="O411" s="376"/>
      <c r="P411" s="376">
        <v>18</v>
      </c>
      <c r="Q411" s="376" t="str">
        <f t="shared" si="168"/>
        <v>स्वादिष्ठ</v>
      </c>
      <c r="R411" s="376">
        <f t="shared" si="169"/>
        <v>0</v>
      </c>
      <c r="S411" s="376" t="str">
        <f t="shared" si="170"/>
        <v>छान</v>
      </c>
      <c r="T411" s="376" t="str">
        <f t="shared" si="171"/>
        <v>चविष्ठ</v>
      </c>
      <c r="U411" s="376" t="str">
        <f t="shared" si="172"/>
        <v>छान</v>
      </c>
      <c r="V411" s="376">
        <f t="shared" si="173"/>
        <v>0</v>
      </c>
      <c r="W411" s="376">
        <f t="shared" si="174"/>
        <v>0</v>
      </c>
      <c r="X411" s="376" t="str">
        <f t="shared" si="175"/>
        <v>स्वादिष्ठ</v>
      </c>
      <c r="Y411" s="376">
        <f t="shared" si="176"/>
        <v>0</v>
      </c>
      <c r="Z411" s="376">
        <f t="shared" si="177"/>
        <v>0</v>
      </c>
      <c r="AA411" s="376">
        <f t="shared" si="178"/>
        <v>0</v>
      </c>
      <c r="AB411" s="376">
        <f t="shared" si="179"/>
        <v>0</v>
      </c>
      <c r="AC411" s="399"/>
      <c r="AD411" s="399"/>
      <c r="BE411" s="392"/>
      <c r="BF411" s="331"/>
      <c r="BG411" s="331"/>
      <c r="BH411" s="331"/>
      <c r="BI411" s="331"/>
      <c r="BJ411" s="331"/>
      <c r="BK411" s="331"/>
      <c r="BL411" s="331"/>
      <c r="BM411" s="331"/>
      <c r="BN411" s="331"/>
      <c r="BO411" s="331"/>
      <c r="BP411" s="331"/>
      <c r="BQ411" s="331"/>
      <c r="BR411" s="393"/>
    </row>
    <row r="412" spans="2:70" ht="27.75" hidden="1" customHeight="1" x14ac:dyDescent="0.4">
      <c r="B412" s="376">
        <v>19</v>
      </c>
      <c r="C412" s="310" t="str">
        <f t="shared" si="156"/>
        <v>श्री.मोहन भिकाजी तागड</v>
      </c>
      <c r="D412" s="376">
        <f t="shared" si="157"/>
        <v>0</v>
      </c>
      <c r="E412" s="376">
        <f t="shared" si="158"/>
        <v>0</v>
      </c>
      <c r="F412" s="376" t="str">
        <f t="shared" si="159"/>
        <v xml:space="preserve">श्री.प्रविण ज्ञानदेव कोल्हे </v>
      </c>
      <c r="G412" s="376" t="str">
        <f t="shared" si="160"/>
        <v>श्री.मोहन भिकाजी तागड</v>
      </c>
      <c r="H412" s="376" t="str">
        <f t="shared" si="161"/>
        <v>सौ.रंजना राजेंद्र मेहेरे</v>
      </c>
      <c r="I412" s="376">
        <f t="shared" si="162"/>
        <v>0</v>
      </c>
      <c r="J412" s="376" t="str">
        <f t="shared" si="163"/>
        <v>श्रीम.रुपाली गणेश तागड</v>
      </c>
      <c r="K412" s="376" t="str">
        <f t="shared" si="164"/>
        <v>श्री.मोहन भिकाजी तागड</v>
      </c>
      <c r="L412" s="376">
        <f t="shared" si="165"/>
        <v>0</v>
      </c>
      <c r="M412" s="376">
        <f t="shared" si="166"/>
        <v>0</v>
      </c>
      <c r="N412" s="376">
        <f t="shared" si="167"/>
        <v>0</v>
      </c>
      <c r="O412" s="376"/>
      <c r="P412" s="376">
        <v>19</v>
      </c>
      <c r="Q412" s="376" t="str">
        <f t="shared" si="168"/>
        <v>रुचकर</v>
      </c>
      <c r="R412" s="376">
        <f t="shared" si="169"/>
        <v>0</v>
      </c>
      <c r="S412" s="376">
        <f t="shared" si="170"/>
        <v>0</v>
      </c>
      <c r="T412" s="376" t="str">
        <f t="shared" si="171"/>
        <v>स्वादिष्ठ</v>
      </c>
      <c r="U412" s="376" t="str">
        <f t="shared" si="172"/>
        <v>रुचकर</v>
      </c>
      <c r="V412" s="376" t="str">
        <f t="shared" si="173"/>
        <v>चविष्ठ</v>
      </c>
      <c r="W412" s="376">
        <f t="shared" si="174"/>
        <v>0</v>
      </c>
      <c r="X412" s="376" t="str">
        <f t="shared" si="175"/>
        <v>उत्तम</v>
      </c>
      <c r="Y412" s="376" t="str">
        <f t="shared" si="176"/>
        <v>रुचकर</v>
      </c>
      <c r="Z412" s="376">
        <f t="shared" si="177"/>
        <v>0</v>
      </c>
      <c r="AA412" s="376">
        <f t="shared" si="178"/>
        <v>0</v>
      </c>
      <c r="AB412" s="376">
        <f t="shared" si="179"/>
        <v>0</v>
      </c>
      <c r="AC412" s="399"/>
      <c r="AD412" s="399"/>
    </row>
    <row r="413" spans="2:70" ht="27.75" hidden="1" customHeight="1" x14ac:dyDescent="0.4">
      <c r="B413" s="376">
        <v>20</v>
      </c>
      <c r="C413" s="310" t="str">
        <f t="shared" si="156"/>
        <v>श्रीम.रुपाली गणेश तागड</v>
      </c>
      <c r="D413" s="376">
        <f t="shared" si="157"/>
        <v>0</v>
      </c>
      <c r="E413" s="376" t="str">
        <f t="shared" si="158"/>
        <v>श्रीम.वृषाली सुदाम गायकवाड</v>
      </c>
      <c r="F413" s="376" t="str">
        <f t="shared" si="159"/>
        <v>श्रीम.रुपाली गणेश तागड</v>
      </c>
      <c r="G413" s="376" t="str">
        <f t="shared" si="160"/>
        <v xml:space="preserve">श्री.प्रविण ज्ञानदेव कोल्हे </v>
      </c>
      <c r="H413" s="376" t="str">
        <f t="shared" si="161"/>
        <v xml:space="preserve">श्री.प्रविण ज्ञानदेव कोल्हे </v>
      </c>
      <c r="I413" s="376">
        <f t="shared" si="162"/>
        <v>0</v>
      </c>
      <c r="J413" s="376">
        <f t="shared" si="163"/>
        <v>0</v>
      </c>
      <c r="K413" s="376" t="str">
        <f t="shared" si="164"/>
        <v xml:space="preserve">श्री.प्रविण ज्ञानदेव कोल्हे </v>
      </c>
      <c r="L413" s="376">
        <f t="shared" si="165"/>
        <v>0</v>
      </c>
      <c r="M413" s="376">
        <f t="shared" si="166"/>
        <v>0</v>
      </c>
      <c r="N413" s="376">
        <f t="shared" si="167"/>
        <v>0</v>
      </c>
      <c r="O413" s="376"/>
      <c r="P413" s="376">
        <v>20</v>
      </c>
      <c r="Q413" s="376" t="str">
        <f t="shared" si="168"/>
        <v>रुचकर</v>
      </c>
      <c r="R413" s="376">
        <f t="shared" si="169"/>
        <v>0</v>
      </c>
      <c r="S413" s="376" t="str">
        <f t="shared" si="170"/>
        <v>चविष्ठ</v>
      </c>
      <c r="T413" s="376" t="str">
        <f t="shared" si="171"/>
        <v>उत्तम</v>
      </c>
      <c r="U413" s="376" t="str">
        <f t="shared" si="172"/>
        <v>स्वादिष्ठ</v>
      </c>
      <c r="V413" s="376" t="str">
        <f t="shared" si="173"/>
        <v>स्वादिष्ठ</v>
      </c>
      <c r="W413" s="376">
        <f t="shared" si="174"/>
        <v>0</v>
      </c>
      <c r="X413" s="376">
        <f t="shared" si="175"/>
        <v>0</v>
      </c>
      <c r="Y413" s="376" t="str">
        <f t="shared" si="176"/>
        <v>स्वादिष्ठ</v>
      </c>
      <c r="Z413" s="376">
        <f t="shared" si="177"/>
        <v>0</v>
      </c>
      <c r="AA413" s="376">
        <f t="shared" si="178"/>
        <v>0</v>
      </c>
      <c r="AB413" s="376">
        <f t="shared" si="179"/>
        <v>0</v>
      </c>
      <c r="AC413" s="399"/>
      <c r="AD413" s="399"/>
    </row>
    <row r="414" spans="2:70" ht="27" hidden="1" customHeight="1" x14ac:dyDescent="0.4">
      <c r="B414" s="376">
        <v>21</v>
      </c>
      <c r="C414" s="310" t="str">
        <f t="shared" si="156"/>
        <v xml:space="preserve">श्री.प्रविण ज्ञानदेव कोल्हे </v>
      </c>
      <c r="D414" s="376">
        <f t="shared" si="157"/>
        <v>0</v>
      </c>
      <c r="E414" s="376" t="str">
        <f t="shared" si="158"/>
        <v xml:space="preserve">श्री.प्रविण ज्ञानदेव कोल्हे </v>
      </c>
      <c r="F414" s="376" t="str">
        <f t="shared" si="159"/>
        <v>श्रीम.वृषाली सुदाम गायकवाड</v>
      </c>
      <c r="G414" s="376">
        <f t="shared" si="160"/>
        <v>0</v>
      </c>
      <c r="H414" s="376" t="str">
        <f t="shared" si="161"/>
        <v>श्रीम.रुपाली गणेश तागड</v>
      </c>
      <c r="I414" s="376">
        <f t="shared" si="162"/>
        <v>0</v>
      </c>
      <c r="J414" s="376" t="str">
        <f t="shared" si="163"/>
        <v>श्री.मोहन भिकाजी तागड</v>
      </c>
      <c r="K414" s="376" t="str">
        <f t="shared" si="164"/>
        <v>सौ.रंजना राजेंद्र मेहेरे</v>
      </c>
      <c r="L414" s="376">
        <f t="shared" si="165"/>
        <v>0</v>
      </c>
      <c r="M414" s="376">
        <f t="shared" si="166"/>
        <v>0</v>
      </c>
      <c r="N414" s="376">
        <f t="shared" si="167"/>
        <v>0</v>
      </c>
      <c r="O414" s="376"/>
      <c r="P414" s="376">
        <v>21</v>
      </c>
      <c r="Q414" s="376" t="str">
        <f t="shared" si="168"/>
        <v>चविष्ठ</v>
      </c>
      <c r="R414" s="376">
        <f t="shared" si="169"/>
        <v>0</v>
      </c>
      <c r="S414" s="376" t="str">
        <f t="shared" si="170"/>
        <v>स्वादिष्ठ</v>
      </c>
      <c r="T414" s="376" t="str">
        <f t="shared" si="171"/>
        <v>छान</v>
      </c>
      <c r="U414" s="376">
        <f t="shared" si="172"/>
        <v>0</v>
      </c>
      <c r="V414" s="376" t="str">
        <f t="shared" si="173"/>
        <v>उत्तम</v>
      </c>
      <c r="W414" s="376">
        <f t="shared" si="174"/>
        <v>0</v>
      </c>
      <c r="X414" s="376" t="str">
        <f t="shared" si="175"/>
        <v>रुचकर</v>
      </c>
      <c r="Y414" s="376" t="str">
        <f t="shared" si="176"/>
        <v>चविष्ठ</v>
      </c>
      <c r="Z414" s="376">
        <f t="shared" si="177"/>
        <v>0</v>
      </c>
      <c r="AA414" s="376">
        <f t="shared" si="178"/>
        <v>0</v>
      </c>
      <c r="AB414" s="376">
        <f t="shared" si="179"/>
        <v>0</v>
      </c>
      <c r="AC414" s="399"/>
      <c r="AD414" s="399"/>
    </row>
    <row r="415" spans="2:70" ht="27.75" hidden="1" customHeight="1" x14ac:dyDescent="0.4">
      <c r="B415" s="376">
        <v>22</v>
      </c>
      <c r="C415" s="310" t="str">
        <f t="shared" si="156"/>
        <v>श्रीम.वृषाली सुदाम गायकवाड</v>
      </c>
      <c r="D415" s="376">
        <f t="shared" si="157"/>
        <v>0</v>
      </c>
      <c r="E415" s="376" t="str">
        <f t="shared" si="158"/>
        <v>श्रीम.रुपाली गणेश तागड</v>
      </c>
      <c r="F415" s="376" t="str">
        <f t="shared" si="159"/>
        <v>श्री.मोहन भिकाजी तागड</v>
      </c>
      <c r="G415" s="376" t="str">
        <f t="shared" si="160"/>
        <v>श्रीम.वृषाली सुदाम गायकवाड</v>
      </c>
      <c r="H415" s="376" t="str">
        <f t="shared" si="161"/>
        <v>सौ.रंजना राजेंद्र मेहेरे</v>
      </c>
      <c r="I415" s="376">
        <f t="shared" si="162"/>
        <v>0</v>
      </c>
      <c r="J415" s="376" t="str">
        <f t="shared" si="163"/>
        <v xml:space="preserve">श्री.प्रविण ज्ञानदेव कोल्हे </v>
      </c>
      <c r="K415" s="376" t="str">
        <f t="shared" si="164"/>
        <v xml:space="preserve">श्री.प्रविण ज्ञानदेव कोल्हे </v>
      </c>
      <c r="L415" s="376">
        <f t="shared" si="165"/>
        <v>0</v>
      </c>
      <c r="M415" s="376">
        <f t="shared" si="166"/>
        <v>0</v>
      </c>
      <c r="N415" s="376">
        <f t="shared" si="167"/>
        <v>0</v>
      </c>
      <c r="O415" s="376"/>
      <c r="P415" s="376">
        <v>22</v>
      </c>
      <c r="Q415" s="376" t="str">
        <f t="shared" si="168"/>
        <v>उत्तम</v>
      </c>
      <c r="R415" s="376">
        <f t="shared" si="169"/>
        <v>0</v>
      </c>
      <c r="S415" s="376" t="str">
        <f t="shared" si="170"/>
        <v>उत्तम</v>
      </c>
      <c r="T415" s="376" t="str">
        <f t="shared" si="171"/>
        <v>रुचकर</v>
      </c>
      <c r="U415" s="376" t="str">
        <f t="shared" si="172"/>
        <v>चविष्ठ</v>
      </c>
      <c r="V415" s="376" t="str">
        <f t="shared" si="173"/>
        <v>छान</v>
      </c>
      <c r="W415" s="376">
        <f t="shared" si="174"/>
        <v>0</v>
      </c>
      <c r="X415" s="376" t="str">
        <f t="shared" si="175"/>
        <v>स्वादिष्ठ</v>
      </c>
      <c r="Y415" s="376" t="str">
        <f t="shared" si="176"/>
        <v>स्वादिष्ठ</v>
      </c>
      <c r="Z415" s="376">
        <f t="shared" si="177"/>
        <v>0</v>
      </c>
      <c r="AA415" s="376">
        <f t="shared" si="178"/>
        <v>0</v>
      </c>
      <c r="AB415" s="376">
        <f t="shared" si="179"/>
        <v>0</v>
      </c>
      <c r="AC415" s="399"/>
      <c r="AD415" s="399"/>
    </row>
    <row r="416" spans="2:70" ht="27.75" hidden="1" customHeight="1" x14ac:dyDescent="0.4">
      <c r="B416" s="376">
        <v>23</v>
      </c>
      <c r="C416" s="310" t="str">
        <f t="shared" si="156"/>
        <v>सौ.रंजना राजेंद्र मेहेरे</v>
      </c>
      <c r="D416" s="376">
        <f t="shared" si="157"/>
        <v>0</v>
      </c>
      <c r="E416" s="376" t="str">
        <f t="shared" si="158"/>
        <v>श्रीम.वृषाली सुदाम गायकवाड</v>
      </c>
      <c r="F416" s="376" t="str">
        <f t="shared" si="159"/>
        <v xml:space="preserve">श्री.प्रविण ज्ञानदेव कोल्हे </v>
      </c>
      <c r="G416" s="376" t="str">
        <f t="shared" si="160"/>
        <v xml:space="preserve">श्री.प्रविण ज्ञानदेव कोल्हे </v>
      </c>
      <c r="H416" s="376" t="str">
        <f t="shared" si="161"/>
        <v>श्री.मोहन भिकाजी तागड</v>
      </c>
      <c r="I416" s="376">
        <f t="shared" si="162"/>
        <v>0</v>
      </c>
      <c r="J416" s="376" t="str">
        <f t="shared" si="163"/>
        <v>सौ.रंजना राजेंद्र मेहेरे</v>
      </c>
      <c r="K416" s="376" t="str">
        <f t="shared" si="164"/>
        <v>श्रीम.रुपाली गणेश तागड</v>
      </c>
      <c r="L416" s="376">
        <f t="shared" si="165"/>
        <v>0</v>
      </c>
      <c r="M416" s="376">
        <f t="shared" si="166"/>
        <v>0</v>
      </c>
      <c r="N416" s="376">
        <f t="shared" si="167"/>
        <v>0</v>
      </c>
      <c r="O416" s="376"/>
      <c r="P416" s="376">
        <v>23</v>
      </c>
      <c r="Q416" s="376" t="str">
        <f t="shared" si="168"/>
        <v>छान</v>
      </c>
      <c r="R416" s="376">
        <f t="shared" si="169"/>
        <v>0</v>
      </c>
      <c r="S416" s="376" t="str">
        <f t="shared" si="170"/>
        <v>छान</v>
      </c>
      <c r="T416" s="376" t="str">
        <f t="shared" si="171"/>
        <v>स्वादिष्ठ</v>
      </c>
      <c r="U416" s="376" t="str">
        <f t="shared" si="172"/>
        <v>स्वादिष्ठ</v>
      </c>
      <c r="V416" s="376" t="str">
        <f t="shared" si="173"/>
        <v>रुचकर</v>
      </c>
      <c r="W416" s="376">
        <f t="shared" si="174"/>
        <v>0</v>
      </c>
      <c r="X416" s="376" t="str">
        <f t="shared" si="175"/>
        <v>चविष्ठ</v>
      </c>
      <c r="Y416" s="376" t="str">
        <f t="shared" si="176"/>
        <v>उत्तम</v>
      </c>
      <c r="Z416" s="376">
        <f t="shared" si="177"/>
        <v>0</v>
      </c>
      <c r="AA416" s="376">
        <f t="shared" si="178"/>
        <v>0</v>
      </c>
      <c r="AB416" s="376">
        <f t="shared" si="179"/>
        <v>0</v>
      </c>
      <c r="AC416" s="399"/>
      <c r="AD416" s="399"/>
    </row>
    <row r="417" spans="2:30" ht="27.75" hidden="1" customHeight="1" x14ac:dyDescent="0.4">
      <c r="B417" s="376">
        <v>24</v>
      </c>
      <c r="C417" s="310">
        <f t="shared" si="156"/>
        <v>0</v>
      </c>
      <c r="D417" s="376">
        <f t="shared" si="157"/>
        <v>0</v>
      </c>
      <c r="E417" s="376" t="str">
        <f t="shared" si="158"/>
        <v>श्री.मोहन भिकाजी तागड</v>
      </c>
      <c r="F417" s="376">
        <f t="shared" si="159"/>
        <v>0</v>
      </c>
      <c r="G417" s="376" t="str">
        <f t="shared" si="160"/>
        <v>श्रीम.रुपाली गणेश तागड</v>
      </c>
      <c r="H417" s="376" t="str">
        <f t="shared" si="161"/>
        <v xml:space="preserve">श्री.प्रविण ज्ञानदेव कोल्हे </v>
      </c>
      <c r="I417" s="376">
        <f t="shared" si="162"/>
        <v>0</v>
      </c>
      <c r="J417" s="376" t="str">
        <f t="shared" si="163"/>
        <v xml:space="preserve">श्री.प्रविण ज्ञानदेव कोल्हे </v>
      </c>
      <c r="K417" s="376" t="str">
        <f t="shared" si="164"/>
        <v>सौ.रंजना राजेंद्र मेहेरे</v>
      </c>
      <c r="L417" s="376">
        <f t="shared" si="165"/>
        <v>0</v>
      </c>
      <c r="M417" s="376">
        <f t="shared" si="166"/>
        <v>0</v>
      </c>
      <c r="N417" s="376">
        <f t="shared" si="167"/>
        <v>0</v>
      </c>
      <c r="O417" s="376"/>
      <c r="P417" s="376">
        <v>24</v>
      </c>
      <c r="Q417" s="376">
        <f t="shared" si="168"/>
        <v>0</v>
      </c>
      <c r="R417" s="376">
        <f t="shared" si="169"/>
        <v>0</v>
      </c>
      <c r="S417" s="376" t="str">
        <f t="shared" si="170"/>
        <v>रुचकर</v>
      </c>
      <c r="T417" s="376">
        <f t="shared" si="171"/>
        <v>0</v>
      </c>
      <c r="U417" s="376" t="str">
        <f t="shared" si="172"/>
        <v>उत्तम</v>
      </c>
      <c r="V417" s="376" t="str">
        <f t="shared" si="173"/>
        <v>स्वादिष्ठ</v>
      </c>
      <c r="W417" s="376">
        <f t="shared" si="174"/>
        <v>0</v>
      </c>
      <c r="X417" s="376" t="str">
        <f t="shared" si="175"/>
        <v>स्वादिष्ठ</v>
      </c>
      <c r="Y417" s="376" t="str">
        <f t="shared" si="176"/>
        <v>छान</v>
      </c>
      <c r="Z417" s="376">
        <f t="shared" si="177"/>
        <v>0</v>
      </c>
      <c r="AA417" s="376">
        <f t="shared" si="178"/>
        <v>0</v>
      </c>
      <c r="AB417" s="376">
        <f t="shared" si="179"/>
        <v>0</v>
      </c>
      <c r="AC417" s="399"/>
      <c r="AD417" s="399"/>
    </row>
    <row r="418" spans="2:30" ht="27.75" hidden="1" customHeight="1" x14ac:dyDescent="0.4">
      <c r="B418" s="376">
        <v>25</v>
      </c>
      <c r="C418" s="310" t="str">
        <f t="shared" si="156"/>
        <v>श्रीम.वृषाली सुदाम गायकवाड</v>
      </c>
      <c r="D418" s="376">
        <f t="shared" si="157"/>
        <v>0</v>
      </c>
      <c r="E418" s="376" t="str">
        <f t="shared" si="158"/>
        <v xml:space="preserve">श्री.प्रविण ज्ञानदेव कोल्हे </v>
      </c>
      <c r="F418" s="376" t="str">
        <f t="shared" si="159"/>
        <v>श्रीम.वृषाली सुदाम गायकवाड</v>
      </c>
      <c r="G418" s="376" t="str">
        <f t="shared" si="160"/>
        <v>श्रीम.वृषाली सुदाम गायकवाड</v>
      </c>
      <c r="H418" s="376">
        <f t="shared" si="161"/>
        <v>0</v>
      </c>
      <c r="I418" s="376">
        <f t="shared" si="162"/>
        <v>0</v>
      </c>
      <c r="J418" s="376" t="str">
        <f t="shared" si="163"/>
        <v>श्रीम.रुपाली गणेश तागड</v>
      </c>
      <c r="K418" s="376">
        <f t="shared" si="164"/>
        <v>0</v>
      </c>
      <c r="L418" s="376">
        <f t="shared" si="165"/>
        <v>0</v>
      </c>
      <c r="M418" s="376">
        <f t="shared" si="166"/>
        <v>0</v>
      </c>
      <c r="N418" s="376">
        <f t="shared" si="167"/>
        <v>0</v>
      </c>
      <c r="O418" s="376"/>
      <c r="P418" s="376">
        <v>25</v>
      </c>
      <c r="Q418" s="376" t="str">
        <f t="shared" si="168"/>
        <v>चविष्ठ</v>
      </c>
      <c r="R418" s="376">
        <f t="shared" si="169"/>
        <v>0</v>
      </c>
      <c r="S418" s="376" t="str">
        <f t="shared" si="170"/>
        <v>स्वादिष्ठ</v>
      </c>
      <c r="T418" s="376" t="str">
        <f t="shared" si="171"/>
        <v>चविष्ठ</v>
      </c>
      <c r="U418" s="376" t="str">
        <f t="shared" si="172"/>
        <v>छान</v>
      </c>
      <c r="V418" s="376">
        <f t="shared" si="173"/>
        <v>0</v>
      </c>
      <c r="W418" s="376">
        <f t="shared" si="174"/>
        <v>0</v>
      </c>
      <c r="X418" s="376" t="str">
        <f t="shared" si="175"/>
        <v>उत्तम</v>
      </c>
      <c r="Y418" s="376">
        <f t="shared" si="176"/>
        <v>0</v>
      </c>
      <c r="Z418" s="376">
        <f t="shared" si="177"/>
        <v>0</v>
      </c>
      <c r="AA418" s="376">
        <f t="shared" si="178"/>
        <v>0</v>
      </c>
      <c r="AB418" s="376">
        <f t="shared" si="179"/>
        <v>0</v>
      </c>
      <c r="AC418" s="399"/>
      <c r="AD418" s="399"/>
    </row>
    <row r="419" spans="2:30" ht="27.75" hidden="1" customHeight="1" x14ac:dyDescent="0.4">
      <c r="B419" s="376">
        <v>26</v>
      </c>
      <c r="C419" s="310" t="str">
        <f t="shared" si="156"/>
        <v>श्री.मोहन भिकाजी तागड</v>
      </c>
      <c r="D419" s="376">
        <f t="shared" si="157"/>
        <v>0</v>
      </c>
      <c r="E419" s="376">
        <f t="shared" si="158"/>
        <v>0</v>
      </c>
      <c r="F419" s="376" t="str">
        <f t="shared" si="159"/>
        <v xml:space="preserve">श्री.प्रविण ज्ञानदेव कोल्हे </v>
      </c>
      <c r="G419" s="376">
        <f t="shared" si="160"/>
        <v>0</v>
      </c>
      <c r="H419" s="376">
        <f t="shared" si="161"/>
        <v>0</v>
      </c>
      <c r="I419" s="376">
        <f t="shared" si="162"/>
        <v>0</v>
      </c>
      <c r="J419" s="376" t="str">
        <f t="shared" si="163"/>
        <v>सौ.रंजना राजेंद्र मेहेरे</v>
      </c>
      <c r="K419" s="376" t="str">
        <f t="shared" si="164"/>
        <v>श्री.मोहन भिकाजी तागड</v>
      </c>
      <c r="L419" s="376">
        <f t="shared" si="165"/>
        <v>0</v>
      </c>
      <c r="M419" s="376">
        <f t="shared" si="166"/>
        <v>0</v>
      </c>
      <c r="N419" s="376">
        <f t="shared" si="167"/>
        <v>0</v>
      </c>
      <c r="O419" s="376"/>
      <c r="P419" s="376">
        <v>26</v>
      </c>
      <c r="Q419" s="376" t="str">
        <f t="shared" si="168"/>
        <v>छान</v>
      </c>
      <c r="R419" s="376">
        <f t="shared" si="169"/>
        <v>0</v>
      </c>
      <c r="S419" s="376">
        <f t="shared" si="170"/>
        <v>0</v>
      </c>
      <c r="T419" s="376" t="str">
        <f t="shared" si="171"/>
        <v>स्वादिष्ठ</v>
      </c>
      <c r="U419" s="376">
        <f t="shared" si="172"/>
        <v>0</v>
      </c>
      <c r="V419" s="376">
        <f t="shared" si="173"/>
        <v>0</v>
      </c>
      <c r="W419" s="376">
        <f t="shared" si="174"/>
        <v>0</v>
      </c>
      <c r="X419" s="376" t="str">
        <f t="shared" si="175"/>
        <v>छान</v>
      </c>
      <c r="Y419" s="376" t="str">
        <f t="shared" si="176"/>
        <v>रुचकर</v>
      </c>
      <c r="Z419" s="376">
        <f t="shared" si="177"/>
        <v>0</v>
      </c>
      <c r="AA419" s="376">
        <f t="shared" si="178"/>
        <v>0</v>
      </c>
      <c r="AB419" s="376">
        <f t="shared" si="179"/>
        <v>0</v>
      </c>
      <c r="AC419" s="399"/>
      <c r="AD419" s="399"/>
    </row>
    <row r="420" spans="2:30" ht="17.25" hidden="1" customHeight="1" x14ac:dyDescent="0.4">
      <c r="B420" s="376">
        <v>27</v>
      </c>
      <c r="C420" s="310" t="str">
        <f t="shared" si="156"/>
        <v>श्रीम.रुपाली गणेश तागड</v>
      </c>
      <c r="D420" s="376">
        <f t="shared" si="157"/>
        <v>0</v>
      </c>
      <c r="E420" s="376" t="str">
        <f t="shared" si="158"/>
        <v>श्रीम.रुपाली गणेश तागड</v>
      </c>
      <c r="F420" s="376" t="str">
        <f t="shared" si="159"/>
        <v>श्रीम.रुपाली गणेश तागड</v>
      </c>
      <c r="G420" s="376" t="str">
        <f t="shared" si="160"/>
        <v xml:space="preserve">श्री.प्रविण ज्ञानदेव कोल्हे </v>
      </c>
      <c r="H420" s="376" t="str">
        <f t="shared" si="161"/>
        <v xml:space="preserve">श्री.प्रविण ज्ञानदेव कोल्हे </v>
      </c>
      <c r="I420" s="376">
        <f t="shared" si="162"/>
        <v>0</v>
      </c>
      <c r="J420" s="376">
        <f t="shared" si="163"/>
        <v>0</v>
      </c>
      <c r="K420" s="376" t="str">
        <f t="shared" si="164"/>
        <v xml:space="preserve">श्री.प्रविण ज्ञानदेव कोल्हे </v>
      </c>
      <c r="L420" s="376">
        <f t="shared" si="165"/>
        <v>0</v>
      </c>
      <c r="M420" s="376">
        <f t="shared" si="166"/>
        <v>0</v>
      </c>
      <c r="N420" s="376">
        <f t="shared" si="167"/>
        <v>0</v>
      </c>
      <c r="O420" s="376"/>
      <c r="P420" s="376">
        <v>27</v>
      </c>
      <c r="Q420" s="376" t="str">
        <f t="shared" si="168"/>
        <v>उत्तम</v>
      </c>
      <c r="R420" s="376">
        <f t="shared" si="169"/>
        <v>0</v>
      </c>
      <c r="S420" s="376" t="str">
        <f t="shared" si="170"/>
        <v>उत्तम</v>
      </c>
      <c r="T420" s="376" t="str">
        <f t="shared" si="171"/>
        <v>उत्तम</v>
      </c>
      <c r="U420" s="376" t="str">
        <f t="shared" si="172"/>
        <v>स्वादिष्ठ</v>
      </c>
      <c r="V420" s="376" t="str">
        <f t="shared" si="173"/>
        <v>स्वादिष्ठ</v>
      </c>
      <c r="W420" s="376">
        <f t="shared" si="174"/>
        <v>0</v>
      </c>
      <c r="X420" s="376">
        <f t="shared" si="175"/>
        <v>0</v>
      </c>
      <c r="Y420" s="376" t="str">
        <f t="shared" si="176"/>
        <v>स्वादिष्ठ</v>
      </c>
      <c r="Z420" s="376">
        <f t="shared" si="177"/>
        <v>0</v>
      </c>
      <c r="AA420" s="376">
        <f t="shared" si="178"/>
        <v>0</v>
      </c>
      <c r="AB420" s="376">
        <f t="shared" si="179"/>
        <v>0</v>
      </c>
      <c r="AC420" s="399"/>
      <c r="AD420" s="399"/>
    </row>
    <row r="421" spans="2:30" ht="27.75" hidden="1" customHeight="1" x14ac:dyDescent="0.4">
      <c r="B421" s="376">
        <v>28</v>
      </c>
      <c r="C421" s="310" t="str">
        <f t="shared" si="156"/>
        <v xml:space="preserve">श्री.प्रविण ज्ञानदेव कोल्हे </v>
      </c>
      <c r="D421" s="376">
        <f t="shared" si="157"/>
        <v>0</v>
      </c>
      <c r="E421" s="376" t="str">
        <f t="shared" si="158"/>
        <v>श्रीम.वृषाली सुदाम गायकवाड</v>
      </c>
      <c r="F421" s="376" t="str">
        <f t="shared" si="159"/>
        <v>श्रीम.वृषाली सुदाम गायकवाड</v>
      </c>
      <c r="G421" s="376">
        <f t="shared" si="160"/>
        <v>0</v>
      </c>
      <c r="H421" s="376" t="str">
        <f t="shared" si="161"/>
        <v>श्रीम.रुपाली गणेश तागड</v>
      </c>
      <c r="I421" s="376">
        <f t="shared" si="162"/>
        <v>0</v>
      </c>
      <c r="J421" s="376" t="str">
        <f t="shared" si="163"/>
        <v>सौ.रंजना राजेंद्र मेहेरे</v>
      </c>
      <c r="K421" s="376" t="str">
        <f t="shared" si="164"/>
        <v>सौ.रंजना राजेंद्र मेहेरे</v>
      </c>
      <c r="L421" s="376">
        <f t="shared" si="165"/>
        <v>0</v>
      </c>
      <c r="M421" s="376">
        <f t="shared" si="166"/>
        <v>0</v>
      </c>
      <c r="N421" s="376">
        <f t="shared" si="167"/>
        <v>0</v>
      </c>
      <c r="O421" s="376"/>
      <c r="P421" s="376">
        <v>28</v>
      </c>
      <c r="Q421" s="376" t="str">
        <f t="shared" si="168"/>
        <v>रुचकर</v>
      </c>
      <c r="R421" s="376">
        <f t="shared" si="169"/>
        <v>0</v>
      </c>
      <c r="S421" s="376" t="str">
        <f t="shared" si="170"/>
        <v>छान</v>
      </c>
      <c r="T421" s="376" t="str">
        <f t="shared" si="171"/>
        <v>छान</v>
      </c>
      <c r="U421" s="376">
        <f t="shared" si="172"/>
        <v>0</v>
      </c>
      <c r="V421" s="376" t="str">
        <f t="shared" si="173"/>
        <v>उत्तम</v>
      </c>
      <c r="W421" s="376">
        <f t="shared" si="174"/>
        <v>0</v>
      </c>
      <c r="X421" s="376" t="str">
        <f t="shared" si="175"/>
        <v>चविष्ठ</v>
      </c>
      <c r="Y421" s="376" t="str">
        <f t="shared" si="176"/>
        <v>चविष्ठ</v>
      </c>
      <c r="Z421" s="376">
        <f t="shared" si="177"/>
        <v>0</v>
      </c>
      <c r="AA421" s="376">
        <f t="shared" si="178"/>
        <v>0</v>
      </c>
      <c r="AB421" s="376">
        <f t="shared" si="179"/>
        <v>0</v>
      </c>
      <c r="AC421" s="399"/>
      <c r="AD421" s="399"/>
    </row>
    <row r="422" spans="2:30" ht="27.75" hidden="1" customHeight="1" x14ac:dyDescent="0.4">
      <c r="B422" s="376">
        <v>29</v>
      </c>
      <c r="C422" s="310" t="str">
        <f t="shared" si="156"/>
        <v>श्रीम.वृषाली सुदाम गायकवाड</v>
      </c>
      <c r="D422" s="376">
        <f t="shared" si="157"/>
        <v>0</v>
      </c>
      <c r="E422" s="376" t="str">
        <f t="shared" si="158"/>
        <v>श्री.मोहन भिकाजी तागड</v>
      </c>
      <c r="F422" s="376" t="str">
        <f t="shared" si="159"/>
        <v>श्री.मोहन भिकाजी तागड</v>
      </c>
      <c r="G422" s="376" t="str">
        <f t="shared" si="160"/>
        <v>श्रीम.रुपाली गणेश तागड</v>
      </c>
      <c r="H422" s="376" t="str">
        <f t="shared" si="161"/>
        <v>सौ.रंजना राजेंद्र मेहेरे</v>
      </c>
      <c r="I422" s="376">
        <f t="shared" si="162"/>
        <v>0</v>
      </c>
      <c r="J422" s="376" t="str">
        <f t="shared" si="163"/>
        <v xml:space="preserve">श्री.प्रविण ज्ञानदेव कोल्हे </v>
      </c>
      <c r="K422" s="376" t="str">
        <f t="shared" si="164"/>
        <v xml:space="preserve">श्री.प्रविण ज्ञानदेव कोल्हे </v>
      </c>
      <c r="L422" s="376">
        <f t="shared" si="165"/>
        <v>0</v>
      </c>
      <c r="M422" s="376">
        <f t="shared" si="166"/>
        <v>0</v>
      </c>
      <c r="N422" s="376">
        <f t="shared" si="167"/>
        <v>0</v>
      </c>
      <c r="O422" s="376"/>
      <c r="P422" s="376">
        <v>29</v>
      </c>
      <c r="Q422" s="376" t="str">
        <f t="shared" si="168"/>
        <v>चविष्ठ</v>
      </c>
      <c r="R422" s="376">
        <f t="shared" si="169"/>
        <v>0</v>
      </c>
      <c r="S422" s="376" t="str">
        <f t="shared" si="170"/>
        <v>रुचकर</v>
      </c>
      <c r="T422" s="376" t="str">
        <f t="shared" si="171"/>
        <v>रुचकर</v>
      </c>
      <c r="U422" s="376" t="str">
        <f t="shared" si="172"/>
        <v>उत्तम</v>
      </c>
      <c r="V422" s="376" t="str">
        <f t="shared" si="173"/>
        <v>छान</v>
      </c>
      <c r="W422" s="376">
        <f t="shared" si="174"/>
        <v>0</v>
      </c>
      <c r="X422" s="376" t="str">
        <f t="shared" si="175"/>
        <v>स्वादिष्ठ</v>
      </c>
      <c r="Y422" s="376" t="str">
        <f t="shared" si="176"/>
        <v>स्वादिष्ठ</v>
      </c>
      <c r="Z422" s="376">
        <f t="shared" si="177"/>
        <v>0</v>
      </c>
      <c r="AA422" s="376">
        <f t="shared" si="178"/>
        <v>0</v>
      </c>
      <c r="AB422" s="376">
        <f t="shared" si="179"/>
        <v>0</v>
      </c>
      <c r="AC422" s="399"/>
      <c r="AD422" s="399"/>
    </row>
    <row r="423" spans="2:30" ht="27.75" hidden="1" customHeight="1" x14ac:dyDescent="0.4">
      <c r="B423" s="376">
        <v>30</v>
      </c>
      <c r="C423" s="310" t="str">
        <f t="shared" si="156"/>
        <v>सौ.रंजना राजेंद्र मेहेरे</v>
      </c>
      <c r="D423" s="376">
        <f t="shared" si="157"/>
        <v>0</v>
      </c>
      <c r="E423" s="376" t="str">
        <f t="shared" si="158"/>
        <v xml:space="preserve">श्री.प्रविण ज्ञानदेव कोल्हे </v>
      </c>
      <c r="F423" s="376" t="str">
        <f t="shared" si="159"/>
        <v xml:space="preserve">श्री.प्रविण ज्ञानदेव कोल्हे </v>
      </c>
      <c r="G423" s="376" t="str">
        <f t="shared" si="160"/>
        <v>श्री.मोहन भिकाजी तागड</v>
      </c>
      <c r="H423" s="376" t="str">
        <f t="shared" si="161"/>
        <v>श्री.मोहन भिकाजी तागड</v>
      </c>
      <c r="I423" s="376">
        <f t="shared" si="162"/>
        <v>0</v>
      </c>
      <c r="J423" s="376" t="str">
        <f t="shared" si="163"/>
        <v>श्रीम.रुपाली गणेश तागड</v>
      </c>
      <c r="K423" s="376" t="str">
        <f t="shared" si="164"/>
        <v>श्रीम.रुपाली गणेश तागड</v>
      </c>
      <c r="L423" s="376">
        <f t="shared" si="165"/>
        <v>0</v>
      </c>
      <c r="M423" s="376"/>
      <c r="N423" s="376">
        <f t="shared" si="167"/>
        <v>0</v>
      </c>
      <c r="O423" s="376"/>
      <c r="P423" s="376">
        <v>30</v>
      </c>
      <c r="Q423" s="376" t="str">
        <f t="shared" si="168"/>
        <v>छान</v>
      </c>
      <c r="R423" s="376">
        <f t="shared" si="169"/>
        <v>0</v>
      </c>
      <c r="S423" s="376" t="str">
        <f t="shared" si="170"/>
        <v>स्वादिष्ठ</v>
      </c>
      <c r="T423" s="376" t="str">
        <f t="shared" si="171"/>
        <v>स्वादिष्ठ</v>
      </c>
      <c r="U423" s="376" t="str">
        <f t="shared" si="172"/>
        <v>छान</v>
      </c>
      <c r="V423" s="376" t="str">
        <f t="shared" si="173"/>
        <v>रुचकर</v>
      </c>
      <c r="W423" s="376">
        <f t="shared" si="174"/>
        <v>0</v>
      </c>
      <c r="X423" s="376" t="str">
        <f t="shared" si="175"/>
        <v>उत्तम</v>
      </c>
      <c r="Y423" s="376" t="str">
        <f t="shared" si="176"/>
        <v>उत्तम</v>
      </c>
      <c r="Z423" s="376">
        <f t="shared" si="177"/>
        <v>0</v>
      </c>
      <c r="AA423" s="376"/>
      <c r="AB423" s="376">
        <f t="shared" si="179"/>
        <v>0</v>
      </c>
      <c r="AC423" s="399"/>
      <c r="AD423" s="399"/>
    </row>
    <row r="424" spans="2:30" ht="27.75" hidden="1" customHeight="1" x14ac:dyDescent="0.4">
      <c r="B424" s="376">
        <v>31</v>
      </c>
      <c r="C424" s="310"/>
      <c r="D424" s="376">
        <f t="shared" si="157"/>
        <v>0</v>
      </c>
      <c r="E424" s="376"/>
      <c r="F424" s="376">
        <f t="shared" si="159"/>
        <v>0</v>
      </c>
      <c r="G424" s="376">
        <f t="shared" si="160"/>
        <v>0</v>
      </c>
      <c r="H424" s="376"/>
      <c r="I424" s="376">
        <f t="shared" si="162"/>
        <v>0</v>
      </c>
      <c r="J424" s="376"/>
      <c r="K424" s="376" t="str">
        <f t="shared" si="164"/>
        <v>सौ.रंजना राजेंद्र मेहेरे</v>
      </c>
      <c r="L424" s="376">
        <f t="shared" si="165"/>
        <v>0</v>
      </c>
      <c r="M424" s="376"/>
      <c r="N424" s="376">
        <f t="shared" si="167"/>
        <v>0</v>
      </c>
      <c r="O424" s="376"/>
      <c r="P424" s="376">
        <v>31</v>
      </c>
      <c r="Q424" s="376"/>
      <c r="R424" s="376">
        <f t="shared" si="169"/>
        <v>0</v>
      </c>
      <c r="S424" s="376"/>
      <c r="T424" s="376">
        <f t="shared" si="171"/>
        <v>0</v>
      </c>
      <c r="U424" s="376">
        <f t="shared" si="172"/>
        <v>0</v>
      </c>
      <c r="V424" s="376"/>
      <c r="W424" s="376">
        <f t="shared" si="174"/>
        <v>0</v>
      </c>
      <c r="X424" s="376"/>
      <c r="Y424" s="376" t="str">
        <f t="shared" si="176"/>
        <v>छान</v>
      </c>
      <c r="Z424" s="376">
        <f t="shared" si="177"/>
        <v>0</v>
      </c>
      <c r="AA424" s="376"/>
      <c r="AB424" s="376">
        <f t="shared" si="179"/>
        <v>0</v>
      </c>
      <c r="AC424" s="399"/>
      <c r="AD424" s="399"/>
    </row>
    <row r="425" spans="2:30" ht="27.75" hidden="1" customHeight="1" x14ac:dyDescent="0.4">
      <c r="B425" s="376"/>
      <c r="C425" s="310"/>
      <c r="D425" s="376"/>
      <c r="E425" s="376"/>
      <c r="F425" s="376"/>
      <c r="G425" s="376"/>
      <c r="H425" s="376"/>
      <c r="I425" s="376"/>
      <c r="J425" s="376"/>
      <c r="K425" s="376"/>
      <c r="L425" s="376"/>
      <c r="M425" s="376"/>
      <c r="N425" s="376"/>
      <c r="O425" s="376"/>
      <c r="P425" s="376"/>
      <c r="Q425" s="376"/>
      <c r="R425" s="376"/>
      <c r="S425" s="376"/>
      <c r="T425" s="376"/>
      <c r="U425" s="376"/>
      <c r="V425" s="376"/>
      <c r="W425" s="399"/>
      <c r="X425" s="399"/>
      <c r="Y425" s="399"/>
      <c r="Z425" s="399"/>
      <c r="AA425" s="399"/>
      <c r="AB425" s="399"/>
      <c r="AC425" s="399"/>
      <c r="AD425" s="399"/>
    </row>
    <row r="426" spans="2:30" ht="16.5" hidden="1" customHeight="1" x14ac:dyDescent="0.4">
      <c r="B426" s="376"/>
      <c r="C426" s="310"/>
      <c r="D426" s="376"/>
      <c r="E426" s="376"/>
      <c r="F426" s="376"/>
      <c r="G426" s="376"/>
      <c r="H426" s="376"/>
      <c r="I426" s="376"/>
      <c r="J426" s="376"/>
      <c r="K426" s="376"/>
      <c r="L426" s="376"/>
      <c r="M426" s="376"/>
      <c r="N426" s="376"/>
      <c r="O426" s="376"/>
      <c r="P426" s="376"/>
      <c r="Q426" s="376"/>
      <c r="R426" s="376"/>
      <c r="S426" s="376"/>
      <c r="T426" s="376"/>
      <c r="U426" s="376"/>
      <c r="V426" s="376"/>
      <c r="W426" s="399"/>
      <c r="X426" s="399"/>
      <c r="Y426" s="399"/>
      <c r="Z426" s="399"/>
      <c r="AA426" s="399"/>
      <c r="AB426" s="399"/>
      <c r="AC426" s="399"/>
      <c r="AD426" s="399"/>
    </row>
    <row r="427" spans="2:30" ht="27.75" hidden="1" customHeight="1" x14ac:dyDescent="0.4">
      <c r="B427" s="376"/>
      <c r="C427" s="310"/>
      <c r="D427" s="376"/>
      <c r="E427" s="376"/>
      <c r="F427" s="376"/>
      <c r="G427" s="376"/>
      <c r="H427" s="376"/>
      <c r="I427" s="376"/>
      <c r="J427" s="376"/>
      <c r="K427" s="376"/>
      <c r="L427" s="376"/>
      <c r="M427" s="376"/>
      <c r="N427" s="376"/>
      <c r="O427" s="376"/>
      <c r="P427" s="376"/>
      <c r="Q427" s="376"/>
      <c r="R427" s="376"/>
      <c r="S427" s="376"/>
      <c r="T427" s="376"/>
      <c r="U427" s="376"/>
      <c r="V427" s="376"/>
      <c r="W427" s="399"/>
      <c r="X427" s="399"/>
      <c r="Y427" s="399"/>
      <c r="Z427" s="399"/>
      <c r="AA427" s="399"/>
      <c r="AB427" s="399"/>
      <c r="AC427" s="399"/>
      <c r="AD427" s="399"/>
    </row>
    <row r="428" spans="2:30" ht="27.75" hidden="1" customHeight="1" x14ac:dyDescent="0.4">
      <c r="B428" s="376"/>
      <c r="C428" s="310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99"/>
      <c r="X428" s="399"/>
      <c r="Y428" s="399"/>
      <c r="Z428" s="399"/>
      <c r="AA428" s="399"/>
      <c r="AB428" s="399"/>
      <c r="AC428" s="399"/>
      <c r="AD428" s="399"/>
    </row>
    <row r="429" spans="2:30" ht="27.75" hidden="1" customHeight="1" x14ac:dyDescent="0.4">
      <c r="B429" s="376"/>
      <c r="C429" s="310"/>
      <c r="D429" s="376"/>
      <c r="E429" s="376"/>
      <c r="F429" s="376"/>
      <c r="G429" s="376"/>
      <c r="H429" s="376"/>
      <c r="I429" s="376"/>
      <c r="J429" s="376"/>
      <c r="K429" s="376"/>
      <c r="L429" s="376"/>
      <c r="M429" s="376"/>
      <c r="N429" s="376"/>
      <c r="O429" s="376"/>
      <c r="P429" s="376"/>
      <c r="Q429" s="376"/>
      <c r="R429" s="376"/>
      <c r="S429" s="376"/>
      <c r="T429" s="376"/>
      <c r="U429" s="376"/>
      <c r="V429" s="376"/>
      <c r="W429" s="399"/>
      <c r="X429" s="399"/>
      <c r="Y429" s="399"/>
      <c r="Z429" s="399"/>
      <c r="AA429" s="399"/>
      <c r="AB429" s="399"/>
      <c r="AC429" s="399"/>
      <c r="AD429" s="399"/>
    </row>
    <row r="430" spans="2:30" ht="27.75" hidden="1" customHeight="1" x14ac:dyDescent="0.4">
      <c r="B430" s="376"/>
      <c r="C430" s="310"/>
      <c r="D430" s="376"/>
      <c r="E430" s="376"/>
      <c r="F430" s="376"/>
      <c r="G430" s="376"/>
      <c r="H430" s="376"/>
      <c r="I430" s="376"/>
      <c r="J430" s="376"/>
      <c r="K430" s="376"/>
      <c r="L430" s="376"/>
      <c r="M430" s="376"/>
      <c r="N430" s="376"/>
      <c r="O430" s="376"/>
      <c r="P430" s="376"/>
      <c r="Q430" s="376"/>
      <c r="R430" s="376"/>
      <c r="S430" s="376"/>
      <c r="T430" s="376"/>
      <c r="U430" s="376"/>
      <c r="V430" s="376"/>
      <c r="W430" s="399"/>
      <c r="X430" s="399"/>
      <c r="Y430" s="399"/>
      <c r="Z430" s="399"/>
      <c r="AA430" s="399"/>
      <c r="AB430" s="399"/>
      <c r="AC430" s="399"/>
      <c r="AD430" s="399"/>
    </row>
    <row r="431" spans="2:30" ht="27.75" hidden="1" customHeight="1" x14ac:dyDescent="0.4"/>
    <row r="432" spans="2:30" ht="27.75" hidden="1" customHeight="1" x14ac:dyDescent="0.4"/>
    <row r="433" ht="27.75" hidden="1" customHeight="1" x14ac:dyDescent="0.4"/>
    <row r="434" ht="27.75" hidden="1" customHeight="1" x14ac:dyDescent="0.4"/>
    <row r="435" ht="27.75" hidden="1" customHeight="1" x14ac:dyDescent="0.4"/>
    <row r="436" ht="27.75" hidden="1" customHeight="1" x14ac:dyDescent="0.4"/>
    <row r="437" ht="27.75" hidden="1" customHeight="1" x14ac:dyDescent="0.4"/>
    <row r="438" ht="27.75" hidden="1" customHeight="1" x14ac:dyDescent="0.4"/>
    <row r="439" ht="27.75" hidden="1" customHeight="1" x14ac:dyDescent="0.4"/>
    <row r="440" ht="27.75" hidden="1" customHeight="1" x14ac:dyDescent="0.4"/>
    <row r="468" spans="2:44" ht="27.75" customHeight="1" x14ac:dyDescent="0.4">
      <c r="B468" s="376"/>
      <c r="C468" s="310"/>
      <c r="D468" s="376"/>
      <c r="E468" s="376"/>
      <c r="F468" s="376"/>
      <c r="G468" s="376"/>
      <c r="H468" s="376"/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6"/>
      <c r="T468" s="376"/>
      <c r="U468" s="376"/>
      <c r="V468" s="376"/>
      <c r="W468" s="399"/>
      <c r="X468" s="399"/>
      <c r="Y468" s="399"/>
      <c r="Z468" s="399"/>
      <c r="AA468" s="399"/>
      <c r="AB468" s="399"/>
      <c r="AC468" s="399"/>
      <c r="AD468" s="399"/>
      <c r="AE468" s="399"/>
      <c r="AF468" s="399"/>
      <c r="AG468" s="399"/>
      <c r="AH468" s="399"/>
      <c r="AI468" s="399"/>
      <c r="AJ468" s="399"/>
      <c r="AK468" s="399"/>
      <c r="AL468" s="399"/>
      <c r="AM468" s="399"/>
      <c r="AN468" s="399"/>
      <c r="AO468" s="399"/>
      <c r="AP468" s="399"/>
      <c r="AQ468" s="399"/>
      <c r="AR468" s="399"/>
    </row>
    <row r="469" spans="2:44" ht="27.75" customHeight="1" x14ac:dyDescent="0.4">
      <c r="B469" s="376"/>
      <c r="C469" s="310"/>
      <c r="D469" s="376"/>
      <c r="E469" s="376"/>
      <c r="F469" s="376"/>
      <c r="G469" s="376"/>
      <c r="H469" s="376"/>
      <c r="I469" s="376"/>
      <c r="J469" s="376"/>
      <c r="K469" s="376"/>
      <c r="L469" s="376"/>
      <c r="M469" s="376"/>
      <c r="N469" s="376"/>
      <c r="O469" s="376" t="s">
        <v>418</v>
      </c>
      <c r="P469" s="376"/>
      <c r="Q469" s="376"/>
      <c r="R469" s="376"/>
      <c r="S469" s="376"/>
      <c r="T469" s="376"/>
      <c r="U469" s="376"/>
      <c r="V469" s="376"/>
      <c r="W469" s="399"/>
      <c r="X469" s="399"/>
      <c r="Y469" s="399"/>
      <c r="Z469" s="399"/>
      <c r="AA469" s="399"/>
      <c r="AB469" s="399"/>
      <c r="AC469" s="399"/>
      <c r="AD469" s="399"/>
      <c r="AE469" s="399"/>
      <c r="AF469" s="399"/>
      <c r="AG469" s="399"/>
      <c r="AH469" s="399"/>
      <c r="AI469" s="399"/>
      <c r="AJ469" s="399"/>
      <c r="AK469" s="399"/>
      <c r="AL469" s="399"/>
      <c r="AM469" s="399"/>
      <c r="AN469" s="399"/>
      <c r="AO469" s="399"/>
      <c r="AP469" s="399"/>
      <c r="AQ469" s="399"/>
      <c r="AR469" s="399"/>
    </row>
    <row r="470" spans="2:44" ht="27.75" customHeight="1" x14ac:dyDescent="0.4">
      <c r="B470" s="376"/>
      <c r="C470" s="310"/>
      <c r="D470" s="376"/>
      <c r="E470" s="376"/>
      <c r="F470" s="376"/>
      <c r="G470" s="376"/>
      <c r="H470" s="376"/>
      <c r="I470" s="376"/>
      <c r="J470" s="376" t="s">
        <v>42</v>
      </c>
      <c r="K470" s="376"/>
      <c r="L470" s="376"/>
      <c r="M470" s="376" t="s">
        <v>44</v>
      </c>
      <c r="N470" s="376"/>
      <c r="O470" s="376"/>
      <c r="P470" s="376" t="s">
        <v>94</v>
      </c>
      <c r="Q470" s="376"/>
      <c r="R470" s="376"/>
      <c r="S470" s="376" t="s">
        <v>46</v>
      </c>
      <c r="T470" s="376"/>
      <c r="U470" s="376"/>
      <c r="V470" s="376" t="s">
        <v>34</v>
      </c>
      <c r="W470" s="399"/>
      <c r="X470" s="399"/>
      <c r="Y470" s="399" t="s">
        <v>37</v>
      </c>
      <c r="Z470" s="399"/>
      <c r="AA470" s="399"/>
      <c r="AB470" s="399" t="s">
        <v>47</v>
      </c>
      <c r="AC470" s="399"/>
      <c r="AD470" s="399"/>
      <c r="AE470" s="399" t="s">
        <v>38</v>
      </c>
      <c r="AF470" s="399"/>
      <c r="AG470" s="399"/>
      <c r="AH470" s="399" t="s">
        <v>39</v>
      </c>
      <c r="AI470" s="399"/>
      <c r="AJ470" s="399"/>
      <c r="AK470" s="399" t="s">
        <v>33</v>
      </c>
      <c r="AL470" s="399"/>
      <c r="AM470" s="399"/>
      <c r="AN470" s="399" t="s">
        <v>40</v>
      </c>
      <c r="AO470" s="399"/>
      <c r="AP470" s="399"/>
      <c r="AQ470" s="399" t="s">
        <v>41</v>
      </c>
      <c r="AR470" s="399"/>
    </row>
    <row r="471" spans="2:44" ht="27.75" customHeight="1" x14ac:dyDescent="0.4">
      <c r="B471" s="376"/>
      <c r="C471" s="310"/>
      <c r="D471" s="376" t="s">
        <v>32</v>
      </c>
      <c r="E471" s="376"/>
      <c r="F471" s="376" t="s">
        <v>356</v>
      </c>
      <c r="G471" s="376"/>
      <c r="H471" s="376">
        <v>1</v>
      </c>
      <c r="I471" s="376">
        <v>2</v>
      </c>
      <c r="J471" s="376"/>
      <c r="K471" s="376">
        <v>1</v>
      </c>
      <c r="L471" s="376">
        <v>2</v>
      </c>
      <c r="M471" s="376"/>
      <c r="N471" s="376">
        <v>1</v>
      </c>
      <c r="O471" s="376">
        <v>2</v>
      </c>
      <c r="P471" s="376"/>
      <c r="Q471" s="376">
        <v>1</v>
      </c>
      <c r="R471" s="376">
        <v>2</v>
      </c>
      <c r="S471" s="376"/>
      <c r="T471" s="376">
        <v>1</v>
      </c>
      <c r="U471" s="376">
        <v>2</v>
      </c>
      <c r="V471" s="376"/>
      <c r="W471" s="399">
        <v>1</v>
      </c>
      <c r="X471" s="399">
        <v>2</v>
      </c>
      <c r="Y471" s="399"/>
      <c r="Z471" s="399">
        <v>1</v>
      </c>
      <c r="AA471" s="399">
        <v>2</v>
      </c>
      <c r="AB471" s="399"/>
      <c r="AC471" s="399">
        <v>1</v>
      </c>
      <c r="AD471" s="399">
        <v>2</v>
      </c>
      <c r="AE471" s="399"/>
      <c r="AF471" s="399">
        <v>1</v>
      </c>
      <c r="AG471" s="399">
        <v>2</v>
      </c>
      <c r="AH471" s="399"/>
      <c r="AI471" s="399">
        <v>1</v>
      </c>
      <c r="AJ471" s="399">
        <v>2</v>
      </c>
      <c r="AK471" s="399"/>
      <c r="AL471" s="399">
        <v>1</v>
      </c>
      <c r="AM471" s="399">
        <v>2</v>
      </c>
      <c r="AN471" s="399"/>
      <c r="AO471" s="399">
        <v>1</v>
      </c>
      <c r="AP471" s="399">
        <v>2</v>
      </c>
      <c r="AQ471" s="399"/>
      <c r="AR471" s="399"/>
    </row>
    <row r="472" spans="2:44" ht="27.75" customHeight="1" x14ac:dyDescent="0.4">
      <c r="B472" s="376"/>
      <c r="C472" s="310" t="s">
        <v>24</v>
      </c>
      <c r="D472" s="376" t="s">
        <v>74</v>
      </c>
      <c r="E472" s="376"/>
      <c r="F472" s="376" t="s">
        <v>357</v>
      </c>
      <c r="G472" s="376">
        <v>1</v>
      </c>
      <c r="H472" s="376">
        <f>E9</f>
        <v>22</v>
      </c>
      <c r="I472" s="376">
        <f>J9</f>
        <v>0</v>
      </c>
      <c r="J472" s="376">
        <f>SUM(H472:I472)</f>
        <v>22</v>
      </c>
      <c r="K472" s="376">
        <f>E40</f>
        <v>0</v>
      </c>
      <c r="L472" s="376">
        <f>J40</f>
        <v>0</v>
      </c>
      <c r="M472" s="376">
        <f>SUM(K472:L472)</f>
        <v>0</v>
      </c>
      <c r="N472" s="376">
        <f>E72</f>
        <v>0</v>
      </c>
      <c r="O472" s="399">
        <f>J72</f>
        <v>0</v>
      </c>
      <c r="P472" s="399">
        <f>SUM(N472:O472)</f>
        <v>0</v>
      </c>
      <c r="Q472" s="399">
        <f>E103</f>
        <v>17</v>
      </c>
      <c r="R472" s="399">
        <f>J103</f>
        <v>0</v>
      </c>
      <c r="S472" s="399">
        <f>SUM(Q472:R472)</f>
        <v>17</v>
      </c>
      <c r="T472" s="399">
        <f>E135</f>
        <v>15</v>
      </c>
      <c r="U472" s="399">
        <f>J135</f>
        <v>0</v>
      </c>
      <c r="V472" s="399">
        <f>SUM(T472:U472)</f>
        <v>15</v>
      </c>
      <c r="W472" s="399">
        <f>E167</f>
        <v>15</v>
      </c>
      <c r="X472" s="399">
        <f>J167</f>
        <v>0</v>
      </c>
      <c r="Y472" s="399">
        <f>SUM(W472:X472)</f>
        <v>15</v>
      </c>
      <c r="Z472" s="399">
        <f>E198</f>
        <v>22</v>
      </c>
      <c r="AA472" s="399">
        <f>J198</f>
        <v>0</v>
      </c>
      <c r="AB472" s="399">
        <f>SUM(Z472:AA472)</f>
        <v>22</v>
      </c>
      <c r="AC472" s="399">
        <f>E230</f>
        <v>0</v>
      </c>
      <c r="AD472" s="399">
        <f>J230</f>
        <v>0</v>
      </c>
      <c r="AE472" s="399">
        <f>SUM(AC472:AD472)</f>
        <v>0</v>
      </c>
      <c r="AF472" s="399">
        <f>E261</f>
        <v>22</v>
      </c>
      <c r="AG472" s="399">
        <f>J261</f>
        <v>0</v>
      </c>
      <c r="AH472" s="399">
        <f>SUM(AF472:AG472)</f>
        <v>22</v>
      </c>
      <c r="AI472" s="399">
        <f>E293</f>
        <v>0</v>
      </c>
      <c r="AJ472" s="399">
        <f>J293</f>
        <v>0</v>
      </c>
      <c r="AK472" s="399">
        <f>SUM(AI472:AJ472)</f>
        <v>0</v>
      </c>
      <c r="AL472" s="399">
        <f>E325</f>
        <v>0</v>
      </c>
      <c r="AM472" s="399">
        <f>J325</f>
        <v>0</v>
      </c>
      <c r="AN472" s="399">
        <f>SUM(AL472:AM472)</f>
        <v>0</v>
      </c>
      <c r="AO472" s="399">
        <f>E355</f>
        <v>0</v>
      </c>
      <c r="AP472" s="399">
        <f>J355</f>
        <v>0</v>
      </c>
      <c r="AQ472" s="399">
        <f>SUM(AO472:AP472)</f>
        <v>0</v>
      </c>
      <c r="AR472" s="399"/>
    </row>
    <row r="473" spans="2:44" ht="27.75" customHeight="1" x14ac:dyDescent="0.4">
      <c r="B473" s="376"/>
      <c r="C473" s="310" t="s">
        <v>23</v>
      </c>
      <c r="D473" s="376" t="s">
        <v>75</v>
      </c>
      <c r="E473" s="376"/>
      <c r="F473" s="376" t="s">
        <v>358</v>
      </c>
      <c r="G473" s="376">
        <v>2</v>
      </c>
      <c r="H473" s="376">
        <f t="shared" ref="H473:H501" si="180">E10</f>
        <v>0</v>
      </c>
      <c r="I473" s="376">
        <f t="shared" ref="I473:I501" si="181">J10</f>
        <v>0</v>
      </c>
      <c r="J473" s="376">
        <f t="shared" ref="J473:J503" si="182">SUM(H473:I473)</f>
        <v>0</v>
      </c>
      <c r="K473" s="376">
        <f t="shared" ref="K473:K503" si="183">E41</f>
        <v>0</v>
      </c>
      <c r="L473" s="376">
        <f t="shared" ref="L473:L503" si="184">J41</f>
        <v>0</v>
      </c>
      <c r="M473" s="376">
        <f t="shared" ref="M473:M503" si="185">SUM(K473:L473)</f>
        <v>0</v>
      </c>
      <c r="N473" s="376">
        <f t="shared" ref="N473:N501" si="186">E73</f>
        <v>0</v>
      </c>
      <c r="O473" s="399">
        <f t="shared" ref="O473:O501" si="187">J73</f>
        <v>0</v>
      </c>
      <c r="P473" s="399">
        <f t="shared" ref="P473:P503" si="188">SUM(N473:O473)</f>
        <v>0</v>
      </c>
      <c r="Q473" s="399">
        <f t="shared" ref="Q473:Q503" si="189">E104</f>
        <v>17</v>
      </c>
      <c r="R473" s="399">
        <f t="shared" ref="R473:R503" si="190">J104</f>
        <v>0</v>
      </c>
      <c r="S473" s="399">
        <f t="shared" ref="S473:S503" si="191">SUM(Q473:R473)</f>
        <v>17</v>
      </c>
      <c r="T473" s="399">
        <f t="shared" ref="T473:T503" si="192">E136</f>
        <v>15</v>
      </c>
      <c r="U473" s="399">
        <f t="shared" ref="U473:U503" si="193">J136</f>
        <v>0</v>
      </c>
      <c r="V473" s="399">
        <f t="shared" ref="V473:V503" si="194">SUM(T473:U473)</f>
        <v>15</v>
      </c>
      <c r="W473" s="399">
        <f t="shared" ref="W473:W501" si="195">E168</f>
        <v>15</v>
      </c>
      <c r="X473" s="399">
        <f t="shared" ref="X473:X501" si="196">J168</f>
        <v>0</v>
      </c>
      <c r="Y473" s="399">
        <f t="shared" ref="Y473:Y503" si="197">SUM(W473:X473)</f>
        <v>15</v>
      </c>
      <c r="Z473" s="399">
        <f t="shared" ref="Z473:Z503" si="198">E199</f>
        <v>0</v>
      </c>
      <c r="AA473" s="399">
        <f t="shared" ref="AA473:AA503" si="199">J199</f>
        <v>0</v>
      </c>
      <c r="AB473" s="399">
        <f t="shared" ref="AB473:AB503" si="200">SUM(Z473:AA473)</f>
        <v>0</v>
      </c>
      <c r="AC473" s="399">
        <f t="shared" ref="AC473:AC501" si="201">E231</f>
        <v>0</v>
      </c>
      <c r="AD473" s="399">
        <f t="shared" ref="AD473:AD501" si="202">J231</f>
        <v>0</v>
      </c>
      <c r="AE473" s="399">
        <f t="shared" ref="AE473:AE503" si="203">SUM(AC473:AD473)</f>
        <v>0</v>
      </c>
      <c r="AF473" s="399">
        <f t="shared" ref="AF473:AF503" si="204">E262</f>
        <v>21</v>
      </c>
      <c r="AG473" s="399">
        <f t="shared" ref="AG473:AG503" si="205">J262</f>
        <v>0</v>
      </c>
      <c r="AH473" s="399">
        <f t="shared" ref="AH473:AH503" si="206">SUM(AF473:AG473)</f>
        <v>21</v>
      </c>
      <c r="AI473" s="399">
        <f t="shared" ref="AI473:AI503" si="207">E294</f>
        <v>0</v>
      </c>
      <c r="AJ473" s="399">
        <f t="shared" ref="AJ473:AJ503" si="208">J294</f>
        <v>0</v>
      </c>
      <c r="AK473" s="399">
        <f t="shared" ref="AK473:AK503" si="209">SUM(AI473:AJ473)</f>
        <v>0</v>
      </c>
      <c r="AL473" s="399">
        <f t="shared" ref="AL473:AL500" si="210">E326</f>
        <v>0</v>
      </c>
      <c r="AM473" s="399">
        <f t="shared" ref="AM473:AM500" si="211">J326</f>
        <v>0</v>
      </c>
      <c r="AN473" s="399">
        <f t="shared" ref="AN473:AN503" si="212">SUM(AL473:AM473)</f>
        <v>0</v>
      </c>
      <c r="AO473" s="399">
        <f t="shared" ref="AO473:AO503" si="213">E356</f>
        <v>0</v>
      </c>
      <c r="AP473" s="399">
        <f t="shared" ref="AP473:AP503" si="214">J356</f>
        <v>0</v>
      </c>
      <c r="AQ473" s="399">
        <f t="shared" ref="AQ473:AQ503" si="215">SUM(AO473:AP473)</f>
        <v>0</v>
      </c>
      <c r="AR473" s="399"/>
    </row>
    <row r="474" spans="2:44" ht="27.75" customHeight="1" x14ac:dyDescent="0.4">
      <c r="B474" s="376"/>
      <c r="C474" s="310" t="s">
        <v>21</v>
      </c>
      <c r="D474" s="376" t="s">
        <v>63</v>
      </c>
      <c r="E474" s="376"/>
      <c r="F474" s="376" t="s">
        <v>359</v>
      </c>
      <c r="G474" s="376">
        <v>3</v>
      </c>
      <c r="H474" s="376">
        <f t="shared" si="180"/>
        <v>0</v>
      </c>
      <c r="I474" s="376">
        <f t="shared" si="181"/>
        <v>0</v>
      </c>
      <c r="J474" s="376">
        <f t="shared" si="182"/>
        <v>0</v>
      </c>
      <c r="K474" s="376">
        <f t="shared" si="183"/>
        <v>0</v>
      </c>
      <c r="L474" s="376">
        <f t="shared" si="184"/>
        <v>0</v>
      </c>
      <c r="M474" s="376">
        <f t="shared" si="185"/>
        <v>0</v>
      </c>
      <c r="N474" s="376">
        <f t="shared" si="186"/>
        <v>0</v>
      </c>
      <c r="O474" s="399">
        <f t="shared" si="187"/>
        <v>0</v>
      </c>
      <c r="P474" s="399">
        <f t="shared" si="188"/>
        <v>0</v>
      </c>
      <c r="Q474" s="399">
        <f t="shared" si="189"/>
        <v>0</v>
      </c>
      <c r="R474" s="399">
        <f t="shared" si="190"/>
        <v>0</v>
      </c>
      <c r="S474" s="399">
        <f t="shared" si="191"/>
        <v>0</v>
      </c>
      <c r="T474" s="399">
        <f t="shared" si="192"/>
        <v>15</v>
      </c>
      <c r="U474" s="399">
        <f t="shared" si="193"/>
        <v>0</v>
      </c>
      <c r="V474" s="399">
        <f t="shared" si="194"/>
        <v>15</v>
      </c>
      <c r="W474" s="399">
        <f t="shared" si="195"/>
        <v>15</v>
      </c>
      <c r="X474" s="399">
        <f t="shared" si="196"/>
        <v>0</v>
      </c>
      <c r="Y474" s="399">
        <f t="shared" si="197"/>
        <v>15</v>
      </c>
      <c r="Z474" s="399">
        <f t="shared" si="198"/>
        <v>22</v>
      </c>
      <c r="AA474" s="399">
        <f t="shared" si="199"/>
        <v>0</v>
      </c>
      <c r="AB474" s="399">
        <f t="shared" si="200"/>
        <v>22</v>
      </c>
      <c r="AC474" s="399">
        <f t="shared" si="201"/>
        <v>0</v>
      </c>
      <c r="AD474" s="399">
        <f t="shared" si="202"/>
        <v>0</v>
      </c>
      <c r="AE474" s="399">
        <f t="shared" si="203"/>
        <v>0</v>
      </c>
      <c r="AF474" s="399">
        <f t="shared" si="204"/>
        <v>21</v>
      </c>
      <c r="AG474" s="399">
        <f t="shared" si="205"/>
        <v>0</v>
      </c>
      <c r="AH474" s="399">
        <f t="shared" si="206"/>
        <v>21</v>
      </c>
      <c r="AI474" s="399">
        <f t="shared" si="207"/>
        <v>0</v>
      </c>
      <c r="AJ474" s="399">
        <f t="shared" si="208"/>
        <v>0</v>
      </c>
      <c r="AK474" s="399">
        <f t="shared" si="209"/>
        <v>0</v>
      </c>
      <c r="AL474" s="399">
        <f t="shared" si="210"/>
        <v>0</v>
      </c>
      <c r="AM474" s="399">
        <f t="shared" si="211"/>
        <v>0</v>
      </c>
      <c r="AN474" s="399">
        <f t="shared" si="212"/>
        <v>0</v>
      </c>
      <c r="AO474" s="399">
        <f t="shared" si="213"/>
        <v>0</v>
      </c>
      <c r="AP474" s="399">
        <f t="shared" si="214"/>
        <v>0</v>
      </c>
      <c r="AQ474" s="399">
        <f t="shared" si="215"/>
        <v>0</v>
      </c>
      <c r="AR474" s="399"/>
    </row>
    <row r="475" spans="2:44" ht="27.75" customHeight="1" x14ac:dyDescent="0.4">
      <c r="B475" s="376"/>
      <c r="C475" s="310" t="s">
        <v>22</v>
      </c>
      <c r="D475" s="376" t="s">
        <v>64</v>
      </c>
      <c r="E475" s="376"/>
      <c r="F475" s="377" t="s">
        <v>383</v>
      </c>
      <c r="G475" s="376">
        <v>4</v>
      </c>
      <c r="H475" s="376">
        <f t="shared" si="180"/>
        <v>22</v>
      </c>
      <c r="I475" s="376">
        <f t="shared" si="181"/>
        <v>0</v>
      </c>
      <c r="J475" s="376">
        <f t="shared" si="182"/>
        <v>22</v>
      </c>
      <c r="K475" s="376">
        <f t="shared" si="183"/>
        <v>0</v>
      </c>
      <c r="L475" s="376">
        <f t="shared" si="184"/>
        <v>0</v>
      </c>
      <c r="M475" s="376">
        <f t="shared" si="185"/>
        <v>0</v>
      </c>
      <c r="N475" s="376">
        <f t="shared" si="186"/>
        <v>0</v>
      </c>
      <c r="O475" s="399">
        <f t="shared" si="187"/>
        <v>0</v>
      </c>
      <c r="P475" s="399">
        <f t="shared" si="188"/>
        <v>0</v>
      </c>
      <c r="Q475" s="399">
        <f t="shared" si="189"/>
        <v>17</v>
      </c>
      <c r="R475" s="399">
        <f t="shared" si="190"/>
        <v>0</v>
      </c>
      <c r="S475" s="399">
        <f t="shared" si="191"/>
        <v>17</v>
      </c>
      <c r="T475" s="399">
        <f t="shared" si="192"/>
        <v>15</v>
      </c>
      <c r="U475" s="399">
        <f t="shared" si="193"/>
        <v>0</v>
      </c>
      <c r="V475" s="399">
        <f t="shared" si="194"/>
        <v>15</v>
      </c>
      <c r="W475" s="399">
        <f t="shared" si="195"/>
        <v>0</v>
      </c>
      <c r="X475" s="399">
        <f t="shared" si="196"/>
        <v>0</v>
      </c>
      <c r="Y475" s="399">
        <f t="shared" si="197"/>
        <v>0</v>
      </c>
      <c r="Z475" s="399">
        <f t="shared" si="198"/>
        <v>0</v>
      </c>
      <c r="AA475" s="399">
        <f t="shared" si="199"/>
        <v>0</v>
      </c>
      <c r="AB475" s="399">
        <f t="shared" si="200"/>
        <v>0</v>
      </c>
      <c r="AC475" s="399">
        <f t="shared" si="201"/>
        <v>0</v>
      </c>
      <c r="AD475" s="399">
        <f t="shared" si="202"/>
        <v>0</v>
      </c>
      <c r="AE475" s="399">
        <f t="shared" si="203"/>
        <v>0</v>
      </c>
      <c r="AF475" s="399">
        <f t="shared" si="204"/>
        <v>0</v>
      </c>
      <c r="AG475" s="399">
        <f t="shared" si="205"/>
        <v>0</v>
      </c>
      <c r="AH475" s="399">
        <f t="shared" si="206"/>
        <v>0</v>
      </c>
      <c r="AI475" s="399">
        <f t="shared" si="207"/>
        <v>0</v>
      </c>
      <c r="AJ475" s="399">
        <f t="shared" si="208"/>
        <v>0</v>
      </c>
      <c r="AK475" s="399">
        <f t="shared" si="209"/>
        <v>0</v>
      </c>
      <c r="AL475" s="399">
        <f t="shared" si="210"/>
        <v>0</v>
      </c>
      <c r="AM475" s="399">
        <f t="shared" si="211"/>
        <v>0</v>
      </c>
      <c r="AN475" s="399">
        <f t="shared" si="212"/>
        <v>0</v>
      </c>
      <c r="AO475" s="399">
        <f t="shared" si="213"/>
        <v>0</v>
      </c>
      <c r="AP475" s="399">
        <f t="shared" si="214"/>
        <v>0</v>
      </c>
      <c r="AQ475" s="399">
        <f t="shared" si="215"/>
        <v>0</v>
      </c>
      <c r="AR475" s="399"/>
    </row>
    <row r="476" spans="2:44" ht="27.75" customHeight="1" x14ac:dyDescent="0.4">
      <c r="B476" s="376"/>
      <c r="C476" s="310" t="s">
        <v>26</v>
      </c>
      <c r="D476" s="376" t="s">
        <v>236</v>
      </c>
      <c r="E476" s="376"/>
      <c r="F476" s="376" t="s">
        <v>384</v>
      </c>
      <c r="G476" s="376">
        <v>5</v>
      </c>
      <c r="H476" s="376">
        <f t="shared" si="180"/>
        <v>22</v>
      </c>
      <c r="I476" s="376">
        <f t="shared" si="181"/>
        <v>0</v>
      </c>
      <c r="J476" s="376">
        <f t="shared" si="182"/>
        <v>22</v>
      </c>
      <c r="K476" s="376">
        <f t="shared" si="183"/>
        <v>0</v>
      </c>
      <c r="L476" s="376">
        <f t="shared" si="184"/>
        <v>0</v>
      </c>
      <c r="M476" s="376">
        <f t="shared" si="185"/>
        <v>0</v>
      </c>
      <c r="N476" s="376">
        <f t="shared" si="186"/>
        <v>0</v>
      </c>
      <c r="O476" s="399">
        <f t="shared" si="187"/>
        <v>0</v>
      </c>
      <c r="P476" s="399">
        <f t="shared" si="188"/>
        <v>0</v>
      </c>
      <c r="Q476" s="399">
        <f t="shared" si="189"/>
        <v>17</v>
      </c>
      <c r="R476" s="399">
        <f t="shared" si="190"/>
        <v>0</v>
      </c>
      <c r="S476" s="399">
        <f t="shared" si="191"/>
        <v>17</v>
      </c>
      <c r="T476" s="399">
        <f t="shared" si="192"/>
        <v>15</v>
      </c>
      <c r="U476" s="399">
        <f t="shared" si="193"/>
        <v>0</v>
      </c>
      <c r="V476" s="399">
        <f t="shared" si="194"/>
        <v>15</v>
      </c>
      <c r="W476" s="399">
        <f t="shared" si="195"/>
        <v>15</v>
      </c>
      <c r="X476" s="399">
        <f t="shared" si="196"/>
        <v>0</v>
      </c>
      <c r="Y476" s="399">
        <f t="shared" si="197"/>
        <v>15</v>
      </c>
      <c r="Z476" s="399">
        <f t="shared" si="198"/>
        <v>0</v>
      </c>
      <c r="AA476" s="399">
        <f t="shared" si="199"/>
        <v>0</v>
      </c>
      <c r="AB476" s="399">
        <f t="shared" si="200"/>
        <v>0</v>
      </c>
      <c r="AC476" s="399">
        <f t="shared" si="201"/>
        <v>0</v>
      </c>
      <c r="AD476" s="399">
        <f t="shared" si="202"/>
        <v>0</v>
      </c>
      <c r="AE476" s="399">
        <f t="shared" si="203"/>
        <v>0</v>
      </c>
      <c r="AF476" s="399">
        <f t="shared" si="204"/>
        <v>21</v>
      </c>
      <c r="AG476" s="399">
        <f t="shared" si="205"/>
        <v>0</v>
      </c>
      <c r="AH476" s="399">
        <f t="shared" si="206"/>
        <v>21</v>
      </c>
      <c r="AI476" s="399">
        <f t="shared" si="207"/>
        <v>0</v>
      </c>
      <c r="AJ476" s="399">
        <f t="shared" si="208"/>
        <v>0</v>
      </c>
      <c r="AK476" s="399">
        <f t="shared" si="209"/>
        <v>0</v>
      </c>
      <c r="AL476" s="399">
        <f t="shared" si="210"/>
        <v>0</v>
      </c>
      <c r="AM476" s="399">
        <f t="shared" si="211"/>
        <v>0</v>
      </c>
      <c r="AN476" s="399">
        <f t="shared" si="212"/>
        <v>0</v>
      </c>
      <c r="AO476" s="399">
        <f t="shared" si="213"/>
        <v>0</v>
      </c>
      <c r="AP476" s="399">
        <f t="shared" si="214"/>
        <v>0</v>
      </c>
      <c r="AQ476" s="399">
        <f t="shared" si="215"/>
        <v>0</v>
      </c>
      <c r="AR476" s="399"/>
    </row>
    <row r="477" spans="2:44" ht="27.75" customHeight="1" x14ac:dyDescent="0.4">
      <c r="B477" s="376"/>
      <c r="C477" s="310" t="s">
        <v>25</v>
      </c>
      <c r="D477" s="376" t="s">
        <v>66</v>
      </c>
      <c r="E477" s="376"/>
      <c r="F477" s="376" t="s">
        <v>361</v>
      </c>
      <c r="G477" s="376">
        <v>6</v>
      </c>
      <c r="H477" s="376">
        <f t="shared" si="180"/>
        <v>22</v>
      </c>
      <c r="I477" s="376">
        <f t="shared" si="181"/>
        <v>0</v>
      </c>
      <c r="J477" s="376">
        <f t="shared" si="182"/>
        <v>22</v>
      </c>
      <c r="K477" s="376">
        <f t="shared" si="183"/>
        <v>0</v>
      </c>
      <c r="L477" s="376">
        <f t="shared" si="184"/>
        <v>0</v>
      </c>
      <c r="M477" s="376">
        <f t="shared" si="185"/>
        <v>0</v>
      </c>
      <c r="N477" s="376">
        <f t="shared" si="186"/>
        <v>0</v>
      </c>
      <c r="O477" s="399">
        <f t="shared" si="187"/>
        <v>0</v>
      </c>
      <c r="P477" s="399">
        <f t="shared" si="188"/>
        <v>0</v>
      </c>
      <c r="Q477" s="399">
        <f t="shared" si="189"/>
        <v>17</v>
      </c>
      <c r="R477" s="399">
        <f t="shared" si="190"/>
        <v>0</v>
      </c>
      <c r="S477" s="399">
        <f t="shared" si="191"/>
        <v>17</v>
      </c>
      <c r="T477" s="399">
        <f t="shared" si="192"/>
        <v>15</v>
      </c>
      <c r="U477" s="399">
        <f t="shared" si="193"/>
        <v>0</v>
      </c>
      <c r="V477" s="399">
        <f t="shared" si="194"/>
        <v>15</v>
      </c>
      <c r="W477" s="399">
        <f t="shared" si="195"/>
        <v>15</v>
      </c>
      <c r="X477" s="399">
        <f t="shared" si="196"/>
        <v>0</v>
      </c>
      <c r="Y477" s="399">
        <f t="shared" si="197"/>
        <v>15</v>
      </c>
      <c r="Z477" s="399">
        <f t="shared" si="198"/>
        <v>16</v>
      </c>
      <c r="AA477" s="399">
        <f t="shared" si="199"/>
        <v>0</v>
      </c>
      <c r="AB477" s="399">
        <f t="shared" si="200"/>
        <v>16</v>
      </c>
      <c r="AC477" s="399">
        <f t="shared" si="201"/>
        <v>0</v>
      </c>
      <c r="AD477" s="399">
        <f t="shared" si="202"/>
        <v>0</v>
      </c>
      <c r="AE477" s="399">
        <f t="shared" si="203"/>
        <v>0</v>
      </c>
      <c r="AF477" s="399">
        <f t="shared" si="204"/>
        <v>0</v>
      </c>
      <c r="AG477" s="399">
        <f t="shared" si="205"/>
        <v>0</v>
      </c>
      <c r="AH477" s="399">
        <f t="shared" si="206"/>
        <v>0</v>
      </c>
      <c r="AI477" s="399">
        <f t="shared" si="207"/>
        <v>0</v>
      </c>
      <c r="AJ477" s="399">
        <f t="shared" si="208"/>
        <v>0</v>
      </c>
      <c r="AK477" s="399">
        <f t="shared" si="209"/>
        <v>0</v>
      </c>
      <c r="AL477" s="399">
        <f t="shared" si="210"/>
        <v>0</v>
      </c>
      <c r="AM477" s="399">
        <f t="shared" si="211"/>
        <v>0</v>
      </c>
      <c r="AN477" s="399">
        <f t="shared" si="212"/>
        <v>0</v>
      </c>
      <c r="AO477" s="399">
        <f t="shared" si="213"/>
        <v>0</v>
      </c>
      <c r="AP477" s="399">
        <f t="shared" si="214"/>
        <v>0</v>
      </c>
      <c r="AQ477" s="399">
        <f t="shared" si="215"/>
        <v>0</v>
      </c>
      <c r="AR477" s="399"/>
    </row>
    <row r="478" spans="2:44" ht="27.75" customHeight="1" x14ac:dyDescent="0.4">
      <c r="B478" s="376"/>
      <c r="C478" s="310" t="s">
        <v>28</v>
      </c>
      <c r="D478" s="376" t="s">
        <v>67</v>
      </c>
      <c r="E478" s="376"/>
      <c r="F478" s="376" t="s">
        <v>385</v>
      </c>
      <c r="G478" s="376">
        <v>7</v>
      </c>
      <c r="H478" s="376">
        <f t="shared" si="180"/>
        <v>22</v>
      </c>
      <c r="I478" s="376">
        <f t="shared" si="181"/>
        <v>0</v>
      </c>
      <c r="J478" s="376">
        <f t="shared" si="182"/>
        <v>22</v>
      </c>
      <c r="K478" s="376">
        <f t="shared" si="183"/>
        <v>0</v>
      </c>
      <c r="L478" s="376">
        <f t="shared" si="184"/>
        <v>0</v>
      </c>
      <c r="M478" s="376">
        <f t="shared" si="185"/>
        <v>0</v>
      </c>
      <c r="N478" s="376">
        <f t="shared" si="186"/>
        <v>0</v>
      </c>
      <c r="O478" s="399">
        <f t="shared" si="187"/>
        <v>0</v>
      </c>
      <c r="P478" s="399">
        <f t="shared" si="188"/>
        <v>0</v>
      </c>
      <c r="Q478" s="399">
        <f t="shared" si="189"/>
        <v>17</v>
      </c>
      <c r="R478" s="399">
        <f t="shared" si="190"/>
        <v>0</v>
      </c>
      <c r="S478" s="399">
        <f t="shared" si="191"/>
        <v>17</v>
      </c>
      <c r="T478" s="399">
        <f t="shared" si="192"/>
        <v>0</v>
      </c>
      <c r="U478" s="399">
        <f t="shared" si="193"/>
        <v>0</v>
      </c>
      <c r="V478" s="399">
        <f t="shared" si="194"/>
        <v>0</v>
      </c>
      <c r="W478" s="399">
        <f t="shared" si="195"/>
        <v>15</v>
      </c>
      <c r="X478" s="399">
        <f t="shared" si="196"/>
        <v>0</v>
      </c>
      <c r="Y478" s="399">
        <f t="shared" si="197"/>
        <v>15</v>
      </c>
      <c r="Z478" s="399">
        <f t="shared" si="198"/>
        <v>22</v>
      </c>
      <c r="AA478" s="399">
        <f t="shared" si="199"/>
        <v>0</v>
      </c>
      <c r="AB478" s="399">
        <f t="shared" si="200"/>
        <v>22</v>
      </c>
      <c r="AC478" s="399">
        <f t="shared" si="201"/>
        <v>0</v>
      </c>
      <c r="AD478" s="399">
        <f t="shared" si="202"/>
        <v>0</v>
      </c>
      <c r="AE478" s="399">
        <f t="shared" si="203"/>
        <v>0</v>
      </c>
      <c r="AF478" s="399">
        <f t="shared" si="204"/>
        <v>21</v>
      </c>
      <c r="AG478" s="399">
        <f t="shared" si="205"/>
        <v>0</v>
      </c>
      <c r="AH478" s="399">
        <f t="shared" si="206"/>
        <v>21</v>
      </c>
      <c r="AI478" s="399">
        <f t="shared" si="207"/>
        <v>0</v>
      </c>
      <c r="AJ478" s="399">
        <f t="shared" si="208"/>
        <v>0</v>
      </c>
      <c r="AK478" s="399">
        <f t="shared" si="209"/>
        <v>0</v>
      </c>
      <c r="AL478" s="399">
        <f t="shared" si="210"/>
        <v>0</v>
      </c>
      <c r="AM478" s="399">
        <f t="shared" si="211"/>
        <v>0</v>
      </c>
      <c r="AN478" s="399">
        <f t="shared" si="212"/>
        <v>0</v>
      </c>
      <c r="AO478" s="399">
        <f t="shared" si="213"/>
        <v>0</v>
      </c>
      <c r="AP478" s="399">
        <f t="shared" si="214"/>
        <v>0</v>
      </c>
      <c r="AQ478" s="399">
        <f t="shared" si="215"/>
        <v>0</v>
      </c>
      <c r="AR478" s="399"/>
    </row>
    <row r="479" spans="2:44" ht="27.75" customHeight="1" x14ac:dyDescent="0.4">
      <c r="B479" s="376"/>
      <c r="C479" s="310" t="s">
        <v>27</v>
      </c>
      <c r="D479" s="376" t="s">
        <v>444</v>
      </c>
      <c r="E479" s="376"/>
      <c r="F479" s="376" t="s">
        <v>237</v>
      </c>
      <c r="G479" s="376">
        <v>8</v>
      </c>
      <c r="H479" s="376">
        <f t="shared" si="180"/>
        <v>22</v>
      </c>
      <c r="I479" s="376">
        <f t="shared" si="181"/>
        <v>0</v>
      </c>
      <c r="J479" s="376">
        <f t="shared" si="182"/>
        <v>22</v>
      </c>
      <c r="K479" s="376">
        <f t="shared" si="183"/>
        <v>0</v>
      </c>
      <c r="L479" s="376">
        <f t="shared" si="184"/>
        <v>0</v>
      </c>
      <c r="M479" s="376">
        <f t="shared" si="185"/>
        <v>0</v>
      </c>
      <c r="N479" s="376">
        <f t="shared" si="186"/>
        <v>0</v>
      </c>
      <c r="O479" s="399">
        <f t="shared" si="187"/>
        <v>0</v>
      </c>
      <c r="P479" s="399">
        <f t="shared" si="188"/>
        <v>0</v>
      </c>
      <c r="Q479" s="399">
        <f t="shared" si="189"/>
        <v>17</v>
      </c>
      <c r="R479" s="399">
        <f t="shared" si="190"/>
        <v>0</v>
      </c>
      <c r="S479" s="399">
        <f t="shared" si="191"/>
        <v>17</v>
      </c>
      <c r="T479" s="399">
        <f t="shared" si="192"/>
        <v>15</v>
      </c>
      <c r="U479" s="399">
        <f t="shared" si="193"/>
        <v>0</v>
      </c>
      <c r="V479" s="399">
        <f t="shared" si="194"/>
        <v>15</v>
      </c>
      <c r="W479" s="399">
        <f t="shared" si="195"/>
        <v>15</v>
      </c>
      <c r="X479" s="399">
        <f t="shared" si="196"/>
        <v>0</v>
      </c>
      <c r="Y479" s="399">
        <f t="shared" si="197"/>
        <v>15</v>
      </c>
      <c r="Z479" s="399">
        <f t="shared" si="198"/>
        <v>22</v>
      </c>
      <c r="AA479" s="399">
        <f t="shared" si="199"/>
        <v>0</v>
      </c>
      <c r="AB479" s="399">
        <f t="shared" si="200"/>
        <v>22</v>
      </c>
      <c r="AC479" s="399">
        <f t="shared" si="201"/>
        <v>0</v>
      </c>
      <c r="AD479" s="399">
        <f t="shared" si="202"/>
        <v>0</v>
      </c>
      <c r="AE479" s="399">
        <f t="shared" si="203"/>
        <v>0</v>
      </c>
      <c r="AF479" s="399">
        <f t="shared" si="204"/>
        <v>21</v>
      </c>
      <c r="AG479" s="399">
        <f t="shared" si="205"/>
        <v>0</v>
      </c>
      <c r="AH479" s="399">
        <f t="shared" si="206"/>
        <v>21</v>
      </c>
      <c r="AI479" s="399">
        <f t="shared" si="207"/>
        <v>0</v>
      </c>
      <c r="AJ479" s="399">
        <f t="shared" si="208"/>
        <v>0</v>
      </c>
      <c r="AK479" s="399">
        <f t="shared" si="209"/>
        <v>0</v>
      </c>
      <c r="AL479" s="399">
        <f t="shared" si="210"/>
        <v>0</v>
      </c>
      <c r="AM479" s="399">
        <f t="shared" si="211"/>
        <v>0</v>
      </c>
      <c r="AN479" s="399">
        <f t="shared" si="212"/>
        <v>0</v>
      </c>
      <c r="AO479" s="399">
        <f t="shared" si="213"/>
        <v>0</v>
      </c>
      <c r="AP479" s="399">
        <f t="shared" si="214"/>
        <v>0</v>
      </c>
      <c r="AQ479" s="399">
        <f t="shared" si="215"/>
        <v>0</v>
      </c>
      <c r="AR479" s="399"/>
    </row>
    <row r="480" spans="2:44" ht="27.75" customHeight="1" x14ac:dyDescent="0.4">
      <c r="B480" s="376"/>
      <c r="C480" s="310" t="s">
        <v>20</v>
      </c>
      <c r="D480" s="376" t="s">
        <v>237</v>
      </c>
      <c r="E480" s="376"/>
      <c r="F480" s="376"/>
      <c r="G480" s="376">
        <v>9</v>
      </c>
      <c r="H480" s="376">
        <f t="shared" si="180"/>
        <v>22</v>
      </c>
      <c r="I480" s="376">
        <f t="shared" si="181"/>
        <v>0</v>
      </c>
      <c r="J480" s="376">
        <f t="shared" si="182"/>
        <v>22</v>
      </c>
      <c r="K480" s="376">
        <f t="shared" si="183"/>
        <v>0</v>
      </c>
      <c r="L480" s="376">
        <f t="shared" si="184"/>
        <v>0</v>
      </c>
      <c r="M480" s="376">
        <f t="shared" si="185"/>
        <v>0</v>
      </c>
      <c r="N480" s="376">
        <f t="shared" si="186"/>
        <v>0</v>
      </c>
      <c r="O480" s="399">
        <f t="shared" si="187"/>
        <v>0</v>
      </c>
      <c r="P480" s="399">
        <f t="shared" si="188"/>
        <v>0</v>
      </c>
      <c r="Q480" s="399">
        <f t="shared" si="189"/>
        <v>17</v>
      </c>
      <c r="R480" s="399">
        <f t="shared" si="190"/>
        <v>0</v>
      </c>
      <c r="S480" s="399">
        <f t="shared" si="191"/>
        <v>17</v>
      </c>
      <c r="T480" s="399">
        <f t="shared" si="192"/>
        <v>0</v>
      </c>
      <c r="U480" s="399">
        <f t="shared" si="193"/>
        <v>0</v>
      </c>
      <c r="V480" s="399">
        <f t="shared" si="194"/>
        <v>0</v>
      </c>
      <c r="W480" s="399">
        <f t="shared" si="195"/>
        <v>0</v>
      </c>
      <c r="X480" s="399">
        <f t="shared" si="196"/>
        <v>0</v>
      </c>
      <c r="Y480" s="399">
        <f t="shared" si="197"/>
        <v>0</v>
      </c>
      <c r="Z480" s="399">
        <f t="shared" si="198"/>
        <v>0</v>
      </c>
      <c r="AA480" s="399">
        <f t="shared" si="199"/>
        <v>0</v>
      </c>
      <c r="AB480" s="399">
        <f t="shared" si="200"/>
        <v>0</v>
      </c>
      <c r="AC480" s="399">
        <f t="shared" si="201"/>
        <v>22</v>
      </c>
      <c r="AD480" s="399">
        <f t="shared" si="202"/>
        <v>0</v>
      </c>
      <c r="AE480" s="399">
        <f t="shared" si="203"/>
        <v>22</v>
      </c>
      <c r="AF480" s="399">
        <f t="shared" si="204"/>
        <v>21</v>
      </c>
      <c r="AG480" s="399">
        <f t="shared" si="205"/>
        <v>0</v>
      </c>
      <c r="AH480" s="399">
        <f t="shared" si="206"/>
        <v>21</v>
      </c>
      <c r="AI480" s="399">
        <f t="shared" si="207"/>
        <v>0</v>
      </c>
      <c r="AJ480" s="399">
        <f t="shared" si="208"/>
        <v>0</v>
      </c>
      <c r="AK480" s="399">
        <f t="shared" si="209"/>
        <v>0</v>
      </c>
      <c r="AL480" s="399">
        <f t="shared" si="210"/>
        <v>0</v>
      </c>
      <c r="AM480" s="399">
        <f t="shared" si="211"/>
        <v>0</v>
      </c>
      <c r="AN480" s="399">
        <f t="shared" si="212"/>
        <v>0</v>
      </c>
      <c r="AO480" s="399">
        <f t="shared" si="213"/>
        <v>0</v>
      </c>
      <c r="AP480" s="399">
        <f t="shared" si="214"/>
        <v>0</v>
      </c>
      <c r="AQ480" s="399">
        <f t="shared" si="215"/>
        <v>0</v>
      </c>
      <c r="AR480" s="399"/>
    </row>
    <row r="481" spans="2:44" ht="27.75" customHeight="1" x14ac:dyDescent="0.4">
      <c r="B481" s="376"/>
      <c r="C481" s="400"/>
      <c r="D481" s="376"/>
      <c r="E481" s="376"/>
      <c r="F481" s="376"/>
      <c r="G481" s="376">
        <v>10</v>
      </c>
      <c r="H481" s="376">
        <f t="shared" si="180"/>
        <v>0</v>
      </c>
      <c r="I481" s="376">
        <f t="shared" si="181"/>
        <v>0</v>
      </c>
      <c r="J481" s="376">
        <f t="shared" si="182"/>
        <v>0</v>
      </c>
      <c r="K481" s="376">
        <f t="shared" si="183"/>
        <v>0</v>
      </c>
      <c r="L481" s="376">
        <f t="shared" si="184"/>
        <v>0</v>
      </c>
      <c r="M481" s="376">
        <f t="shared" si="185"/>
        <v>0</v>
      </c>
      <c r="N481" s="376">
        <f t="shared" si="186"/>
        <v>0</v>
      </c>
      <c r="O481" s="399">
        <f t="shared" si="187"/>
        <v>0</v>
      </c>
      <c r="P481" s="399">
        <f t="shared" si="188"/>
        <v>0</v>
      </c>
      <c r="Q481" s="399">
        <f t="shared" si="189"/>
        <v>0</v>
      </c>
      <c r="R481" s="399">
        <f t="shared" si="190"/>
        <v>0</v>
      </c>
      <c r="S481" s="399">
        <f t="shared" si="191"/>
        <v>0</v>
      </c>
      <c r="T481" s="399">
        <f t="shared" si="192"/>
        <v>15</v>
      </c>
      <c r="U481" s="399">
        <f t="shared" si="193"/>
        <v>0</v>
      </c>
      <c r="V481" s="399">
        <f t="shared" si="194"/>
        <v>15</v>
      </c>
      <c r="W481" s="399">
        <f t="shared" si="195"/>
        <v>15</v>
      </c>
      <c r="X481" s="399">
        <f t="shared" si="196"/>
        <v>0</v>
      </c>
      <c r="Y481" s="399">
        <f t="shared" si="197"/>
        <v>15</v>
      </c>
      <c r="Z481" s="399">
        <f t="shared" si="198"/>
        <v>22</v>
      </c>
      <c r="AA481" s="399">
        <f t="shared" si="199"/>
        <v>0</v>
      </c>
      <c r="AB481" s="399">
        <f t="shared" si="200"/>
        <v>22</v>
      </c>
      <c r="AC481" s="399">
        <f t="shared" si="201"/>
        <v>22</v>
      </c>
      <c r="AD481" s="399">
        <f t="shared" si="202"/>
        <v>0</v>
      </c>
      <c r="AE481" s="399">
        <f t="shared" si="203"/>
        <v>22</v>
      </c>
      <c r="AF481" s="399">
        <f t="shared" si="204"/>
        <v>21</v>
      </c>
      <c r="AG481" s="399">
        <f t="shared" si="205"/>
        <v>0</v>
      </c>
      <c r="AH481" s="399">
        <f t="shared" si="206"/>
        <v>21</v>
      </c>
      <c r="AI481" s="399">
        <f t="shared" si="207"/>
        <v>0</v>
      </c>
      <c r="AJ481" s="399">
        <f t="shared" si="208"/>
        <v>0</v>
      </c>
      <c r="AK481" s="399">
        <f t="shared" si="209"/>
        <v>0</v>
      </c>
      <c r="AL481" s="399">
        <f t="shared" si="210"/>
        <v>0</v>
      </c>
      <c r="AM481" s="399">
        <f t="shared" si="211"/>
        <v>0</v>
      </c>
      <c r="AN481" s="399">
        <f t="shared" si="212"/>
        <v>0</v>
      </c>
      <c r="AO481" s="399">
        <f t="shared" si="213"/>
        <v>0</v>
      </c>
      <c r="AP481" s="399">
        <f t="shared" si="214"/>
        <v>0</v>
      </c>
      <c r="AQ481" s="399">
        <f t="shared" si="215"/>
        <v>0</v>
      </c>
      <c r="AR481" s="399"/>
    </row>
    <row r="482" spans="2:44" ht="27.75" customHeight="1" x14ac:dyDescent="0.4">
      <c r="B482" s="376"/>
      <c r="C482" s="310"/>
      <c r="D482" s="376"/>
      <c r="E482" s="376"/>
      <c r="F482" s="376"/>
      <c r="G482" s="376">
        <v>11</v>
      </c>
      <c r="H482" s="376">
        <f t="shared" si="180"/>
        <v>22</v>
      </c>
      <c r="I482" s="376">
        <f t="shared" si="181"/>
        <v>0</v>
      </c>
      <c r="J482" s="376">
        <f t="shared" si="182"/>
        <v>22</v>
      </c>
      <c r="K482" s="376">
        <f t="shared" si="183"/>
        <v>0</v>
      </c>
      <c r="L482" s="376">
        <f t="shared" si="184"/>
        <v>0</v>
      </c>
      <c r="M482" s="376">
        <f t="shared" si="185"/>
        <v>0</v>
      </c>
      <c r="N482" s="376">
        <f t="shared" si="186"/>
        <v>0</v>
      </c>
      <c r="O482" s="399">
        <f t="shared" si="187"/>
        <v>0</v>
      </c>
      <c r="P482" s="399">
        <f t="shared" si="188"/>
        <v>0</v>
      </c>
      <c r="Q482" s="399">
        <f t="shared" si="189"/>
        <v>17</v>
      </c>
      <c r="R482" s="399">
        <f t="shared" si="190"/>
        <v>0</v>
      </c>
      <c r="S482" s="399">
        <f t="shared" si="191"/>
        <v>17</v>
      </c>
      <c r="T482" s="399">
        <f t="shared" si="192"/>
        <v>15</v>
      </c>
      <c r="U482" s="399">
        <f t="shared" si="193"/>
        <v>0</v>
      </c>
      <c r="V482" s="399">
        <f t="shared" si="194"/>
        <v>15</v>
      </c>
      <c r="W482" s="399">
        <f t="shared" si="195"/>
        <v>0</v>
      </c>
      <c r="X482" s="399">
        <f t="shared" si="196"/>
        <v>0</v>
      </c>
      <c r="Y482" s="399">
        <f t="shared" si="197"/>
        <v>0</v>
      </c>
      <c r="Z482" s="399">
        <f t="shared" si="198"/>
        <v>22</v>
      </c>
      <c r="AA482" s="399">
        <f t="shared" si="199"/>
        <v>0</v>
      </c>
      <c r="AB482" s="399">
        <f t="shared" si="200"/>
        <v>22</v>
      </c>
      <c r="AC482" s="399">
        <f t="shared" si="201"/>
        <v>22</v>
      </c>
      <c r="AD482" s="399">
        <f t="shared" si="202"/>
        <v>0</v>
      </c>
      <c r="AE482" s="399">
        <f t="shared" si="203"/>
        <v>22</v>
      </c>
      <c r="AF482" s="399">
        <f t="shared" si="204"/>
        <v>0</v>
      </c>
      <c r="AG482" s="399">
        <f t="shared" si="205"/>
        <v>0</v>
      </c>
      <c r="AH482" s="399">
        <f t="shared" si="206"/>
        <v>0</v>
      </c>
      <c r="AI482" s="399">
        <f t="shared" si="207"/>
        <v>0</v>
      </c>
      <c r="AJ482" s="399">
        <f t="shared" si="208"/>
        <v>0</v>
      </c>
      <c r="AK482" s="399">
        <f t="shared" si="209"/>
        <v>0</v>
      </c>
      <c r="AL482" s="399">
        <f t="shared" si="210"/>
        <v>0</v>
      </c>
      <c r="AM482" s="399">
        <f t="shared" si="211"/>
        <v>0</v>
      </c>
      <c r="AN482" s="399">
        <f t="shared" si="212"/>
        <v>0</v>
      </c>
      <c r="AO482" s="399">
        <f t="shared" si="213"/>
        <v>0</v>
      </c>
      <c r="AP482" s="399">
        <f t="shared" si="214"/>
        <v>0</v>
      </c>
      <c r="AQ482" s="399">
        <f t="shared" si="215"/>
        <v>0</v>
      </c>
      <c r="AR482" s="399"/>
    </row>
    <row r="483" spans="2:44" ht="27.75" customHeight="1" x14ac:dyDescent="0.4">
      <c r="B483" s="376"/>
      <c r="C483" s="310"/>
      <c r="D483" s="376"/>
      <c r="E483" s="376"/>
      <c r="F483" s="376"/>
      <c r="G483" s="376">
        <v>12</v>
      </c>
      <c r="H483" s="376">
        <f t="shared" si="180"/>
        <v>22</v>
      </c>
      <c r="I483" s="376">
        <f t="shared" si="181"/>
        <v>0</v>
      </c>
      <c r="J483" s="376">
        <f t="shared" si="182"/>
        <v>22</v>
      </c>
      <c r="K483" s="376">
        <f t="shared" si="183"/>
        <v>0</v>
      </c>
      <c r="L483" s="376">
        <f t="shared" si="184"/>
        <v>0</v>
      </c>
      <c r="M483" s="376">
        <f t="shared" si="185"/>
        <v>0</v>
      </c>
      <c r="N483" s="376">
        <f t="shared" si="186"/>
        <v>0</v>
      </c>
      <c r="O483" s="399">
        <f t="shared" si="187"/>
        <v>0</v>
      </c>
      <c r="P483" s="399">
        <f t="shared" si="188"/>
        <v>0</v>
      </c>
      <c r="Q483" s="399">
        <f t="shared" si="189"/>
        <v>17</v>
      </c>
      <c r="R483" s="399">
        <f t="shared" si="190"/>
        <v>0</v>
      </c>
      <c r="S483" s="399">
        <f t="shared" si="191"/>
        <v>17</v>
      </c>
      <c r="T483" s="399">
        <f t="shared" si="192"/>
        <v>15</v>
      </c>
      <c r="U483" s="399">
        <f t="shared" si="193"/>
        <v>0</v>
      </c>
      <c r="V483" s="399">
        <f t="shared" si="194"/>
        <v>15</v>
      </c>
      <c r="W483" s="399">
        <f t="shared" si="195"/>
        <v>16</v>
      </c>
      <c r="X483" s="399">
        <f t="shared" si="196"/>
        <v>0</v>
      </c>
      <c r="Y483" s="399">
        <f t="shared" si="197"/>
        <v>16</v>
      </c>
      <c r="Z483" s="399">
        <f t="shared" si="198"/>
        <v>22</v>
      </c>
      <c r="AA483" s="399">
        <f t="shared" si="199"/>
        <v>0</v>
      </c>
      <c r="AB483" s="399">
        <f t="shared" si="200"/>
        <v>22</v>
      </c>
      <c r="AC483" s="399">
        <f t="shared" si="201"/>
        <v>22</v>
      </c>
      <c r="AD483" s="399">
        <f t="shared" si="202"/>
        <v>0</v>
      </c>
      <c r="AE483" s="399">
        <f t="shared" si="203"/>
        <v>22</v>
      </c>
      <c r="AF483" s="399">
        <f t="shared" si="204"/>
        <v>21</v>
      </c>
      <c r="AG483" s="399">
        <f t="shared" si="205"/>
        <v>0</v>
      </c>
      <c r="AH483" s="399">
        <f t="shared" si="206"/>
        <v>21</v>
      </c>
      <c r="AI483" s="399">
        <f t="shared" si="207"/>
        <v>0</v>
      </c>
      <c r="AJ483" s="399">
        <f t="shared" si="208"/>
        <v>0</v>
      </c>
      <c r="AK483" s="399">
        <f t="shared" si="209"/>
        <v>0</v>
      </c>
      <c r="AL483" s="399">
        <f t="shared" si="210"/>
        <v>0</v>
      </c>
      <c r="AM483" s="399">
        <f t="shared" si="211"/>
        <v>0</v>
      </c>
      <c r="AN483" s="399">
        <f t="shared" si="212"/>
        <v>0</v>
      </c>
      <c r="AO483" s="399">
        <f t="shared" si="213"/>
        <v>0</v>
      </c>
      <c r="AP483" s="399">
        <f t="shared" si="214"/>
        <v>0</v>
      </c>
      <c r="AQ483" s="399">
        <f t="shared" si="215"/>
        <v>0</v>
      </c>
      <c r="AR483" s="399"/>
    </row>
    <row r="484" spans="2:44" ht="27.75" customHeight="1" x14ac:dyDescent="0.4">
      <c r="B484" s="376"/>
      <c r="C484" s="310"/>
      <c r="D484" s="376"/>
      <c r="E484" s="376"/>
      <c r="F484" s="376"/>
      <c r="G484" s="376">
        <v>13</v>
      </c>
      <c r="H484" s="376">
        <f t="shared" si="180"/>
        <v>22</v>
      </c>
      <c r="I484" s="376">
        <f t="shared" si="181"/>
        <v>0</v>
      </c>
      <c r="J484" s="376">
        <f t="shared" si="182"/>
        <v>22</v>
      </c>
      <c r="K484" s="376">
        <f t="shared" si="183"/>
        <v>0</v>
      </c>
      <c r="L484" s="376">
        <f t="shared" si="184"/>
        <v>0</v>
      </c>
      <c r="M484" s="376">
        <f t="shared" si="185"/>
        <v>0</v>
      </c>
      <c r="N484" s="376">
        <f t="shared" si="186"/>
        <v>0</v>
      </c>
      <c r="O484" s="399">
        <f t="shared" si="187"/>
        <v>0</v>
      </c>
      <c r="P484" s="399">
        <f t="shared" si="188"/>
        <v>0</v>
      </c>
      <c r="Q484" s="399">
        <f t="shared" si="189"/>
        <v>17</v>
      </c>
      <c r="R484" s="399">
        <f t="shared" si="190"/>
        <v>0</v>
      </c>
      <c r="S484" s="399">
        <f t="shared" si="191"/>
        <v>17</v>
      </c>
      <c r="T484" s="399">
        <f t="shared" si="192"/>
        <v>15</v>
      </c>
      <c r="U484" s="399">
        <f t="shared" si="193"/>
        <v>0</v>
      </c>
      <c r="V484" s="399">
        <f t="shared" si="194"/>
        <v>15</v>
      </c>
      <c r="W484" s="399">
        <f t="shared" si="195"/>
        <v>16</v>
      </c>
      <c r="X484" s="399">
        <f t="shared" si="196"/>
        <v>0</v>
      </c>
      <c r="Y484" s="399">
        <f t="shared" si="197"/>
        <v>16</v>
      </c>
      <c r="Z484" s="399">
        <f t="shared" si="198"/>
        <v>22</v>
      </c>
      <c r="AA484" s="399">
        <f t="shared" si="199"/>
        <v>0</v>
      </c>
      <c r="AB484" s="399">
        <f t="shared" si="200"/>
        <v>22</v>
      </c>
      <c r="AC484" s="399">
        <f t="shared" si="201"/>
        <v>0</v>
      </c>
      <c r="AD484" s="399">
        <f t="shared" si="202"/>
        <v>0</v>
      </c>
      <c r="AE484" s="399">
        <f t="shared" si="203"/>
        <v>0</v>
      </c>
      <c r="AF484" s="399">
        <f t="shared" si="204"/>
        <v>21</v>
      </c>
      <c r="AG484" s="399">
        <f t="shared" si="205"/>
        <v>0</v>
      </c>
      <c r="AH484" s="399">
        <f t="shared" si="206"/>
        <v>21</v>
      </c>
      <c r="AI484" s="399">
        <f t="shared" si="207"/>
        <v>0</v>
      </c>
      <c r="AJ484" s="399">
        <f t="shared" si="208"/>
        <v>0</v>
      </c>
      <c r="AK484" s="399">
        <f t="shared" si="209"/>
        <v>0</v>
      </c>
      <c r="AL484" s="399">
        <f t="shared" si="210"/>
        <v>0</v>
      </c>
      <c r="AM484" s="399">
        <f t="shared" si="211"/>
        <v>0</v>
      </c>
      <c r="AN484" s="399">
        <f t="shared" si="212"/>
        <v>0</v>
      </c>
      <c r="AO484" s="399">
        <f t="shared" si="213"/>
        <v>0</v>
      </c>
      <c r="AP484" s="399">
        <f t="shared" si="214"/>
        <v>0</v>
      </c>
      <c r="AQ484" s="399">
        <f t="shared" si="215"/>
        <v>0</v>
      </c>
      <c r="AR484" s="399"/>
    </row>
    <row r="485" spans="2:44" ht="27.75" customHeight="1" x14ac:dyDescent="0.4">
      <c r="B485" s="376"/>
      <c r="C485" s="310"/>
      <c r="D485" s="376"/>
      <c r="E485" s="376"/>
      <c r="F485" s="376"/>
      <c r="G485" s="376">
        <v>14</v>
      </c>
      <c r="H485" s="376">
        <f t="shared" si="180"/>
        <v>0</v>
      </c>
      <c r="I485" s="376">
        <f t="shared" si="181"/>
        <v>0</v>
      </c>
      <c r="J485" s="376">
        <f t="shared" si="182"/>
        <v>0</v>
      </c>
      <c r="K485" s="376">
        <f t="shared" si="183"/>
        <v>0</v>
      </c>
      <c r="L485" s="376">
        <f t="shared" si="184"/>
        <v>0</v>
      </c>
      <c r="M485" s="376">
        <f t="shared" si="185"/>
        <v>0</v>
      </c>
      <c r="N485" s="376">
        <f t="shared" si="186"/>
        <v>0</v>
      </c>
      <c r="O485" s="399">
        <f t="shared" si="187"/>
        <v>0</v>
      </c>
      <c r="P485" s="399">
        <f t="shared" si="188"/>
        <v>0</v>
      </c>
      <c r="Q485" s="399">
        <f t="shared" si="189"/>
        <v>17</v>
      </c>
      <c r="R485" s="399">
        <f t="shared" si="190"/>
        <v>0</v>
      </c>
      <c r="S485" s="399">
        <f t="shared" si="191"/>
        <v>17</v>
      </c>
      <c r="T485" s="399">
        <f t="shared" si="192"/>
        <v>0</v>
      </c>
      <c r="U485" s="399">
        <f t="shared" si="193"/>
        <v>0</v>
      </c>
      <c r="V485" s="399">
        <f t="shared" si="194"/>
        <v>0</v>
      </c>
      <c r="W485" s="399">
        <f t="shared" si="195"/>
        <v>16</v>
      </c>
      <c r="X485" s="399">
        <f t="shared" si="196"/>
        <v>0</v>
      </c>
      <c r="Y485" s="399">
        <f t="shared" si="197"/>
        <v>16</v>
      </c>
      <c r="Z485" s="399">
        <f t="shared" si="198"/>
        <v>22</v>
      </c>
      <c r="AA485" s="399">
        <f t="shared" si="199"/>
        <v>0</v>
      </c>
      <c r="AB485" s="399">
        <f t="shared" si="200"/>
        <v>22</v>
      </c>
      <c r="AC485" s="399">
        <f t="shared" si="201"/>
        <v>22</v>
      </c>
      <c r="AD485" s="399">
        <f t="shared" si="202"/>
        <v>0</v>
      </c>
      <c r="AE485" s="399">
        <f t="shared" si="203"/>
        <v>22</v>
      </c>
      <c r="AF485" s="399">
        <f t="shared" si="204"/>
        <v>21</v>
      </c>
      <c r="AG485" s="399">
        <f t="shared" si="205"/>
        <v>0</v>
      </c>
      <c r="AH485" s="399">
        <f t="shared" si="206"/>
        <v>21</v>
      </c>
      <c r="AI485" s="399">
        <f t="shared" si="207"/>
        <v>0</v>
      </c>
      <c r="AJ485" s="399">
        <f t="shared" si="208"/>
        <v>0</v>
      </c>
      <c r="AK485" s="399">
        <f t="shared" si="209"/>
        <v>0</v>
      </c>
      <c r="AL485" s="399">
        <f t="shared" si="210"/>
        <v>0</v>
      </c>
      <c r="AM485" s="399">
        <f t="shared" si="211"/>
        <v>0</v>
      </c>
      <c r="AN485" s="399">
        <f t="shared" si="212"/>
        <v>0</v>
      </c>
      <c r="AO485" s="399">
        <f t="shared" si="213"/>
        <v>0</v>
      </c>
      <c r="AP485" s="399">
        <f t="shared" si="214"/>
        <v>0</v>
      </c>
      <c r="AQ485" s="399">
        <f t="shared" si="215"/>
        <v>0</v>
      </c>
      <c r="AR485" s="399"/>
    </row>
    <row r="486" spans="2:44" ht="27.75" customHeight="1" x14ac:dyDescent="0.4">
      <c r="B486" s="376"/>
      <c r="C486" s="310"/>
      <c r="D486" s="376"/>
      <c r="E486" s="376"/>
      <c r="F486" s="376"/>
      <c r="G486" s="376">
        <v>15</v>
      </c>
      <c r="H486" s="376">
        <f t="shared" si="180"/>
        <v>0</v>
      </c>
      <c r="I486" s="376">
        <f t="shared" si="181"/>
        <v>0</v>
      </c>
      <c r="J486" s="376">
        <f t="shared" si="182"/>
        <v>0</v>
      </c>
      <c r="K486" s="376">
        <f t="shared" si="183"/>
        <v>0</v>
      </c>
      <c r="L486" s="376">
        <f t="shared" si="184"/>
        <v>0</v>
      </c>
      <c r="M486" s="376">
        <f t="shared" si="185"/>
        <v>0</v>
      </c>
      <c r="N486" s="376">
        <f t="shared" si="186"/>
        <v>16</v>
      </c>
      <c r="O486" s="399">
        <f t="shared" si="187"/>
        <v>0</v>
      </c>
      <c r="P486" s="399">
        <f t="shared" si="188"/>
        <v>16</v>
      </c>
      <c r="Q486" s="399">
        <f t="shared" si="189"/>
        <v>17</v>
      </c>
      <c r="R486" s="399">
        <f t="shared" si="190"/>
        <v>0</v>
      </c>
      <c r="S486" s="399">
        <f t="shared" si="191"/>
        <v>17</v>
      </c>
      <c r="T486" s="399">
        <f t="shared" si="192"/>
        <v>0</v>
      </c>
      <c r="U486" s="399">
        <f t="shared" si="193"/>
        <v>0</v>
      </c>
      <c r="V486" s="399">
        <f t="shared" si="194"/>
        <v>0</v>
      </c>
      <c r="W486" s="399">
        <f t="shared" si="195"/>
        <v>16</v>
      </c>
      <c r="X486" s="399">
        <f t="shared" si="196"/>
        <v>0</v>
      </c>
      <c r="Y486" s="399">
        <f t="shared" si="197"/>
        <v>16</v>
      </c>
      <c r="Z486" s="399">
        <f t="shared" si="198"/>
        <v>22</v>
      </c>
      <c r="AA486" s="399">
        <f t="shared" si="199"/>
        <v>0</v>
      </c>
      <c r="AB486" s="399">
        <f t="shared" si="200"/>
        <v>22</v>
      </c>
      <c r="AC486" s="399">
        <f t="shared" si="201"/>
        <v>22</v>
      </c>
      <c r="AD486" s="399">
        <f t="shared" si="202"/>
        <v>0</v>
      </c>
      <c r="AE486" s="399">
        <f t="shared" si="203"/>
        <v>22</v>
      </c>
      <c r="AF486" s="399">
        <f t="shared" si="204"/>
        <v>21</v>
      </c>
      <c r="AG486" s="399">
        <f t="shared" si="205"/>
        <v>0</v>
      </c>
      <c r="AH486" s="399">
        <f t="shared" si="206"/>
        <v>21</v>
      </c>
      <c r="AI486" s="399">
        <f t="shared" si="207"/>
        <v>0</v>
      </c>
      <c r="AJ486" s="399">
        <f t="shared" si="208"/>
        <v>0</v>
      </c>
      <c r="AK486" s="399">
        <f t="shared" si="209"/>
        <v>0</v>
      </c>
      <c r="AL486" s="399">
        <f t="shared" si="210"/>
        <v>0</v>
      </c>
      <c r="AM486" s="399">
        <f t="shared" si="211"/>
        <v>0</v>
      </c>
      <c r="AN486" s="399">
        <f t="shared" si="212"/>
        <v>0</v>
      </c>
      <c r="AO486" s="399">
        <f t="shared" si="213"/>
        <v>0</v>
      </c>
      <c r="AP486" s="399">
        <f t="shared" si="214"/>
        <v>0</v>
      </c>
      <c r="AQ486" s="399">
        <f t="shared" si="215"/>
        <v>0</v>
      </c>
      <c r="AR486" s="399"/>
    </row>
    <row r="487" spans="2:44" ht="27.75" customHeight="1" x14ac:dyDescent="0.4">
      <c r="B487" s="376"/>
      <c r="C487" s="310"/>
      <c r="D487" s="376"/>
      <c r="E487" s="376"/>
      <c r="F487" s="376"/>
      <c r="G487" s="376">
        <v>16</v>
      </c>
      <c r="H487" s="376">
        <f t="shared" si="180"/>
        <v>22</v>
      </c>
      <c r="I487" s="376">
        <f t="shared" si="181"/>
        <v>0</v>
      </c>
      <c r="J487" s="376">
        <f t="shared" si="182"/>
        <v>22</v>
      </c>
      <c r="K487" s="376">
        <f t="shared" si="183"/>
        <v>0</v>
      </c>
      <c r="L487" s="376">
        <f t="shared" si="184"/>
        <v>0</v>
      </c>
      <c r="M487" s="376">
        <f t="shared" si="185"/>
        <v>0</v>
      </c>
      <c r="N487" s="376">
        <f t="shared" si="186"/>
        <v>16</v>
      </c>
      <c r="O487" s="399">
        <f t="shared" si="187"/>
        <v>0</v>
      </c>
      <c r="P487" s="399">
        <f t="shared" si="188"/>
        <v>16</v>
      </c>
      <c r="Q487" s="399">
        <f t="shared" si="189"/>
        <v>17</v>
      </c>
      <c r="R487" s="399">
        <f t="shared" si="190"/>
        <v>0</v>
      </c>
      <c r="S487" s="399">
        <f t="shared" si="191"/>
        <v>17</v>
      </c>
      <c r="T487" s="399">
        <f t="shared" si="192"/>
        <v>0</v>
      </c>
      <c r="U487" s="399">
        <f t="shared" si="193"/>
        <v>0</v>
      </c>
      <c r="V487" s="399">
        <f t="shared" si="194"/>
        <v>0</v>
      </c>
      <c r="W487" s="399">
        <f t="shared" si="195"/>
        <v>16</v>
      </c>
      <c r="X487" s="399">
        <f t="shared" si="196"/>
        <v>0</v>
      </c>
      <c r="Y487" s="399">
        <f t="shared" si="197"/>
        <v>16</v>
      </c>
      <c r="Z487" s="399">
        <f t="shared" si="198"/>
        <v>0</v>
      </c>
      <c r="AA487" s="399">
        <f t="shared" si="199"/>
        <v>0</v>
      </c>
      <c r="AB487" s="399">
        <f t="shared" si="200"/>
        <v>0</v>
      </c>
      <c r="AC487" s="399">
        <f t="shared" si="201"/>
        <v>22</v>
      </c>
      <c r="AD487" s="399">
        <f t="shared" si="202"/>
        <v>0</v>
      </c>
      <c r="AE487" s="399">
        <f t="shared" si="203"/>
        <v>22</v>
      </c>
      <c r="AF487" s="399">
        <f t="shared" si="204"/>
        <v>21</v>
      </c>
      <c r="AG487" s="399">
        <f t="shared" si="205"/>
        <v>0</v>
      </c>
      <c r="AH487" s="399">
        <f t="shared" si="206"/>
        <v>21</v>
      </c>
      <c r="AI487" s="399">
        <f t="shared" si="207"/>
        <v>0</v>
      </c>
      <c r="AJ487" s="399">
        <f t="shared" si="208"/>
        <v>0</v>
      </c>
      <c r="AK487" s="399">
        <f t="shared" si="209"/>
        <v>0</v>
      </c>
      <c r="AL487" s="399">
        <f t="shared" si="210"/>
        <v>0</v>
      </c>
      <c r="AM487" s="399">
        <f t="shared" si="211"/>
        <v>0</v>
      </c>
      <c r="AN487" s="399">
        <f t="shared" si="212"/>
        <v>0</v>
      </c>
      <c r="AO487" s="399">
        <f t="shared" si="213"/>
        <v>0</v>
      </c>
      <c r="AP487" s="399">
        <f t="shared" si="214"/>
        <v>0</v>
      </c>
      <c r="AQ487" s="399">
        <f t="shared" si="215"/>
        <v>0</v>
      </c>
      <c r="AR487" s="399"/>
    </row>
    <row r="488" spans="2:44" ht="27.75" customHeight="1" x14ac:dyDescent="0.4">
      <c r="B488" s="376"/>
      <c r="C488" s="310"/>
      <c r="D488" s="376"/>
      <c r="E488" s="376"/>
      <c r="F488" s="376"/>
      <c r="G488" s="376">
        <v>17</v>
      </c>
      <c r="H488" s="376">
        <f t="shared" si="180"/>
        <v>0</v>
      </c>
      <c r="I488" s="376">
        <f t="shared" si="181"/>
        <v>0</v>
      </c>
      <c r="J488" s="376">
        <f t="shared" si="182"/>
        <v>0</v>
      </c>
      <c r="K488" s="376">
        <f t="shared" si="183"/>
        <v>0</v>
      </c>
      <c r="L488" s="376">
        <f t="shared" si="184"/>
        <v>0</v>
      </c>
      <c r="M488" s="376">
        <f t="shared" si="185"/>
        <v>0</v>
      </c>
      <c r="N488" s="376">
        <f t="shared" si="186"/>
        <v>16</v>
      </c>
      <c r="O488" s="399">
        <f t="shared" si="187"/>
        <v>0</v>
      </c>
      <c r="P488" s="399">
        <f t="shared" si="188"/>
        <v>16</v>
      </c>
      <c r="Q488" s="399">
        <f t="shared" si="189"/>
        <v>0</v>
      </c>
      <c r="R488" s="399">
        <f t="shared" si="190"/>
        <v>0</v>
      </c>
      <c r="S488" s="399">
        <f t="shared" si="191"/>
        <v>0</v>
      </c>
      <c r="T488" s="399">
        <f t="shared" si="192"/>
        <v>15</v>
      </c>
      <c r="U488" s="399">
        <f t="shared" si="193"/>
        <v>0</v>
      </c>
      <c r="V488" s="399">
        <f t="shared" si="194"/>
        <v>15</v>
      </c>
      <c r="W488" s="399">
        <f t="shared" si="195"/>
        <v>0</v>
      </c>
      <c r="X488" s="399">
        <f t="shared" si="196"/>
        <v>0</v>
      </c>
      <c r="Y488" s="399">
        <f t="shared" si="197"/>
        <v>0</v>
      </c>
      <c r="Z488" s="399">
        <f t="shared" si="198"/>
        <v>0</v>
      </c>
      <c r="AA488" s="399">
        <f t="shared" si="199"/>
        <v>0</v>
      </c>
      <c r="AB488" s="399">
        <f t="shared" si="200"/>
        <v>0</v>
      </c>
      <c r="AC488" s="399">
        <f t="shared" si="201"/>
        <v>22</v>
      </c>
      <c r="AD488" s="399">
        <f t="shared" si="202"/>
        <v>0</v>
      </c>
      <c r="AE488" s="399">
        <f t="shared" si="203"/>
        <v>22</v>
      </c>
      <c r="AF488" s="399">
        <f t="shared" si="204"/>
        <v>21</v>
      </c>
      <c r="AG488" s="399">
        <f t="shared" si="205"/>
        <v>0</v>
      </c>
      <c r="AH488" s="399">
        <f t="shared" si="206"/>
        <v>21</v>
      </c>
      <c r="AI488" s="399">
        <f t="shared" si="207"/>
        <v>0</v>
      </c>
      <c r="AJ488" s="399">
        <f t="shared" si="208"/>
        <v>0</v>
      </c>
      <c r="AK488" s="399">
        <f t="shared" si="209"/>
        <v>0</v>
      </c>
      <c r="AL488" s="399">
        <f t="shared" si="210"/>
        <v>0</v>
      </c>
      <c r="AM488" s="399">
        <f t="shared" si="211"/>
        <v>0</v>
      </c>
      <c r="AN488" s="399">
        <f t="shared" si="212"/>
        <v>0</v>
      </c>
      <c r="AO488" s="399">
        <f t="shared" si="213"/>
        <v>0</v>
      </c>
      <c r="AP488" s="399">
        <f t="shared" si="214"/>
        <v>0</v>
      </c>
      <c r="AQ488" s="399">
        <f t="shared" si="215"/>
        <v>0</v>
      </c>
      <c r="AR488" s="399"/>
    </row>
    <row r="489" spans="2:44" ht="27.75" customHeight="1" x14ac:dyDescent="0.4">
      <c r="B489" s="376"/>
      <c r="C489" s="310"/>
      <c r="D489" s="376"/>
      <c r="E489" s="376"/>
      <c r="F489" s="376"/>
      <c r="G489" s="376">
        <v>18</v>
      </c>
      <c r="H489" s="376">
        <f t="shared" si="180"/>
        <v>22</v>
      </c>
      <c r="I489" s="376">
        <f t="shared" si="181"/>
        <v>0</v>
      </c>
      <c r="J489" s="376">
        <f t="shared" si="182"/>
        <v>22</v>
      </c>
      <c r="K489" s="376">
        <f t="shared" si="183"/>
        <v>0</v>
      </c>
      <c r="L489" s="376">
        <f t="shared" si="184"/>
        <v>0</v>
      </c>
      <c r="M489" s="376">
        <f t="shared" si="185"/>
        <v>0</v>
      </c>
      <c r="N489" s="376">
        <f t="shared" si="186"/>
        <v>16</v>
      </c>
      <c r="O489" s="399">
        <f t="shared" si="187"/>
        <v>0</v>
      </c>
      <c r="P489" s="399">
        <f t="shared" si="188"/>
        <v>16</v>
      </c>
      <c r="Q489" s="399">
        <f t="shared" si="189"/>
        <v>17</v>
      </c>
      <c r="R489" s="399">
        <f t="shared" si="190"/>
        <v>0</v>
      </c>
      <c r="S489" s="399">
        <f t="shared" si="191"/>
        <v>17</v>
      </c>
      <c r="T489" s="399">
        <f t="shared" si="192"/>
        <v>15</v>
      </c>
      <c r="U489" s="399">
        <f t="shared" si="193"/>
        <v>0</v>
      </c>
      <c r="V489" s="399">
        <f t="shared" si="194"/>
        <v>15</v>
      </c>
      <c r="W489" s="399">
        <f t="shared" si="195"/>
        <v>0</v>
      </c>
      <c r="X489" s="399">
        <f t="shared" si="196"/>
        <v>0</v>
      </c>
      <c r="Y489" s="399">
        <f t="shared" si="197"/>
        <v>0</v>
      </c>
      <c r="Z489" s="399">
        <f t="shared" si="198"/>
        <v>0</v>
      </c>
      <c r="AA489" s="399">
        <f t="shared" si="199"/>
        <v>0</v>
      </c>
      <c r="AB489" s="399">
        <f t="shared" si="200"/>
        <v>0</v>
      </c>
      <c r="AC489" s="399">
        <f t="shared" si="201"/>
        <v>22</v>
      </c>
      <c r="AD489" s="399">
        <f t="shared" si="202"/>
        <v>0</v>
      </c>
      <c r="AE489" s="399">
        <f t="shared" si="203"/>
        <v>22</v>
      </c>
      <c r="AF489" s="399">
        <f t="shared" si="204"/>
        <v>0</v>
      </c>
      <c r="AG489" s="399">
        <f t="shared" si="205"/>
        <v>0</v>
      </c>
      <c r="AH489" s="399">
        <f t="shared" si="206"/>
        <v>0</v>
      </c>
      <c r="AI489" s="399">
        <f t="shared" si="207"/>
        <v>0</v>
      </c>
      <c r="AJ489" s="399">
        <f t="shared" si="208"/>
        <v>0</v>
      </c>
      <c r="AK489" s="399">
        <f t="shared" si="209"/>
        <v>0</v>
      </c>
      <c r="AL489" s="399">
        <f t="shared" si="210"/>
        <v>0</v>
      </c>
      <c r="AM489" s="399">
        <f t="shared" si="211"/>
        <v>0</v>
      </c>
      <c r="AN489" s="399">
        <f t="shared" si="212"/>
        <v>0</v>
      </c>
      <c r="AO489" s="399">
        <f t="shared" si="213"/>
        <v>0</v>
      </c>
      <c r="AP489" s="399">
        <f t="shared" si="214"/>
        <v>0</v>
      </c>
      <c r="AQ489" s="399">
        <f t="shared" si="215"/>
        <v>0</v>
      </c>
      <c r="AR489" s="399"/>
    </row>
    <row r="490" spans="2:44" ht="27.75" customHeight="1" x14ac:dyDescent="0.4">
      <c r="B490" s="376"/>
      <c r="C490" s="310"/>
      <c r="D490" s="376"/>
      <c r="E490" s="376"/>
      <c r="F490" s="376"/>
      <c r="G490" s="376">
        <v>19</v>
      </c>
      <c r="H490" s="376">
        <f t="shared" si="180"/>
        <v>22</v>
      </c>
      <c r="I490" s="376">
        <f t="shared" si="181"/>
        <v>0</v>
      </c>
      <c r="J490" s="376">
        <f t="shared" si="182"/>
        <v>22</v>
      </c>
      <c r="K490" s="376">
        <f t="shared" si="183"/>
        <v>0</v>
      </c>
      <c r="L490" s="376">
        <f t="shared" si="184"/>
        <v>0</v>
      </c>
      <c r="M490" s="376">
        <f t="shared" si="185"/>
        <v>0</v>
      </c>
      <c r="N490" s="376">
        <f t="shared" si="186"/>
        <v>0</v>
      </c>
      <c r="O490" s="399">
        <f t="shared" si="187"/>
        <v>0</v>
      </c>
      <c r="P490" s="399">
        <f t="shared" si="188"/>
        <v>0</v>
      </c>
      <c r="Q490" s="399">
        <f t="shared" si="189"/>
        <v>17</v>
      </c>
      <c r="R490" s="399">
        <f t="shared" si="190"/>
        <v>0</v>
      </c>
      <c r="S490" s="399">
        <f t="shared" si="191"/>
        <v>17</v>
      </c>
      <c r="T490" s="399">
        <f t="shared" si="192"/>
        <v>15</v>
      </c>
      <c r="U490" s="399">
        <f t="shared" si="193"/>
        <v>0</v>
      </c>
      <c r="V490" s="399">
        <f t="shared" si="194"/>
        <v>15</v>
      </c>
      <c r="W490" s="399">
        <f t="shared" si="195"/>
        <v>16</v>
      </c>
      <c r="X490" s="399">
        <f t="shared" si="196"/>
        <v>0</v>
      </c>
      <c r="Y490" s="399">
        <f t="shared" si="197"/>
        <v>16</v>
      </c>
      <c r="Z490" s="399">
        <f t="shared" si="198"/>
        <v>0</v>
      </c>
      <c r="AA490" s="399">
        <f t="shared" si="199"/>
        <v>0</v>
      </c>
      <c r="AB490" s="399">
        <f t="shared" si="200"/>
        <v>0</v>
      </c>
      <c r="AC490" s="399">
        <f t="shared" si="201"/>
        <v>22</v>
      </c>
      <c r="AD490" s="399">
        <f t="shared" si="202"/>
        <v>0</v>
      </c>
      <c r="AE490" s="399">
        <f t="shared" si="203"/>
        <v>22</v>
      </c>
      <c r="AF490" s="399">
        <f t="shared" si="204"/>
        <v>21</v>
      </c>
      <c r="AG490" s="399">
        <f t="shared" si="205"/>
        <v>0</v>
      </c>
      <c r="AH490" s="399">
        <f t="shared" si="206"/>
        <v>21</v>
      </c>
      <c r="AI490" s="399">
        <f t="shared" si="207"/>
        <v>0</v>
      </c>
      <c r="AJ490" s="399">
        <f t="shared" si="208"/>
        <v>0</v>
      </c>
      <c r="AK490" s="399">
        <f t="shared" si="209"/>
        <v>0</v>
      </c>
      <c r="AL490" s="399">
        <f t="shared" si="210"/>
        <v>0</v>
      </c>
      <c r="AM490" s="399">
        <f t="shared" si="211"/>
        <v>0</v>
      </c>
      <c r="AN490" s="399">
        <f t="shared" si="212"/>
        <v>0</v>
      </c>
      <c r="AO490" s="399">
        <f t="shared" si="213"/>
        <v>0</v>
      </c>
      <c r="AP490" s="399">
        <f t="shared" si="214"/>
        <v>0</v>
      </c>
      <c r="AQ490" s="399">
        <f t="shared" si="215"/>
        <v>0</v>
      </c>
      <c r="AR490" s="399"/>
    </row>
    <row r="491" spans="2:44" ht="27.75" customHeight="1" x14ac:dyDescent="0.4">
      <c r="B491" s="376"/>
      <c r="C491" s="310"/>
      <c r="D491" s="376"/>
      <c r="E491" s="376"/>
      <c r="F491" s="376"/>
      <c r="G491" s="376">
        <v>20</v>
      </c>
      <c r="H491" s="376">
        <f t="shared" si="180"/>
        <v>22</v>
      </c>
      <c r="I491" s="376">
        <f t="shared" si="181"/>
        <v>0</v>
      </c>
      <c r="J491" s="376">
        <f t="shared" si="182"/>
        <v>22</v>
      </c>
      <c r="K491" s="376">
        <f t="shared" si="183"/>
        <v>0</v>
      </c>
      <c r="L491" s="376">
        <f t="shared" si="184"/>
        <v>0</v>
      </c>
      <c r="M491" s="376">
        <f t="shared" si="185"/>
        <v>0</v>
      </c>
      <c r="N491" s="376">
        <f t="shared" si="186"/>
        <v>17</v>
      </c>
      <c r="O491" s="399">
        <f t="shared" si="187"/>
        <v>0</v>
      </c>
      <c r="P491" s="399">
        <f t="shared" si="188"/>
        <v>17</v>
      </c>
      <c r="Q491" s="399">
        <f t="shared" si="189"/>
        <v>17</v>
      </c>
      <c r="R491" s="399">
        <f t="shared" si="190"/>
        <v>0</v>
      </c>
      <c r="S491" s="399">
        <f t="shared" si="191"/>
        <v>17</v>
      </c>
      <c r="T491" s="399">
        <f t="shared" si="192"/>
        <v>15</v>
      </c>
      <c r="U491" s="399">
        <f t="shared" si="193"/>
        <v>0</v>
      </c>
      <c r="V491" s="399">
        <f t="shared" si="194"/>
        <v>15</v>
      </c>
      <c r="W491" s="399">
        <f t="shared" si="195"/>
        <v>16</v>
      </c>
      <c r="X491" s="399">
        <f t="shared" si="196"/>
        <v>0</v>
      </c>
      <c r="Y491" s="399">
        <f t="shared" si="197"/>
        <v>16</v>
      </c>
      <c r="Z491" s="399">
        <f t="shared" si="198"/>
        <v>0</v>
      </c>
      <c r="AA491" s="399">
        <f t="shared" si="199"/>
        <v>0</v>
      </c>
      <c r="AB491" s="399">
        <f t="shared" si="200"/>
        <v>0</v>
      </c>
      <c r="AC491" s="399">
        <f t="shared" si="201"/>
        <v>0</v>
      </c>
      <c r="AD491" s="399">
        <f t="shared" si="202"/>
        <v>0</v>
      </c>
      <c r="AE491" s="399">
        <f t="shared" si="203"/>
        <v>0</v>
      </c>
      <c r="AF491" s="399">
        <f t="shared" si="204"/>
        <v>21</v>
      </c>
      <c r="AG491" s="399">
        <f t="shared" si="205"/>
        <v>0</v>
      </c>
      <c r="AH491" s="399">
        <f t="shared" si="206"/>
        <v>21</v>
      </c>
      <c r="AI491" s="399">
        <f t="shared" si="207"/>
        <v>0</v>
      </c>
      <c r="AJ491" s="399">
        <f t="shared" si="208"/>
        <v>0</v>
      </c>
      <c r="AK491" s="399">
        <f t="shared" si="209"/>
        <v>0</v>
      </c>
      <c r="AL491" s="399">
        <f t="shared" si="210"/>
        <v>0</v>
      </c>
      <c r="AM491" s="399">
        <f t="shared" si="211"/>
        <v>0</v>
      </c>
      <c r="AN491" s="399">
        <f t="shared" si="212"/>
        <v>0</v>
      </c>
      <c r="AO491" s="399">
        <f t="shared" si="213"/>
        <v>0</v>
      </c>
      <c r="AP491" s="399">
        <f t="shared" si="214"/>
        <v>0</v>
      </c>
      <c r="AQ491" s="399">
        <f t="shared" si="215"/>
        <v>0</v>
      </c>
      <c r="AR491" s="399"/>
    </row>
    <row r="492" spans="2:44" ht="27.75" customHeight="1" x14ac:dyDescent="0.4">
      <c r="B492" s="376"/>
      <c r="C492" s="310"/>
      <c r="D492" s="376"/>
      <c r="E492" s="376"/>
      <c r="F492" s="376"/>
      <c r="G492" s="376">
        <v>21</v>
      </c>
      <c r="H492" s="376">
        <f t="shared" si="180"/>
        <v>22</v>
      </c>
      <c r="I492" s="376">
        <f t="shared" si="181"/>
        <v>0</v>
      </c>
      <c r="J492" s="376">
        <f t="shared" si="182"/>
        <v>22</v>
      </c>
      <c r="K492" s="376">
        <f t="shared" si="183"/>
        <v>0</v>
      </c>
      <c r="L492" s="376">
        <f t="shared" si="184"/>
        <v>0</v>
      </c>
      <c r="M492" s="376">
        <f t="shared" si="185"/>
        <v>0</v>
      </c>
      <c r="N492" s="376">
        <f t="shared" si="186"/>
        <v>17</v>
      </c>
      <c r="O492" s="399">
        <f t="shared" si="187"/>
        <v>0</v>
      </c>
      <c r="P492" s="399">
        <f t="shared" si="188"/>
        <v>17</v>
      </c>
      <c r="Q492" s="399">
        <f t="shared" si="189"/>
        <v>17</v>
      </c>
      <c r="R492" s="399">
        <f t="shared" si="190"/>
        <v>0</v>
      </c>
      <c r="S492" s="399">
        <f t="shared" si="191"/>
        <v>17</v>
      </c>
      <c r="T492" s="399">
        <f t="shared" si="192"/>
        <v>0</v>
      </c>
      <c r="U492" s="399">
        <f t="shared" si="193"/>
        <v>0</v>
      </c>
      <c r="V492" s="399">
        <f t="shared" si="194"/>
        <v>0</v>
      </c>
      <c r="W492" s="399">
        <f t="shared" si="195"/>
        <v>16</v>
      </c>
      <c r="X492" s="399">
        <f t="shared" si="196"/>
        <v>0</v>
      </c>
      <c r="Y492" s="399">
        <f t="shared" si="197"/>
        <v>16</v>
      </c>
      <c r="Z492" s="399">
        <f t="shared" si="198"/>
        <v>0</v>
      </c>
      <c r="AA492" s="399">
        <f t="shared" si="199"/>
        <v>0</v>
      </c>
      <c r="AB492" s="399">
        <f t="shared" si="200"/>
        <v>0</v>
      </c>
      <c r="AC492" s="399">
        <f t="shared" si="201"/>
        <v>22</v>
      </c>
      <c r="AD492" s="399">
        <f t="shared" si="202"/>
        <v>0</v>
      </c>
      <c r="AE492" s="399">
        <f t="shared" si="203"/>
        <v>22</v>
      </c>
      <c r="AF492" s="399">
        <f t="shared" si="204"/>
        <v>21</v>
      </c>
      <c r="AG492" s="399">
        <f t="shared" si="205"/>
        <v>0</v>
      </c>
      <c r="AH492" s="399">
        <f t="shared" si="206"/>
        <v>21</v>
      </c>
      <c r="AI492" s="399">
        <f t="shared" si="207"/>
        <v>0</v>
      </c>
      <c r="AJ492" s="399">
        <f t="shared" si="208"/>
        <v>0</v>
      </c>
      <c r="AK492" s="399">
        <f t="shared" si="209"/>
        <v>0</v>
      </c>
      <c r="AL492" s="399">
        <f t="shared" si="210"/>
        <v>0</v>
      </c>
      <c r="AM492" s="399">
        <f t="shared" si="211"/>
        <v>0</v>
      </c>
      <c r="AN492" s="399">
        <f t="shared" si="212"/>
        <v>0</v>
      </c>
      <c r="AO492" s="399">
        <f t="shared" si="213"/>
        <v>0</v>
      </c>
      <c r="AP492" s="399">
        <f t="shared" si="214"/>
        <v>0</v>
      </c>
      <c r="AQ492" s="399">
        <f t="shared" si="215"/>
        <v>0</v>
      </c>
      <c r="AR492" s="399"/>
    </row>
    <row r="493" spans="2:44" ht="27.75" customHeight="1" x14ac:dyDescent="0.4">
      <c r="B493" s="376"/>
      <c r="C493" s="310"/>
      <c r="D493" s="376"/>
      <c r="E493" s="376"/>
      <c r="F493" s="376"/>
      <c r="G493" s="376">
        <v>22</v>
      </c>
      <c r="H493" s="376">
        <f t="shared" si="180"/>
        <v>22</v>
      </c>
      <c r="I493" s="376">
        <f t="shared" si="181"/>
        <v>0</v>
      </c>
      <c r="J493" s="376">
        <f t="shared" si="182"/>
        <v>22</v>
      </c>
      <c r="K493" s="376">
        <f t="shared" si="183"/>
        <v>0</v>
      </c>
      <c r="L493" s="376">
        <f t="shared" si="184"/>
        <v>0</v>
      </c>
      <c r="M493" s="376">
        <f t="shared" si="185"/>
        <v>0</v>
      </c>
      <c r="N493" s="376">
        <f t="shared" si="186"/>
        <v>17</v>
      </c>
      <c r="O493" s="399">
        <f t="shared" si="187"/>
        <v>0</v>
      </c>
      <c r="P493" s="399">
        <f t="shared" si="188"/>
        <v>17</v>
      </c>
      <c r="Q493" s="399">
        <f t="shared" si="189"/>
        <v>17</v>
      </c>
      <c r="R493" s="399">
        <f t="shared" si="190"/>
        <v>0</v>
      </c>
      <c r="S493" s="399">
        <f t="shared" si="191"/>
        <v>17</v>
      </c>
      <c r="T493" s="399">
        <f t="shared" si="192"/>
        <v>15</v>
      </c>
      <c r="U493" s="399">
        <f t="shared" si="193"/>
        <v>0</v>
      </c>
      <c r="V493" s="399">
        <f t="shared" si="194"/>
        <v>15</v>
      </c>
      <c r="W493" s="399">
        <f t="shared" si="195"/>
        <v>16</v>
      </c>
      <c r="X493" s="399">
        <f t="shared" si="196"/>
        <v>0</v>
      </c>
      <c r="Y493" s="399">
        <f t="shared" si="197"/>
        <v>16</v>
      </c>
      <c r="Z493" s="399">
        <f t="shared" si="198"/>
        <v>0</v>
      </c>
      <c r="AA493" s="399">
        <f t="shared" si="199"/>
        <v>0</v>
      </c>
      <c r="AB493" s="399">
        <f t="shared" si="200"/>
        <v>0</v>
      </c>
      <c r="AC493" s="399">
        <f t="shared" si="201"/>
        <v>22</v>
      </c>
      <c r="AD493" s="399">
        <f t="shared" si="202"/>
        <v>0</v>
      </c>
      <c r="AE493" s="399">
        <f t="shared" si="203"/>
        <v>22</v>
      </c>
      <c r="AF493" s="399">
        <f t="shared" si="204"/>
        <v>21</v>
      </c>
      <c r="AG493" s="399">
        <f t="shared" si="205"/>
        <v>0</v>
      </c>
      <c r="AH493" s="399">
        <f t="shared" si="206"/>
        <v>21</v>
      </c>
      <c r="AI493" s="399">
        <f t="shared" si="207"/>
        <v>0</v>
      </c>
      <c r="AJ493" s="399">
        <f t="shared" si="208"/>
        <v>0</v>
      </c>
      <c r="AK493" s="399">
        <f t="shared" si="209"/>
        <v>0</v>
      </c>
      <c r="AL493" s="399">
        <f t="shared" si="210"/>
        <v>0</v>
      </c>
      <c r="AM493" s="399">
        <f t="shared" si="211"/>
        <v>0</v>
      </c>
      <c r="AN493" s="399">
        <f t="shared" si="212"/>
        <v>0</v>
      </c>
      <c r="AO493" s="399">
        <f t="shared" si="213"/>
        <v>0</v>
      </c>
      <c r="AP493" s="399">
        <f t="shared" si="214"/>
        <v>0</v>
      </c>
      <c r="AQ493" s="399">
        <f t="shared" si="215"/>
        <v>0</v>
      </c>
      <c r="AR493" s="399"/>
    </row>
    <row r="494" spans="2:44" ht="27.75" customHeight="1" x14ac:dyDescent="0.4">
      <c r="B494" s="376"/>
      <c r="C494" s="310"/>
      <c r="D494" s="376"/>
      <c r="E494" s="376"/>
      <c r="F494" s="376"/>
      <c r="G494" s="376">
        <v>23</v>
      </c>
      <c r="H494" s="376">
        <f t="shared" si="180"/>
        <v>22</v>
      </c>
      <c r="I494" s="376">
        <f t="shared" si="181"/>
        <v>0</v>
      </c>
      <c r="J494" s="376">
        <f t="shared" si="182"/>
        <v>22</v>
      </c>
      <c r="K494" s="376">
        <f t="shared" si="183"/>
        <v>0</v>
      </c>
      <c r="L494" s="376">
        <f t="shared" si="184"/>
        <v>0</v>
      </c>
      <c r="M494" s="376">
        <f t="shared" si="185"/>
        <v>0</v>
      </c>
      <c r="N494" s="376">
        <f t="shared" si="186"/>
        <v>17</v>
      </c>
      <c r="O494" s="399">
        <f t="shared" si="187"/>
        <v>0</v>
      </c>
      <c r="P494" s="399">
        <f t="shared" si="188"/>
        <v>17</v>
      </c>
      <c r="Q494" s="399">
        <f t="shared" si="189"/>
        <v>17</v>
      </c>
      <c r="R494" s="399">
        <f t="shared" si="190"/>
        <v>0</v>
      </c>
      <c r="S494" s="399">
        <f t="shared" si="191"/>
        <v>17</v>
      </c>
      <c r="T494" s="399">
        <f t="shared" si="192"/>
        <v>15</v>
      </c>
      <c r="U494" s="399">
        <f t="shared" si="193"/>
        <v>0</v>
      </c>
      <c r="V494" s="399">
        <f t="shared" si="194"/>
        <v>15</v>
      </c>
      <c r="W494" s="399">
        <f t="shared" si="195"/>
        <v>16</v>
      </c>
      <c r="X494" s="399">
        <f t="shared" si="196"/>
        <v>0</v>
      </c>
      <c r="Y494" s="399">
        <f t="shared" si="197"/>
        <v>16</v>
      </c>
      <c r="Z494" s="399">
        <f t="shared" si="198"/>
        <v>0</v>
      </c>
      <c r="AA494" s="399">
        <f t="shared" si="199"/>
        <v>0</v>
      </c>
      <c r="AB494" s="399">
        <f t="shared" si="200"/>
        <v>0</v>
      </c>
      <c r="AC494" s="399">
        <f t="shared" si="201"/>
        <v>22</v>
      </c>
      <c r="AD494" s="399">
        <f t="shared" si="202"/>
        <v>0</v>
      </c>
      <c r="AE494" s="399">
        <f t="shared" si="203"/>
        <v>22</v>
      </c>
      <c r="AF494" s="399">
        <f t="shared" si="204"/>
        <v>21</v>
      </c>
      <c r="AG494" s="399">
        <f t="shared" si="205"/>
        <v>0</v>
      </c>
      <c r="AH494" s="399">
        <f t="shared" si="206"/>
        <v>21</v>
      </c>
      <c r="AI494" s="399">
        <f t="shared" si="207"/>
        <v>0</v>
      </c>
      <c r="AJ494" s="399">
        <f t="shared" si="208"/>
        <v>0</v>
      </c>
      <c r="AK494" s="399">
        <f t="shared" si="209"/>
        <v>0</v>
      </c>
      <c r="AL494" s="399">
        <f t="shared" si="210"/>
        <v>0</v>
      </c>
      <c r="AM494" s="399">
        <f t="shared" si="211"/>
        <v>0</v>
      </c>
      <c r="AN494" s="399">
        <f t="shared" si="212"/>
        <v>0</v>
      </c>
      <c r="AO494" s="399">
        <f t="shared" si="213"/>
        <v>0</v>
      </c>
      <c r="AP494" s="399">
        <f t="shared" si="214"/>
        <v>0</v>
      </c>
      <c r="AQ494" s="399">
        <f t="shared" si="215"/>
        <v>0</v>
      </c>
      <c r="AR494" s="399"/>
    </row>
    <row r="495" spans="2:44" ht="27.75" customHeight="1" x14ac:dyDescent="0.4">
      <c r="B495" s="376"/>
      <c r="C495" s="310"/>
      <c r="D495" s="376"/>
      <c r="E495" s="376"/>
      <c r="F495" s="376"/>
      <c r="G495" s="376">
        <v>24</v>
      </c>
      <c r="H495" s="376">
        <f t="shared" si="180"/>
        <v>0</v>
      </c>
      <c r="I495" s="376">
        <f t="shared" si="181"/>
        <v>0</v>
      </c>
      <c r="J495" s="376">
        <f t="shared" si="182"/>
        <v>0</v>
      </c>
      <c r="K495" s="376">
        <f t="shared" si="183"/>
        <v>0</v>
      </c>
      <c r="L495" s="376">
        <f t="shared" si="184"/>
        <v>0</v>
      </c>
      <c r="M495" s="376">
        <f t="shared" si="185"/>
        <v>0</v>
      </c>
      <c r="N495" s="376">
        <f t="shared" si="186"/>
        <v>17</v>
      </c>
      <c r="O495" s="399">
        <f t="shared" si="187"/>
        <v>0</v>
      </c>
      <c r="P495" s="399">
        <f t="shared" si="188"/>
        <v>17</v>
      </c>
      <c r="Q495" s="399">
        <f t="shared" si="189"/>
        <v>0</v>
      </c>
      <c r="R495" s="399">
        <f t="shared" si="190"/>
        <v>0</v>
      </c>
      <c r="S495" s="399">
        <f t="shared" si="191"/>
        <v>0</v>
      </c>
      <c r="T495" s="399">
        <f t="shared" si="192"/>
        <v>15</v>
      </c>
      <c r="U495" s="399">
        <f t="shared" si="193"/>
        <v>0</v>
      </c>
      <c r="V495" s="399">
        <f t="shared" si="194"/>
        <v>15</v>
      </c>
      <c r="W495" s="399">
        <f t="shared" si="195"/>
        <v>16</v>
      </c>
      <c r="X495" s="399">
        <f t="shared" si="196"/>
        <v>0</v>
      </c>
      <c r="Y495" s="399">
        <f t="shared" si="197"/>
        <v>16</v>
      </c>
      <c r="Z495" s="399">
        <f t="shared" si="198"/>
        <v>0</v>
      </c>
      <c r="AA495" s="399">
        <f t="shared" si="199"/>
        <v>0</v>
      </c>
      <c r="AB495" s="399">
        <f t="shared" si="200"/>
        <v>0</v>
      </c>
      <c r="AC495" s="399">
        <f t="shared" si="201"/>
        <v>22</v>
      </c>
      <c r="AD495" s="399">
        <f t="shared" si="202"/>
        <v>0</v>
      </c>
      <c r="AE495" s="399">
        <f t="shared" si="203"/>
        <v>22</v>
      </c>
      <c r="AF495" s="399">
        <f t="shared" si="204"/>
        <v>21</v>
      </c>
      <c r="AG495" s="399">
        <f t="shared" si="205"/>
        <v>0</v>
      </c>
      <c r="AH495" s="399">
        <f t="shared" si="206"/>
        <v>21</v>
      </c>
      <c r="AI495" s="399">
        <f t="shared" si="207"/>
        <v>0</v>
      </c>
      <c r="AJ495" s="399">
        <f t="shared" si="208"/>
        <v>0</v>
      </c>
      <c r="AK495" s="399">
        <f t="shared" si="209"/>
        <v>0</v>
      </c>
      <c r="AL495" s="399">
        <f t="shared" si="210"/>
        <v>0</v>
      </c>
      <c r="AM495" s="399">
        <f t="shared" si="211"/>
        <v>0</v>
      </c>
      <c r="AN495" s="399">
        <f t="shared" si="212"/>
        <v>0</v>
      </c>
      <c r="AO495" s="399">
        <f t="shared" si="213"/>
        <v>0</v>
      </c>
      <c r="AP495" s="399">
        <f t="shared" si="214"/>
        <v>0</v>
      </c>
      <c r="AQ495" s="399">
        <f t="shared" si="215"/>
        <v>0</v>
      </c>
      <c r="AR495" s="399"/>
    </row>
    <row r="496" spans="2:44" ht="27.75" customHeight="1" x14ac:dyDescent="0.4">
      <c r="B496" s="376"/>
      <c r="C496" s="310"/>
      <c r="D496" s="376"/>
      <c r="E496" s="376"/>
      <c r="F496" s="376"/>
      <c r="G496" s="376">
        <v>25</v>
      </c>
      <c r="H496" s="376">
        <f t="shared" si="180"/>
        <v>22</v>
      </c>
      <c r="I496" s="376">
        <f t="shared" si="181"/>
        <v>0</v>
      </c>
      <c r="J496" s="376">
        <f t="shared" si="182"/>
        <v>22</v>
      </c>
      <c r="K496" s="376">
        <f t="shared" si="183"/>
        <v>0</v>
      </c>
      <c r="L496" s="376">
        <f t="shared" si="184"/>
        <v>0</v>
      </c>
      <c r="M496" s="376">
        <f t="shared" si="185"/>
        <v>0</v>
      </c>
      <c r="N496" s="376">
        <f t="shared" si="186"/>
        <v>17</v>
      </c>
      <c r="O496" s="399">
        <f t="shared" si="187"/>
        <v>0</v>
      </c>
      <c r="P496" s="399">
        <f t="shared" si="188"/>
        <v>17</v>
      </c>
      <c r="Q496" s="399">
        <f t="shared" si="189"/>
        <v>17</v>
      </c>
      <c r="R496" s="399">
        <f t="shared" si="190"/>
        <v>0</v>
      </c>
      <c r="S496" s="399">
        <f t="shared" si="191"/>
        <v>17</v>
      </c>
      <c r="T496" s="399">
        <f t="shared" si="192"/>
        <v>15</v>
      </c>
      <c r="U496" s="399">
        <f t="shared" si="193"/>
        <v>0</v>
      </c>
      <c r="V496" s="399">
        <f t="shared" si="194"/>
        <v>15</v>
      </c>
      <c r="W496" s="399">
        <f t="shared" si="195"/>
        <v>0</v>
      </c>
      <c r="X496" s="399">
        <f t="shared" si="196"/>
        <v>0</v>
      </c>
      <c r="Y496" s="399">
        <f t="shared" si="197"/>
        <v>0</v>
      </c>
      <c r="Z496" s="399">
        <f t="shared" si="198"/>
        <v>0</v>
      </c>
      <c r="AA496" s="399">
        <f t="shared" si="199"/>
        <v>0</v>
      </c>
      <c r="AB496" s="399">
        <f t="shared" si="200"/>
        <v>0</v>
      </c>
      <c r="AC496" s="399">
        <f t="shared" si="201"/>
        <v>22</v>
      </c>
      <c r="AD496" s="399">
        <f t="shared" si="202"/>
        <v>0</v>
      </c>
      <c r="AE496" s="399">
        <f t="shared" si="203"/>
        <v>22</v>
      </c>
      <c r="AF496" s="399">
        <f t="shared" si="204"/>
        <v>0</v>
      </c>
      <c r="AG496" s="399">
        <f t="shared" si="205"/>
        <v>0</v>
      </c>
      <c r="AH496" s="399">
        <f t="shared" si="206"/>
        <v>0</v>
      </c>
      <c r="AI496" s="399">
        <f t="shared" si="207"/>
        <v>0</v>
      </c>
      <c r="AJ496" s="399">
        <f t="shared" si="208"/>
        <v>0</v>
      </c>
      <c r="AK496" s="399">
        <f t="shared" si="209"/>
        <v>0</v>
      </c>
      <c r="AL496" s="399">
        <f t="shared" si="210"/>
        <v>0</v>
      </c>
      <c r="AM496" s="399">
        <f t="shared" si="211"/>
        <v>0</v>
      </c>
      <c r="AN496" s="399">
        <f t="shared" si="212"/>
        <v>0</v>
      </c>
      <c r="AO496" s="399">
        <f t="shared" si="213"/>
        <v>0</v>
      </c>
      <c r="AP496" s="399">
        <f t="shared" si="214"/>
        <v>0</v>
      </c>
      <c r="AQ496" s="399">
        <f t="shared" si="215"/>
        <v>0</v>
      </c>
      <c r="AR496" s="399"/>
    </row>
    <row r="497" spans="2:44" ht="27.75" customHeight="1" x14ac:dyDescent="0.4">
      <c r="B497" s="376"/>
      <c r="C497" s="310"/>
      <c r="D497" s="376"/>
      <c r="E497" s="376"/>
      <c r="F497" s="376"/>
      <c r="G497" s="376">
        <v>26</v>
      </c>
      <c r="H497" s="376">
        <f t="shared" si="180"/>
        <v>22</v>
      </c>
      <c r="I497" s="376">
        <f t="shared" si="181"/>
        <v>0</v>
      </c>
      <c r="J497" s="376">
        <f t="shared" si="182"/>
        <v>22</v>
      </c>
      <c r="K497" s="376">
        <f t="shared" si="183"/>
        <v>0</v>
      </c>
      <c r="L497" s="376">
        <f t="shared" si="184"/>
        <v>0</v>
      </c>
      <c r="M497" s="376">
        <f t="shared" si="185"/>
        <v>0</v>
      </c>
      <c r="N497" s="376">
        <f t="shared" si="186"/>
        <v>0</v>
      </c>
      <c r="O497" s="399">
        <f t="shared" si="187"/>
        <v>0</v>
      </c>
      <c r="P497" s="399">
        <f t="shared" si="188"/>
        <v>0</v>
      </c>
      <c r="Q497" s="399">
        <f t="shared" si="189"/>
        <v>17</v>
      </c>
      <c r="R497" s="399">
        <f t="shared" si="190"/>
        <v>0</v>
      </c>
      <c r="S497" s="399">
        <f t="shared" si="191"/>
        <v>17</v>
      </c>
      <c r="T497" s="399">
        <f t="shared" si="192"/>
        <v>0</v>
      </c>
      <c r="U497" s="399">
        <f t="shared" si="193"/>
        <v>0</v>
      </c>
      <c r="V497" s="399">
        <f t="shared" si="194"/>
        <v>0</v>
      </c>
      <c r="W497" s="399">
        <f t="shared" si="195"/>
        <v>0</v>
      </c>
      <c r="X497" s="399">
        <f t="shared" si="196"/>
        <v>0</v>
      </c>
      <c r="Y497" s="399">
        <f t="shared" si="197"/>
        <v>0</v>
      </c>
      <c r="Z497" s="399">
        <f t="shared" si="198"/>
        <v>0</v>
      </c>
      <c r="AA497" s="399">
        <f t="shared" si="199"/>
        <v>0</v>
      </c>
      <c r="AB497" s="399">
        <f t="shared" si="200"/>
        <v>0</v>
      </c>
      <c r="AC497" s="399">
        <f t="shared" si="201"/>
        <v>22</v>
      </c>
      <c r="AD497" s="399">
        <f t="shared" si="202"/>
        <v>0</v>
      </c>
      <c r="AE497" s="399">
        <f t="shared" si="203"/>
        <v>22</v>
      </c>
      <c r="AF497" s="399">
        <f t="shared" si="204"/>
        <v>21</v>
      </c>
      <c r="AG497" s="399">
        <f t="shared" si="205"/>
        <v>0</v>
      </c>
      <c r="AH497" s="399">
        <f t="shared" si="206"/>
        <v>21</v>
      </c>
      <c r="AI497" s="399">
        <f t="shared" si="207"/>
        <v>0</v>
      </c>
      <c r="AJ497" s="399">
        <f t="shared" si="208"/>
        <v>0</v>
      </c>
      <c r="AK497" s="399">
        <f t="shared" si="209"/>
        <v>0</v>
      </c>
      <c r="AL497" s="399">
        <f t="shared" si="210"/>
        <v>0</v>
      </c>
      <c r="AM497" s="399">
        <f t="shared" si="211"/>
        <v>0</v>
      </c>
      <c r="AN497" s="399">
        <f t="shared" si="212"/>
        <v>0</v>
      </c>
      <c r="AO497" s="399">
        <f t="shared" si="213"/>
        <v>0</v>
      </c>
      <c r="AP497" s="399">
        <f t="shared" si="214"/>
        <v>0</v>
      </c>
      <c r="AQ497" s="399">
        <f t="shared" si="215"/>
        <v>0</v>
      </c>
      <c r="AR497" s="399"/>
    </row>
    <row r="498" spans="2:44" ht="27.75" customHeight="1" x14ac:dyDescent="0.4">
      <c r="B498" s="376"/>
      <c r="C498" s="310"/>
      <c r="D498" s="376"/>
      <c r="E498" s="376"/>
      <c r="F498" s="376"/>
      <c r="G498" s="376">
        <v>27</v>
      </c>
      <c r="H498" s="376">
        <f t="shared" si="180"/>
        <v>22</v>
      </c>
      <c r="I498" s="376">
        <f t="shared" si="181"/>
        <v>0</v>
      </c>
      <c r="J498" s="376">
        <f t="shared" si="182"/>
        <v>22</v>
      </c>
      <c r="K498" s="376">
        <f t="shared" si="183"/>
        <v>0</v>
      </c>
      <c r="L498" s="376">
        <f t="shared" si="184"/>
        <v>0</v>
      </c>
      <c r="M498" s="376">
        <f t="shared" si="185"/>
        <v>0</v>
      </c>
      <c r="N498" s="376">
        <f t="shared" si="186"/>
        <v>17</v>
      </c>
      <c r="O498" s="399">
        <f t="shared" si="187"/>
        <v>0</v>
      </c>
      <c r="P498" s="399">
        <f t="shared" si="188"/>
        <v>17</v>
      </c>
      <c r="Q498" s="399">
        <f t="shared" si="189"/>
        <v>17</v>
      </c>
      <c r="R498" s="399">
        <f t="shared" si="190"/>
        <v>0</v>
      </c>
      <c r="S498" s="399">
        <f t="shared" si="191"/>
        <v>17</v>
      </c>
      <c r="T498" s="399">
        <f t="shared" si="192"/>
        <v>15</v>
      </c>
      <c r="U498" s="399">
        <f t="shared" si="193"/>
        <v>0</v>
      </c>
      <c r="V498" s="399">
        <f t="shared" si="194"/>
        <v>15</v>
      </c>
      <c r="W498" s="399">
        <f t="shared" si="195"/>
        <v>22</v>
      </c>
      <c r="X498" s="399">
        <f t="shared" si="196"/>
        <v>0</v>
      </c>
      <c r="Y498" s="399">
        <f t="shared" si="197"/>
        <v>22</v>
      </c>
      <c r="Z498" s="399">
        <f t="shared" si="198"/>
        <v>0</v>
      </c>
      <c r="AA498" s="399">
        <f t="shared" si="199"/>
        <v>0</v>
      </c>
      <c r="AB498" s="399">
        <f t="shared" si="200"/>
        <v>0</v>
      </c>
      <c r="AC498" s="399">
        <f t="shared" si="201"/>
        <v>0</v>
      </c>
      <c r="AD498" s="399">
        <f t="shared" si="202"/>
        <v>0</v>
      </c>
      <c r="AE498" s="399">
        <f t="shared" si="203"/>
        <v>0</v>
      </c>
      <c r="AF498" s="399">
        <f t="shared" si="204"/>
        <v>21</v>
      </c>
      <c r="AG498" s="399">
        <f t="shared" si="205"/>
        <v>0</v>
      </c>
      <c r="AH498" s="399">
        <f t="shared" si="206"/>
        <v>21</v>
      </c>
      <c r="AI498" s="399">
        <f t="shared" si="207"/>
        <v>0</v>
      </c>
      <c r="AJ498" s="399">
        <f t="shared" si="208"/>
        <v>0</v>
      </c>
      <c r="AK498" s="399">
        <f t="shared" si="209"/>
        <v>0</v>
      </c>
      <c r="AL498" s="399">
        <f t="shared" si="210"/>
        <v>0</v>
      </c>
      <c r="AM498" s="399">
        <f t="shared" si="211"/>
        <v>0</v>
      </c>
      <c r="AN498" s="399">
        <f t="shared" si="212"/>
        <v>0</v>
      </c>
      <c r="AO498" s="399">
        <f t="shared" si="213"/>
        <v>0</v>
      </c>
      <c r="AP498" s="399">
        <f t="shared" si="214"/>
        <v>0</v>
      </c>
      <c r="AQ498" s="399">
        <f t="shared" si="215"/>
        <v>0</v>
      </c>
      <c r="AR498" s="399"/>
    </row>
    <row r="499" spans="2:44" ht="27.75" customHeight="1" x14ac:dyDescent="0.4">
      <c r="B499" s="376"/>
      <c r="C499" s="310"/>
      <c r="D499" s="376"/>
      <c r="E499" s="376"/>
      <c r="F499" s="376"/>
      <c r="G499" s="376">
        <v>28</v>
      </c>
      <c r="H499" s="376">
        <f t="shared" si="180"/>
        <v>22</v>
      </c>
      <c r="I499" s="376">
        <f t="shared" si="181"/>
        <v>0</v>
      </c>
      <c r="J499" s="376">
        <f t="shared" si="182"/>
        <v>22</v>
      </c>
      <c r="K499" s="376">
        <f t="shared" si="183"/>
        <v>0</v>
      </c>
      <c r="L499" s="376">
        <f t="shared" si="184"/>
        <v>0</v>
      </c>
      <c r="M499" s="376">
        <f t="shared" si="185"/>
        <v>0</v>
      </c>
      <c r="N499" s="376">
        <f t="shared" si="186"/>
        <v>17</v>
      </c>
      <c r="O499" s="399">
        <f t="shared" si="187"/>
        <v>0</v>
      </c>
      <c r="P499" s="399">
        <f t="shared" si="188"/>
        <v>17</v>
      </c>
      <c r="Q499" s="399">
        <f t="shared" si="189"/>
        <v>17</v>
      </c>
      <c r="R499" s="399">
        <f t="shared" si="190"/>
        <v>0</v>
      </c>
      <c r="S499" s="399">
        <f t="shared" si="191"/>
        <v>17</v>
      </c>
      <c r="T499" s="399">
        <f t="shared" si="192"/>
        <v>0</v>
      </c>
      <c r="U499" s="399">
        <f t="shared" si="193"/>
        <v>0</v>
      </c>
      <c r="V499" s="399">
        <f t="shared" si="194"/>
        <v>0</v>
      </c>
      <c r="W499" s="399">
        <f t="shared" si="195"/>
        <v>22</v>
      </c>
      <c r="X499" s="399">
        <f t="shared" si="196"/>
        <v>0</v>
      </c>
      <c r="Y499" s="399">
        <f t="shared" si="197"/>
        <v>22</v>
      </c>
      <c r="Z499" s="399">
        <f t="shared" si="198"/>
        <v>0</v>
      </c>
      <c r="AA499" s="399">
        <f t="shared" si="199"/>
        <v>0</v>
      </c>
      <c r="AB499" s="399">
        <f t="shared" si="200"/>
        <v>0</v>
      </c>
      <c r="AC499" s="399">
        <f t="shared" si="201"/>
        <v>22</v>
      </c>
      <c r="AD499" s="399">
        <f t="shared" si="202"/>
        <v>0</v>
      </c>
      <c r="AE499" s="399">
        <f t="shared" si="203"/>
        <v>22</v>
      </c>
      <c r="AF499" s="399">
        <f t="shared" si="204"/>
        <v>21</v>
      </c>
      <c r="AG499" s="399">
        <f t="shared" si="205"/>
        <v>0</v>
      </c>
      <c r="AH499" s="399">
        <f t="shared" si="206"/>
        <v>21</v>
      </c>
      <c r="AI499" s="399">
        <f t="shared" si="207"/>
        <v>0</v>
      </c>
      <c r="AJ499" s="399">
        <f t="shared" si="208"/>
        <v>0</v>
      </c>
      <c r="AK499" s="399">
        <f t="shared" si="209"/>
        <v>0</v>
      </c>
      <c r="AL499" s="399">
        <f t="shared" si="210"/>
        <v>0</v>
      </c>
      <c r="AM499" s="399">
        <f t="shared" si="211"/>
        <v>0</v>
      </c>
      <c r="AN499" s="399">
        <f t="shared" si="212"/>
        <v>0</v>
      </c>
      <c r="AO499" s="399">
        <f t="shared" si="213"/>
        <v>0</v>
      </c>
      <c r="AP499" s="399">
        <f t="shared" si="214"/>
        <v>0</v>
      </c>
      <c r="AQ499" s="399">
        <f t="shared" si="215"/>
        <v>0</v>
      </c>
      <c r="AR499" s="399"/>
    </row>
    <row r="500" spans="2:44" ht="27.75" customHeight="1" x14ac:dyDescent="0.4">
      <c r="B500" s="376"/>
      <c r="C500" s="310"/>
      <c r="D500" s="376"/>
      <c r="E500" s="376"/>
      <c r="F500" s="376"/>
      <c r="G500" s="376">
        <v>29</v>
      </c>
      <c r="H500" s="376">
        <f t="shared" si="180"/>
        <v>22</v>
      </c>
      <c r="I500" s="376">
        <f t="shared" si="181"/>
        <v>0</v>
      </c>
      <c r="J500" s="376">
        <f t="shared" si="182"/>
        <v>22</v>
      </c>
      <c r="K500" s="376">
        <f t="shared" si="183"/>
        <v>0</v>
      </c>
      <c r="L500" s="376">
        <f t="shared" si="184"/>
        <v>0</v>
      </c>
      <c r="M500" s="376">
        <f t="shared" si="185"/>
        <v>0</v>
      </c>
      <c r="N500" s="376">
        <f t="shared" si="186"/>
        <v>17</v>
      </c>
      <c r="O500" s="399">
        <f t="shared" si="187"/>
        <v>0</v>
      </c>
      <c r="P500" s="399">
        <f t="shared" si="188"/>
        <v>17</v>
      </c>
      <c r="Q500" s="399">
        <f t="shared" si="189"/>
        <v>17</v>
      </c>
      <c r="R500" s="399">
        <f t="shared" si="190"/>
        <v>0</v>
      </c>
      <c r="S500" s="399">
        <f t="shared" si="191"/>
        <v>17</v>
      </c>
      <c r="T500" s="399">
        <f t="shared" si="192"/>
        <v>15</v>
      </c>
      <c r="U500" s="399">
        <f t="shared" si="193"/>
        <v>0</v>
      </c>
      <c r="V500" s="399">
        <f t="shared" si="194"/>
        <v>15</v>
      </c>
      <c r="W500" s="399">
        <f t="shared" si="195"/>
        <v>22</v>
      </c>
      <c r="X500" s="399">
        <f t="shared" si="196"/>
        <v>0</v>
      </c>
      <c r="Y500" s="399">
        <f t="shared" si="197"/>
        <v>22</v>
      </c>
      <c r="Z500" s="399">
        <f t="shared" si="198"/>
        <v>0</v>
      </c>
      <c r="AA500" s="399">
        <f t="shared" si="199"/>
        <v>0</v>
      </c>
      <c r="AB500" s="399">
        <f t="shared" si="200"/>
        <v>0</v>
      </c>
      <c r="AC500" s="399">
        <f t="shared" si="201"/>
        <v>22</v>
      </c>
      <c r="AD500" s="399">
        <f t="shared" si="202"/>
        <v>0</v>
      </c>
      <c r="AE500" s="399">
        <f t="shared" si="203"/>
        <v>22</v>
      </c>
      <c r="AF500" s="399">
        <f t="shared" si="204"/>
        <v>21</v>
      </c>
      <c r="AG500" s="399">
        <f t="shared" si="205"/>
        <v>0</v>
      </c>
      <c r="AH500" s="399">
        <f t="shared" si="206"/>
        <v>21</v>
      </c>
      <c r="AI500" s="399">
        <f t="shared" si="207"/>
        <v>0</v>
      </c>
      <c r="AJ500" s="399">
        <f t="shared" si="208"/>
        <v>0</v>
      </c>
      <c r="AK500" s="399">
        <f t="shared" si="209"/>
        <v>0</v>
      </c>
      <c r="AL500" s="399">
        <f t="shared" si="210"/>
        <v>0</v>
      </c>
      <c r="AM500" s="399">
        <f t="shared" si="211"/>
        <v>0</v>
      </c>
      <c r="AN500" s="399">
        <f t="shared" si="212"/>
        <v>0</v>
      </c>
      <c r="AO500" s="399">
        <f t="shared" si="213"/>
        <v>0</v>
      </c>
      <c r="AP500" s="399">
        <f t="shared" si="214"/>
        <v>0</v>
      </c>
      <c r="AQ500" s="399">
        <f t="shared" si="215"/>
        <v>0</v>
      </c>
      <c r="AR500" s="399"/>
    </row>
    <row r="501" spans="2:44" ht="27.75" customHeight="1" x14ac:dyDescent="0.4">
      <c r="B501" s="376"/>
      <c r="C501" s="310"/>
      <c r="D501" s="376"/>
      <c r="E501" s="376"/>
      <c r="F501" s="376"/>
      <c r="G501" s="376">
        <v>30</v>
      </c>
      <c r="H501" s="376">
        <f t="shared" si="180"/>
        <v>22</v>
      </c>
      <c r="I501" s="376">
        <f t="shared" si="181"/>
        <v>0</v>
      </c>
      <c r="J501" s="376">
        <f t="shared" si="182"/>
        <v>22</v>
      </c>
      <c r="K501" s="376">
        <f t="shared" si="183"/>
        <v>0</v>
      </c>
      <c r="L501" s="376">
        <f t="shared" si="184"/>
        <v>0</v>
      </c>
      <c r="M501" s="376">
        <f t="shared" si="185"/>
        <v>0</v>
      </c>
      <c r="N501" s="376">
        <f t="shared" si="186"/>
        <v>17</v>
      </c>
      <c r="O501" s="399">
        <f t="shared" si="187"/>
        <v>0</v>
      </c>
      <c r="P501" s="399">
        <f t="shared" si="188"/>
        <v>17</v>
      </c>
      <c r="Q501" s="399">
        <f t="shared" si="189"/>
        <v>17</v>
      </c>
      <c r="R501" s="399">
        <f t="shared" si="190"/>
        <v>0</v>
      </c>
      <c r="S501" s="399">
        <f t="shared" si="191"/>
        <v>17</v>
      </c>
      <c r="T501" s="399">
        <f t="shared" si="192"/>
        <v>15</v>
      </c>
      <c r="U501" s="399">
        <f t="shared" si="193"/>
        <v>0</v>
      </c>
      <c r="V501" s="399">
        <f t="shared" si="194"/>
        <v>15</v>
      </c>
      <c r="W501" s="399">
        <f t="shared" si="195"/>
        <v>22</v>
      </c>
      <c r="X501" s="399">
        <f t="shared" si="196"/>
        <v>0</v>
      </c>
      <c r="Y501" s="399">
        <f t="shared" si="197"/>
        <v>22</v>
      </c>
      <c r="Z501" s="399">
        <f t="shared" si="198"/>
        <v>0</v>
      </c>
      <c r="AA501" s="399">
        <f t="shared" si="199"/>
        <v>0</v>
      </c>
      <c r="AB501" s="399">
        <f t="shared" si="200"/>
        <v>0</v>
      </c>
      <c r="AC501" s="399">
        <f t="shared" si="201"/>
        <v>22</v>
      </c>
      <c r="AD501" s="399">
        <f t="shared" si="202"/>
        <v>0</v>
      </c>
      <c r="AE501" s="399">
        <f t="shared" si="203"/>
        <v>22</v>
      </c>
      <c r="AF501" s="399">
        <f t="shared" si="204"/>
        <v>21</v>
      </c>
      <c r="AG501" s="399">
        <f t="shared" si="205"/>
        <v>0</v>
      </c>
      <c r="AH501" s="399">
        <f t="shared" si="206"/>
        <v>21</v>
      </c>
      <c r="AI501" s="399">
        <f t="shared" si="207"/>
        <v>0</v>
      </c>
      <c r="AJ501" s="399">
        <f t="shared" si="208"/>
        <v>0</v>
      </c>
      <c r="AK501" s="399">
        <f t="shared" si="209"/>
        <v>0</v>
      </c>
      <c r="AL501" s="399"/>
      <c r="AM501" s="399"/>
      <c r="AN501" s="399">
        <f t="shared" si="212"/>
        <v>0</v>
      </c>
      <c r="AO501" s="399">
        <f t="shared" si="213"/>
        <v>0</v>
      </c>
      <c r="AP501" s="399">
        <f t="shared" si="214"/>
        <v>0</v>
      </c>
      <c r="AQ501" s="399">
        <f t="shared" si="215"/>
        <v>0</v>
      </c>
      <c r="AR501" s="399"/>
    </row>
    <row r="502" spans="2:44" ht="27.75" customHeight="1" x14ac:dyDescent="0.4">
      <c r="B502" s="376"/>
      <c r="C502" s="310"/>
      <c r="D502" s="376"/>
      <c r="E502" s="376"/>
      <c r="F502" s="376"/>
      <c r="G502" s="376">
        <v>31</v>
      </c>
      <c r="H502" s="376"/>
      <c r="I502" s="376"/>
      <c r="J502" s="376">
        <f t="shared" si="182"/>
        <v>0</v>
      </c>
      <c r="K502" s="376">
        <f t="shared" si="183"/>
        <v>0</v>
      </c>
      <c r="L502" s="376">
        <f t="shared" si="184"/>
        <v>0</v>
      </c>
      <c r="M502" s="376">
        <f t="shared" si="185"/>
        <v>0</v>
      </c>
      <c r="N502" s="376"/>
      <c r="O502" s="399"/>
      <c r="P502" s="399">
        <f t="shared" si="188"/>
        <v>0</v>
      </c>
      <c r="Q502" s="399">
        <f t="shared" si="189"/>
        <v>0</v>
      </c>
      <c r="R502" s="399">
        <f t="shared" si="190"/>
        <v>0</v>
      </c>
      <c r="S502" s="399">
        <f t="shared" si="191"/>
        <v>0</v>
      </c>
      <c r="T502" s="399">
        <f t="shared" si="192"/>
        <v>0</v>
      </c>
      <c r="U502" s="399">
        <f t="shared" si="193"/>
        <v>0</v>
      </c>
      <c r="V502" s="399">
        <f t="shared" si="194"/>
        <v>0</v>
      </c>
      <c r="W502" s="399"/>
      <c r="X502" s="399"/>
      <c r="Y502" s="399">
        <f t="shared" si="197"/>
        <v>0</v>
      </c>
      <c r="Z502" s="399">
        <f t="shared" si="198"/>
        <v>0</v>
      </c>
      <c r="AA502" s="399">
        <f t="shared" si="199"/>
        <v>0</v>
      </c>
      <c r="AB502" s="399">
        <f t="shared" si="200"/>
        <v>0</v>
      </c>
      <c r="AC502" s="399"/>
      <c r="AD502" s="399"/>
      <c r="AE502" s="399">
        <f t="shared" si="203"/>
        <v>0</v>
      </c>
      <c r="AF502" s="399">
        <f t="shared" si="204"/>
        <v>21</v>
      </c>
      <c r="AG502" s="399">
        <f t="shared" si="205"/>
        <v>0</v>
      </c>
      <c r="AH502" s="399">
        <f t="shared" si="206"/>
        <v>21</v>
      </c>
      <c r="AI502" s="399">
        <f t="shared" si="207"/>
        <v>0</v>
      </c>
      <c r="AJ502" s="399">
        <f t="shared" si="208"/>
        <v>0</v>
      </c>
      <c r="AK502" s="399">
        <f t="shared" si="209"/>
        <v>0</v>
      </c>
      <c r="AL502" s="399"/>
      <c r="AM502" s="399"/>
      <c r="AN502" s="399">
        <f t="shared" si="212"/>
        <v>0</v>
      </c>
      <c r="AO502" s="399">
        <f t="shared" si="213"/>
        <v>0</v>
      </c>
      <c r="AP502" s="399">
        <f t="shared" si="214"/>
        <v>0</v>
      </c>
      <c r="AQ502" s="399">
        <f t="shared" si="215"/>
        <v>0</v>
      </c>
      <c r="AR502" s="399"/>
    </row>
    <row r="503" spans="2:44" ht="27.75" customHeight="1" x14ac:dyDescent="0.4">
      <c r="B503" s="376"/>
      <c r="C503" s="310"/>
      <c r="D503" s="376"/>
      <c r="E503" s="376"/>
      <c r="F503" s="376"/>
      <c r="G503" s="376">
        <v>32</v>
      </c>
      <c r="H503" s="376">
        <f>E39</f>
        <v>506</v>
      </c>
      <c r="I503" s="376" t="str">
        <f>J39</f>
        <v/>
      </c>
      <c r="J503" s="376">
        <f t="shared" si="182"/>
        <v>506</v>
      </c>
      <c r="K503" s="376" t="str">
        <f t="shared" si="183"/>
        <v/>
      </c>
      <c r="L503" s="376" t="str">
        <f t="shared" si="184"/>
        <v/>
      </c>
      <c r="M503" s="376">
        <f t="shared" si="185"/>
        <v>0</v>
      </c>
      <c r="N503" s="376">
        <f>E102</f>
        <v>234</v>
      </c>
      <c r="O503" s="399" t="str">
        <f>J102</f>
        <v/>
      </c>
      <c r="P503" s="399">
        <f t="shared" si="188"/>
        <v>234</v>
      </c>
      <c r="Q503" s="399">
        <f t="shared" si="189"/>
        <v>442</v>
      </c>
      <c r="R503" s="399" t="str">
        <f t="shared" si="190"/>
        <v/>
      </c>
      <c r="S503" s="399">
        <f t="shared" si="191"/>
        <v>442</v>
      </c>
      <c r="T503" s="399">
        <f t="shared" si="192"/>
        <v>330</v>
      </c>
      <c r="U503" s="399" t="str">
        <f t="shared" si="193"/>
        <v/>
      </c>
      <c r="V503" s="399">
        <f t="shared" si="194"/>
        <v>330</v>
      </c>
      <c r="W503" s="399">
        <f>E197</f>
        <v>384</v>
      </c>
      <c r="X503" s="399" t="str">
        <f>J197</f>
        <v/>
      </c>
      <c r="Y503" s="399">
        <f t="shared" si="197"/>
        <v>384</v>
      </c>
      <c r="Z503" s="399">
        <f t="shared" si="198"/>
        <v>236</v>
      </c>
      <c r="AA503" s="399" t="str">
        <f t="shared" si="199"/>
        <v/>
      </c>
      <c r="AB503" s="399">
        <f t="shared" si="200"/>
        <v>236</v>
      </c>
      <c r="AC503" s="399">
        <f>E260</f>
        <v>418</v>
      </c>
      <c r="AD503" s="399" t="str">
        <f>J260</f>
        <v/>
      </c>
      <c r="AE503" s="399">
        <f t="shared" si="203"/>
        <v>418</v>
      </c>
      <c r="AF503" s="399">
        <f t="shared" si="204"/>
        <v>547</v>
      </c>
      <c r="AG503" s="399" t="str">
        <f t="shared" si="205"/>
        <v/>
      </c>
      <c r="AH503" s="399">
        <f t="shared" si="206"/>
        <v>547</v>
      </c>
      <c r="AI503" s="399" t="str">
        <f t="shared" si="207"/>
        <v/>
      </c>
      <c r="AJ503" s="399" t="str">
        <f t="shared" si="208"/>
        <v/>
      </c>
      <c r="AK503" s="399">
        <f t="shared" si="209"/>
        <v>0</v>
      </c>
      <c r="AL503" s="399" t="str">
        <f>E354</f>
        <v/>
      </c>
      <c r="AM503" s="399" t="str">
        <f>J354</f>
        <v/>
      </c>
      <c r="AN503" s="399">
        <f t="shared" si="212"/>
        <v>0</v>
      </c>
      <c r="AO503" s="399" t="str">
        <f t="shared" si="213"/>
        <v/>
      </c>
      <c r="AP503" s="399" t="str">
        <f t="shared" si="214"/>
        <v/>
      </c>
      <c r="AQ503" s="399">
        <f t="shared" si="215"/>
        <v>0</v>
      </c>
      <c r="AR503" s="399"/>
    </row>
    <row r="504" spans="2:44" ht="27.75" customHeight="1" x14ac:dyDescent="0.4">
      <c r="B504" s="376"/>
      <c r="C504" s="310"/>
      <c r="D504" s="376"/>
      <c r="E504" s="376"/>
      <c r="F504" s="376"/>
      <c r="G504" s="376"/>
      <c r="H504" s="376"/>
      <c r="I504" s="376"/>
      <c r="J504" s="376"/>
      <c r="K504" s="376"/>
      <c r="L504" s="376"/>
      <c r="M504" s="376"/>
      <c r="N504" s="376"/>
      <c r="O504" s="376"/>
      <c r="P504" s="376"/>
      <c r="Q504" s="376"/>
      <c r="R504" s="376"/>
      <c r="S504" s="376"/>
      <c r="T504" s="376"/>
      <c r="U504" s="376"/>
      <c r="V504" s="376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  <c r="AM504" s="399"/>
      <c r="AN504" s="399"/>
      <c r="AO504" s="399"/>
      <c r="AP504" s="399"/>
      <c r="AQ504" s="399"/>
      <c r="AR504" s="399"/>
    </row>
    <row r="505" spans="2:44" ht="27.75" customHeight="1" x14ac:dyDescent="0.4">
      <c r="B505" s="376"/>
      <c r="C505" s="310"/>
      <c r="D505" s="376"/>
      <c r="E505" s="376"/>
      <c r="F505" s="376"/>
      <c r="G505" s="376"/>
      <c r="H505" s="376"/>
      <c r="I505" s="376"/>
      <c r="J505" s="376"/>
      <c r="K505" s="376"/>
      <c r="L505" s="376"/>
      <c r="M505" s="376"/>
      <c r="N505" s="376"/>
      <c r="O505" s="376" t="s">
        <v>419</v>
      </c>
      <c r="P505" s="376"/>
      <c r="Q505" s="376"/>
      <c r="R505" s="376"/>
      <c r="S505" s="376"/>
      <c r="T505" s="376"/>
      <c r="U505" s="376"/>
      <c r="V505" s="376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  <c r="AM505" s="399"/>
      <c r="AN505" s="399"/>
      <c r="AO505" s="399"/>
      <c r="AP505" s="399"/>
      <c r="AQ505" s="399"/>
      <c r="AR505" s="399"/>
    </row>
    <row r="506" spans="2:44" ht="27.75" customHeight="1" x14ac:dyDescent="0.4">
      <c r="B506" s="376"/>
      <c r="C506" s="310"/>
      <c r="D506" s="376"/>
      <c r="E506" s="376"/>
      <c r="F506" s="376"/>
      <c r="G506" s="376"/>
      <c r="H506" s="376"/>
      <c r="I506" s="376"/>
      <c r="J506" s="376" t="s">
        <v>42</v>
      </c>
      <c r="K506" s="376"/>
      <c r="L506" s="376"/>
      <c r="M506" s="376" t="s">
        <v>44</v>
      </c>
      <c r="N506" s="376"/>
      <c r="O506" s="376"/>
      <c r="P506" s="376" t="s">
        <v>94</v>
      </c>
      <c r="Q506" s="376"/>
      <c r="R506" s="376"/>
      <c r="S506" s="376" t="s">
        <v>46</v>
      </c>
      <c r="T506" s="376"/>
      <c r="U506" s="376"/>
      <c r="V506" s="376" t="s">
        <v>34</v>
      </c>
      <c r="W506" s="399"/>
      <c r="X506" s="399"/>
      <c r="Y506" s="399" t="s">
        <v>37</v>
      </c>
      <c r="Z506" s="399"/>
      <c r="AA506" s="399"/>
      <c r="AB506" s="399" t="s">
        <v>47</v>
      </c>
      <c r="AC506" s="399"/>
      <c r="AD506" s="399"/>
      <c r="AE506" s="399" t="s">
        <v>38</v>
      </c>
      <c r="AF506" s="399"/>
      <c r="AG506" s="399"/>
      <c r="AH506" s="399" t="s">
        <v>39</v>
      </c>
      <c r="AI506" s="399"/>
      <c r="AJ506" s="399"/>
      <c r="AK506" s="399" t="s">
        <v>33</v>
      </c>
      <c r="AL506" s="399"/>
      <c r="AM506" s="399"/>
      <c r="AN506" s="399" t="s">
        <v>40</v>
      </c>
      <c r="AO506" s="399"/>
      <c r="AP506" s="399"/>
      <c r="AQ506" s="399" t="s">
        <v>41</v>
      </c>
      <c r="AR506" s="399"/>
    </row>
    <row r="507" spans="2:44" ht="27.75" customHeight="1" x14ac:dyDescent="0.4">
      <c r="B507" s="376"/>
      <c r="C507" s="310"/>
      <c r="D507" s="376"/>
      <c r="E507" s="376"/>
      <c r="F507" s="376"/>
      <c r="G507" s="376"/>
      <c r="H507" s="376">
        <v>1</v>
      </c>
      <c r="I507" s="376">
        <v>2</v>
      </c>
      <c r="J507" s="376"/>
      <c r="K507" s="376">
        <v>1</v>
      </c>
      <c r="L507" s="376">
        <v>2</v>
      </c>
      <c r="M507" s="376"/>
      <c r="N507" s="376">
        <v>1</v>
      </c>
      <c r="O507" s="376">
        <v>2</v>
      </c>
      <c r="P507" s="376"/>
      <c r="Q507" s="376">
        <v>1</v>
      </c>
      <c r="R507" s="376">
        <v>2</v>
      </c>
      <c r="S507" s="376"/>
      <c r="T507" s="376">
        <v>1</v>
      </c>
      <c r="U507" s="376">
        <v>2</v>
      </c>
      <c r="V507" s="376"/>
      <c r="W507" s="399">
        <v>1</v>
      </c>
      <c r="X507" s="399">
        <v>2</v>
      </c>
      <c r="Y507" s="399"/>
      <c r="Z507" s="399">
        <v>1</v>
      </c>
      <c r="AA507" s="399">
        <v>2</v>
      </c>
      <c r="AB507" s="399"/>
      <c r="AC507" s="399">
        <v>1</v>
      </c>
      <c r="AD507" s="399">
        <v>2</v>
      </c>
      <c r="AE507" s="399"/>
      <c r="AF507" s="399">
        <v>1</v>
      </c>
      <c r="AG507" s="399">
        <v>2</v>
      </c>
      <c r="AH507" s="399"/>
      <c r="AI507" s="399">
        <v>1</v>
      </c>
      <c r="AJ507" s="399">
        <v>2</v>
      </c>
      <c r="AK507" s="399"/>
      <c r="AL507" s="399">
        <v>1</v>
      </c>
      <c r="AM507" s="399">
        <v>2</v>
      </c>
      <c r="AN507" s="399"/>
      <c r="AO507" s="399">
        <v>1</v>
      </c>
      <c r="AP507" s="399">
        <v>2</v>
      </c>
      <c r="AQ507" s="399"/>
      <c r="AR507" s="399"/>
    </row>
    <row r="508" spans="2:44" ht="27.75" customHeight="1" x14ac:dyDescent="0.4">
      <c r="B508" s="376"/>
      <c r="C508" s="310"/>
      <c r="D508" s="376"/>
      <c r="E508" s="376"/>
      <c r="F508" s="376"/>
      <c r="G508" s="376">
        <v>1</v>
      </c>
      <c r="H508" s="376">
        <f>G9</f>
        <v>22</v>
      </c>
      <c r="I508" s="376">
        <f>L9</f>
        <v>0</v>
      </c>
      <c r="J508" s="376">
        <f>SUM(H508:I508)</f>
        <v>22</v>
      </c>
      <c r="K508" s="376">
        <f>G40</f>
        <v>0</v>
      </c>
      <c r="L508" s="376">
        <f>L40</f>
        <v>0</v>
      </c>
      <c r="M508" s="376">
        <f>SUM(K508:L508)</f>
        <v>0</v>
      </c>
      <c r="N508" s="376">
        <f>G72</f>
        <v>0</v>
      </c>
      <c r="O508" s="399">
        <f>L72</f>
        <v>0</v>
      </c>
      <c r="P508" s="399">
        <f>SUM(N508:O508)</f>
        <v>0</v>
      </c>
      <c r="Q508" s="399">
        <f>G103</f>
        <v>17</v>
      </c>
      <c r="R508" s="399">
        <f>L103</f>
        <v>0</v>
      </c>
      <c r="S508" s="399">
        <f>SUM(Q508:R508)</f>
        <v>17</v>
      </c>
      <c r="T508" s="399">
        <f>G135</f>
        <v>15</v>
      </c>
      <c r="U508" s="399">
        <f>L135</f>
        <v>0</v>
      </c>
      <c r="V508" s="399">
        <f>SUM(T508:U508)</f>
        <v>15</v>
      </c>
      <c r="W508" s="399">
        <f>G167</f>
        <v>15</v>
      </c>
      <c r="X508" s="399">
        <f>L167</f>
        <v>0</v>
      </c>
      <c r="Y508" s="399">
        <f>SUM(W508:X508)</f>
        <v>15</v>
      </c>
      <c r="Z508" s="399">
        <f>G198</f>
        <v>22</v>
      </c>
      <c r="AA508" s="399">
        <f>L198</f>
        <v>0</v>
      </c>
      <c r="AB508" s="399">
        <f>SUM(Z508:AA508)</f>
        <v>22</v>
      </c>
      <c r="AC508" s="399">
        <f>G230</f>
        <v>0</v>
      </c>
      <c r="AD508" s="399">
        <f>L230</f>
        <v>0</v>
      </c>
      <c r="AE508" s="399">
        <f>SUM(AC508:AD508)</f>
        <v>0</v>
      </c>
      <c r="AF508" s="399">
        <f>G261</f>
        <v>22</v>
      </c>
      <c r="AG508" s="399">
        <f>L261</f>
        <v>0</v>
      </c>
      <c r="AH508" s="399">
        <f>SUM(AF508:AG508)</f>
        <v>22</v>
      </c>
      <c r="AI508" s="399">
        <f>G293</f>
        <v>0</v>
      </c>
      <c r="AJ508" s="399">
        <f>L293</f>
        <v>0</v>
      </c>
      <c r="AK508" s="399">
        <f>SUM(AI508:AJ508)</f>
        <v>0</v>
      </c>
      <c r="AL508" s="399">
        <f>G325</f>
        <v>0</v>
      </c>
      <c r="AM508" s="399">
        <f>L325</f>
        <v>0</v>
      </c>
      <c r="AN508" s="399">
        <f>SUM(AL508:AM508)</f>
        <v>0</v>
      </c>
      <c r="AO508" s="399">
        <f>G355</f>
        <v>0</v>
      </c>
      <c r="AP508" s="399">
        <f>L355</f>
        <v>0</v>
      </c>
      <c r="AQ508" s="399">
        <f>SUM(AO508:AP508)</f>
        <v>0</v>
      </c>
      <c r="AR508" s="399"/>
    </row>
    <row r="509" spans="2:44" ht="27.75" customHeight="1" x14ac:dyDescent="0.4">
      <c r="B509" s="376"/>
      <c r="C509" s="310"/>
      <c r="D509" s="376"/>
      <c r="E509" s="376"/>
      <c r="F509" s="376"/>
      <c r="G509" s="376">
        <v>2</v>
      </c>
      <c r="H509" s="376">
        <f t="shared" ref="H509:H537" si="216">G10</f>
        <v>0</v>
      </c>
      <c r="I509" s="376">
        <f t="shared" ref="I509:I537" si="217">L10</f>
        <v>0</v>
      </c>
      <c r="J509" s="376">
        <f t="shared" ref="J509:J539" si="218">SUM(H509:I509)</f>
        <v>0</v>
      </c>
      <c r="K509" s="376">
        <f t="shared" ref="K509:K539" si="219">G41</f>
        <v>0</v>
      </c>
      <c r="L509" s="376">
        <f t="shared" ref="L509:L539" si="220">L41</f>
        <v>0</v>
      </c>
      <c r="M509" s="376">
        <f t="shared" ref="M509:M539" si="221">SUM(K509:L509)</f>
        <v>0</v>
      </c>
      <c r="N509" s="376">
        <f t="shared" ref="N509:N537" si="222">G73</f>
        <v>0</v>
      </c>
      <c r="O509" s="399">
        <f t="shared" ref="O509:O537" si="223">L73</f>
        <v>0</v>
      </c>
      <c r="P509" s="399">
        <f t="shared" ref="P509:P539" si="224">SUM(N509:O509)</f>
        <v>0</v>
      </c>
      <c r="Q509" s="399">
        <f t="shared" ref="Q509:Q539" si="225">G104</f>
        <v>17</v>
      </c>
      <c r="R509" s="399">
        <f t="shared" ref="R509:R539" si="226">L104</f>
        <v>0</v>
      </c>
      <c r="S509" s="399">
        <f t="shared" ref="S509:S539" si="227">SUM(Q509:R509)</f>
        <v>17</v>
      </c>
      <c r="T509" s="399">
        <f t="shared" ref="T509:T539" si="228">G136</f>
        <v>15</v>
      </c>
      <c r="U509" s="399">
        <f t="shared" ref="U509:U539" si="229">L136</f>
        <v>0</v>
      </c>
      <c r="V509" s="399">
        <f t="shared" ref="V509:V539" si="230">SUM(T509:U509)</f>
        <v>15</v>
      </c>
      <c r="W509" s="399">
        <f t="shared" ref="W509:W537" si="231">G168</f>
        <v>15</v>
      </c>
      <c r="X509" s="399">
        <f t="shared" ref="X509:X537" si="232">L168</f>
        <v>0</v>
      </c>
      <c r="Y509" s="399">
        <f t="shared" ref="Y509:Y539" si="233">SUM(W509:X509)</f>
        <v>15</v>
      </c>
      <c r="Z509" s="399">
        <f t="shared" ref="Z509:Z539" si="234">G199</f>
        <v>0</v>
      </c>
      <c r="AA509" s="399">
        <f t="shared" ref="AA509:AA539" si="235">L199</f>
        <v>0</v>
      </c>
      <c r="AB509" s="399">
        <f t="shared" ref="AB509:AB539" si="236">SUM(Z509:AA509)</f>
        <v>0</v>
      </c>
      <c r="AC509" s="399">
        <f t="shared" ref="AC509:AC537" si="237">G231</f>
        <v>0</v>
      </c>
      <c r="AD509" s="399">
        <f t="shared" ref="AD509:AD537" si="238">L231</f>
        <v>0</v>
      </c>
      <c r="AE509" s="399">
        <f t="shared" ref="AE509:AE539" si="239">SUM(AC509:AD509)</f>
        <v>0</v>
      </c>
      <c r="AF509" s="399">
        <f t="shared" ref="AF509:AF539" si="240">G262</f>
        <v>21</v>
      </c>
      <c r="AG509" s="399">
        <f t="shared" ref="AG509:AG539" si="241">L262</f>
        <v>0</v>
      </c>
      <c r="AH509" s="399">
        <f t="shared" ref="AH509:AH539" si="242">SUM(AF509:AG509)</f>
        <v>21</v>
      </c>
      <c r="AI509" s="399">
        <f t="shared" ref="AI509:AI539" si="243">G294</f>
        <v>0</v>
      </c>
      <c r="AJ509" s="399">
        <f t="shared" ref="AJ509:AJ539" si="244">L294</f>
        <v>0</v>
      </c>
      <c r="AK509" s="399">
        <f t="shared" ref="AK509:AK539" si="245">SUM(AI509:AJ509)</f>
        <v>0</v>
      </c>
      <c r="AL509" s="399">
        <f t="shared" ref="AL509:AL536" si="246">G326</f>
        <v>0</v>
      </c>
      <c r="AM509" s="399">
        <f t="shared" ref="AM509:AM536" si="247">L326</f>
        <v>0</v>
      </c>
      <c r="AN509" s="399">
        <f t="shared" ref="AN509:AN539" si="248">SUM(AL509:AM509)</f>
        <v>0</v>
      </c>
      <c r="AO509" s="399">
        <f t="shared" ref="AO509:AO539" si="249">G356</f>
        <v>0</v>
      </c>
      <c r="AP509" s="399">
        <f t="shared" ref="AP509:AP539" si="250">L356</f>
        <v>0</v>
      </c>
      <c r="AQ509" s="399">
        <f t="shared" ref="AQ509:AQ539" si="251">SUM(AO509:AP509)</f>
        <v>0</v>
      </c>
      <c r="AR509" s="399"/>
    </row>
    <row r="510" spans="2:44" ht="27.75" customHeight="1" x14ac:dyDescent="0.4">
      <c r="B510" s="376"/>
      <c r="C510" s="310"/>
      <c r="D510" s="376"/>
      <c r="E510" s="376"/>
      <c r="F510" s="376"/>
      <c r="G510" s="376">
        <v>3</v>
      </c>
      <c r="H510" s="376">
        <f t="shared" si="216"/>
        <v>0</v>
      </c>
      <c r="I510" s="376">
        <f t="shared" si="217"/>
        <v>0</v>
      </c>
      <c r="J510" s="376">
        <f t="shared" si="218"/>
        <v>0</v>
      </c>
      <c r="K510" s="376">
        <f t="shared" si="219"/>
        <v>0</v>
      </c>
      <c r="L510" s="376">
        <f t="shared" si="220"/>
        <v>0</v>
      </c>
      <c r="M510" s="376">
        <f t="shared" si="221"/>
        <v>0</v>
      </c>
      <c r="N510" s="376">
        <f t="shared" si="222"/>
        <v>0</v>
      </c>
      <c r="O510" s="399">
        <f t="shared" si="223"/>
        <v>0</v>
      </c>
      <c r="P510" s="399">
        <f t="shared" si="224"/>
        <v>0</v>
      </c>
      <c r="Q510" s="399">
        <f t="shared" si="225"/>
        <v>0</v>
      </c>
      <c r="R510" s="399">
        <f t="shared" si="226"/>
        <v>0</v>
      </c>
      <c r="S510" s="399">
        <f t="shared" si="227"/>
        <v>0</v>
      </c>
      <c r="T510" s="399">
        <f t="shared" si="228"/>
        <v>15</v>
      </c>
      <c r="U510" s="399">
        <f t="shared" si="229"/>
        <v>0</v>
      </c>
      <c r="V510" s="399">
        <f t="shared" si="230"/>
        <v>15</v>
      </c>
      <c r="W510" s="399">
        <f t="shared" si="231"/>
        <v>15</v>
      </c>
      <c r="X510" s="399">
        <f t="shared" si="232"/>
        <v>0</v>
      </c>
      <c r="Y510" s="399">
        <f t="shared" si="233"/>
        <v>15</v>
      </c>
      <c r="Z510" s="399">
        <f t="shared" si="234"/>
        <v>22</v>
      </c>
      <c r="AA510" s="399">
        <f t="shared" si="235"/>
        <v>0</v>
      </c>
      <c r="AB510" s="399">
        <f t="shared" si="236"/>
        <v>22</v>
      </c>
      <c r="AC510" s="399">
        <f t="shared" si="237"/>
        <v>0</v>
      </c>
      <c r="AD510" s="399">
        <f t="shared" si="238"/>
        <v>0</v>
      </c>
      <c r="AE510" s="399">
        <f t="shared" si="239"/>
        <v>0</v>
      </c>
      <c r="AF510" s="399">
        <f t="shared" si="240"/>
        <v>21</v>
      </c>
      <c r="AG510" s="399">
        <f t="shared" si="241"/>
        <v>0</v>
      </c>
      <c r="AH510" s="399">
        <f t="shared" si="242"/>
        <v>21</v>
      </c>
      <c r="AI510" s="399">
        <f t="shared" si="243"/>
        <v>0</v>
      </c>
      <c r="AJ510" s="399">
        <f t="shared" si="244"/>
        <v>0</v>
      </c>
      <c r="AK510" s="399">
        <f t="shared" si="245"/>
        <v>0</v>
      </c>
      <c r="AL510" s="399">
        <f t="shared" si="246"/>
        <v>0</v>
      </c>
      <c r="AM510" s="399">
        <f t="shared" si="247"/>
        <v>0</v>
      </c>
      <c r="AN510" s="399">
        <f t="shared" si="248"/>
        <v>0</v>
      </c>
      <c r="AO510" s="399">
        <f t="shared" si="249"/>
        <v>0</v>
      </c>
      <c r="AP510" s="399">
        <f t="shared" si="250"/>
        <v>0</v>
      </c>
      <c r="AQ510" s="399">
        <f t="shared" si="251"/>
        <v>0</v>
      </c>
      <c r="AR510" s="399"/>
    </row>
    <row r="511" spans="2:44" ht="27.75" customHeight="1" x14ac:dyDescent="0.4">
      <c r="B511" s="376"/>
      <c r="C511" s="310"/>
      <c r="D511" s="376"/>
      <c r="E511" s="376"/>
      <c r="F511" s="376"/>
      <c r="G511" s="376">
        <v>4</v>
      </c>
      <c r="H511" s="376">
        <f t="shared" si="216"/>
        <v>22</v>
      </c>
      <c r="I511" s="376">
        <f t="shared" si="217"/>
        <v>0</v>
      </c>
      <c r="J511" s="376">
        <f t="shared" si="218"/>
        <v>22</v>
      </c>
      <c r="K511" s="376">
        <f t="shared" si="219"/>
        <v>0</v>
      </c>
      <c r="L511" s="376">
        <f t="shared" si="220"/>
        <v>0</v>
      </c>
      <c r="M511" s="376">
        <f t="shared" si="221"/>
        <v>0</v>
      </c>
      <c r="N511" s="376">
        <f t="shared" si="222"/>
        <v>0</v>
      </c>
      <c r="O511" s="399">
        <f t="shared" si="223"/>
        <v>0</v>
      </c>
      <c r="P511" s="399">
        <f t="shared" si="224"/>
        <v>0</v>
      </c>
      <c r="Q511" s="399">
        <f t="shared" si="225"/>
        <v>17</v>
      </c>
      <c r="R511" s="399">
        <f t="shared" si="226"/>
        <v>0</v>
      </c>
      <c r="S511" s="399">
        <f t="shared" si="227"/>
        <v>17</v>
      </c>
      <c r="T511" s="399">
        <f t="shared" si="228"/>
        <v>15</v>
      </c>
      <c r="U511" s="399">
        <f t="shared" si="229"/>
        <v>0</v>
      </c>
      <c r="V511" s="399">
        <f t="shared" si="230"/>
        <v>15</v>
      </c>
      <c r="W511" s="399">
        <f t="shared" si="231"/>
        <v>0</v>
      </c>
      <c r="X511" s="399">
        <f t="shared" si="232"/>
        <v>0</v>
      </c>
      <c r="Y511" s="399">
        <f t="shared" si="233"/>
        <v>0</v>
      </c>
      <c r="Z511" s="399">
        <f t="shared" si="234"/>
        <v>0</v>
      </c>
      <c r="AA511" s="399">
        <f t="shared" si="235"/>
        <v>0</v>
      </c>
      <c r="AB511" s="399">
        <f t="shared" si="236"/>
        <v>0</v>
      </c>
      <c r="AC511" s="399">
        <f t="shared" si="237"/>
        <v>0</v>
      </c>
      <c r="AD511" s="399">
        <f t="shared" si="238"/>
        <v>0</v>
      </c>
      <c r="AE511" s="399">
        <f t="shared" si="239"/>
        <v>0</v>
      </c>
      <c r="AF511" s="399">
        <f t="shared" si="240"/>
        <v>0</v>
      </c>
      <c r="AG511" s="399">
        <f t="shared" si="241"/>
        <v>0</v>
      </c>
      <c r="AH511" s="399">
        <f t="shared" si="242"/>
        <v>0</v>
      </c>
      <c r="AI511" s="399">
        <f t="shared" si="243"/>
        <v>0</v>
      </c>
      <c r="AJ511" s="399">
        <f t="shared" si="244"/>
        <v>0</v>
      </c>
      <c r="AK511" s="399">
        <f t="shared" si="245"/>
        <v>0</v>
      </c>
      <c r="AL511" s="399">
        <f t="shared" si="246"/>
        <v>0</v>
      </c>
      <c r="AM511" s="399">
        <f t="shared" si="247"/>
        <v>0</v>
      </c>
      <c r="AN511" s="399">
        <f t="shared" si="248"/>
        <v>0</v>
      </c>
      <c r="AO511" s="399">
        <f t="shared" si="249"/>
        <v>0</v>
      </c>
      <c r="AP511" s="399">
        <f t="shared" si="250"/>
        <v>0</v>
      </c>
      <c r="AQ511" s="399">
        <f t="shared" si="251"/>
        <v>0</v>
      </c>
      <c r="AR511" s="399"/>
    </row>
    <row r="512" spans="2:44" ht="27.75" customHeight="1" x14ac:dyDescent="0.4">
      <c r="B512" s="376"/>
      <c r="C512" s="310"/>
      <c r="D512" s="376"/>
      <c r="E512" s="376"/>
      <c r="F512" s="376"/>
      <c r="G512" s="376">
        <v>5</v>
      </c>
      <c r="H512" s="376">
        <f t="shared" si="216"/>
        <v>22</v>
      </c>
      <c r="I512" s="376">
        <f t="shared" si="217"/>
        <v>0</v>
      </c>
      <c r="J512" s="376">
        <f t="shared" si="218"/>
        <v>22</v>
      </c>
      <c r="K512" s="376">
        <f t="shared" si="219"/>
        <v>0</v>
      </c>
      <c r="L512" s="376">
        <f t="shared" si="220"/>
        <v>0</v>
      </c>
      <c r="M512" s="376">
        <f t="shared" si="221"/>
        <v>0</v>
      </c>
      <c r="N512" s="376">
        <f t="shared" si="222"/>
        <v>0</v>
      </c>
      <c r="O512" s="399">
        <f t="shared" si="223"/>
        <v>0</v>
      </c>
      <c r="P512" s="399">
        <f t="shared" si="224"/>
        <v>0</v>
      </c>
      <c r="Q512" s="399">
        <f t="shared" si="225"/>
        <v>17</v>
      </c>
      <c r="R512" s="399">
        <f t="shared" si="226"/>
        <v>0</v>
      </c>
      <c r="S512" s="399">
        <f t="shared" si="227"/>
        <v>17</v>
      </c>
      <c r="T512" s="399">
        <f t="shared" si="228"/>
        <v>15</v>
      </c>
      <c r="U512" s="399">
        <f t="shared" si="229"/>
        <v>0</v>
      </c>
      <c r="V512" s="399">
        <f t="shared" si="230"/>
        <v>15</v>
      </c>
      <c r="W512" s="399">
        <f t="shared" si="231"/>
        <v>15</v>
      </c>
      <c r="X512" s="399">
        <f t="shared" si="232"/>
        <v>0</v>
      </c>
      <c r="Y512" s="399">
        <f t="shared" si="233"/>
        <v>15</v>
      </c>
      <c r="Z512" s="399">
        <f t="shared" si="234"/>
        <v>0</v>
      </c>
      <c r="AA512" s="399">
        <f t="shared" si="235"/>
        <v>0</v>
      </c>
      <c r="AB512" s="399">
        <f t="shared" si="236"/>
        <v>0</v>
      </c>
      <c r="AC512" s="399">
        <f t="shared" si="237"/>
        <v>0</v>
      </c>
      <c r="AD512" s="399">
        <f t="shared" si="238"/>
        <v>0</v>
      </c>
      <c r="AE512" s="399">
        <f t="shared" si="239"/>
        <v>0</v>
      </c>
      <c r="AF512" s="399">
        <f t="shared" si="240"/>
        <v>21</v>
      </c>
      <c r="AG512" s="399">
        <f t="shared" si="241"/>
        <v>0</v>
      </c>
      <c r="AH512" s="399">
        <f t="shared" si="242"/>
        <v>21</v>
      </c>
      <c r="AI512" s="399">
        <f t="shared" si="243"/>
        <v>0</v>
      </c>
      <c r="AJ512" s="399">
        <f t="shared" si="244"/>
        <v>0</v>
      </c>
      <c r="AK512" s="399">
        <f t="shared" si="245"/>
        <v>0</v>
      </c>
      <c r="AL512" s="399">
        <f t="shared" si="246"/>
        <v>0</v>
      </c>
      <c r="AM512" s="399">
        <f t="shared" si="247"/>
        <v>0</v>
      </c>
      <c r="AN512" s="399">
        <f t="shared" si="248"/>
        <v>0</v>
      </c>
      <c r="AO512" s="399">
        <f t="shared" si="249"/>
        <v>0</v>
      </c>
      <c r="AP512" s="399">
        <f t="shared" si="250"/>
        <v>0</v>
      </c>
      <c r="AQ512" s="399">
        <f t="shared" si="251"/>
        <v>0</v>
      </c>
      <c r="AR512" s="399"/>
    </row>
    <row r="513" spans="2:44" ht="27.75" customHeight="1" x14ac:dyDescent="0.4">
      <c r="B513" s="376"/>
      <c r="C513" s="310"/>
      <c r="D513" s="376"/>
      <c r="E513" s="376"/>
      <c r="F513" s="376"/>
      <c r="G513" s="376">
        <v>6</v>
      </c>
      <c r="H513" s="376">
        <f t="shared" si="216"/>
        <v>22</v>
      </c>
      <c r="I513" s="376">
        <f t="shared" si="217"/>
        <v>0</v>
      </c>
      <c r="J513" s="376">
        <f t="shared" si="218"/>
        <v>22</v>
      </c>
      <c r="K513" s="376">
        <f t="shared" si="219"/>
        <v>0</v>
      </c>
      <c r="L513" s="376">
        <f t="shared" si="220"/>
        <v>0</v>
      </c>
      <c r="M513" s="376">
        <f t="shared" si="221"/>
        <v>0</v>
      </c>
      <c r="N513" s="376">
        <f t="shared" si="222"/>
        <v>0</v>
      </c>
      <c r="O513" s="399">
        <f t="shared" si="223"/>
        <v>0</v>
      </c>
      <c r="P513" s="399">
        <f t="shared" si="224"/>
        <v>0</v>
      </c>
      <c r="Q513" s="399">
        <f t="shared" si="225"/>
        <v>17</v>
      </c>
      <c r="R513" s="399">
        <f t="shared" si="226"/>
        <v>0</v>
      </c>
      <c r="S513" s="399">
        <f t="shared" si="227"/>
        <v>17</v>
      </c>
      <c r="T513" s="399">
        <f t="shared" si="228"/>
        <v>15</v>
      </c>
      <c r="U513" s="399">
        <f t="shared" si="229"/>
        <v>0</v>
      </c>
      <c r="V513" s="399">
        <f t="shared" si="230"/>
        <v>15</v>
      </c>
      <c r="W513" s="399">
        <f t="shared" si="231"/>
        <v>15</v>
      </c>
      <c r="X513" s="399">
        <f t="shared" si="232"/>
        <v>0</v>
      </c>
      <c r="Y513" s="399">
        <f t="shared" si="233"/>
        <v>15</v>
      </c>
      <c r="Z513" s="399">
        <f t="shared" si="234"/>
        <v>16</v>
      </c>
      <c r="AA513" s="399">
        <f t="shared" si="235"/>
        <v>0</v>
      </c>
      <c r="AB513" s="399">
        <f t="shared" si="236"/>
        <v>16</v>
      </c>
      <c r="AC513" s="399">
        <f t="shared" si="237"/>
        <v>0</v>
      </c>
      <c r="AD513" s="399">
        <f t="shared" si="238"/>
        <v>0</v>
      </c>
      <c r="AE513" s="399">
        <f t="shared" si="239"/>
        <v>0</v>
      </c>
      <c r="AF513" s="399">
        <f t="shared" si="240"/>
        <v>0</v>
      </c>
      <c r="AG513" s="399">
        <f t="shared" si="241"/>
        <v>0</v>
      </c>
      <c r="AH513" s="399">
        <f t="shared" si="242"/>
        <v>0</v>
      </c>
      <c r="AI513" s="399">
        <f t="shared" si="243"/>
        <v>0</v>
      </c>
      <c r="AJ513" s="399">
        <f t="shared" si="244"/>
        <v>0</v>
      </c>
      <c r="AK513" s="399">
        <f t="shared" si="245"/>
        <v>0</v>
      </c>
      <c r="AL513" s="399">
        <f t="shared" si="246"/>
        <v>0</v>
      </c>
      <c r="AM513" s="399">
        <f t="shared" si="247"/>
        <v>0</v>
      </c>
      <c r="AN513" s="399">
        <f t="shared" si="248"/>
        <v>0</v>
      </c>
      <c r="AO513" s="399">
        <f t="shared" si="249"/>
        <v>0</v>
      </c>
      <c r="AP513" s="399">
        <f t="shared" si="250"/>
        <v>0</v>
      </c>
      <c r="AQ513" s="399">
        <f t="shared" si="251"/>
        <v>0</v>
      </c>
      <c r="AR513" s="399"/>
    </row>
    <row r="514" spans="2:44" ht="27.75" customHeight="1" x14ac:dyDescent="0.4">
      <c r="B514" s="376"/>
      <c r="C514" s="310"/>
      <c r="D514" s="376"/>
      <c r="E514" s="376"/>
      <c r="F514" s="376"/>
      <c r="G514" s="376">
        <v>7</v>
      </c>
      <c r="H514" s="376">
        <f t="shared" si="216"/>
        <v>22</v>
      </c>
      <c r="I514" s="376">
        <f t="shared" si="217"/>
        <v>0</v>
      </c>
      <c r="J514" s="376">
        <f t="shared" si="218"/>
        <v>22</v>
      </c>
      <c r="K514" s="376">
        <f t="shared" si="219"/>
        <v>0</v>
      </c>
      <c r="L514" s="376">
        <f t="shared" si="220"/>
        <v>0</v>
      </c>
      <c r="M514" s="376">
        <f t="shared" si="221"/>
        <v>0</v>
      </c>
      <c r="N514" s="376">
        <f t="shared" si="222"/>
        <v>0</v>
      </c>
      <c r="O514" s="399">
        <f t="shared" si="223"/>
        <v>0</v>
      </c>
      <c r="P514" s="399">
        <f t="shared" si="224"/>
        <v>0</v>
      </c>
      <c r="Q514" s="399">
        <f t="shared" si="225"/>
        <v>17</v>
      </c>
      <c r="R514" s="399">
        <f t="shared" si="226"/>
        <v>0</v>
      </c>
      <c r="S514" s="399">
        <f t="shared" si="227"/>
        <v>17</v>
      </c>
      <c r="T514" s="399">
        <f t="shared" si="228"/>
        <v>0</v>
      </c>
      <c r="U514" s="399">
        <f t="shared" si="229"/>
        <v>0</v>
      </c>
      <c r="V514" s="399">
        <f t="shared" si="230"/>
        <v>0</v>
      </c>
      <c r="W514" s="399">
        <f t="shared" si="231"/>
        <v>15</v>
      </c>
      <c r="X514" s="399">
        <f t="shared" si="232"/>
        <v>0</v>
      </c>
      <c r="Y514" s="399">
        <f t="shared" si="233"/>
        <v>15</v>
      </c>
      <c r="Z514" s="399">
        <f t="shared" si="234"/>
        <v>22</v>
      </c>
      <c r="AA514" s="399">
        <f t="shared" si="235"/>
        <v>0</v>
      </c>
      <c r="AB514" s="399">
        <f t="shared" si="236"/>
        <v>22</v>
      </c>
      <c r="AC514" s="399">
        <f t="shared" si="237"/>
        <v>0</v>
      </c>
      <c r="AD514" s="399">
        <f t="shared" si="238"/>
        <v>0</v>
      </c>
      <c r="AE514" s="399">
        <f t="shared" si="239"/>
        <v>0</v>
      </c>
      <c r="AF514" s="399">
        <f t="shared" si="240"/>
        <v>21</v>
      </c>
      <c r="AG514" s="399">
        <f t="shared" si="241"/>
        <v>0</v>
      </c>
      <c r="AH514" s="399">
        <f t="shared" si="242"/>
        <v>21</v>
      </c>
      <c r="AI514" s="399">
        <f t="shared" si="243"/>
        <v>0</v>
      </c>
      <c r="AJ514" s="399">
        <f t="shared" si="244"/>
        <v>0</v>
      </c>
      <c r="AK514" s="399">
        <f t="shared" si="245"/>
        <v>0</v>
      </c>
      <c r="AL514" s="399">
        <f t="shared" si="246"/>
        <v>0</v>
      </c>
      <c r="AM514" s="399">
        <f t="shared" si="247"/>
        <v>0</v>
      </c>
      <c r="AN514" s="399">
        <f t="shared" si="248"/>
        <v>0</v>
      </c>
      <c r="AO514" s="399">
        <f t="shared" si="249"/>
        <v>0</v>
      </c>
      <c r="AP514" s="399">
        <f t="shared" si="250"/>
        <v>0</v>
      </c>
      <c r="AQ514" s="399">
        <f t="shared" si="251"/>
        <v>0</v>
      </c>
      <c r="AR514" s="399"/>
    </row>
    <row r="515" spans="2:44" ht="27.75" customHeight="1" x14ac:dyDescent="0.4">
      <c r="B515" s="376"/>
      <c r="C515" s="310"/>
      <c r="D515" s="376"/>
      <c r="E515" s="376"/>
      <c r="F515" s="376"/>
      <c r="G515" s="376">
        <v>8</v>
      </c>
      <c r="H515" s="376">
        <f t="shared" si="216"/>
        <v>22</v>
      </c>
      <c r="I515" s="376">
        <f t="shared" si="217"/>
        <v>0</v>
      </c>
      <c r="J515" s="376">
        <f t="shared" si="218"/>
        <v>22</v>
      </c>
      <c r="K515" s="376">
        <f t="shared" si="219"/>
        <v>0</v>
      </c>
      <c r="L515" s="376">
        <f t="shared" si="220"/>
        <v>0</v>
      </c>
      <c r="M515" s="376">
        <f t="shared" si="221"/>
        <v>0</v>
      </c>
      <c r="N515" s="376">
        <f t="shared" si="222"/>
        <v>0</v>
      </c>
      <c r="O515" s="399">
        <f t="shared" si="223"/>
        <v>0</v>
      </c>
      <c r="P515" s="399">
        <f t="shared" si="224"/>
        <v>0</v>
      </c>
      <c r="Q515" s="399">
        <f t="shared" si="225"/>
        <v>17</v>
      </c>
      <c r="R515" s="399">
        <f t="shared" si="226"/>
        <v>0</v>
      </c>
      <c r="S515" s="399">
        <f t="shared" si="227"/>
        <v>17</v>
      </c>
      <c r="T515" s="399">
        <f t="shared" si="228"/>
        <v>15</v>
      </c>
      <c r="U515" s="399">
        <f t="shared" si="229"/>
        <v>0</v>
      </c>
      <c r="V515" s="399">
        <f t="shared" si="230"/>
        <v>15</v>
      </c>
      <c r="W515" s="399">
        <f t="shared" si="231"/>
        <v>15</v>
      </c>
      <c r="X515" s="399">
        <f t="shared" si="232"/>
        <v>0</v>
      </c>
      <c r="Y515" s="399">
        <f t="shared" si="233"/>
        <v>15</v>
      </c>
      <c r="Z515" s="399">
        <f t="shared" si="234"/>
        <v>22</v>
      </c>
      <c r="AA515" s="399">
        <f t="shared" si="235"/>
        <v>0</v>
      </c>
      <c r="AB515" s="399">
        <f t="shared" si="236"/>
        <v>22</v>
      </c>
      <c r="AC515" s="399">
        <f t="shared" si="237"/>
        <v>0</v>
      </c>
      <c r="AD515" s="399">
        <f t="shared" si="238"/>
        <v>0</v>
      </c>
      <c r="AE515" s="399">
        <f t="shared" si="239"/>
        <v>0</v>
      </c>
      <c r="AF515" s="399">
        <f t="shared" si="240"/>
        <v>21</v>
      </c>
      <c r="AG515" s="399">
        <f t="shared" si="241"/>
        <v>0</v>
      </c>
      <c r="AH515" s="399">
        <f t="shared" si="242"/>
        <v>21</v>
      </c>
      <c r="AI515" s="399">
        <f t="shared" si="243"/>
        <v>0</v>
      </c>
      <c r="AJ515" s="399">
        <f t="shared" si="244"/>
        <v>0</v>
      </c>
      <c r="AK515" s="399">
        <f t="shared" si="245"/>
        <v>0</v>
      </c>
      <c r="AL515" s="399">
        <f t="shared" si="246"/>
        <v>0</v>
      </c>
      <c r="AM515" s="399">
        <f t="shared" si="247"/>
        <v>0</v>
      </c>
      <c r="AN515" s="399">
        <f t="shared" si="248"/>
        <v>0</v>
      </c>
      <c r="AO515" s="399">
        <f t="shared" si="249"/>
        <v>0</v>
      </c>
      <c r="AP515" s="399">
        <f t="shared" si="250"/>
        <v>0</v>
      </c>
      <c r="AQ515" s="399">
        <f t="shared" si="251"/>
        <v>0</v>
      </c>
      <c r="AR515" s="399"/>
    </row>
    <row r="516" spans="2:44" ht="27.75" customHeight="1" x14ac:dyDescent="0.4">
      <c r="B516" s="376"/>
      <c r="C516" s="310"/>
      <c r="D516" s="376"/>
      <c r="E516" s="376"/>
      <c r="F516" s="376"/>
      <c r="G516" s="376">
        <v>9</v>
      </c>
      <c r="H516" s="376">
        <f t="shared" si="216"/>
        <v>22</v>
      </c>
      <c r="I516" s="376">
        <f t="shared" si="217"/>
        <v>0</v>
      </c>
      <c r="J516" s="376">
        <f t="shared" si="218"/>
        <v>22</v>
      </c>
      <c r="K516" s="376">
        <f t="shared" si="219"/>
        <v>0</v>
      </c>
      <c r="L516" s="376">
        <f t="shared" si="220"/>
        <v>0</v>
      </c>
      <c r="M516" s="376">
        <f t="shared" si="221"/>
        <v>0</v>
      </c>
      <c r="N516" s="376">
        <f t="shared" si="222"/>
        <v>0</v>
      </c>
      <c r="O516" s="399">
        <f t="shared" si="223"/>
        <v>0</v>
      </c>
      <c r="P516" s="399">
        <f t="shared" si="224"/>
        <v>0</v>
      </c>
      <c r="Q516" s="399">
        <f t="shared" si="225"/>
        <v>17</v>
      </c>
      <c r="R516" s="399">
        <f t="shared" si="226"/>
        <v>0</v>
      </c>
      <c r="S516" s="399">
        <f t="shared" si="227"/>
        <v>17</v>
      </c>
      <c r="T516" s="399">
        <f t="shared" si="228"/>
        <v>0</v>
      </c>
      <c r="U516" s="399">
        <f t="shared" si="229"/>
        <v>0</v>
      </c>
      <c r="V516" s="399">
        <f t="shared" si="230"/>
        <v>0</v>
      </c>
      <c r="W516" s="399">
        <f t="shared" si="231"/>
        <v>0</v>
      </c>
      <c r="X516" s="399">
        <f t="shared" si="232"/>
        <v>0</v>
      </c>
      <c r="Y516" s="399">
        <f t="shared" si="233"/>
        <v>0</v>
      </c>
      <c r="Z516" s="399">
        <f t="shared" si="234"/>
        <v>0</v>
      </c>
      <c r="AA516" s="399">
        <f t="shared" si="235"/>
        <v>0</v>
      </c>
      <c r="AB516" s="399">
        <f t="shared" si="236"/>
        <v>0</v>
      </c>
      <c r="AC516" s="399">
        <f t="shared" si="237"/>
        <v>22</v>
      </c>
      <c r="AD516" s="399">
        <f t="shared" si="238"/>
        <v>0</v>
      </c>
      <c r="AE516" s="399">
        <f t="shared" si="239"/>
        <v>22</v>
      </c>
      <c r="AF516" s="399">
        <f t="shared" si="240"/>
        <v>21</v>
      </c>
      <c r="AG516" s="399">
        <f t="shared" si="241"/>
        <v>0</v>
      </c>
      <c r="AH516" s="399">
        <f t="shared" si="242"/>
        <v>21</v>
      </c>
      <c r="AI516" s="399">
        <f t="shared" si="243"/>
        <v>0</v>
      </c>
      <c r="AJ516" s="399">
        <f t="shared" si="244"/>
        <v>0</v>
      </c>
      <c r="AK516" s="399">
        <f t="shared" si="245"/>
        <v>0</v>
      </c>
      <c r="AL516" s="399">
        <f t="shared" si="246"/>
        <v>0</v>
      </c>
      <c r="AM516" s="399">
        <f t="shared" si="247"/>
        <v>0</v>
      </c>
      <c r="AN516" s="399">
        <f t="shared" si="248"/>
        <v>0</v>
      </c>
      <c r="AO516" s="399">
        <f t="shared" si="249"/>
        <v>0</v>
      </c>
      <c r="AP516" s="399">
        <f t="shared" si="250"/>
        <v>0</v>
      </c>
      <c r="AQ516" s="399">
        <f t="shared" si="251"/>
        <v>0</v>
      </c>
      <c r="AR516" s="399"/>
    </row>
    <row r="517" spans="2:44" ht="27.75" customHeight="1" x14ac:dyDescent="0.4">
      <c r="B517" s="376"/>
      <c r="C517" s="310"/>
      <c r="D517" s="376"/>
      <c r="E517" s="376"/>
      <c r="F517" s="376"/>
      <c r="G517" s="376">
        <v>10</v>
      </c>
      <c r="H517" s="376">
        <f t="shared" si="216"/>
        <v>0</v>
      </c>
      <c r="I517" s="376">
        <f t="shared" si="217"/>
        <v>0</v>
      </c>
      <c r="J517" s="376">
        <f t="shared" si="218"/>
        <v>0</v>
      </c>
      <c r="K517" s="376">
        <f t="shared" si="219"/>
        <v>0</v>
      </c>
      <c r="L517" s="376">
        <f t="shared" si="220"/>
        <v>0</v>
      </c>
      <c r="M517" s="376">
        <f t="shared" si="221"/>
        <v>0</v>
      </c>
      <c r="N517" s="376">
        <f t="shared" si="222"/>
        <v>0</v>
      </c>
      <c r="O517" s="399">
        <f t="shared" si="223"/>
        <v>0</v>
      </c>
      <c r="P517" s="399">
        <f t="shared" si="224"/>
        <v>0</v>
      </c>
      <c r="Q517" s="399">
        <f t="shared" si="225"/>
        <v>0</v>
      </c>
      <c r="R517" s="399">
        <f t="shared" si="226"/>
        <v>0</v>
      </c>
      <c r="S517" s="399">
        <f t="shared" si="227"/>
        <v>0</v>
      </c>
      <c r="T517" s="399">
        <f t="shared" si="228"/>
        <v>15</v>
      </c>
      <c r="U517" s="399">
        <f t="shared" si="229"/>
        <v>0</v>
      </c>
      <c r="V517" s="399">
        <f t="shared" si="230"/>
        <v>15</v>
      </c>
      <c r="W517" s="399">
        <f t="shared" si="231"/>
        <v>15</v>
      </c>
      <c r="X517" s="399">
        <f t="shared" si="232"/>
        <v>0</v>
      </c>
      <c r="Y517" s="399">
        <f t="shared" si="233"/>
        <v>15</v>
      </c>
      <c r="Z517" s="399">
        <f t="shared" si="234"/>
        <v>22</v>
      </c>
      <c r="AA517" s="399">
        <f t="shared" si="235"/>
        <v>0</v>
      </c>
      <c r="AB517" s="399">
        <f t="shared" si="236"/>
        <v>22</v>
      </c>
      <c r="AC517" s="399">
        <f t="shared" si="237"/>
        <v>22</v>
      </c>
      <c r="AD517" s="399">
        <f t="shared" si="238"/>
        <v>0</v>
      </c>
      <c r="AE517" s="399">
        <f t="shared" si="239"/>
        <v>22</v>
      </c>
      <c r="AF517" s="399">
        <f t="shared" si="240"/>
        <v>21</v>
      </c>
      <c r="AG517" s="399">
        <f t="shared" si="241"/>
        <v>0</v>
      </c>
      <c r="AH517" s="399">
        <f t="shared" si="242"/>
        <v>21</v>
      </c>
      <c r="AI517" s="399">
        <f t="shared" si="243"/>
        <v>0</v>
      </c>
      <c r="AJ517" s="399">
        <f t="shared" si="244"/>
        <v>0</v>
      </c>
      <c r="AK517" s="399">
        <f t="shared" si="245"/>
        <v>0</v>
      </c>
      <c r="AL517" s="399">
        <f t="shared" si="246"/>
        <v>0</v>
      </c>
      <c r="AM517" s="399">
        <f t="shared" si="247"/>
        <v>0</v>
      </c>
      <c r="AN517" s="399">
        <f t="shared" si="248"/>
        <v>0</v>
      </c>
      <c r="AO517" s="399">
        <f t="shared" si="249"/>
        <v>0</v>
      </c>
      <c r="AP517" s="399">
        <f t="shared" si="250"/>
        <v>0</v>
      </c>
      <c r="AQ517" s="399">
        <f t="shared" si="251"/>
        <v>0</v>
      </c>
      <c r="AR517" s="399"/>
    </row>
    <row r="518" spans="2:44" ht="27.75" customHeight="1" x14ac:dyDescent="0.4">
      <c r="B518" s="376"/>
      <c r="C518" s="310"/>
      <c r="D518" s="376"/>
      <c r="E518" s="376"/>
      <c r="F518" s="376"/>
      <c r="G518" s="376">
        <v>11</v>
      </c>
      <c r="H518" s="376">
        <f t="shared" si="216"/>
        <v>22</v>
      </c>
      <c r="I518" s="376">
        <f t="shared" si="217"/>
        <v>0</v>
      </c>
      <c r="J518" s="376">
        <f t="shared" si="218"/>
        <v>22</v>
      </c>
      <c r="K518" s="376">
        <f t="shared" si="219"/>
        <v>0</v>
      </c>
      <c r="L518" s="376">
        <f t="shared" si="220"/>
        <v>0</v>
      </c>
      <c r="M518" s="376">
        <f t="shared" si="221"/>
        <v>0</v>
      </c>
      <c r="N518" s="376">
        <f t="shared" si="222"/>
        <v>0</v>
      </c>
      <c r="O518" s="399">
        <f t="shared" si="223"/>
        <v>0</v>
      </c>
      <c r="P518" s="399">
        <f t="shared" si="224"/>
        <v>0</v>
      </c>
      <c r="Q518" s="399">
        <f t="shared" si="225"/>
        <v>17</v>
      </c>
      <c r="R518" s="399">
        <f t="shared" si="226"/>
        <v>0</v>
      </c>
      <c r="S518" s="399">
        <f t="shared" si="227"/>
        <v>17</v>
      </c>
      <c r="T518" s="399">
        <f t="shared" si="228"/>
        <v>15</v>
      </c>
      <c r="U518" s="399">
        <f t="shared" si="229"/>
        <v>0</v>
      </c>
      <c r="V518" s="399">
        <f t="shared" si="230"/>
        <v>15</v>
      </c>
      <c r="W518" s="399">
        <f t="shared" si="231"/>
        <v>0</v>
      </c>
      <c r="X518" s="399">
        <f t="shared" si="232"/>
        <v>0</v>
      </c>
      <c r="Y518" s="399">
        <f t="shared" si="233"/>
        <v>0</v>
      </c>
      <c r="Z518" s="399">
        <f t="shared" si="234"/>
        <v>22</v>
      </c>
      <c r="AA518" s="399">
        <f t="shared" si="235"/>
        <v>0</v>
      </c>
      <c r="AB518" s="399">
        <f t="shared" si="236"/>
        <v>22</v>
      </c>
      <c r="AC518" s="399">
        <f t="shared" si="237"/>
        <v>22</v>
      </c>
      <c r="AD518" s="399">
        <f t="shared" si="238"/>
        <v>0</v>
      </c>
      <c r="AE518" s="399">
        <f t="shared" si="239"/>
        <v>22</v>
      </c>
      <c r="AF518" s="399">
        <f t="shared" si="240"/>
        <v>0</v>
      </c>
      <c r="AG518" s="399">
        <f t="shared" si="241"/>
        <v>0</v>
      </c>
      <c r="AH518" s="399">
        <f t="shared" si="242"/>
        <v>0</v>
      </c>
      <c r="AI518" s="399">
        <f t="shared" si="243"/>
        <v>0</v>
      </c>
      <c r="AJ518" s="399">
        <f t="shared" si="244"/>
        <v>0</v>
      </c>
      <c r="AK518" s="399">
        <f t="shared" si="245"/>
        <v>0</v>
      </c>
      <c r="AL518" s="399">
        <f t="shared" si="246"/>
        <v>0</v>
      </c>
      <c r="AM518" s="399">
        <f t="shared" si="247"/>
        <v>0</v>
      </c>
      <c r="AN518" s="399">
        <f t="shared" si="248"/>
        <v>0</v>
      </c>
      <c r="AO518" s="399">
        <f t="shared" si="249"/>
        <v>0</v>
      </c>
      <c r="AP518" s="399">
        <f t="shared" si="250"/>
        <v>0</v>
      </c>
      <c r="AQ518" s="399">
        <f t="shared" si="251"/>
        <v>0</v>
      </c>
      <c r="AR518" s="399"/>
    </row>
    <row r="519" spans="2:44" ht="27.75" customHeight="1" x14ac:dyDescent="0.4">
      <c r="B519" s="376"/>
      <c r="C519" s="310"/>
      <c r="D519" s="376"/>
      <c r="E519" s="376"/>
      <c r="F519" s="376"/>
      <c r="G519" s="376">
        <v>12</v>
      </c>
      <c r="H519" s="376">
        <f t="shared" si="216"/>
        <v>22</v>
      </c>
      <c r="I519" s="376">
        <f t="shared" si="217"/>
        <v>0</v>
      </c>
      <c r="J519" s="376">
        <f t="shared" si="218"/>
        <v>22</v>
      </c>
      <c r="K519" s="376">
        <f t="shared" si="219"/>
        <v>0</v>
      </c>
      <c r="L519" s="376">
        <f t="shared" si="220"/>
        <v>0</v>
      </c>
      <c r="M519" s="376">
        <f t="shared" si="221"/>
        <v>0</v>
      </c>
      <c r="N519" s="376">
        <f t="shared" si="222"/>
        <v>0</v>
      </c>
      <c r="O519" s="399">
        <f t="shared" si="223"/>
        <v>0</v>
      </c>
      <c r="P519" s="399">
        <f t="shared" si="224"/>
        <v>0</v>
      </c>
      <c r="Q519" s="399">
        <f t="shared" si="225"/>
        <v>17</v>
      </c>
      <c r="R519" s="399">
        <f t="shared" si="226"/>
        <v>0</v>
      </c>
      <c r="S519" s="399">
        <f t="shared" si="227"/>
        <v>17</v>
      </c>
      <c r="T519" s="399">
        <f t="shared" si="228"/>
        <v>15</v>
      </c>
      <c r="U519" s="399">
        <f t="shared" si="229"/>
        <v>0</v>
      </c>
      <c r="V519" s="399">
        <f t="shared" si="230"/>
        <v>15</v>
      </c>
      <c r="W519" s="399">
        <f t="shared" si="231"/>
        <v>16</v>
      </c>
      <c r="X519" s="399">
        <f t="shared" si="232"/>
        <v>0</v>
      </c>
      <c r="Y519" s="399">
        <f t="shared" si="233"/>
        <v>16</v>
      </c>
      <c r="Z519" s="399">
        <f t="shared" si="234"/>
        <v>22</v>
      </c>
      <c r="AA519" s="399">
        <f t="shared" si="235"/>
        <v>0</v>
      </c>
      <c r="AB519" s="399">
        <f t="shared" si="236"/>
        <v>22</v>
      </c>
      <c r="AC519" s="399">
        <f t="shared" si="237"/>
        <v>22</v>
      </c>
      <c r="AD519" s="399">
        <f t="shared" si="238"/>
        <v>0</v>
      </c>
      <c r="AE519" s="399">
        <f t="shared" si="239"/>
        <v>22</v>
      </c>
      <c r="AF519" s="399">
        <f t="shared" si="240"/>
        <v>21</v>
      </c>
      <c r="AG519" s="399">
        <f t="shared" si="241"/>
        <v>0</v>
      </c>
      <c r="AH519" s="399">
        <f t="shared" si="242"/>
        <v>21</v>
      </c>
      <c r="AI519" s="399">
        <f t="shared" si="243"/>
        <v>0</v>
      </c>
      <c r="AJ519" s="399">
        <f t="shared" si="244"/>
        <v>0</v>
      </c>
      <c r="AK519" s="399">
        <f t="shared" si="245"/>
        <v>0</v>
      </c>
      <c r="AL519" s="399">
        <f t="shared" si="246"/>
        <v>0</v>
      </c>
      <c r="AM519" s="399">
        <f t="shared" si="247"/>
        <v>0</v>
      </c>
      <c r="AN519" s="399">
        <f t="shared" si="248"/>
        <v>0</v>
      </c>
      <c r="AO519" s="399">
        <f t="shared" si="249"/>
        <v>0</v>
      </c>
      <c r="AP519" s="399">
        <f t="shared" si="250"/>
        <v>0</v>
      </c>
      <c r="AQ519" s="399">
        <f t="shared" si="251"/>
        <v>0</v>
      </c>
      <c r="AR519" s="399"/>
    </row>
    <row r="520" spans="2:44" ht="27.75" customHeight="1" x14ac:dyDescent="0.4">
      <c r="B520" s="376"/>
      <c r="C520" s="310"/>
      <c r="D520" s="376"/>
      <c r="E520" s="376"/>
      <c r="F520" s="376"/>
      <c r="G520" s="376">
        <v>13</v>
      </c>
      <c r="H520" s="376">
        <f t="shared" si="216"/>
        <v>22</v>
      </c>
      <c r="I520" s="376">
        <f t="shared" si="217"/>
        <v>0</v>
      </c>
      <c r="J520" s="376">
        <f t="shared" si="218"/>
        <v>22</v>
      </c>
      <c r="K520" s="376">
        <f t="shared" si="219"/>
        <v>0</v>
      </c>
      <c r="L520" s="376">
        <f t="shared" si="220"/>
        <v>0</v>
      </c>
      <c r="M520" s="376">
        <f t="shared" si="221"/>
        <v>0</v>
      </c>
      <c r="N520" s="376">
        <f t="shared" si="222"/>
        <v>0</v>
      </c>
      <c r="O520" s="399">
        <f t="shared" si="223"/>
        <v>0</v>
      </c>
      <c r="P520" s="399">
        <f t="shared" si="224"/>
        <v>0</v>
      </c>
      <c r="Q520" s="399">
        <f t="shared" si="225"/>
        <v>17</v>
      </c>
      <c r="R520" s="399">
        <f t="shared" si="226"/>
        <v>0</v>
      </c>
      <c r="S520" s="399">
        <f t="shared" si="227"/>
        <v>17</v>
      </c>
      <c r="T520" s="399">
        <f t="shared" si="228"/>
        <v>15</v>
      </c>
      <c r="U520" s="399">
        <f t="shared" si="229"/>
        <v>0</v>
      </c>
      <c r="V520" s="399">
        <f t="shared" si="230"/>
        <v>15</v>
      </c>
      <c r="W520" s="399">
        <f t="shared" si="231"/>
        <v>16</v>
      </c>
      <c r="X520" s="399">
        <f t="shared" si="232"/>
        <v>0</v>
      </c>
      <c r="Y520" s="399">
        <f t="shared" si="233"/>
        <v>16</v>
      </c>
      <c r="Z520" s="399">
        <f t="shared" si="234"/>
        <v>22</v>
      </c>
      <c r="AA520" s="399">
        <f t="shared" si="235"/>
        <v>0</v>
      </c>
      <c r="AB520" s="399">
        <f t="shared" si="236"/>
        <v>22</v>
      </c>
      <c r="AC520" s="399">
        <f t="shared" si="237"/>
        <v>0</v>
      </c>
      <c r="AD520" s="399">
        <f t="shared" si="238"/>
        <v>0</v>
      </c>
      <c r="AE520" s="399">
        <f t="shared" si="239"/>
        <v>0</v>
      </c>
      <c r="AF520" s="399">
        <f t="shared" si="240"/>
        <v>21</v>
      </c>
      <c r="AG520" s="399">
        <f t="shared" si="241"/>
        <v>0</v>
      </c>
      <c r="AH520" s="399">
        <f t="shared" si="242"/>
        <v>21</v>
      </c>
      <c r="AI520" s="399">
        <f t="shared" si="243"/>
        <v>0</v>
      </c>
      <c r="AJ520" s="399">
        <f t="shared" si="244"/>
        <v>0</v>
      </c>
      <c r="AK520" s="399">
        <f t="shared" si="245"/>
        <v>0</v>
      </c>
      <c r="AL520" s="399">
        <f t="shared" si="246"/>
        <v>0</v>
      </c>
      <c r="AM520" s="399">
        <f t="shared" si="247"/>
        <v>0</v>
      </c>
      <c r="AN520" s="399">
        <f t="shared" si="248"/>
        <v>0</v>
      </c>
      <c r="AO520" s="399">
        <f t="shared" si="249"/>
        <v>0</v>
      </c>
      <c r="AP520" s="399">
        <f t="shared" si="250"/>
        <v>0</v>
      </c>
      <c r="AQ520" s="399">
        <f t="shared" si="251"/>
        <v>0</v>
      </c>
      <c r="AR520" s="399"/>
    </row>
    <row r="521" spans="2:44" ht="27.75" customHeight="1" x14ac:dyDescent="0.4">
      <c r="B521" s="376"/>
      <c r="C521" s="310"/>
      <c r="D521" s="376"/>
      <c r="E521" s="376"/>
      <c r="F521" s="376"/>
      <c r="G521" s="376">
        <v>14</v>
      </c>
      <c r="H521" s="376">
        <f t="shared" si="216"/>
        <v>0</v>
      </c>
      <c r="I521" s="376">
        <f t="shared" si="217"/>
        <v>0</v>
      </c>
      <c r="J521" s="376">
        <f t="shared" si="218"/>
        <v>0</v>
      </c>
      <c r="K521" s="376">
        <f t="shared" si="219"/>
        <v>0</v>
      </c>
      <c r="L521" s="376">
        <f t="shared" si="220"/>
        <v>0</v>
      </c>
      <c r="M521" s="376">
        <f t="shared" si="221"/>
        <v>0</v>
      </c>
      <c r="N521" s="376">
        <f t="shared" si="222"/>
        <v>0</v>
      </c>
      <c r="O521" s="399">
        <f t="shared" si="223"/>
        <v>0</v>
      </c>
      <c r="P521" s="399">
        <f t="shared" si="224"/>
        <v>0</v>
      </c>
      <c r="Q521" s="399">
        <f t="shared" si="225"/>
        <v>17</v>
      </c>
      <c r="R521" s="399">
        <f t="shared" si="226"/>
        <v>0</v>
      </c>
      <c r="S521" s="399">
        <f t="shared" si="227"/>
        <v>17</v>
      </c>
      <c r="T521" s="399">
        <f t="shared" si="228"/>
        <v>0</v>
      </c>
      <c r="U521" s="399">
        <f t="shared" si="229"/>
        <v>0</v>
      </c>
      <c r="V521" s="399">
        <f t="shared" si="230"/>
        <v>0</v>
      </c>
      <c r="W521" s="399">
        <f t="shared" si="231"/>
        <v>16</v>
      </c>
      <c r="X521" s="399">
        <f t="shared" si="232"/>
        <v>0</v>
      </c>
      <c r="Y521" s="399">
        <f t="shared" si="233"/>
        <v>16</v>
      </c>
      <c r="Z521" s="399">
        <f t="shared" si="234"/>
        <v>22</v>
      </c>
      <c r="AA521" s="399">
        <f t="shared" si="235"/>
        <v>0</v>
      </c>
      <c r="AB521" s="399">
        <f t="shared" si="236"/>
        <v>22</v>
      </c>
      <c r="AC521" s="399">
        <f t="shared" si="237"/>
        <v>22</v>
      </c>
      <c r="AD521" s="399">
        <f t="shared" si="238"/>
        <v>0</v>
      </c>
      <c r="AE521" s="399">
        <f t="shared" si="239"/>
        <v>22</v>
      </c>
      <c r="AF521" s="399">
        <f t="shared" si="240"/>
        <v>21</v>
      </c>
      <c r="AG521" s="399">
        <f t="shared" si="241"/>
        <v>0</v>
      </c>
      <c r="AH521" s="399">
        <f t="shared" si="242"/>
        <v>21</v>
      </c>
      <c r="AI521" s="399">
        <f t="shared" si="243"/>
        <v>0</v>
      </c>
      <c r="AJ521" s="399">
        <f t="shared" si="244"/>
        <v>0</v>
      </c>
      <c r="AK521" s="399">
        <f t="shared" si="245"/>
        <v>0</v>
      </c>
      <c r="AL521" s="399">
        <f t="shared" si="246"/>
        <v>0</v>
      </c>
      <c r="AM521" s="399">
        <f t="shared" si="247"/>
        <v>0</v>
      </c>
      <c r="AN521" s="399">
        <f t="shared" si="248"/>
        <v>0</v>
      </c>
      <c r="AO521" s="399">
        <f t="shared" si="249"/>
        <v>0</v>
      </c>
      <c r="AP521" s="399">
        <f t="shared" si="250"/>
        <v>0</v>
      </c>
      <c r="AQ521" s="399">
        <f t="shared" si="251"/>
        <v>0</v>
      </c>
      <c r="AR521" s="399"/>
    </row>
    <row r="522" spans="2:44" ht="27.75" customHeight="1" x14ac:dyDescent="0.4">
      <c r="B522" s="376"/>
      <c r="C522" s="310"/>
      <c r="D522" s="376"/>
      <c r="E522" s="376"/>
      <c r="F522" s="376"/>
      <c r="G522" s="376">
        <v>15</v>
      </c>
      <c r="H522" s="376">
        <f t="shared" si="216"/>
        <v>0</v>
      </c>
      <c r="I522" s="376">
        <f t="shared" si="217"/>
        <v>0</v>
      </c>
      <c r="J522" s="376">
        <f t="shared" si="218"/>
        <v>0</v>
      </c>
      <c r="K522" s="376">
        <f t="shared" si="219"/>
        <v>0</v>
      </c>
      <c r="L522" s="376">
        <f t="shared" si="220"/>
        <v>0</v>
      </c>
      <c r="M522" s="376">
        <f t="shared" si="221"/>
        <v>0</v>
      </c>
      <c r="N522" s="376">
        <f t="shared" si="222"/>
        <v>16</v>
      </c>
      <c r="O522" s="399">
        <f t="shared" si="223"/>
        <v>0</v>
      </c>
      <c r="P522" s="399">
        <f t="shared" si="224"/>
        <v>16</v>
      </c>
      <c r="Q522" s="399">
        <f t="shared" si="225"/>
        <v>17</v>
      </c>
      <c r="R522" s="399">
        <f t="shared" si="226"/>
        <v>0</v>
      </c>
      <c r="S522" s="399">
        <f t="shared" si="227"/>
        <v>17</v>
      </c>
      <c r="T522" s="399">
        <f t="shared" si="228"/>
        <v>0</v>
      </c>
      <c r="U522" s="399">
        <f t="shared" si="229"/>
        <v>0</v>
      </c>
      <c r="V522" s="399">
        <f t="shared" si="230"/>
        <v>0</v>
      </c>
      <c r="W522" s="399">
        <f t="shared" si="231"/>
        <v>16</v>
      </c>
      <c r="X522" s="399">
        <f t="shared" si="232"/>
        <v>0</v>
      </c>
      <c r="Y522" s="399">
        <f t="shared" si="233"/>
        <v>16</v>
      </c>
      <c r="Z522" s="399">
        <f t="shared" si="234"/>
        <v>22</v>
      </c>
      <c r="AA522" s="399">
        <f t="shared" si="235"/>
        <v>0</v>
      </c>
      <c r="AB522" s="399">
        <f t="shared" si="236"/>
        <v>22</v>
      </c>
      <c r="AC522" s="399">
        <f t="shared" si="237"/>
        <v>22</v>
      </c>
      <c r="AD522" s="399">
        <f t="shared" si="238"/>
        <v>0</v>
      </c>
      <c r="AE522" s="399">
        <f t="shared" si="239"/>
        <v>22</v>
      </c>
      <c r="AF522" s="399">
        <f t="shared" si="240"/>
        <v>21</v>
      </c>
      <c r="AG522" s="399">
        <f t="shared" si="241"/>
        <v>0</v>
      </c>
      <c r="AH522" s="399">
        <f t="shared" si="242"/>
        <v>21</v>
      </c>
      <c r="AI522" s="399">
        <f t="shared" si="243"/>
        <v>0</v>
      </c>
      <c r="AJ522" s="399">
        <f t="shared" si="244"/>
        <v>0</v>
      </c>
      <c r="AK522" s="399">
        <f t="shared" si="245"/>
        <v>0</v>
      </c>
      <c r="AL522" s="399">
        <f t="shared" si="246"/>
        <v>0</v>
      </c>
      <c r="AM522" s="399">
        <f t="shared" si="247"/>
        <v>0</v>
      </c>
      <c r="AN522" s="399">
        <f t="shared" si="248"/>
        <v>0</v>
      </c>
      <c r="AO522" s="399">
        <f t="shared" si="249"/>
        <v>0</v>
      </c>
      <c r="AP522" s="399">
        <f t="shared" si="250"/>
        <v>0</v>
      </c>
      <c r="AQ522" s="399">
        <f t="shared" si="251"/>
        <v>0</v>
      </c>
      <c r="AR522" s="399"/>
    </row>
    <row r="523" spans="2:44" ht="27.75" customHeight="1" x14ac:dyDescent="0.4">
      <c r="B523" s="376"/>
      <c r="C523" s="310"/>
      <c r="D523" s="376"/>
      <c r="E523" s="376"/>
      <c r="F523" s="376"/>
      <c r="G523" s="376">
        <v>16</v>
      </c>
      <c r="H523" s="376">
        <f t="shared" si="216"/>
        <v>22</v>
      </c>
      <c r="I523" s="376">
        <f t="shared" si="217"/>
        <v>0</v>
      </c>
      <c r="J523" s="376">
        <f t="shared" si="218"/>
        <v>22</v>
      </c>
      <c r="K523" s="376">
        <f t="shared" si="219"/>
        <v>0</v>
      </c>
      <c r="L523" s="376">
        <f t="shared" si="220"/>
        <v>0</v>
      </c>
      <c r="M523" s="376">
        <f t="shared" si="221"/>
        <v>0</v>
      </c>
      <c r="N523" s="376">
        <f t="shared" si="222"/>
        <v>16</v>
      </c>
      <c r="O523" s="399">
        <f t="shared" si="223"/>
        <v>0</v>
      </c>
      <c r="P523" s="399">
        <f t="shared" si="224"/>
        <v>16</v>
      </c>
      <c r="Q523" s="399">
        <f t="shared" si="225"/>
        <v>17</v>
      </c>
      <c r="R523" s="399">
        <f t="shared" si="226"/>
        <v>0</v>
      </c>
      <c r="S523" s="399">
        <f t="shared" si="227"/>
        <v>17</v>
      </c>
      <c r="T523" s="399">
        <f t="shared" si="228"/>
        <v>0</v>
      </c>
      <c r="U523" s="399">
        <f t="shared" si="229"/>
        <v>0</v>
      </c>
      <c r="V523" s="399">
        <f t="shared" si="230"/>
        <v>0</v>
      </c>
      <c r="W523" s="399">
        <f t="shared" si="231"/>
        <v>16</v>
      </c>
      <c r="X523" s="399">
        <f t="shared" si="232"/>
        <v>0</v>
      </c>
      <c r="Y523" s="399">
        <f t="shared" si="233"/>
        <v>16</v>
      </c>
      <c r="Z523" s="399">
        <f t="shared" si="234"/>
        <v>0</v>
      </c>
      <c r="AA523" s="399">
        <f t="shared" si="235"/>
        <v>0</v>
      </c>
      <c r="AB523" s="399">
        <f t="shared" si="236"/>
        <v>0</v>
      </c>
      <c r="AC523" s="399">
        <f t="shared" si="237"/>
        <v>22</v>
      </c>
      <c r="AD523" s="399">
        <f t="shared" si="238"/>
        <v>0</v>
      </c>
      <c r="AE523" s="399">
        <f t="shared" si="239"/>
        <v>22</v>
      </c>
      <c r="AF523" s="399">
        <f t="shared" si="240"/>
        <v>21</v>
      </c>
      <c r="AG523" s="399">
        <f t="shared" si="241"/>
        <v>0</v>
      </c>
      <c r="AH523" s="399">
        <f t="shared" si="242"/>
        <v>21</v>
      </c>
      <c r="AI523" s="399">
        <f t="shared" si="243"/>
        <v>0</v>
      </c>
      <c r="AJ523" s="399">
        <f t="shared" si="244"/>
        <v>0</v>
      </c>
      <c r="AK523" s="399">
        <f t="shared" si="245"/>
        <v>0</v>
      </c>
      <c r="AL523" s="399">
        <f t="shared" si="246"/>
        <v>0</v>
      </c>
      <c r="AM523" s="399">
        <f t="shared" si="247"/>
        <v>0</v>
      </c>
      <c r="AN523" s="399">
        <f t="shared" si="248"/>
        <v>0</v>
      </c>
      <c r="AO523" s="399">
        <f t="shared" si="249"/>
        <v>0</v>
      </c>
      <c r="AP523" s="399">
        <f t="shared" si="250"/>
        <v>0</v>
      </c>
      <c r="AQ523" s="399">
        <f t="shared" si="251"/>
        <v>0</v>
      </c>
      <c r="AR523" s="399"/>
    </row>
    <row r="524" spans="2:44" ht="27.75" customHeight="1" x14ac:dyDescent="0.4">
      <c r="B524" s="376"/>
      <c r="C524" s="310"/>
      <c r="D524" s="376"/>
      <c r="E524" s="376"/>
      <c r="F524" s="376"/>
      <c r="G524" s="376">
        <v>17</v>
      </c>
      <c r="H524" s="376">
        <f t="shared" si="216"/>
        <v>0</v>
      </c>
      <c r="I524" s="376">
        <f t="shared" si="217"/>
        <v>0</v>
      </c>
      <c r="J524" s="376">
        <f t="shared" si="218"/>
        <v>0</v>
      </c>
      <c r="K524" s="376">
        <f t="shared" si="219"/>
        <v>0</v>
      </c>
      <c r="L524" s="376">
        <f t="shared" si="220"/>
        <v>0</v>
      </c>
      <c r="M524" s="376">
        <f t="shared" si="221"/>
        <v>0</v>
      </c>
      <c r="N524" s="376">
        <f t="shared" si="222"/>
        <v>16</v>
      </c>
      <c r="O524" s="399">
        <f t="shared" si="223"/>
        <v>0</v>
      </c>
      <c r="P524" s="399">
        <f t="shared" si="224"/>
        <v>16</v>
      </c>
      <c r="Q524" s="399">
        <f t="shared" si="225"/>
        <v>0</v>
      </c>
      <c r="R524" s="399">
        <f t="shared" si="226"/>
        <v>0</v>
      </c>
      <c r="S524" s="399">
        <f t="shared" si="227"/>
        <v>0</v>
      </c>
      <c r="T524" s="399">
        <f t="shared" si="228"/>
        <v>15</v>
      </c>
      <c r="U524" s="399">
        <f t="shared" si="229"/>
        <v>0</v>
      </c>
      <c r="V524" s="399">
        <f t="shared" si="230"/>
        <v>15</v>
      </c>
      <c r="W524" s="399">
        <f t="shared" si="231"/>
        <v>0</v>
      </c>
      <c r="X524" s="399">
        <f t="shared" si="232"/>
        <v>0</v>
      </c>
      <c r="Y524" s="399">
        <f t="shared" si="233"/>
        <v>0</v>
      </c>
      <c r="Z524" s="399">
        <f t="shared" si="234"/>
        <v>0</v>
      </c>
      <c r="AA524" s="399">
        <f t="shared" si="235"/>
        <v>0</v>
      </c>
      <c r="AB524" s="399">
        <f t="shared" si="236"/>
        <v>0</v>
      </c>
      <c r="AC524" s="399">
        <f t="shared" si="237"/>
        <v>22</v>
      </c>
      <c r="AD524" s="399">
        <f t="shared" si="238"/>
        <v>0</v>
      </c>
      <c r="AE524" s="399">
        <f t="shared" si="239"/>
        <v>22</v>
      </c>
      <c r="AF524" s="399">
        <f t="shared" si="240"/>
        <v>21</v>
      </c>
      <c r="AG524" s="399">
        <f t="shared" si="241"/>
        <v>0</v>
      </c>
      <c r="AH524" s="399">
        <f t="shared" si="242"/>
        <v>21</v>
      </c>
      <c r="AI524" s="399">
        <f t="shared" si="243"/>
        <v>0</v>
      </c>
      <c r="AJ524" s="399">
        <f t="shared" si="244"/>
        <v>0</v>
      </c>
      <c r="AK524" s="399">
        <f t="shared" si="245"/>
        <v>0</v>
      </c>
      <c r="AL524" s="399">
        <f t="shared" si="246"/>
        <v>0</v>
      </c>
      <c r="AM524" s="399">
        <f t="shared" si="247"/>
        <v>0</v>
      </c>
      <c r="AN524" s="399">
        <f t="shared" si="248"/>
        <v>0</v>
      </c>
      <c r="AO524" s="399">
        <f t="shared" si="249"/>
        <v>0</v>
      </c>
      <c r="AP524" s="399">
        <f t="shared" si="250"/>
        <v>0</v>
      </c>
      <c r="AQ524" s="399">
        <f t="shared" si="251"/>
        <v>0</v>
      </c>
      <c r="AR524" s="399"/>
    </row>
    <row r="525" spans="2:44" ht="27.75" customHeight="1" x14ac:dyDescent="0.4">
      <c r="B525" s="376"/>
      <c r="C525" s="310"/>
      <c r="D525" s="376"/>
      <c r="E525" s="376"/>
      <c r="F525" s="376"/>
      <c r="G525" s="376">
        <v>18</v>
      </c>
      <c r="H525" s="376">
        <f t="shared" si="216"/>
        <v>22</v>
      </c>
      <c r="I525" s="376">
        <f t="shared" si="217"/>
        <v>0</v>
      </c>
      <c r="J525" s="376">
        <f t="shared" si="218"/>
        <v>22</v>
      </c>
      <c r="K525" s="376">
        <f t="shared" si="219"/>
        <v>0</v>
      </c>
      <c r="L525" s="376">
        <f t="shared" si="220"/>
        <v>0</v>
      </c>
      <c r="M525" s="376">
        <f t="shared" si="221"/>
        <v>0</v>
      </c>
      <c r="N525" s="376">
        <f t="shared" si="222"/>
        <v>16</v>
      </c>
      <c r="O525" s="399">
        <f t="shared" si="223"/>
        <v>0</v>
      </c>
      <c r="P525" s="399">
        <f t="shared" si="224"/>
        <v>16</v>
      </c>
      <c r="Q525" s="399">
        <f t="shared" si="225"/>
        <v>17</v>
      </c>
      <c r="R525" s="399">
        <f t="shared" si="226"/>
        <v>0</v>
      </c>
      <c r="S525" s="399">
        <f t="shared" si="227"/>
        <v>17</v>
      </c>
      <c r="T525" s="399">
        <f t="shared" si="228"/>
        <v>15</v>
      </c>
      <c r="U525" s="399">
        <f t="shared" si="229"/>
        <v>0</v>
      </c>
      <c r="V525" s="399">
        <f t="shared" si="230"/>
        <v>15</v>
      </c>
      <c r="W525" s="399">
        <f t="shared" si="231"/>
        <v>0</v>
      </c>
      <c r="X525" s="399">
        <f t="shared" si="232"/>
        <v>0</v>
      </c>
      <c r="Y525" s="399">
        <f t="shared" si="233"/>
        <v>0</v>
      </c>
      <c r="Z525" s="399">
        <f t="shared" si="234"/>
        <v>0</v>
      </c>
      <c r="AA525" s="399">
        <f t="shared" si="235"/>
        <v>0</v>
      </c>
      <c r="AB525" s="399">
        <f t="shared" si="236"/>
        <v>0</v>
      </c>
      <c r="AC525" s="399">
        <f t="shared" si="237"/>
        <v>22</v>
      </c>
      <c r="AD525" s="399">
        <f t="shared" si="238"/>
        <v>0</v>
      </c>
      <c r="AE525" s="399">
        <f t="shared" si="239"/>
        <v>22</v>
      </c>
      <c r="AF525" s="399">
        <f t="shared" si="240"/>
        <v>0</v>
      </c>
      <c r="AG525" s="399">
        <f t="shared" si="241"/>
        <v>0</v>
      </c>
      <c r="AH525" s="399">
        <f t="shared" si="242"/>
        <v>0</v>
      </c>
      <c r="AI525" s="399">
        <f t="shared" si="243"/>
        <v>0</v>
      </c>
      <c r="AJ525" s="399">
        <f t="shared" si="244"/>
        <v>0</v>
      </c>
      <c r="AK525" s="399">
        <f t="shared" si="245"/>
        <v>0</v>
      </c>
      <c r="AL525" s="399">
        <f t="shared" si="246"/>
        <v>0</v>
      </c>
      <c r="AM525" s="399">
        <f t="shared" si="247"/>
        <v>0</v>
      </c>
      <c r="AN525" s="399">
        <f t="shared" si="248"/>
        <v>0</v>
      </c>
      <c r="AO525" s="399">
        <f t="shared" si="249"/>
        <v>0</v>
      </c>
      <c r="AP525" s="399">
        <f t="shared" si="250"/>
        <v>0</v>
      </c>
      <c r="AQ525" s="399">
        <f t="shared" si="251"/>
        <v>0</v>
      </c>
      <c r="AR525" s="399"/>
    </row>
    <row r="526" spans="2:44" ht="27.75" customHeight="1" x14ac:dyDescent="0.4">
      <c r="B526" s="376"/>
      <c r="C526" s="310"/>
      <c r="D526" s="376"/>
      <c r="E526" s="376"/>
      <c r="F526" s="376"/>
      <c r="G526" s="376">
        <v>19</v>
      </c>
      <c r="H526" s="376">
        <f t="shared" si="216"/>
        <v>22</v>
      </c>
      <c r="I526" s="376">
        <f t="shared" si="217"/>
        <v>0</v>
      </c>
      <c r="J526" s="376">
        <f t="shared" si="218"/>
        <v>22</v>
      </c>
      <c r="K526" s="376">
        <f t="shared" si="219"/>
        <v>0</v>
      </c>
      <c r="L526" s="376">
        <f t="shared" si="220"/>
        <v>0</v>
      </c>
      <c r="M526" s="376">
        <f t="shared" si="221"/>
        <v>0</v>
      </c>
      <c r="N526" s="376">
        <f t="shared" si="222"/>
        <v>0</v>
      </c>
      <c r="O526" s="399">
        <f t="shared" si="223"/>
        <v>0</v>
      </c>
      <c r="P526" s="399">
        <f t="shared" si="224"/>
        <v>0</v>
      </c>
      <c r="Q526" s="399">
        <f t="shared" si="225"/>
        <v>17</v>
      </c>
      <c r="R526" s="399">
        <f t="shared" si="226"/>
        <v>0</v>
      </c>
      <c r="S526" s="399">
        <f t="shared" si="227"/>
        <v>17</v>
      </c>
      <c r="T526" s="399">
        <f t="shared" si="228"/>
        <v>15</v>
      </c>
      <c r="U526" s="399">
        <f t="shared" si="229"/>
        <v>0</v>
      </c>
      <c r="V526" s="399">
        <f t="shared" si="230"/>
        <v>15</v>
      </c>
      <c r="W526" s="399">
        <f t="shared" si="231"/>
        <v>16</v>
      </c>
      <c r="X526" s="399">
        <f t="shared" si="232"/>
        <v>0</v>
      </c>
      <c r="Y526" s="399">
        <f t="shared" si="233"/>
        <v>16</v>
      </c>
      <c r="Z526" s="399">
        <f t="shared" si="234"/>
        <v>0</v>
      </c>
      <c r="AA526" s="399">
        <f t="shared" si="235"/>
        <v>0</v>
      </c>
      <c r="AB526" s="399">
        <f t="shared" si="236"/>
        <v>0</v>
      </c>
      <c r="AC526" s="399">
        <f t="shared" si="237"/>
        <v>22</v>
      </c>
      <c r="AD526" s="399">
        <f t="shared" si="238"/>
        <v>0</v>
      </c>
      <c r="AE526" s="399">
        <f t="shared" si="239"/>
        <v>22</v>
      </c>
      <c r="AF526" s="399">
        <f t="shared" si="240"/>
        <v>21</v>
      </c>
      <c r="AG526" s="399">
        <f t="shared" si="241"/>
        <v>0</v>
      </c>
      <c r="AH526" s="399">
        <f t="shared" si="242"/>
        <v>21</v>
      </c>
      <c r="AI526" s="399">
        <f t="shared" si="243"/>
        <v>0</v>
      </c>
      <c r="AJ526" s="399">
        <f t="shared" si="244"/>
        <v>0</v>
      </c>
      <c r="AK526" s="399">
        <f t="shared" si="245"/>
        <v>0</v>
      </c>
      <c r="AL526" s="399">
        <f t="shared" si="246"/>
        <v>0</v>
      </c>
      <c r="AM526" s="399">
        <f t="shared" si="247"/>
        <v>0</v>
      </c>
      <c r="AN526" s="399">
        <f t="shared" si="248"/>
        <v>0</v>
      </c>
      <c r="AO526" s="399">
        <f t="shared" si="249"/>
        <v>0</v>
      </c>
      <c r="AP526" s="399">
        <f t="shared" si="250"/>
        <v>0</v>
      </c>
      <c r="AQ526" s="399">
        <f t="shared" si="251"/>
        <v>0</v>
      </c>
      <c r="AR526" s="399"/>
    </row>
    <row r="527" spans="2:44" ht="27.75" customHeight="1" x14ac:dyDescent="0.4">
      <c r="B527" s="376"/>
      <c r="C527" s="310"/>
      <c r="D527" s="376"/>
      <c r="E527" s="376"/>
      <c r="F527" s="376"/>
      <c r="G527" s="376">
        <v>20</v>
      </c>
      <c r="H527" s="376">
        <f t="shared" si="216"/>
        <v>22</v>
      </c>
      <c r="I527" s="376">
        <f t="shared" si="217"/>
        <v>0</v>
      </c>
      <c r="J527" s="376">
        <f t="shared" si="218"/>
        <v>22</v>
      </c>
      <c r="K527" s="376">
        <f t="shared" si="219"/>
        <v>0</v>
      </c>
      <c r="L527" s="376">
        <f t="shared" si="220"/>
        <v>0</v>
      </c>
      <c r="M527" s="376">
        <f t="shared" si="221"/>
        <v>0</v>
      </c>
      <c r="N527" s="376">
        <f t="shared" si="222"/>
        <v>17</v>
      </c>
      <c r="O527" s="399">
        <f t="shared" si="223"/>
        <v>0</v>
      </c>
      <c r="P527" s="399">
        <f t="shared" si="224"/>
        <v>17</v>
      </c>
      <c r="Q527" s="399">
        <f t="shared" si="225"/>
        <v>17</v>
      </c>
      <c r="R527" s="399">
        <f t="shared" si="226"/>
        <v>0</v>
      </c>
      <c r="S527" s="399">
        <f t="shared" si="227"/>
        <v>17</v>
      </c>
      <c r="T527" s="399">
        <f t="shared" si="228"/>
        <v>15</v>
      </c>
      <c r="U527" s="399">
        <f t="shared" si="229"/>
        <v>0</v>
      </c>
      <c r="V527" s="399">
        <f t="shared" si="230"/>
        <v>15</v>
      </c>
      <c r="W527" s="399">
        <f t="shared" si="231"/>
        <v>16</v>
      </c>
      <c r="X527" s="399">
        <f t="shared" si="232"/>
        <v>0</v>
      </c>
      <c r="Y527" s="399">
        <f t="shared" si="233"/>
        <v>16</v>
      </c>
      <c r="Z527" s="399">
        <f t="shared" si="234"/>
        <v>0</v>
      </c>
      <c r="AA527" s="399">
        <f t="shared" si="235"/>
        <v>0</v>
      </c>
      <c r="AB527" s="399">
        <f t="shared" si="236"/>
        <v>0</v>
      </c>
      <c r="AC527" s="399">
        <f t="shared" si="237"/>
        <v>0</v>
      </c>
      <c r="AD527" s="399">
        <f t="shared" si="238"/>
        <v>0</v>
      </c>
      <c r="AE527" s="399">
        <f t="shared" si="239"/>
        <v>0</v>
      </c>
      <c r="AF527" s="399">
        <f t="shared" si="240"/>
        <v>21</v>
      </c>
      <c r="AG527" s="399">
        <f t="shared" si="241"/>
        <v>0</v>
      </c>
      <c r="AH527" s="399">
        <f t="shared" si="242"/>
        <v>21</v>
      </c>
      <c r="AI527" s="399">
        <f t="shared" si="243"/>
        <v>0</v>
      </c>
      <c r="AJ527" s="399">
        <f t="shared" si="244"/>
        <v>0</v>
      </c>
      <c r="AK527" s="399">
        <f t="shared" si="245"/>
        <v>0</v>
      </c>
      <c r="AL527" s="399">
        <f t="shared" si="246"/>
        <v>0</v>
      </c>
      <c r="AM527" s="399">
        <f t="shared" si="247"/>
        <v>0</v>
      </c>
      <c r="AN527" s="399">
        <f t="shared" si="248"/>
        <v>0</v>
      </c>
      <c r="AO527" s="399">
        <f t="shared" si="249"/>
        <v>0</v>
      </c>
      <c r="AP527" s="399">
        <f t="shared" si="250"/>
        <v>0</v>
      </c>
      <c r="AQ527" s="399">
        <f t="shared" si="251"/>
        <v>0</v>
      </c>
      <c r="AR527" s="399"/>
    </row>
    <row r="528" spans="2:44" ht="27.75" customHeight="1" x14ac:dyDescent="0.4">
      <c r="B528" s="376"/>
      <c r="C528" s="310"/>
      <c r="D528" s="376"/>
      <c r="E528" s="376"/>
      <c r="F528" s="376"/>
      <c r="G528" s="376">
        <v>21</v>
      </c>
      <c r="H528" s="376">
        <f t="shared" si="216"/>
        <v>22</v>
      </c>
      <c r="I528" s="376">
        <f t="shared" si="217"/>
        <v>0</v>
      </c>
      <c r="J528" s="376">
        <f t="shared" si="218"/>
        <v>22</v>
      </c>
      <c r="K528" s="376">
        <f t="shared" si="219"/>
        <v>0</v>
      </c>
      <c r="L528" s="376">
        <f t="shared" si="220"/>
        <v>0</v>
      </c>
      <c r="M528" s="376">
        <f t="shared" si="221"/>
        <v>0</v>
      </c>
      <c r="N528" s="376">
        <f t="shared" si="222"/>
        <v>17</v>
      </c>
      <c r="O528" s="399">
        <f t="shared" si="223"/>
        <v>0</v>
      </c>
      <c r="P528" s="399">
        <f t="shared" si="224"/>
        <v>17</v>
      </c>
      <c r="Q528" s="399">
        <f t="shared" si="225"/>
        <v>17</v>
      </c>
      <c r="R528" s="399">
        <f t="shared" si="226"/>
        <v>0</v>
      </c>
      <c r="S528" s="399">
        <f t="shared" si="227"/>
        <v>17</v>
      </c>
      <c r="T528" s="399">
        <f t="shared" si="228"/>
        <v>0</v>
      </c>
      <c r="U528" s="399">
        <f t="shared" si="229"/>
        <v>0</v>
      </c>
      <c r="V528" s="399">
        <f t="shared" si="230"/>
        <v>0</v>
      </c>
      <c r="W528" s="399">
        <f t="shared" si="231"/>
        <v>16</v>
      </c>
      <c r="X528" s="399">
        <f t="shared" si="232"/>
        <v>0</v>
      </c>
      <c r="Y528" s="399">
        <f t="shared" si="233"/>
        <v>16</v>
      </c>
      <c r="Z528" s="399">
        <f t="shared" si="234"/>
        <v>0</v>
      </c>
      <c r="AA528" s="399">
        <f t="shared" si="235"/>
        <v>0</v>
      </c>
      <c r="AB528" s="399">
        <f t="shared" si="236"/>
        <v>0</v>
      </c>
      <c r="AC528" s="399">
        <f t="shared" si="237"/>
        <v>22</v>
      </c>
      <c r="AD528" s="399">
        <f t="shared" si="238"/>
        <v>0</v>
      </c>
      <c r="AE528" s="399">
        <f t="shared" si="239"/>
        <v>22</v>
      </c>
      <c r="AF528" s="399">
        <f t="shared" si="240"/>
        <v>21</v>
      </c>
      <c r="AG528" s="399">
        <f t="shared" si="241"/>
        <v>0</v>
      </c>
      <c r="AH528" s="399">
        <f t="shared" si="242"/>
        <v>21</v>
      </c>
      <c r="AI528" s="399">
        <f t="shared" si="243"/>
        <v>0</v>
      </c>
      <c r="AJ528" s="399">
        <f t="shared" si="244"/>
        <v>0</v>
      </c>
      <c r="AK528" s="399">
        <f t="shared" si="245"/>
        <v>0</v>
      </c>
      <c r="AL528" s="399">
        <f t="shared" si="246"/>
        <v>0</v>
      </c>
      <c r="AM528" s="399">
        <f t="shared" si="247"/>
        <v>0</v>
      </c>
      <c r="AN528" s="399">
        <f t="shared" si="248"/>
        <v>0</v>
      </c>
      <c r="AO528" s="399">
        <f t="shared" si="249"/>
        <v>0</v>
      </c>
      <c r="AP528" s="399">
        <f t="shared" si="250"/>
        <v>0</v>
      </c>
      <c r="AQ528" s="399">
        <f t="shared" si="251"/>
        <v>0</v>
      </c>
      <c r="AR528" s="399"/>
    </row>
    <row r="529" spans="2:44" ht="27.75" customHeight="1" x14ac:dyDescent="0.4">
      <c r="B529" s="376"/>
      <c r="C529" s="310"/>
      <c r="D529" s="376"/>
      <c r="E529" s="376"/>
      <c r="F529" s="376"/>
      <c r="G529" s="376">
        <v>22</v>
      </c>
      <c r="H529" s="376">
        <f t="shared" si="216"/>
        <v>22</v>
      </c>
      <c r="I529" s="376">
        <f t="shared" si="217"/>
        <v>0</v>
      </c>
      <c r="J529" s="376">
        <f t="shared" si="218"/>
        <v>22</v>
      </c>
      <c r="K529" s="376">
        <f t="shared" si="219"/>
        <v>0</v>
      </c>
      <c r="L529" s="376">
        <f t="shared" si="220"/>
        <v>0</v>
      </c>
      <c r="M529" s="376">
        <f t="shared" si="221"/>
        <v>0</v>
      </c>
      <c r="N529" s="376">
        <f t="shared" si="222"/>
        <v>17</v>
      </c>
      <c r="O529" s="399">
        <f t="shared" si="223"/>
        <v>0</v>
      </c>
      <c r="P529" s="399">
        <f t="shared" si="224"/>
        <v>17</v>
      </c>
      <c r="Q529" s="399">
        <f t="shared" si="225"/>
        <v>17</v>
      </c>
      <c r="R529" s="399">
        <f t="shared" si="226"/>
        <v>0</v>
      </c>
      <c r="S529" s="399">
        <f t="shared" si="227"/>
        <v>17</v>
      </c>
      <c r="T529" s="399">
        <f t="shared" si="228"/>
        <v>15</v>
      </c>
      <c r="U529" s="399">
        <f t="shared" si="229"/>
        <v>0</v>
      </c>
      <c r="V529" s="399">
        <f t="shared" si="230"/>
        <v>15</v>
      </c>
      <c r="W529" s="399">
        <f t="shared" si="231"/>
        <v>16</v>
      </c>
      <c r="X529" s="399">
        <f t="shared" si="232"/>
        <v>0</v>
      </c>
      <c r="Y529" s="399">
        <f t="shared" si="233"/>
        <v>16</v>
      </c>
      <c r="Z529" s="399">
        <f t="shared" si="234"/>
        <v>0</v>
      </c>
      <c r="AA529" s="399">
        <f t="shared" si="235"/>
        <v>0</v>
      </c>
      <c r="AB529" s="399">
        <f t="shared" si="236"/>
        <v>0</v>
      </c>
      <c r="AC529" s="399">
        <f t="shared" si="237"/>
        <v>22</v>
      </c>
      <c r="AD529" s="399">
        <f t="shared" si="238"/>
        <v>0</v>
      </c>
      <c r="AE529" s="399">
        <f t="shared" si="239"/>
        <v>22</v>
      </c>
      <c r="AF529" s="399">
        <f t="shared" si="240"/>
        <v>21</v>
      </c>
      <c r="AG529" s="399">
        <f t="shared" si="241"/>
        <v>0</v>
      </c>
      <c r="AH529" s="399">
        <f t="shared" si="242"/>
        <v>21</v>
      </c>
      <c r="AI529" s="399">
        <f t="shared" si="243"/>
        <v>0</v>
      </c>
      <c r="AJ529" s="399">
        <f t="shared" si="244"/>
        <v>0</v>
      </c>
      <c r="AK529" s="399">
        <f t="shared" si="245"/>
        <v>0</v>
      </c>
      <c r="AL529" s="399">
        <f t="shared" si="246"/>
        <v>0</v>
      </c>
      <c r="AM529" s="399">
        <f t="shared" si="247"/>
        <v>0</v>
      </c>
      <c r="AN529" s="399">
        <f t="shared" si="248"/>
        <v>0</v>
      </c>
      <c r="AO529" s="399">
        <f t="shared" si="249"/>
        <v>0</v>
      </c>
      <c r="AP529" s="399">
        <f t="shared" si="250"/>
        <v>0</v>
      </c>
      <c r="AQ529" s="399">
        <f t="shared" si="251"/>
        <v>0</v>
      </c>
      <c r="AR529" s="399"/>
    </row>
    <row r="530" spans="2:44" ht="27.75" customHeight="1" x14ac:dyDescent="0.4">
      <c r="B530" s="376"/>
      <c r="C530" s="310"/>
      <c r="D530" s="376"/>
      <c r="E530" s="376"/>
      <c r="F530" s="376"/>
      <c r="G530" s="376">
        <v>23</v>
      </c>
      <c r="H530" s="376">
        <f t="shared" si="216"/>
        <v>22</v>
      </c>
      <c r="I530" s="376">
        <f t="shared" si="217"/>
        <v>0</v>
      </c>
      <c r="J530" s="376">
        <f t="shared" si="218"/>
        <v>22</v>
      </c>
      <c r="K530" s="376">
        <f t="shared" si="219"/>
        <v>0</v>
      </c>
      <c r="L530" s="376">
        <f t="shared" si="220"/>
        <v>0</v>
      </c>
      <c r="M530" s="376">
        <f t="shared" si="221"/>
        <v>0</v>
      </c>
      <c r="N530" s="376">
        <f t="shared" si="222"/>
        <v>17</v>
      </c>
      <c r="O530" s="399">
        <f t="shared" si="223"/>
        <v>0</v>
      </c>
      <c r="P530" s="399">
        <f t="shared" si="224"/>
        <v>17</v>
      </c>
      <c r="Q530" s="399">
        <f t="shared" si="225"/>
        <v>17</v>
      </c>
      <c r="R530" s="399">
        <f t="shared" si="226"/>
        <v>0</v>
      </c>
      <c r="S530" s="399">
        <f t="shared" si="227"/>
        <v>17</v>
      </c>
      <c r="T530" s="399">
        <f t="shared" si="228"/>
        <v>15</v>
      </c>
      <c r="U530" s="399">
        <f t="shared" si="229"/>
        <v>0</v>
      </c>
      <c r="V530" s="399">
        <f t="shared" si="230"/>
        <v>15</v>
      </c>
      <c r="W530" s="399">
        <f t="shared" si="231"/>
        <v>16</v>
      </c>
      <c r="X530" s="399">
        <f t="shared" si="232"/>
        <v>0</v>
      </c>
      <c r="Y530" s="399">
        <f t="shared" si="233"/>
        <v>16</v>
      </c>
      <c r="Z530" s="399">
        <f t="shared" si="234"/>
        <v>0</v>
      </c>
      <c r="AA530" s="399">
        <f t="shared" si="235"/>
        <v>0</v>
      </c>
      <c r="AB530" s="399">
        <f t="shared" si="236"/>
        <v>0</v>
      </c>
      <c r="AC530" s="399">
        <f t="shared" si="237"/>
        <v>22</v>
      </c>
      <c r="AD530" s="399">
        <f t="shared" si="238"/>
        <v>0</v>
      </c>
      <c r="AE530" s="399">
        <f t="shared" si="239"/>
        <v>22</v>
      </c>
      <c r="AF530" s="399">
        <f t="shared" si="240"/>
        <v>21</v>
      </c>
      <c r="AG530" s="399">
        <f t="shared" si="241"/>
        <v>0</v>
      </c>
      <c r="AH530" s="399">
        <f t="shared" si="242"/>
        <v>21</v>
      </c>
      <c r="AI530" s="399">
        <f t="shared" si="243"/>
        <v>0</v>
      </c>
      <c r="AJ530" s="399">
        <f t="shared" si="244"/>
        <v>0</v>
      </c>
      <c r="AK530" s="399">
        <f t="shared" si="245"/>
        <v>0</v>
      </c>
      <c r="AL530" s="399">
        <f t="shared" si="246"/>
        <v>0</v>
      </c>
      <c r="AM530" s="399">
        <f t="shared" si="247"/>
        <v>0</v>
      </c>
      <c r="AN530" s="399">
        <f t="shared" si="248"/>
        <v>0</v>
      </c>
      <c r="AO530" s="399">
        <f t="shared" si="249"/>
        <v>0</v>
      </c>
      <c r="AP530" s="399">
        <f t="shared" si="250"/>
        <v>0</v>
      </c>
      <c r="AQ530" s="399">
        <f t="shared" si="251"/>
        <v>0</v>
      </c>
      <c r="AR530" s="399"/>
    </row>
    <row r="531" spans="2:44" ht="27.75" customHeight="1" x14ac:dyDescent="0.4">
      <c r="B531" s="376"/>
      <c r="C531" s="310"/>
      <c r="D531" s="376"/>
      <c r="E531" s="376"/>
      <c r="F531" s="376"/>
      <c r="G531" s="376">
        <v>24</v>
      </c>
      <c r="H531" s="376">
        <f t="shared" si="216"/>
        <v>0</v>
      </c>
      <c r="I531" s="376">
        <f t="shared" si="217"/>
        <v>0</v>
      </c>
      <c r="J531" s="376">
        <f t="shared" si="218"/>
        <v>0</v>
      </c>
      <c r="K531" s="376">
        <f t="shared" si="219"/>
        <v>0</v>
      </c>
      <c r="L531" s="376">
        <f t="shared" si="220"/>
        <v>0</v>
      </c>
      <c r="M531" s="376">
        <f t="shared" si="221"/>
        <v>0</v>
      </c>
      <c r="N531" s="376">
        <f t="shared" si="222"/>
        <v>17</v>
      </c>
      <c r="O531" s="399">
        <f t="shared" si="223"/>
        <v>0</v>
      </c>
      <c r="P531" s="399">
        <f t="shared" si="224"/>
        <v>17</v>
      </c>
      <c r="Q531" s="399">
        <f t="shared" si="225"/>
        <v>0</v>
      </c>
      <c r="R531" s="399">
        <f t="shared" si="226"/>
        <v>0</v>
      </c>
      <c r="S531" s="399">
        <f t="shared" si="227"/>
        <v>0</v>
      </c>
      <c r="T531" s="399">
        <f t="shared" si="228"/>
        <v>15</v>
      </c>
      <c r="U531" s="399">
        <f t="shared" si="229"/>
        <v>0</v>
      </c>
      <c r="V531" s="399">
        <f t="shared" si="230"/>
        <v>15</v>
      </c>
      <c r="W531" s="399">
        <f t="shared" si="231"/>
        <v>16</v>
      </c>
      <c r="X531" s="399">
        <f t="shared" si="232"/>
        <v>0</v>
      </c>
      <c r="Y531" s="399">
        <f t="shared" si="233"/>
        <v>16</v>
      </c>
      <c r="Z531" s="399">
        <f t="shared" si="234"/>
        <v>0</v>
      </c>
      <c r="AA531" s="399">
        <f t="shared" si="235"/>
        <v>0</v>
      </c>
      <c r="AB531" s="399">
        <f t="shared" si="236"/>
        <v>0</v>
      </c>
      <c r="AC531" s="399">
        <f t="shared" si="237"/>
        <v>22</v>
      </c>
      <c r="AD531" s="399">
        <f t="shared" si="238"/>
        <v>0</v>
      </c>
      <c r="AE531" s="399">
        <f t="shared" si="239"/>
        <v>22</v>
      </c>
      <c r="AF531" s="399">
        <f t="shared" si="240"/>
        <v>21</v>
      </c>
      <c r="AG531" s="399">
        <f t="shared" si="241"/>
        <v>0</v>
      </c>
      <c r="AH531" s="399">
        <f t="shared" si="242"/>
        <v>21</v>
      </c>
      <c r="AI531" s="399">
        <f t="shared" si="243"/>
        <v>0</v>
      </c>
      <c r="AJ531" s="399">
        <f t="shared" si="244"/>
        <v>0</v>
      </c>
      <c r="AK531" s="399">
        <f t="shared" si="245"/>
        <v>0</v>
      </c>
      <c r="AL531" s="399">
        <f t="shared" si="246"/>
        <v>0</v>
      </c>
      <c r="AM531" s="399">
        <f t="shared" si="247"/>
        <v>0</v>
      </c>
      <c r="AN531" s="399">
        <f t="shared" si="248"/>
        <v>0</v>
      </c>
      <c r="AO531" s="399">
        <f t="shared" si="249"/>
        <v>0</v>
      </c>
      <c r="AP531" s="399">
        <f t="shared" si="250"/>
        <v>0</v>
      </c>
      <c r="AQ531" s="399">
        <f t="shared" si="251"/>
        <v>0</v>
      </c>
      <c r="AR531" s="399"/>
    </row>
    <row r="532" spans="2:44" ht="27.75" customHeight="1" x14ac:dyDescent="0.4">
      <c r="B532" s="376"/>
      <c r="C532" s="310"/>
      <c r="D532" s="376"/>
      <c r="E532" s="376"/>
      <c r="F532" s="376"/>
      <c r="G532" s="376">
        <v>25</v>
      </c>
      <c r="H532" s="376">
        <f t="shared" si="216"/>
        <v>22</v>
      </c>
      <c r="I532" s="376">
        <f t="shared" si="217"/>
        <v>0</v>
      </c>
      <c r="J532" s="376">
        <f t="shared" si="218"/>
        <v>22</v>
      </c>
      <c r="K532" s="376">
        <f t="shared" si="219"/>
        <v>0</v>
      </c>
      <c r="L532" s="376">
        <f t="shared" si="220"/>
        <v>0</v>
      </c>
      <c r="M532" s="376">
        <f t="shared" si="221"/>
        <v>0</v>
      </c>
      <c r="N532" s="376">
        <f t="shared" si="222"/>
        <v>17</v>
      </c>
      <c r="O532" s="399">
        <f t="shared" si="223"/>
        <v>0</v>
      </c>
      <c r="P532" s="399">
        <f t="shared" si="224"/>
        <v>17</v>
      </c>
      <c r="Q532" s="399">
        <f t="shared" si="225"/>
        <v>17</v>
      </c>
      <c r="R532" s="399">
        <f t="shared" si="226"/>
        <v>0</v>
      </c>
      <c r="S532" s="399">
        <f t="shared" si="227"/>
        <v>17</v>
      </c>
      <c r="T532" s="399">
        <f t="shared" si="228"/>
        <v>15</v>
      </c>
      <c r="U532" s="399">
        <f t="shared" si="229"/>
        <v>0</v>
      </c>
      <c r="V532" s="399">
        <f t="shared" si="230"/>
        <v>15</v>
      </c>
      <c r="W532" s="399">
        <f t="shared" si="231"/>
        <v>0</v>
      </c>
      <c r="X532" s="399">
        <f t="shared" si="232"/>
        <v>0</v>
      </c>
      <c r="Y532" s="399">
        <f t="shared" si="233"/>
        <v>0</v>
      </c>
      <c r="Z532" s="399">
        <f t="shared" si="234"/>
        <v>0</v>
      </c>
      <c r="AA532" s="399">
        <f t="shared" si="235"/>
        <v>0</v>
      </c>
      <c r="AB532" s="399">
        <f t="shared" si="236"/>
        <v>0</v>
      </c>
      <c r="AC532" s="399">
        <f t="shared" si="237"/>
        <v>22</v>
      </c>
      <c r="AD532" s="399">
        <f t="shared" si="238"/>
        <v>0</v>
      </c>
      <c r="AE532" s="399">
        <f t="shared" si="239"/>
        <v>22</v>
      </c>
      <c r="AF532" s="399">
        <f t="shared" si="240"/>
        <v>0</v>
      </c>
      <c r="AG532" s="399">
        <f t="shared" si="241"/>
        <v>0</v>
      </c>
      <c r="AH532" s="399">
        <f t="shared" si="242"/>
        <v>0</v>
      </c>
      <c r="AI532" s="399">
        <f t="shared" si="243"/>
        <v>0</v>
      </c>
      <c r="AJ532" s="399">
        <f t="shared" si="244"/>
        <v>0</v>
      </c>
      <c r="AK532" s="399">
        <f t="shared" si="245"/>
        <v>0</v>
      </c>
      <c r="AL532" s="399">
        <f t="shared" si="246"/>
        <v>0</v>
      </c>
      <c r="AM532" s="399">
        <f t="shared" si="247"/>
        <v>0</v>
      </c>
      <c r="AN532" s="399">
        <f t="shared" si="248"/>
        <v>0</v>
      </c>
      <c r="AO532" s="399">
        <f t="shared" si="249"/>
        <v>0</v>
      </c>
      <c r="AP532" s="399">
        <f t="shared" si="250"/>
        <v>0</v>
      </c>
      <c r="AQ532" s="399">
        <f t="shared" si="251"/>
        <v>0</v>
      </c>
      <c r="AR532" s="399"/>
    </row>
    <row r="533" spans="2:44" ht="27.75" customHeight="1" x14ac:dyDescent="0.4">
      <c r="B533" s="376"/>
      <c r="C533" s="310"/>
      <c r="D533" s="376"/>
      <c r="E533" s="376"/>
      <c r="F533" s="376"/>
      <c r="G533" s="376">
        <v>26</v>
      </c>
      <c r="H533" s="376">
        <f t="shared" si="216"/>
        <v>22</v>
      </c>
      <c r="I533" s="376">
        <f t="shared" si="217"/>
        <v>0</v>
      </c>
      <c r="J533" s="376">
        <f t="shared" si="218"/>
        <v>22</v>
      </c>
      <c r="K533" s="376">
        <f t="shared" si="219"/>
        <v>0</v>
      </c>
      <c r="L533" s="376">
        <f t="shared" si="220"/>
        <v>0</v>
      </c>
      <c r="M533" s="376">
        <f t="shared" si="221"/>
        <v>0</v>
      </c>
      <c r="N533" s="376">
        <f t="shared" si="222"/>
        <v>0</v>
      </c>
      <c r="O533" s="399">
        <f t="shared" si="223"/>
        <v>0</v>
      </c>
      <c r="P533" s="399">
        <f t="shared" si="224"/>
        <v>0</v>
      </c>
      <c r="Q533" s="399">
        <f t="shared" si="225"/>
        <v>17</v>
      </c>
      <c r="R533" s="399">
        <f t="shared" si="226"/>
        <v>0</v>
      </c>
      <c r="S533" s="399">
        <f t="shared" si="227"/>
        <v>17</v>
      </c>
      <c r="T533" s="399">
        <f t="shared" si="228"/>
        <v>0</v>
      </c>
      <c r="U533" s="399">
        <f t="shared" si="229"/>
        <v>0</v>
      </c>
      <c r="V533" s="399">
        <f t="shared" si="230"/>
        <v>0</v>
      </c>
      <c r="W533" s="399">
        <f t="shared" si="231"/>
        <v>0</v>
      </c>
      <c r="X533" s="399">
        <f t="shared" si="232"/>
        <v>0</v>
      </c>
      <c r="Y533" s="399">
        <f t="shared" si="233"/>
        <v>0</v>
      </c>
      <c r="Z533" s="399">
        <f t="shared" si="234"/>
        <v>0</v>
      </c>
      <c r="AA533" s="399">
        <f t="shared" si="235"/>
        <v>0</v>
      </c>
      <c r="AB533" s="399">
        <f t="shared" si="236"/>
        <v>0</v>
      </c>
      <c r="AC533" s="399">
        <f t="shared" si="237"/>
        <v>22</v>
      </c>
      <c r="AD533" s="399">
        <f t="shared" si="238"/>
        <v>0</v>
      </c>
      <c r="AE533" s="399">
        <f t="shared" si="239"/>
        <v>22</v>
      </c>
      <c r="AF533" s="399">
        <f t="shared" si="240"/>
        <v>21</v>
      </c>
      <c r="AG533" s="399">
        <f t="shared" si="241"/>
        <v>0</v>
      </c>
      <c r="AH533" s="399">
        <f t="shared" si="242"/>
        <v>21</v>
      </c>
      <c r="AI533" s="399">
        <f t="shared" si="243"/>
        <v>0</v>
      </c>
      <c r="AJ533" s="399">
        <f t="shared" si="244"/>
        <v>0</v>
      </c>
      <c r="AK533" s="399">
        <f t="shared" si="245"/>
        <v>0</v>
      </c>
      <c r="AL533" s="399">
        <f t="shared" si="246"/>
        <v>0</v>
      </c>
      <c r="AM533" s="399">
        <f t="shared" si="247"/>
        <v>0</v>
      </c>
      <c r="AN533" s="399">
        <f t="shared" si="248"/>
        <v>0</v>
      </c>
      <c r="AO533" s="399">
        <f t="shared" si="249"/>
        <v>0</v>
      </c>
      <c r="AP533" s="399">
        <f t="shared" si="250"/>
        <v>0</v>
      </c>
      <c r="AQ533" s="399">
        <f t="shared" si="251"/>
        <v>0</v>
      </c>
      <c r="AR533" s="399"/>
    </row>
    <row r="534" spans="2:44" ht="27.75" customHeight="1" x14ac:dyDescent="0.4">
      <c r="B534" s="376"/>
      <c r="C534" s="310"/>
      <c r="D534" s="376"/>
      <c r="E534" s="376"/>
      <c r="F534" s="376"/>
      <c r="G534" s="376">
        <v>27</v>
      </c>
      <c r="H534" s="376">
        <f t="shared" si="216"/>
        <v>22</v>
      </c>
      <c r="I534" s="376">
        <f t="shared" si="217"/>
        <v>0</v>
      </c>
      <c r="J534" s="376">
        <f t="shared" si="218"/>
        <v>22</v>
      </c>
      <c r="K534" s="376">
        <f t="shared" si="219"/>
        <v>0</v>
      </c>
      <c r="L534" s="376">
        <f t="shared" si="220"/>
        <v>0</v>
      </c>
      <c r="M534" s="376">
        <f t="shared" si="221"/>
        <v>0</v>
      </c>
      <c r="N534" s="376">
        <f t="shared" si="222"/>
        <v>17</v>
      </c>
      <c r="O534" s="399">
        <f t="shared" si="223"/>
        <v>0</v>
      </c>
      <c r="P534" s="399">
        <f t="shared" si="224"/>
        <v>17</v>
      </c>
      <c r="Q534" s="399">
        <f t="shared" si="225"/>
        <v>17</v>
      </c>
      <c r="R534" s="399">
        <f t="shared" si="226"/>
        <v>0</v>
      </c>
      <c r="S534" s="399">
        <f t="shared" si="227"/>
        <v>17</v>
      </c>
      <c r="T534" s="399">
        <f t="shared" si="228"/>
        <v>15</v>
      </c>
      <c r="U534" s="399">
        <f t="shared" si="229"/>
        <v>0</v>
      </c>
      <c r="V534" s="399">
        <f t="shared" si="230"/>
        <v>15</v>
      </c>
      <c r="W534" s="399">
        <f t="shared" si="231"/>
        <v>22</v>
      </c>
      <c r="X534" s="399">
        <f t="shared" si="232"/>
        <v>0</v>
      </c>
      <c r="Y534" s="399">
        <f t="shared" si="233"/>
        <v>22</v>
      </c>
      <c r="Z534" s="399">
        <f t="shared" si="234"/>
        <v>0</v>
      </c>
      <c r="AA534" s="399">
        <f t="shared" si="235"/>
        <v>0</v>
      </c>
      <c r="AB534" s="399">
        <f t="shared" si="236"/>
        <v>0</v>
      </c>
      <c r="AC534" s="399">
        <f t="shared" si="237"/>
        <v>0</v>
      </c>
      <c r="AD534" s="399">
        <f t="shared" si="238"/>
        <v>0</v>
      </c>
      <c r="AE534" s="399">
        <f t="shared" si="239"/>
        <v>0</v>
      </c>
      <c r="AF534" s="399">
        <f t="shared" si="240"/>
        <v>21</v>
      </c>
      <c r="AG534" s="399">
        <f t="shared" si="241"/>
        <v>0</v>
      </c>
      <c r="AH534" s="399">
        <f t="shared" si="242"/>
        <v>21</v>
      </c>
      <c r="AI534" s="399">
        <f t="shared" si="243"/>
        <v>0</v>
      </c>
      <c r="AJ534" s="399">
        <f t="shared" si="244"/>
        <v>0</v>
      </c>
      <c r="AK534" s="399">
        <f t="shared" si="245"/>
        <v>0</v>
      </c>
      <c r="AL534" s="399">
        <f t="shared" si="246"/>
        <v>0</v>
      </c>
      <c r="AM534" s="399">
        <f t="shared" si="247"/>
        <v>0</v>
      </c>
      <c r="AN534" s="399">
        <f t="shared" si="248"/>
        <v>0</v>
      </c>
      <c r="AO534" s="399">
        <f t="shared" si="249"/>
        <v>0</v>
      </c>
      <c r="AP534" s="399">
        <f t="shared" si="250"/>
        <v>0</v>
      </c>
      <c r="AQ534" s="399">
        <f t="shared" si="251"/>
        <v>0</v>
      </c>
      <c r="AR534" s="399"/>
    </row>
    <row r="535" spans="2:44" ht="27.75" customHeight="1" x14ac:dyDescent="0.4">
      <c r="B535" s="376"/>
      <c r="C535" s="310"/>
      <c r="D535" s="376"/>
      <c r="E535" s="376"/>
      <c r="F535" s="376"/>
      <c r="G535" s="376">
        <v>28</v>
      </c>
      <c r="H535" s="376">
        <f t="shared" si="216"/>
        <v>22</v>
      </c>
      <c r="I535" s="376">
        <f t="shared" si="217"/>
        <v>0</v>
      </c>
      <c r="J535" s="376">
        <f t="shared" si="218"/>
        <v>22</v>
      </c>
      <c r="K535" s="376">
        <f t="shared" si="219"/>
        <v>0</v>
      </c>
      <c r="L535" s="376">
        <f t="shared" si="220"/>
        <v>0</v>
      </c>
      <c r="M535" s="376">
        <f t="shared" si="221"/>
        <v>0</v>
      </c>
      <c r="N535" s="376">
        <f t="shared" si="222"/>
        <v>17</v>
      </c>
      <c r="O535" s="399">
        <f t="shared" si="223"/>
        <v>0</v>
      </c>
      <c r="P535" s="399">
        <f t="shared" si="224"/>
        <v>17</v>
      </c>
      <c r="Q535" s="399">
        <f t="shared" si="225"/>
        <v>17</v>
      </c>
      <c r="R535" s="399">
        <f t="shared" si="226"/>
        <v>0</v>
      </c>
      <c r="S535" s="399">
        <f t="shared" si="227"/>
        <v>17</v>
      </c>
      <c r="T535" s="399">
        <f t="shared" si="228"/>
        <v>0</v>
      </c>
      <c r="U535" s="399">
        <f t="shared" si="229"/>
        <v>0</v>
      </c>
      <c r="V535" s="399">
        <f t="shared" si="230"/>
        <v>0</v>
      </c>
      <c r="W535" s="399">
        <f t="shared" si="231"/>
        <v>22</v>
      </c>
      <c r="X535" s="399">
        <f t="shared" si="232"/>
        <v>0</v>
      </c>
      <c r="Y535" s="399">
        <f t="shared" si="233"/>
        <v>22</v>
      </c>
      <c r="Z535" s="399">
        <f t="shared" si="234"/>
        <v>0</v>
      </c>
      <c r="AA535" s="399">
        <f t="shared" si="235"/>
        <v>0</v>
      </c>
      <c r="AB535" s="399">
        <f t="shared" si="236"/>
        <v>0</v>
      </c>
      <c r="AC535" s="399">
        <f t="shared" si="237"/>
        <v>22</v>
      </c>
      <c r="AD535" s="399">
        <f t="shared" si="238"/>
        <v>0</v>
      </c>
      <c r="AE535" s="399">
        <f t="shared" si="239"/>
        <v>22</v>
      </c>
      <c r="AF535" s="399">
        <f t="shared" si="240"/>
        <v>21</v>
      </c>
      <c r="AG535" s="399">
        <f t="shared" si="241"/>
        <v>0</v>
      </c>
      <c r="AH535" s="399">
        <f t="shared" si="242"/>
        <v>21</v>
      </c>
      <c r="AI535" s="399">
        <f t="shared" si="243"/>
        <v>0</v>
      </c>
      <c r="AJ535" s="399">
        <f t="shared" si="244"/>
        <v>0</v>
      </c>
      <c r="AK535" s="399">
        <f t="shared" si="245"/>
        <v>0</v>
      </c>
      <c r="AL535" s="399">
        <f t="shared" si="246"/>
        <v>0</v>
      </c>
      <c r="AM535" s="399">
        <f t="shared" si="247"/>
        <v>0</v>
      </c>
      <c r="AN535" s="399">
        <f t="shared" si="248"/>
        <v>0</v>
      </c>
      <c r="AO535" s="399">
        <f t="shared" si="249"/>
        <v>0</v>
      </c>
      <c r="AP535" s="399">
        <f t="shared" si="250"/>
        <v>0</v>
      </c>
      <c r="AQ535" s="399">
        <f t="shared" si="251"/>
        <v>0</v>
      </c>
      <c r="AR535" s="399"/>
    </row>
    <row r="536" spans="2:44" ht="27.75" customHeight="1" x14ac:dyDescent="0.4">
      <c r="B536" s="376"/>
      <c r="C536" s="310"/>
      <c r="D536" s="376"/>
      <c r="E536" s="376"/>
      <c r="F536" s="376"/>
      <c r="G536" s="376">
        <v>29</v>
      </c>
      <c r="H536" s="376">
        <f t="shared" si="216"/>
        <v>22</v>
      </c>
      <c r="I536" s="376">
        <f t="shared" si="217"/>
        <v>0</v>
      </c>
      <c r="J536" s="376">
        <f t="shared" si="218"/>
        <v>22</v>
      </c>
      <c r="K536" s="376">
        <f t="shared" si="219"/>
        <v>0</v>
      </c>
      <c r="L536" s="376">
        <f t="shared" si="220"/>
        <v>0</v>
      </c>
      <c r="M536" s="376">
        <f t="shared" si="221"/>
        <v>0</v>
      </c>
      <c r="N536" s="376">
        <f t="shared" si="222"/>
        <v>17</v>
      </c>
      <c r="O536" s="399">
        <f t="shared" si="223"/>
        <v>0</v>
      </c>
      <c r="P536" s="399">
        <f t="shared" si="224"/>
        <v>17</v>
      </c>
      <c r="Q536" s="399">
        <f t="shared" si="225"/>
        <v>17</v>
      </c>
      <c r="R536" s="399">
        <f t="shared" si="226"/>
        <v>0</v>
      </c>
      <c r="S536" s="399">
        <f t="shared" si="227"/>
        <v>17</v>
      </c>
      <c r="T536" s="399">
        <f t="shared" si="228"/>
        <v>15</v>
      </c>
      <c r="U536" s="399">
        <f t="shared" si="229"/>
        <v>0</v>
      </c>
      <c r="V536" s="399">
        <f t="shared" si="230"/>
        <v>15</v>
      </c>
      <c r="W536" s="399">
        <f t="shared" si="231"/>
        <v>22</v>
      </c>
      <c r="X536" s="399">
        <f t="shared" si="232"/>
        <v>0</v>
      </c>
      <c r="Y536" s="399">
        <f t="shared" si="233"/>
        <v>22</v>
      </c>
      <c r="Z536" s="399">
        <f t="shared" si="234"/>
        <v>0</v>
      </c>
      <c r="AA536" s="399">
        <f t="shared" si="235"/>
        <v>0</v>
      </c>
      <c r="AB536" s="399">
        <f t="shared" si="236"/>
        <v>0</v>
      </c>
      <c r="AC536" s="399">
        <f t="shared" si="237"/>
        <v>22</v>
      </c>
      <c r="AD536" s="399">
        <f t="shared" si="238"/>
        <v>0</v>
      </c>
      <c r="AE536" s="399">
        <f t="shared" si="239"/>
        <v>22</v>
      </c>
      <c r="AF536" s="399">
        <f t="shared" si="240"/>
        <v>21</v>
      </c>
      <c r="AG536" s="399">
        <f t="shared" si="241"/>
        <v>0</v>
      </c>
      <c r="AH536" s="399">
        <f t="shared" si="242"/>
        <v>21</v>
      </c>
      <c r="AI536" s="399">
        <f t="shared" si="243"/>
        <v>0</v>
      </c>
      <c r="AJ536" s="399">
        <f t="shared" si="244"/>
        <v>0</v>
      </c>
      <c r="AK536" s="399">
        <f t="shared" si="245"/>
        <v>0</v>
      </c>
      <c r="AL536" s="399">
        <f t="shared" si="246"/>
        <v>0</v>
      </c>
      <c r="AM536" s="399">
        <f t="shared" si="247"/>
        <v>0</v>
      </c>
      <c r="AN536" s="399">
        <f t="shared" si="248"/>
        <v>0</v>
      </c>
      <c r="AO536" s="399">
        <f t="shared" si="249"/>
        <v>0</v>
      </c>
      <c r="AP536" s="399">
        <f t="shared" si="250"/>
        <v>0</v>
      </c>
      <c r="AQ536" s="399">
        <f t="shared" si="251"/>
        <v>0</v>
      </c>
      <c r="AR536" s="399"/>
    </row>
    <row r="537" spans="2:44" ht="27.75" customHeight="1" x14ac:dyDescent="0.4">
      <c r="B537" s="376"/>
      <c r="C537" s="310"/>
      <c r="D537" s="376"/>
      <c r="E537" s="376"/>
      <c r="F537" s="376"/>
      <c r="G537" s="376">
        <v>30</v>
      </c>
      <c r="H537" s="376">
        <f t="shared" si="216"/>
        <v>22</v>
      </c>
      <c r="I537" s="376">
        <f t="shared" si="217"/>
        <v>0</v>
      </c>
      <c r="J537" s="376">
        <f t="shared" si="218"/>
        <v>22</v>
      </c>
      <c r="K537" s="376">
        <f t="shared" si="219"/>
        <v>0</v>
      </c>
      <c r="L537" s="376">
        <f t="shared" si="220"/>
        <v>0</v>
      </c>
      <c r="M537" s="376">
        <f t="shared" si="221"/>
        <v>0</v>
      </c>
      <c r="N537" s="376">
        <f t="shared" si="222"/>
        <v>17</v>
      </c>
      <c r="O537" s="399">
        <f t="shared" si="223"/>
        <v>0</v>
      </c>
      <c r="P537" s="399">
        <f t="shared" si="224"/>
        <v>17</v>
      </c>
      <c r="Q537" s="399">
        <f t="shared" si="225"/>
        <v>17</v>
      </c>
      <c r="R537" s="399">
        <f t="shared" si="226"/>
        <v>0</v>
      </c>
      <c r="S537" s="399">
        <f t="shared" si="227"/>
        <v>17</v>
      </c>
      <c r="T537" s="399">
        <f t="shared" si="228"/>
        <v>15</v>
      </c>
      <c r="U537" s="399">
        <f t="shared" si="229"/>
        <v>0</v>
      </c>
      <c r="V537" s="399">
        <f t="shared" si="230"/>
        <v>15</v>
      </c>
      <c r="W537" s="399">
        <f t="shared" si="231"/>
        <v>22</v>
      </c>
      <c r="X537" s="399">
        <f t="shared" si="232"/>
        <v>0</v>
      </c>
      <c r="Y537" s="399">
        <f t="shared" si="233"/>
        <v>22</v>
      </c>
      <c r="Z537" s="399">
        <f t="shared" si="234"/>
        <v>0</v>
      </c>
      <c r="AA537" s="399">
        <f t="shared" si="235"/>
        <v>0</v>
      </c>
      <c r="AB537" s="399">
        <f t="shared" si="236"/>
        <v>0</v>
      </c>
      <c r="AC537" s="399">
        <f t="shared" si="237"/>
        <v>22</v>
      </c>
      <c r="AD537" s="399">
        <f t="shared" si="238"/>
        <v>0</v>
      </c>
      <c r="AE537" s="399">
        <f t="shared" si="239"/>
        <v>22</v>
      </c>
      <c r="AF537" s="399">
        <f t="shared" si="240"/>
        <v>21</v>
      </c>
      <c r="AG537" s="399">
        <f t="shared" si="241"/>
        <v>0</v>
      </c>
      <c r="AH537" s="399">
        <f t="shared" si="242"/>
        <v>21</v>
      </c>
      <c r="AI537" s="399">
        <f t="shared" si="243"/>
        <v>0</v>
      </c>
      <c r="AJ537" s="399">
        <f t="shared" si="244"/>
        <v>0</v>
      </c>
      <c r="AK537" s="399">
        <f t="shared" si="245"/>
        <v>0</v>
      </c>
      <c r="AL537" s="399"/>
      <c r="AM537" s="399"/>
      <c r="AN537" s="399">
        <f t="shared" si="248"/>
        <v>0</v>
      </c>
      <c r="AO537" s="399">
        <f t="shared" si="249"/>
        <v>0</v>
      </c>
      <c r="AP537" s="399">
        <f t="shared" si="250"/>
        <v>0</v>
      </c>
      <c r="AQ537" s="399">
        <f t="shared" si="251"/>
        <v>0</v>
      </c>
      <c r="AR537" s="399"/>
    </row>
    <row r="538" spans="2:44" ht="27.75" customHeight="1" x14ac:dyDescent="0.4">
      <c r="B538" s="376"/>
      <c r="C538" s="310"/>
      <c r="D538" s="376"/>
      <c r="E538" s="376"/>
      <c r="F538" s="376"/>
      <c r="G538" s="376">
        <v>31</v>
      </c>
      <c r="H538" s="376"/>
      <c r="I538" s="376"/>
      <c r="J538" s="376">
        <f t="shared" si="218"/>
        <v>0</v>
      </c>
      <c r="K538" s="376">
        <f t="shared" si="219"/>
        <v>0</v>
      </c>
      <c r="L538" s="376">
        <f t="shared" si="220"/>
        <v>0</v>
      </c>
      <c r="M538" s="376">
        <f t="shared" si="221"/>
        <v>0</v>
      </c>
      <c r="N538" s="376"/>
      <c r="O538" s="399"/>
      <c r="P538" s="399">
        <f t="shared" si="224"/>
        <v>0</v>
      </c>
      <c r="Q538" s="399">
        <f t="shared" si="225"/>
        <v>0</v>
      </c>
      <c r="R538" s="399">
        <f t="shared" si="226"/>
        <v>0</v>
      </c>
      <c r="S538" s="399">
        <f t="shared" si="227"/>
        <v>0</v>
      </c>
      <c r="T538" s="399">
        <f t="shared" si="228"/>
        <v>0</v>
      </c>
      <c r="U538" s="399">
        <f t="shared" si="229"/>
        <v>0</v>
      </c>
      <c r="V538" s="399">
        <f t="shared" si="230"/>
        <v>0</v>
      </c>
      <c r="W538" s="399"/>
      <c r="X538" s="399"/>
      <c r="Y538" s="399">
        <f t="shared" si="233"/>
        <v>0</v>
      </c>
      <c r="Z538" s="399">
        <f t="shared" si="234"/>
        <v>0</v>
      </c>
      <c r="AA538" s="399">
        <f t="shared" si="235"/>
        <v>0</v>
      </c>
      <c r="AB538" s="399">
        <f t="shared" si="236"/>
        <v>0</v>
      </c>
      <c r="AC538" s="399"/>
      <c r="AD538" s="399"/>
      <c r="AE538" s="399">
        <f t="shared" si="239"/>
        <v>0</v>
      </c>
      <c r="AF538" s="399">
        <f t="shared" si="240"/>
        <v>21</v>
      </c>
      <c r="AG538" s="399">
        <f t="shared" si="241"/>
        <v>0</v>
      </c>
      <c r="AH538" s="399">
        <f t="shared" si="242"/>
        <v>21</v>
      </c>
      <c r="AI538" s="399">
        <f t="shared" si="243"/>
        <v>0</v>
      </c>
      <c r="AJ538" s="399">
        <f t="shared" si="244"/>
        <v>0</v>
      </c>
      <c r="AK538" s="399">
        <f t="shared" si="245"/>
        <v>0</v>
      </c>
      <c r="AL538" s="399"/>
      <c r="AM538" s="399"/>
      <c r="AN538" s="399">
        <f t="shared" si="248"/>
        <v>0</v>
      </c>
      <c r="AO538" s="399">
        <f t="shared" si="249"/>
        <v>0</v>
      </c>
      <c r="AP538" s="399">
        <f t="shared" si="250"/>
        <v>0</v>
      </c>
      <c r="AQ538" s="399">
        <f t="shared" si="251"/>
        <v>0</v>
      </c>
      <c r="AR538" s="399"/>
    </row>
    <row r="539" spans="2:44" ht="27.75" customHeight="1" x14ac:dyDescent="0.4">
      <c r="B539" s="376"/>
      <c r="C539" s="310"/>
      <c r="D539" s="376"/>
      <c r="E539" s="376"/>
      <c r="F539" s="376"/>
      <c r="G539" s="376">
        <v>32</v>
      </c>
      <c r="H539" s="376">
        <f>G39</f>
        <v>506</v>
      </c>
      <c r="I539" s="376" t="str">
        <f>L39</f>
        <v/>
      </c>
      <c r="J539" s="376">
        <f t="shared" si="218"/>
        <v>506</v>
      </c>
      <c r="K539" s="376" t="str">
        <f t="shared" si="219"/>
        <v/>
      </c>
      <c r="L539" s="376" t="str">
        <f t="shared" si="220"/>
        <v/>
      </c>
      <c r="M539" s="376">
        <f t="shared" si="221"/>
        <v>0</v>
      </c>
      <c r="N539" s="376">
        <f>G102</f>
        <v>234</v>
      </c>
      <c r="O539" s="399" t="str">
        <f>L102</f>
        <v/>
      </c>
      <c r="P539" s="399">
        <f t="shared" si="224"/>
        <v>234</v>
      </c>
      <c r="Q539" s="399">
        <f t="shared" si="225"/>
        <v>442</v>
      </c>
      <c r="R539" s="399" t="str">
        <f t="shared" si="226"/>
        <v/>
      </c>
      <c r="S539" s="399">
        <f t="shared" si="227"/>
        <v>442</v>
      </c>
      <c r="T539" s="399">
        <f t="shared" si="228"/>
        <v>330</v>
      </c>
      <c r="U539" s="399" t="str">
        <f t="shared" si="229"/>
        <v/>
      </c>
      <c r="V539" s="399">
        <f t="shared" si="230"/>
        <v>330</v>
      </c>
      <c r="W539" s="399">
        <f>G197</f>
        <v>384</v>
      </c>
      <c r="X539" s="399" t="str">
        <f>L197</f>
        <v/>
      </c>
      <c r="Y539" s="399">
        <f t="shared" si="233"/>
        <v>384</v>
      </c>
      <c r="Z539" s="399">
        <f t="shared" si="234"/>
        <v>236</v>
      </c>
      <c r="AA539" s="399" t="str">
        <f t="shared" si="235"/>
        <v/>
      </c>
      <c r="AB539" s="399">
        <f t="shared" si="236"/>
        <v>236</v>
      </c>
      <c r="AC539" s="399">
        <f>G260</f>
        <v>418</v>
      </c>
      <c r="AD539" s="399" t="str">
        <f>L260</f>
        <v/>
      </c>
      <c r="AE539" s="399">
        <f t="shared" si="239"/>
        <v>418</v>
      </c>
      <c r="AF539" s="399">
        <f t="shared" si="240"/>
        <v>547</v>
      </c>
      <c r="AG539" s="399" t="str">
        <f t="shared" si="241"/>
        <v/>
      </c>
      <c r="AH539" s="399">
        <f t="shared" si="242"/>
        <v>547</v>
      </c>
      <c r="AI539" s="399" t="str">
        <f t="shared" si="243"/>
        <v/>
      </c>
      <c r="AJ539" s="399" t="str">
        <f t="shared" si="244"/>
        <v/>
      </c>
      <c r="AK539" s="399">
        <f t="shared" si="245"/>
        <v>0</v>
      </c>
      <c r="AL539" s="399" t="str">
        <f>G354</f>
        <v/>
      </c>
      <c r="AM539" s="399" t="str">
        <f>L354</f>
        <v/>
      </c>
      <c r="AN539" s="399">
        <f t="shared" si="248"/>
        <v>0</v>
      </c>
      <c r="AO539" s="399" t="str">
        <f t="shared" si="249"/>
        <v/>
      </c>
      <c r="AP539" s="399" t="str">
        <f t="shared" si="250"/>
        <v/>
      </c>
      <c r="AQ539" s="399">
        <f t="shared" si="251"/>
        <v>0</v>
      </c>
      <c r="AR539" s="399"/>
    </row>
    <row r="540" spans="2:44" ht="27.75" customHeight="1" x14ac:dyDescent="0.4">
      <c r="B540" s="376"/>
      <c r="C540" s="310"/>
      <c r="D540" s="376"/>
      <c r="E540" s="376"/>
      <c r="F540" s="376"/>
      <c r="G540" s="376"/>
      <c r="H540" s="376"/>
      <c r="I540" s="376"/>
      <c r="J540" s="376"/>
      <c r="K540" s="376"/>
      <c r="L540" s="376"/>
      <c r="M540" s="376"/>
      <c r="N540" s="376"/>
      <c r="O540" s="376"/>
      <c r="P540" s="376"/>
      <c r="Q540" s="376"/>
      <c r="R540" s="376"/>
      <c r="S540" s="376"/>
      <c r="T540" s="376"/>
      <c r="U540" s="376"/>
      <c r="V540" s="376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  <c r="AM540" s="399"/>
      <c r="AN540" s="399"/>
      <c r="AO540" s="399"/>
      <c r="AP540" s="399"/>
      <c r="AQ540" s="399"/>
      <c r="AR540" s="399"/>
    </row>
    <row r="541" spans="2:44" ht="27.75" customHeight="1" x14ac:dyDescent="0.4">
      <c r="B541" s="376"/>
      <c r="C541" s="310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  <c r="AM541" s="399"/>
      <c r="AN541" s="399"/>
      <c r="AO541" s="399"/>
      <c r="AP541" s="399"/>
      <c r="AQ541" s="399"/>
      <c r="AR541" s="399"/>
    </row>
    <row r="542" spans="2:44" ht="27.75" customHeight="1" x14ac:dyDescent="0.4">
      <c r="B542" s="376"/>
      <c r="C542" s="310"/>
      <c r="D542" s="376"/>
      <c r="E542" s="376"/>
      <c r="F542" s="376"/>
      <c r="G542" s="376"/>
      <c r="H542" s="376"/>
      <c r="I542" s="376"/>
      <c r="J542" s="376"/>
      <c r="K542" s="376"/>
      <c r="L542" s="376"/>
      <c r="M542" s="376"/>
      <c r="N542" s="376"/>
      <c r="O542" s="376"/>
      <c r="P542" s="376"/>
      <c r="Q542" s="376"/>
      <c r="R542" s="376"/>
      <c r="S542" s="376"/>
      <c r="T542" s="376"/>
      <c r="U542" s="376"/>
      <c r="V542" s="376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  <c r="AM542" s="399"/>
      <c r="AN542" s="399"/>
      <c r="AO542" s="399"/>
      <c r="AP542" s="399"/>
      <c r="AQ542" s="399"/>
      <c r="AR542" s="399"/>
    </row>
    <row r="543" spans="2:44" ht="27.75" customHeight="1" x14ac:dyDescent="0.4">
      <c r="B543" s="376"/>
      <c r="C543" s="310"/>
      <c r="D543" s="376"/>
      <c r="E543" s="376"/>
      <c r="F543" s="376"/>
      <c r="G543" s="376"/>
      <c r="H543" s="376"/>
      <c r="I543" s="376"/>
      <c r="J543" s="376"/>
      <c r="K543" s="376"/>
      <c r="L543" s="376"/>
      <c r="M543" s="376"/>
      <c r="N543" s="376"/>
      <c r="O543" s="376"/>
      <c r="P543" s="376"/>
      <c r="Q543" s="376"/>
      <c r="R543" s="376"/>
      <c r="S543" s="376"/>
      <c r="T543" s="376"/>
      <c r="U543" s="376"/>
      <c r="V543" s="376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  <c r="AN543" s="399"/>
      <c r="AO543" s="399"/>
      <c r="AP543" s="399"/>
      <c r="AQ543" s="399"/>
      <c r="AR543" s="399"/>
    </row>
    <row r="544" spans="2:44" ht="27.75" customHeight="1" x14ac:dyDescent="0.4">
      <c r="B544" s="376"/>
      <c r="C544" s="310"/>
      <c r="D544" s="376"/>
      <c r="E544" s="376"/>
      <c r="F544" s="376"/>
      <c r="G544" s="376"/>
      <c r="H544" s="376"/>
      <c r="I544" s="376"/>
      <c r="J544" s="376"/>
      <c r="K544" s="376"/>
      <c r="L544" s="376"/>
      <c r="M544" s="376"/>
      <c r="N544" s="376"/>
      <c r="O544" s="376"/>
      <c r="P544" s="376"/>
      <c r="Q544" s="376"/>
      <c r="R544" s="376"/>
      <c r="S544" s="376"/>
      <c r="T544" s="376"/>
      <c r="U544" s="376"/>
      <c r="V544" s="376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  <c r="AM544" s="399"/>
      <c r="AN544" s="399"/>
      <c r="AO544" s="399"/>
      <c r="AP544" s="399"/>
      <c r="AQ544" s="399"/>
      <c r="AR544" s="399"/>
    </row>
    <row r="545" spans="2:44" ht="27.75" customHeight="1" x14ac:dyDescent="0.4">
      <c r="B545" s="376"/>
      <c r="C545" s="310"/>
      <c r="D545" s="376"/>
      <c r="E545" s="376"/>
      <c r="F545" s="376"/>
      <c r="G545" s="376"/>
      <c r="H545" s="376"/>
      <c r="I545" s="376"/>
      <c r="J545" s="376"/>
      <c r="K545" s="376"/>
      <c r="L545" s="376"/>
      <c r="M545" s="376"/>
      <c r="N545" s="376"/>
      <c r="O545" s="376"/>
      <c r="P545" s="376"/>
      <c r="Q545" s="376"/>
      <c r="R545" s="376"/>
      <c r="S545" s="376"/>
      <c r="T545" s="376"/>
      <c r="U545" s="376"/>
      <c r="V545" s="376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  <c r="AM545" s="399"/>
      <c r="AN545" s="399"/>
      <c r="AO545" s="399"/>
      <c r="AP545" s="399"/>
      <c r="AQ545" s="399"/>
      <c r="AR545" s="399"/>
    </row>
  </sheetData>
  <sheetProtection algorithmName="SHA-512" hashValue="nkyMqMZ8lZnJFDzZ9fI7f8VvfTjgeDLRcVb3vq8TZT1T+uzGotCohSNTz4mTm2rq9ROcyOkT26oxDe05LLGtIQ==" saltValue="IjvhzLM3ZOJTHFRVEHV1pQ==" spinCount="100000" sheet="1" objects="1" scenarios="1" selectLockedCells="1" autoFilter="0"/>
  <protectedRanges>
    <protectedRange sqref="D71 D39 E9:P386" name="Range1"/>
  </protectedRanges>
  <autoFilter ref="B8:P388"/>
  <mergeCells count="6">
    <mergeCell ref="A6:L6"/>
    <mergeCell ref="O7:P7"/>
    <mergeCell ref="A7:A8"/>
    <mergeCell ref="E7:I7"/>
    <mergeCell ref="J7:N7"/>
    <mergeCell ref="B7:D7"/>
  </mergeCells>
  <conditionalFormatting sqref="G9:G70 H39:I39 G198:G228 G230:G259 G261:G291 G293:G323 G325:G353 G355:G385 G387 G72:G101 G103:G133 G135:G165 G167:G196">
    <cfRule type="cellIs" dxfId="126" priority="68" operator="greaterThan">
      <formula>0</formula>
    </cfRule>
  </conditionalFormatting>
  <conditionalFormatting sqref="H39:I39 E71:N71 E102:N102 E134:N134 E166:N166 E197:N197 E198:G228 E229:N229 E230:G259 E260:N260 E261:G291 E292:N292 E293:G323 E324:N324 E325:G353 E354:N354 E355:G385 E386:N386 E9:G70 E72:G101 E103:G133 E135:G165 E167:G196">
    <cfRule type="cellIs" dxfId="125" priority="67" operator="greaterThan">
      <formula>0</formula>
    </cfRule>
  </conditionalFormatting>
  <conditionalFormatting sqref="J39:N39">
    <cfRule type="cellIs" dxfId="124" priority="66" operator="greaterThan">
      <formula>0</formula>
    </cfRule>
  </conditionalFormatting>
  <conditionalFormatting sqref="H9:H70 H72:H101 H103:H133 H167:H196 H198:H228 H230:H259 H261:H291 H293:H323 H325:H353 H355:H385 H135:H165">
    <cfRule type="containsText" dxfId="123" priority="60" operator="containsText" text="सुट्टी">
      <formula>NOT(ISERROR(SEARCH("सुट्टी",H9)))</formula>
    </cfRule>
  </conditionalFormatting>
  <conditionalFormatting sqref="M9:M33 M40:M70 M72:M83 M103:M133 M135:M165 M167:M196 M198:M228 M230:M259 M261:M291 M293:M323 M325:M353 M355:M385 M90:M101">
    <cfRule type="containsText" dxfId="122" priority="59" operator="containsText" text="सुट्टी">
      <formula>NOT(ISERROR(SEARCH("सुट्टी",M9)))</formula>
    </cfRule>
  </conditionalFormatting>
  <conditionalFormatting sqref="E9:G38">
    <cfRule type="cellIs" dxfId="121" priority="58" operator="equal">
      <formula>0</formula>
    </cfRule>
  </conditionalFormatting>
  <conditionalFormatting sqref="L9:L38">
    <cfRule type="cellIs" dxfId="120" priority="57" operator="greaterThan">
      <formula>0</formula>
    </cfRule>
  </conditionalFormatting>
  <conditionalFormatting sqref="J9:L35 J37:L38 K36:L36">
    <cfRule type="cellIs" dxfId="119" priority="56" operator="greaterThan">
      <formula>0</formula>
    </cfRule>
  </conditionalFormatting>
  <conditionalFormatting sqref="J9:L35 J37:L38 K36:L36">
    <cfRule type="cellIs" dxfId="118" priority="55" operator="equal">
      <formula>0</formula>
    </cfRule>
  </conditionalFormatting>
  <conditionalFormatting sqref="E40:G70">
    <cfRule type="cellIs" dxfId="117" priority="54" operator="equal">
      <formula>0</formula>
    </cfRule>
  </conditionalFormatting>
  <conditionalFormatting sqref="L40:L70">
    <cfRule type="cellIs" dxfId="116" priority="53" operator="greaterThan">
      <formula>0</formula>
    </cfRule>
  </conditionalFormatting>
  <conditionalFormatting sqref="J40:L70">
    <cfRule type="cellIs" dxfId="115" priority="52" operator="greaterThan">
      <formula>0</formula>
    </cfRule>
  </conditionalFormatting>
  <conditionalFormatting sqref="J40:L70">
    <cfRule type="cellIs" dxfId="114" priority="51" operator="equal">
      <formula>0</formula>
    </cfRule>
  </conditionalFormatting>
  <conditionalFormatting sqref="E72:G101">
    <cfRule type="cellIs" dxfId="113" priority="50" operator="equal">
      <formula>0</formula>
    </cfRule>
  </conditionalFormatting>
  <conditionalFormatting sqref="L72:L101">
    <cfRule type="cellIs" dxfId="112" priority="49" operator="greaterThan">
      <formula>0</formula>
    </cfRule>
  </conditionalFormatting>
  <conditionalFormatting sqref="J72:L101">
    <cfRule type="cellIs" dxfId="111" priority="48" operator="greaterThan">
      <formula>0</formula>
    </cfRule>
  </conditionalFormatting>
  <conditionalFormatting sqref="J72:L101">
    <cfRule type="cellIs" dxfId="110" priority="47" operator="equal">
      <formula>0</formula>
    </cfRule>
  </conditionalFormatting>
  <conditionalFormatting sqref="E103:G133">
    <cfRule type="cellIs" dxfId="109" priority="46" operator="equal">
      <formula>0</formula>
    </cfRule>
  </conditionalFormatting>
  <conditionalFormatting sqref="L103:L133">
    <cfRule type="cellIs" dxfId="108" priority="45" operator="greaterThan">
      <formula>0</formula>
    </cfRule>
  </conditionalFormatting>
  <conditionalFormatting sqref="J103:L133">
    <cfRule type="cellIs" dxfId="107" priority="44" operator="greaterThan">
      <formula>0</formula>
    </cfRule>
  </conditionalFormatting>
  <conditionalFormatting sqref="J103:L133">
    <cfRule type="cellIs" dxfId="106" priority="43" operator="equal">
      <formula>0</formula>
    </cfRule>
  </conditionalFormatting>
  <conditionalFormatting sqref="E135:G165">
    <cfRule type="cellIs" dxfId="105" priority="42" operator="equal">
      <formula>0</formula>
    </cfRule>
  </conditionalFormatting>
  <conditionalFormatting sqref="L135:L165">
    <cfRule type="cellIs" dxfId="104" priority="41" operator="greaterThan">
      <formula>0</formula>
    </cfRule>
  </conditionalFormatting>
  <conditionalFormatting sqref="J135:L165">
    <cfRule type="cellIs" dxfId="103" priority="40" operator="greaterThan">
      <formula>0</formula>
    </cfRule>
  </conditionalFormatting>
  <conditionalFormatting sqref="J135:L165">
    <cfRule type="cellIs" dxfId="102" priority="39" operator="equal">
      <formula>0</formula>
    </cfRule>
  </conditionalFormatting>
  <conditionalFormatting sqref="E167:G196">
    <cfRule type="cellIs" dxfId="101" priority="38" operator="equal">
      <formula>0</formula>
    </cfRule>
  </conditionalFormatting>
  <conditionalFormatting sqref="L167:L196">
    <cfRule type="cellIs" dxfId="100" priority="37" operator="greaterThan">
      <formula>0</formula>
    </cfRule>
  </conditionalFormatting>
  <conditionalFormatting sqref="J167:L196">
    <cfRule type="cellIs" dxfId="99" priority="36" operator="greaterThan">
      <formula>0</formula>
    </cfRule>
  </conditionalFormatting>
  <conditionalFormatting sqref="J167:L196">
    <cfRule type="cellIs" dxfId="98" priority="35" operator="equal">
      <formula>0</formula>
    </cfRule>
  </conditionalFormatting>
  <conditionalFormatting sqref="E198:G228">
    <cfRule type="cellIs" dxfId="97" priority="34" operator="equal">
      <formula>0</formula>
    </cfRule>
  </conditionalFormatting>
  <conditionalFormatting sqref="L198:L228">
    <cfRule type="cellIs" dxfId="96" priority="33" operator="greaterThan">
      <formula>0</formula>
    </cfRule>
  </conditionalFormatting>
  <conditionalFormatting sqref="J198:L228">
    <cfRule type="cellIs" dxfId="95" priority="32" operator="greaterThan">
      <formula>0</formula>
    </cfRule>
  </conditionalFormatting>
  <conditionalFormatting sqref="J198:L228">
    <cfRule type="cellIs" dxfId="94" priority="31" operator="equal">
      <formula>0</formula>
    </cfRule>
  </conditionalFormatting>
  <conditionalFormatting sqref="E230:G259">
    <cfRule type="cellIs" dxfId="93" priority="30" operator="equal">
      <formula>0</formula>
    </cfRule>
  </conditionalFormatting>
  <conditionalFormatting sqref="L230:L259">
    <cfRule type="cellIs" dxfId="92" priority="29" operator="greaterThan">
      <formula>0</formula>
    </cfRule>
  </conditionalFormatting>
  <conditionalFormatting sqref="J230:L259">
    <cfRule type="cellIs" dxfId="91" priority="28" operator="greaterThan">
      <formula>0</formula>
    </cfRule>
  </conditionalFormatting>
  <conditionalFormatting sqref="J230:L259">
    <cfRule type="cellIs" dxfId="90" priority="27" operator="equal">
      <formula>0</formula>
    </cfRule>
  </conditionalFormatting>
  <conditionalFormatting sqref="E261:G291">
    <cfRule type="cellIs" dxfId="89" priority="26" operator="equal">
      <formula>0</formula>
    </cfRule>
  </conditionalFormatting>
  <conditionalFormatting sqref="L261:L291">
    <cfRule type="cellIs" dxfId="88" priority="25" operator="greaterThan">
      <formula>0</formula>
    </cfRule>
  </conditionalFormatting>
  <conditionalFormatting sqref="J261:L291">
    <cfRule type="cellIs" dxfId="87" priority="24" operator="greaterThan">
      <formula>0</formula>
    </cfRule>
  </conditionalFormatting>
  <conditionalFormatting sqref="J261:L291">
    <cfRule type="cellIs" dxfId="86" priority="23" operator="equal">
      <formula>0</formula>
    </cfRule>
  </conditionalFormatting>
  <conditionalFormatting sqref="E293:G323">
    <cfRule type="cellIs" dxfId="85" priority="22" operator="equal">
      <formula>0</formula>
    </cfRule>
  </conditionalFormatting>
  <conditionalFormatting sqref="L293:L323">
    <cfRule type="cellIs" dxfId="84" priority="21" operator="greaterThan">
      <formula>0</formula>
    </cfRule>
  </conditionalFormatting>
  <conditionalFormatting sqref="J293:L323">
    <cfRule type="cellIs" dxfId="83" priority="20" operator="greaterThan">
      <formula>0</formula>
    </cfRule>
  </conditionalFormatting>
  <conditionalFormatting sqref="J293:L323">
    <cfRule type="cellIs" dxfId="82" priority="19" operator="equal">
      <formula>0</formula>
    </cfRule>
  </conditionalFormatting>
  <conditionalFormatting sqref="E325:G353">
    <cfRule type="cellIs" dxfId="81" priority="18" operator="equal">
      <formula>0</formula>
    </cfRule>
  </conditionalFormatting>
  <conditionalFormatting sqref="L325:L353">
    <cfRule type="cellIs" dxfId="80" priority="17" operator="greaterThan">
      <formula>0</formula>
    </cfRule>
  </conditionalFormatting>
  <conditionalFormatting sqref="J325:L353">
    <cfRule type="cellIs" dxfId="79" priority="16" operator="greaterThan">
      <formula>0</formula>
    </cfRule>
  </conditionalFormatting>
  <conditionalFormatting sqref="J325:L353">
    <cfRule type="cellIs" dxfId="78" priority="15" operator="equal">
      <formula>0</formula>
    </cfRule>
  </conditionalFormatting>
  <conditionalFormatting sqref="E355:G385">
    <cfRule type="cellIs" dxfId="77" priority="14" operator="equal">
      <formula>0</formula>
    </cfRule>
  </conditionalFormatting>
  <conditionalFormatting sqref="L355:L385">
    <cfRule type="cellIs" dxfId="76" priority="13" operator="greaterThan">
      <formula>0</formula>
    </cfRule>
  </conditionalFormatting>
  <conditionalFormatting sqref="J355:L385">
    <cfRule type="cellIs" dxfId="75" priority="12" operator="greaterThan">
      <formula>0</formula>
    </cfRule>
  </conditionalFormatting>
  <conditionalFormatting sqref="J355:L385">
    <cfRule type="cellIs" dxfId="74" priority="11" operator="equal">
      <formula>0</formula>
    </cfRule>
  </conditionalFormatting>
  <conditionalFormatting sqref="D71">
    <cfRule type="cellIs" dxfId="73" priority="10" operator="greaterThan">
      <formula>0</formula>
    </cfRule>
  </conditionalFormatting>
  <conditionalFormatting sqref="D39">
    <cfRule type="cellIs" dxfId="72" priority="9" operator="greaterThan">
      <formula>0</formula>
    </cfRule>
  </conditionalFormatting>
  <conditionalFormatting sqref="J36">
    <cfRule type="cellIs" dxfId="71" priority="8" operator="greaterThan">
      <formula>0</formula>
    </cfRule>
  </conditionalFormatting>
  <conditionalFormatting sqref="J36">
    <cfRule type="cellIs" dxfId="70" priority="7" operator="equal">
      <formula>0</formula>
    </cfRule>
  </conditionalFormatting>
  <conditionalFormatting sqref="M34:M38">
    <cfRule type="containsText" dxfId="69" priority="6" operator="containsText" text="सुट्टी">
      <formula>NOT(ISERROR(SEARCH("सुट्टी",M34)))</formula>
    </cfRule>
  </conditionalFormatting>
  <conditionalFormatting sqref="M84:M89">
    <cfRule type="containsText" dxfId="68" priority="5" operator="containsText" text="सुट्टी">
      <formula>NOT(ISERROR(SEARCH("सुट्टी",M84)))</formula>
    </cfRule>
  </conditionalFormatting>
  <conditionalFormatting sqref="E135:G140">
    <cfRule type="cellIs" dxfId="67" priority="4" operator="equal">
      <formula>0</formula>
    </cfRule>
  </conditionalFormatting>
  <conditionalFormatting sqref="E142:G147">
    <cfRule type="cellIs" dxfId="66" priority="3" operator="equal">
      <formula>0</formula>
    </cfRule>
  </conditionalFormatting>
  <conditionalFormatting sqref="E149:G154">
    <cfRule type="cellIs" dxfId="65" priority="2" operator="equal">
      <formula>0</formula>
    </cfRule>
  </conditionalFormatting>
  <conditionalFormatting sqref="E156:G161">
    <cfRule type="cellIs" dxfId="64" priority="1" operator="equal">
      <formula>0</formula>
    </cfRule>
  </conditionalFormatting>
  <dataValidations count="5">
    <dataValidation type="list" allowBlank="1" showInputMessage="1" showErrorMessage="1" sqref="H40:H70 M355:M385 H9:H38 M9:M38 M40:M70 M72:M101 H72:H101 H103:H133 M103:M133 M135:M165 H135:H165 H167:H196 M167:M196 M198:M228 H198:H228 H230:H259 M230:M259 M261:M291 H261:H291 H293:H323 M293:M323 M325:M353 H325:H353 H355:H385">
      <formula1>seed</formula1>
    </dataValidation>
    <dataValidation type="list" allowBlank="1" showInputMessage="1" showErrorMessage="1" sqref="I40:I70 N355:N385 I9:I38 N9:N38 N40:N70 N72:N101 I72:I101 I103:I133 N103:N133 N135:N165 I135:I165 I167:I196 N167:N196 N198:N228 I198:I228 I230:I259 N230:N259 N261:N291 I261:I291 I293:I323 N293:N323 N325:N353 I325:I353 I355:I385">
      <formula1>menu</formula1>
    </dataValidation>
    <dataValidation type="list" allowBlank="1" showInputMessage="1" showErrorMessage="1" sqref="P386">
      <formula1>"स्वादिष्ठ,रुचकर,छान,चविष्ट,उत्तम"</formula1>
    </dataValidation>
    <dataValidation type="list" allowBlank="1" showInputMessage="1" showErrorMessage="1" sqref="O21:O385">
      <formula1>$O$9:$O$20</formula1>
    </dataValidation>
    <dataValidation type="list" allowBlank="1" showInputMessage="1" showErrorMessage="1" sqref="P9:P385">
      <formula1>चव</formula1>
    </dataValidation>
  </dataValidations>
  <pageMargins left="0.23622047244094491" right="0.23622047244094491" top="0.74803149606299213" bottom="0.74803149606299213" header="0.31496062992125984" footer="0.31496062992125984"/>
  <pageSetup paperSize="9" scale="62" fitToHeight="0" orientation="portrait" r:id="rId1"/>
  <rowBreaks count="12" manualBreakCount="12">
    <brk id="39" max="24" man="1"/>
    <brk id="71" max="24" man="1"/>
    <brk id="102" max="24" man="1"/>
    <brk id="134" max="24" man="1"/>
    <brk id="166" max="24" man="1"/>
    <brk id="197" max="24" man="1"/>
    <brk id="229" max="24" man="1"/>
    <brk id="260" max="24" man="1"/>
    <brk id="292" max="24" man="1"/>
    <brk id="324" max="24" man="1"/>
    <brk id="354" max="24" man="1"/>
    <brk id="388" max="24" man="1"/>
  </rowBreaks>
  <colBreaks count="2" manualBreakCount="2">
    <brk id="14" min="5" max="542" man="1"/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00FF"/>
  </sheetPr>
  <dimension ref="A2:BF40"/>
  <sheetViews>
    <sheetView workbookViewId="0">
      <selection activeCell="D5" sqref="D5:J5"/>
    </sheetView>
  </sheetViews>
  <sheetFormatPr defaultRowHeight="15.75" x14ac:dyDescent="0.3"/>
  <cols>
    <col min="1" max="1" width="4.42578125" style="15" customWidth="1"/>
    <col min="2" max="2" width="12.28515625" style="368" customWidth="1"/>
    <col min="3" max="11" width="9.42578125" style="15" bestFit="1" customWidth="1"/>
    <col min="12" max="18" width="11" style="15" bestFit="1" customWidth="1"/>
    <col min="19" max="19" width="11.140625" style="368" customWidth="1"/>
    <col min="20" max="20" width="11.85546875" style="368" customWidth="1"/>
    <col min="21" max="21" width="10.7109375" style="15" customWidth="1"/>
    <col min="22" max="22" width="10.5703125" style="15" customWidth="1"/>
    <col min="23" max="23" width="12.5703125" style="15" customWidth="1"/>
    <col min="24" max="24" width="9.28515625" style="15" customWidth="1"/>
    <col min="25" max="25" width="12.7109375" style="15" customWidth="1"/>
    <col min="26" max="26" width="9.5703125" style="15" customWidth="1"/>
    <col min="27" max="27" width="10.7109375" style="15" customWidth="1"/>
    <col min="28" max="28" width="11.5703125" style="15" customWidth="1"/>
    <col min="29" max="31" width="9.28515625" style="15" bestFit="1" customWidth="1"/>
    <col min="32" max="32" width="12.42578125" style="15" customWidth="1"/>
    <col min="33" max="33" width="9.28515625" style="15" bestFit="1" customWidth="1"/>
    <col min="34" max="34" width="9.28515625" style="15" customWidth="1"/>
    <col min="35" max="36" width="9.28515625" style="15" bestFit="1" customWidth="1"/>
    <col min="37" max="37" width="9.28515625" style="15" customWidth="1"/>
    <col min="38" max="38" width="9.28515625" style="15" bestFit="1" customWidth="1"/>
    <col min="39" max="39" width="9.140625" style="15"/>
    <col min="40" max="40" width="12.42578125" style="15" customWidth="1"/>
    <col min="41" max="41" width="13.28515625" style="15" customWidth="1"/>
    <col min="42" max="46" width="9.140625" style="15"/>
    <col min="47" max="47" width="9.28515625" style="15" bestFit="1" customWidth="1"/>
    <col min="48" max="48" width="13" style="15" customWidth="1"/>
    <col min="49" max="53" width="9.140625" style="15"/>
    <col min="54" max="54" width="9.140625" style="15" hidden="1" customWidth="1"/>
    <col min="55" max="55" width="0.140625" style="15" customWidth="1"/>
    <col min="56" max="58" width="9.140625" style="15" hidden="1" customWidth="1"/>
    <col min="59" max="60" width="9.140625" style="15"/>
    <col min="61" max="66" width="9.140625" style="15" customWidth="1"/>
    <col min="67" max="16384" width="9.140625" style="15"/>
  </cols>
  <sheetData>
    <row r="2" spans="2:58" ht="16.5" thickBot="1" x14ac:dyDescent="0.35">
      <c r="AC2" s="367"/>
    </row>
    <row r="3" spans="2:58" x14ac:dyDescent="0.3">
      <c r="D3" s="1559" t="str">
        <f>'शाळा माहिती'!D4</f>
        <v>जि.प.प्रा.शा.बोरजाई वस्ती</v>
      </c>
      <c r="E3" s="1560"/>
      <c r="F3" s="1560"/>
      <c r="G3" s="1560"/>
      <c r="H3" s="1560"/>
      <c r="I3" s="1560"/>
      <c r="J3" s="1560"/>
      <c r="K3" s="1561"/>
      <c r="L3" s="1565" t="s">
        <v>255</v>
      </c>
      <c r="M3" s="1566"/>
      <c r="N3" s="1569">
        <f>HOME!E2</f>
        <v>2022</v>
      </c>
      <c r="O3" s="1569">
        <f>HOME!F2</f>
        <v>2023</v>
      </c>
      <c r="P3" s="402"/>
    </row>
    <row r="4" spans="2:58" ht="16.5" thickBot="1" x14ac:dyDescent="0.35">
      <c r="D4" s="1562"/>
      <c r="E4" s="1563"/>
      <c r="F4" s="1563"/>
      <c r="G4" s="1563"/>
      <c r="H4" s="1563"/>
      <c r="I4" s="1563"/>
      <c r="J4" s="1563"/>
      <c r="K4" s="1564"/>
      <c r="L4" s="1567"/>
      <c r="M4" s="1568"/>
      <c r="N4" s="1570"/>
      <c r="O4" s="1570"/>
      <c r="P4" s="402"/>
    </row>
    <row r="5" spans="2:58" ht="28.5" thickBot="1" x14ac:dyDescent="0.5">
      <c r="B5" s="1605" t="s">
        <v>229</v>
      </c>
      <c r="C5" s="1606"/>
      <c r="D5" s="1578" t="s">
        <v>80</v>
      </c>
      <c r="E5" s="1578"/>
      <c r="F5" s="1578"/>
      <c r="G5" s="1578"/>
      <c r="H5" s="1578"/>
      <c r="I5" s="1578"/>
      <c r="J5" s="1578"/>
      <c r="K5" s="1578"/>
      <c r="L5" s="1607" t="s">
        <v>95</v>
      </c>
      <c r="M5" s="1608"/>
      <c r="N5" s="1608"/>
      <c r="O5" s="1608"/>
      <c r="P5" s="1608"/>
      <c r="Q5" s="1608"/>
      <c r="R5" s="1608"/>
      <c r="S5" s="1608"/>
      <c r="T5" s="1609"/>
      <c r="U5" s="1597" t="s">
        <v>78</v>
      </c>
      <c r="V5" s="1597"/>
      <c r="W5" s="1597"/>
      <c r="X5" s="1597"/>
      <c r="Y5" s="1596"/>
      <c r="Z5" s="1595" t="s">
        <v>345</v>
      </c>
      <c r="AA5" s="1596"/>
      <c r="AB5" s="403" t="s">
        <v>274</v>
      </c>
      <c r="AC5" s="1593" t="s">
        <v>79</v>
      </c>
      <c r="AD5" s="1594"/>
      <c r="AE5" s="1594"/>
      <c r="AF5" s="1594"/>
      <c r="AG5" s="1594"/>
      <c r="AH5" s="1594"/>
      <c r="AI5" s="1594"/>
      <c r="AJ5" s="1594"/>
      <c r="AK5" s="1594"/>
      <c r="AL5" s="1579"/>
      <c r="AM5" s="1580"/>
      <c r="AN5" s="1580"/>
      <c r="AO5" s="1581"/>
    </row>
    <row r="6" spans="2:58" ht="34.5" customHeight="1" x14ac:dyDescent="0.4">
      <c r="B6" s="1600" t="s">
        <v>106</v>
      </c>
      <c r="C6" s="1576" t="str">
        <f>'साठा नोंदवही'!E5</f>
        <v>तांदूळ</v>
      </c>
      <c r="D6" s="1576" t="str">
        <f>'साठा नोंदवही'!F5</f>
        <v>मुगडाळ</v>
      </c>
      <c r="E6" s="1576" t="str">
        <f>'साठा नोंदवही'!G5</f>
        <v>तुरडाळ</v>
      </c>
      <c r="F6" s="1576" t="str">
        <f>'साठा नोंदवही'!H5</f>
        <v>मसूरडाळ</v>
      </c>
      <c r="G6" s="1576" t="str">
        <f>'साठा नोंदवही'!I5</f>
        <v>मटकी</v>
      </c>
      <c r="H6" s="1576" t="str">
        <f>'साठा नोंदवही'!J5</f>
        <v>मुग</v>
      </c>
      <c r="I6" s="1576" t="str">
        <f>'साठा नोंदवही'!K5</f>
        <v>चवळी</v>
      </c>
      <c r="J6" s="1576" t="str">
        <f>'साठा नोंदवही'!L5</f>
        <v>हरभरा</v>
      </c>
      <c r="K6" s="1576" t="str">
        <f>'साठा नोंदवही'!M5</f>
        <v>वाटाणा</v>
      </c>
      <c r="L6" s="1576" t="str">
        <f>'साठा नोंदवही'!N5</f>
        <v>जिरे</v>
      </c>
      <c r="M6" s="1576" t="str">
        <f>'साठा नोंदवही'!O5</f>
        <v>मोहरी</v>
      </c>
      <c r="N6" s="1576" t="str">
        <f>'साठा नोंदवही'!P5</f>
        <v>हळद</v>
      </c>
      <c r="O6" s="1603" t="str">
        <f>'साठा नोंदवही'!Q5</f>
        <v>मिरची पावडर</v>
      </c>
      <c r="P6" s="1603" t="str">
        <f>'साठा नोंदवही'!R5</f>
        <v>गरम मसाला</v>
      </c>
      <c r="Q6" s="1603" t="str">
        <f>'साठा नोंदवही'!S5</f>
        <v>सोयाबीन तेल</v>
      </c>
      <c r="R6" s="1576" t="str">
        <f>'साठा नोंदवही'!T5</f>
        <v>मीठ</v>
      </c>
      <c r="S6" s="1603" t="str">
        <f>'साठा नोंदवही'!U5</f>
        <v>कांदा लसून मसाला</v>
      </c>
      <c r="T6" s="1576">
        <f>'साठा नोंदवही'!V5</f>
        <v>0</v>
      </c>
      <c r="U6" s="1585" t="s">
        <v>728</v>
      </c>
      <c r="V6" s="1585" t="s">
        <v>729</v>
      </c>
      <c r="W6" s="1585" t="s">
        <v>730</v>
      </c>
      <c r="X6" s="1585" t="s">
        <v>731</v>
      </c>
      <c r="Y6" s="1587" t="s">
        <v>346</v>
      </c>
      <c r="Z6" s="1589" t="s">
        <v>347</v>
      </c>
      <c r="AA6" s="1591" t="s">
        <v>348</v>
      </c>
      <c r="AB6" s="1611" t="s">
        <v>273</v>
      </c>
      <c r="AC6" s="1613" t="s">
        <v>62</v>
      </c>
      <c r="AD6" s="1614"/>
      <c r="AE6" s="1614"/>
      <c r="AF6" s="1614"/>
      <c r="AG6" s="1614"/>
      <c r="AH6" s="1614"/>
      <c r="AI6" s="1614"/>
      <c r="AJ6" s="1614"/>
      <c r="AK6" s="1614"/>
      <c r="AL6" s="1582" t="s">
        <v>48</v>
      </c>
      <c r="AM6" s="1583"/>
      <c r="AN6" s="1583"/>
      <c r="AO6" s="1584"/>
    </row>
    <row r="7" spans="2:58" ht="33" customHeight="1" x14ac:dyDescent="0.3">
      <c r="B7" s="1601"/>
      <c r="C7" s="1577"/>
      <c r="D7" s="1577"/>
      <c r="E7" s="1577"/>
      <c r="F7" s="1577"/>
      <c r="G7" s="1577"/>
      <c r="H7" s="1577"/>
      <c r="I7" s="1577"/>
      <c r="J7" s="1577"/>
      <c r="K7" s="1577"/>
      <c r="L7" s="1577"/>
      <c r="M7" s="1577"/>
      <c r="N7" s="1577"/>
      <c r="O7" s="1599"/>
      <c r="P7" s="1599"/>
      <c r="Q7" s="1599"/>
      <c r="R7" s="1577"/>
      <c r="S7" s="1599"/>
      <c r="T7" s="1577"/>
      <c r="U7" s="1586"/>
      <c r="V7" s="1586"/>
      <c r="W7" s="1586"/>
      <c r="X7" s="1604"/>
      <c r="Y7" s="1588"/>
      <c r="Z7" s="1590"/>
      <c r="AA7" s="1592"/>
      <c r="AB7" s="1612"/>
      <c r="AC7" s="404" t="s">
        <v>49</v>
      </c>
      <c r="AD7" s="405" t="s">
        <v>53</v>
      </c>
      <c r="AE7" s="405" t="s">
        <v>340</v>
      </c>
      <c r="AF7" s="406" t="s">
        <v>52</v>
      </c>
      <c r="AG7" s="405" t="s">
        <v>50</v>
      </c>
      <c r="AH7" s="405" t="s">
        <v>51</v>
      </c>
      <c r="AI7" s="405" t="s">
        <v>54</v>
      </c>
      <c r="AJ7" s="405" t="s">
        <v>55</v>
      </c>
      <c r="AK7" s="407" t="s">
        <v>339</v>
      </c>
      <c r="AL7" s="269" t="str">
        <f>'शाळा माहिती'!D35</f>
        <v>केळी</v>
      </c>
      <c r="AM7" s="270" t="str">
        <f>'शाळा माहिती'!D36</f>
        <v>खारीक</v>
      </c>
      <c r="AN7" s="271" t="str">
        <f>'शाळा माहिती'!D37</f>
        <v>गूळ शेंगदाणे</v>
      </c>
      <c r="AO7" s="272" t="str">
        <f>'शाळा माहिती'!D38</f>
        <v>राजगिरा लाडू</v>
      </c>
    </row>
    <row r="8" spans="2:58" ht="18.75" customHeight="1" x14ac:dyDescent="0.4">
      <c r="B8" s="1602"/>
      <c r="C8" s="408" t="s">
        <v>81</v>
      </c>
      <c r="D8" s="409" t="s">
        <v>81</v>
      </c>
      <c r="E8" s="409" t="s">
        <v>81</v>
      </c>
      <c r="F8" s="409" t="s">
        <v>81</v>
      </c>
      <c r="G8" s="409" t="s">
        <v>81</v>
      </c>
      <c r="H8" s="409" t="s">
        <v>81</v>
      </c>
      <c r="I8" s="409" t="s">
        <v>81</v>
      </c>
      <c r="J8" s="409" t="s">
        <v>81</v>
      </c>
      <c r="K8" s="409" t="s">
        <v>81</v>
      </c>
      <c r="L8" s="409" t="s">
        <v>81</v>
      </c>
      <c r="M8" s="409" t="s">
        <v>81</v>
      </c>
      <c r="N8" s="409" t="s">
        <v>81</v>
      </c>
      <c r="O8" s="409" t="s">
        <v>81</v>
      </c>
      <c r="P8" s="409" t="s">
        <v>81</v>
      </c>
      <c r="Q8" s="409" t="s">
        <v>82</v>
      </c>
      <c r="R8" s="409" t="s">
        <v>81</v>
      </c>
      <c r="S8" s="409" t="s">
        <v>81</v>
      </c>
      <c r="T8" s="409" t="s">
        <v>81</v>
      </c>
      <c r="U8" s="410" t="s">
        <v>83</v>
      </c>
      <c r="V8" s="410" t="s">
        <v>83</v>
      </c>
      <c r="W8" s="410" t="s">
        <v>83</v>
      </c>
      <c r="X8" s="410" t="s">
        <v>83</v>
      </c>
      <c r="Y8" s="410" t="s">
        <v>83</v>
      </c>
      <c r="Z8" s="410" t="s">
        <v>83</v>
      </c>
      <c r="AA8" s="410" t="s">
        <v>83</v>
      </c>
      <c r="AB8" s="410" t="s">
        <v>83</v>
      </c>
      <c r="AC8" s="411" t="s">
        <v>83</v>
      </c>
      <c r="AD8" s="411" t="s">
        <v>83</v>
      </c>
      <c r="AE8" s="411" t="s">
        <v>83</v>
      </c>
      <c r="AF8" s="411" t="s">
        <v>83</v>
      </c>
      <c r="AG8" s="411" t="s">
        <v>83</v>
      </c>
      <c r="AH8" s="411" t="s">
        <v>83</v>
      </c>
      <c r="AI8" s="411" t="s">
        <v>83</v>
      </c>
      <c r="AJ8" s="411" t="s">
        <v>83</v>
      </c>
      <c r="AK8" s="412" t="s">
        <v>83</v>
      </c>
      <c r="AL8" s="413" t="s">
        <v>83</v>
      </c>
      <c r="AM8" s="411" t="s">
        <v>83</v>
      </c>
      <c r="AN8" s="411" t="s">
        <v>83</v>
      </c>
      <c r="AO8" s="414" t="s">
        <v>83</v>
      </c>
      <c r="BC8" s="371"/>
      <c r="BD8" s="399" t="s">
        <v>264</v>
      </c>
      <c r="BE8" s="399" t="s">
        <v>265</v>
      </c>
      <c r="BF8" s="415" t="s">
        <v>283</v>
      </c>
    </row>
    <row r="9" spans="2:58" ht="25.5" customHeight="1" x14ac:dyDescent="0.4">
      <c r="B9" s="416" t="s">
        <v>42</v>
      </c>
      <c r="C9" s="434">
        <v>0.1</v>
      </c>
      <c r="D9" s="435">
        <v>0.02</v>
      </c>
      <c r="E9" s="435">
        <v>0.02</v>
      </c>
      <c r="F9" s="435">
        <v>0.02</v>
      </c>
      <c r="G9" s="435">
        <v>0.02</v>
      </c>
      <c r="H9" s="435">
        <v>0.02</v>
      </c>
      <c r="I9" s="435">
        <v>0.02</v>
      </c>
      <c r="J9" s="435">
        <v>0.02</v>
      </c>
      <c r="K9" s="435">
        <v>0.02</v>
      </c>
      <c r="L9" s="436">
        <v>2.9999999999999997E-4</v>
      </c>
      <c r="M9" s="436">
        <v>5.0000000000000001E-4</v>
      </c>
      <c r="N9" s="436">
        <v>2.9999999999999997E-4</v>
      </c>
      <c r="O9" s="436">
        <v>0</v>
      </c>
      <c r="P9" s="1203">
        <v>0</v>
      </c>
      <c r="Q9" s="437">
        <v>5.0000000000000001E-3</v>
      </c>
      <c r="R9" s="438">
        <v>2E-3</v>
      </c>
      <c r="S9" s="438">
        <v>1.1999999999999999E-3</v>
      </c>
      <c r="T9" s="439">
        <v>0</v>
      </c>
      <c r="U9" s="440">
        <v>0.72</v>
      </c>
      <c r="V9" s="440">
        <v>0.64</v>
      </c>
      <c r="W9" s="440">
        <v>0.53</v>
      </c>
      <c r="X9" s="440">
        <v>0.79</v>
      </c>
      <c r="Y9" s="440">
        <v>2.68</v>
      </c>
      <c r="Z9" s="440">
        <v>1.61</v>
      </c>
      <c r="AA9" s="440">
        <v>1.07</v>
      </c>
      <c r="AB9" s="441">
        <v>1500</v>
      </c>
      <c r="AC9" s="442">
        <v>0.2</v>
      </c>
      <c r="AD9" s="442">
        <v>0.2</v>
      </c>
      <c r="AE9" s="442">
        <v>0.2</v>
      </c>
      <c r="AF9" s="442">
        <v>0.12</v>
      </c>
      <c r="AG9" s="442">
        <v>0.12</v>
      </c>
      <c r="AH9" s="442">
        <v>0.1</v>
      </c>
      <c r="AI9" s="442">
        <v>0.06</v>
      </c>
      <c r="AJ9" s="443">
        <v>0.12</v>
      </c>
      <c r="AK9" s="443">
        <v>0</v>
      </c>
      <c r="AL9" s="444"/>
      <c r="AM9" s="445"/>
      <c r="AN9" s="445"/>
      <c r="AO9" s="446"/>
      <c r="BC9" s="376" t="s">
        <v>42</v>
      </c>
      <c r="BD9" s="273">
        <f>Y9</f>
        <v>2.68</v>
      </c>
      <c r="BE9" s="273">
        <f>Y28</f>
        <v>4.0199999999999996</v>
      </c>
      <c r="BF9" s="274">
        <f>AB9</f>
        <v>1500</v>
      </c>
    </row>
    <row r="10" spans="2:58" ht="21.75" x14ac:dyDescent="0.4">
      <c r="B10" s="416" t="s">
        <v>44</v>
      </c>
      <c r="C10" s="434">
        <v>0.1</v>
      </c>
      <c r="D10" s="435">
        <v>0.02</v>
      </c>
      <c r="E10" s="435">
        <v>0.02</v>
      </c>
      <c r="F10" s="435">
        <v>0.02</v>
      </c>
      <c r="G10" s="435">
        <v>0.02</v>
      </c>
      <c r="H10" s="435">
        <v>0.02</v>
      </c>
      <c r="I10" s="435">
        <v>0.02</v>
      </c>
      <c r="J10" s="435">
        <v>0.02</v>
      </c>
      <c r="K10" s="435">
        <v>0.02</v>
      </c>
      <c r="L10" s="436">
        <v>2.9999999999999997E-4</v>
      </c>
      <c r="M10" s="436">
        <v>5.0000000000000001E-4</v>
      </c>
      <c r="N10" s="436">
        <v>2.9999999999999997E-4</v>
      </c>
      <c r="O10" s="436">
        <v>0</v>
      </c>
      <c r="P10" s="1203">
        <v>0</v>
      </c>
      <c r="Q10" s="437">
        <v>5.0000000000000001E-3</v>
      </c>
      <c r="R10" s="438">
        <v>2E-3</v>
      </c>
      <c r="S10" s="438">
        <v>1.1999999999999999E-3</v>
      </c>
      <c r="T10" s="439">
        <v>0</v>
      </c>
      <c r="U10" s="440">
        <v>0.72</v>
      </c>
      <c r="V10" s="440">
        <v>0.64</v>
      </c>
      <c r="W10" s="440">
        <v>0.53</v>
      </c>
      <c r="X10" s="440">
        <v>0.79</v>
      </c>
      <c r="Y10" s="440">
        <v>2.68</v>
      </c>
      <c r="Z10" s="440">
        <v>1.61</v>
      </c>
      <c r="AA10" s="440">
        <v>1.07</v>
      </c>
      <c r="AB10" s="441">
        <v>0</v>
      </c>
      <c r="AC10" s="442">
        <v>0.2</v>
      </c>
      <c r="AD10" s="442">
        <v>0.2</v>
      </c>
      <c r="AE10" s="442">
        <v>0.2</v>
      </c>
      <c r="AF10" s="442">
        <v>0.12</v>
      </c>
      <c r="AG10" s="442">
        <v>0.12</v>
      </c>
      <c r="AH10" s="442">
        <v>0.1</v>
      </c>
      <c r="AI10" s="442">
        <v>0.06</v>
      </c>
      <c r="AJ10" s="443">
        <v>0.12</v>
      </c>
      <c r="AK10" s="443">
        <v>0</v>
      </c>
      <c r="AL10" s="444"/>
      <c r="AM10" s="445"/>
      <c r="AN10" s="445"/>
      <c r="AO10" s="446"/>
      <c r="BC10" s="376" t="s">
        <v>44</v>
      </c>
      <c r="BD10" s="273">
        <f t="shared" ref="BD10:BD20" si="0">Y10</f>
        <v>2.68</v>
      </c>
      <c r="BE10" s="273">
        <f t="shared" ref="BE10:BE20" si="1">Y29</f>
        <v>4.0199999999999996</v>
      </c>
      <c r="BF10" s="274">
        <f t="shared" ref="BF10:BF20" si="2">AB10</f>
        <v>0</v>
      </c>
    </row>
    <row r="11" spans="2:58" ht="21.75" x14ac:dyDescent="0.4">
      <c r="B11" s="416" t="s">
        <v>94</v>
      </c>
      <c r="C11" s="434">
        <v>0.1</v>
      </c>
      <c r="D11" s="435">
        <v>0.02</v>
      </c>
      <c r="E11" s="435">
        <v>0.02</v>
      </c>
      <c r="F11" s="435">
        <v>0.02</v>
      </c>
      <c r="G11" s="435">
        <v>0.02</v>
      </c>
      <c r="H11" s="435">
        <v>0.02</v>
      </c>
      <c r="I11" s="435">
        <v>0.02</v>
      </c>
      <c r="J11" s="435">
        <v>0.02</v>
      </c>
      <c r="K11" s="435">
        <v>0.02</v>
      </c>
      <c r="L11" s="436">
        <v>2.9999999999999997E-4</v>
      </c>
      <c r="M11" s="436">
        <v>5.0000000000000001E-4</v>
      </c>
      <c r="N11" s="436">
        <v>2.9999999999999997E-4</v>
      </c>
      <c r="O11" s="436">
        <v>0</v>
      </c>
      <c r="P11" s="1203">
        <v>0</v>
      </c>
      <c r="Q11" s="437">
        <v>5.0000000000000001E-3</v>
      </c>
      <c r="R11" s="438">
        <v>2E-3</v>
      </c>
      <c r="S11" s="438">
        <v>1.1999999999999999E-3</v>
      </c>
      <c r="T11" s="439">
        <v>0</v>
      </c>
      <c r="U11" s="440">
        <v>0.72</v>
      </c>
      <c r="V11" s="440">
        <v>0.64</v>
      </c>
      <c r="W11" s="440">
        <v>0.53</v>
      </c>
      <c r="X11" s="440">
        <v>0.79</v>
      </c>
      <c r="Y11" s="440">
        <v>2.68</v>
      </c>
      <c r="Z11" s="440">
        <v>1.61</v>
      </c>
      <c r="AA11" s="440">
        <v>1.07</v>
      </c>
      <c r="AB11" s="441">
        <v>1500</v>
      </c>
      <c r="AC11" s="442">
        <v>0.2</v>
      </c>
      <c r="AD11" s="442">
        <v>0.2</v>
      </c>
      <c r="AE11" s="442">
        <v>0.2</v>
      </c>
      <c r="AF11" s="442">
        <v>0.12</v>
      </c>
      <c r="AG11" s="442">
        <v>0.12</v>
      </c>
      <c r="AH11" s="442">
        <v>0.1</v>
      </c>
      <c r="AI11" s="442">
        <v>0.06</v>
      </c>
      <c r="AJ11" s="443">
        <v>0.12</v>
      </c>
      <c r="AK11" s="443">
        <v>0</v>
      </c>
      <c r="AL11" s="447"/>
      <c r="AM11" s="445"/>
      <c r="AN11" s="445"/>
      <c r="AO11" s="446"/>
      <c r="BC11" s="376" t="s">
        <v>94</v>
      </c>
      <c r="BD11" s="273">
        <f t="shared" si="0"/>
        <v>2.68</v>
      </c>
      <c r="BE11" s="273">
        <f t="shared" si="1"/>
        <v>4.0199999999999996</v>
      </c>
      <c r="BF11" s="274">
        <f t="shared" si="2"/>
        <v>1500</v>
      </c>
    </row>
    <row r="12" spans="2:58" ht="21.75" x14ac:dyDescent="0.4">
      <c r="B12" s="416" t="s">
        <v>46</v>
      </c>
      <c r="C12" s="434">
        <v>0.1</v>
      </c>
      <c r="D12" s="435">
        <v>0.02</v>
      </c>
      <c r="E12" s="435">
        <v>0.02</v>
      </c>
      <c r="F12" s="435">
        <v>0.02</v>
      </c>
      <c r="G12" s="435">
        <v>0.02</v>
      </c>
      <c r="H12" s="435">
        <v>0.02</v>
      </c>
      <c r="I12" s="435">
        <v>0.02</v>
      </c>
      <c r="J12" s="435">
        <v>0.02</v>
      </c>
      <c r="K12" s="435">
        <v>0.02</v>
      </c>
      <c r="L12" s="436">
        <v>2.9999999999999997E-4</v>
      </c>
      <c r="M12" s="436">
        <v>5.0000000000000001E-4</v>
      </c>
      <c r="N12" s="436">
        <v>2.9999999999999997E-4</v>
      </c>
      <c r="O12" s="436">
        <v>0</v>
      </c>
      <c r="P12" s="1203">
        <v>0</v>
      </c>
      <c r="Q12" s="437">
        <v>5.0000000000000001E-3</v>
      </c>
      <c r="R12" s="438">
        <v>2E-3</v>
      </c>
      <c r="S12" s="438">
        <v>1.1999999999999999E-3</v>
      </c>
      <c r="T12" s="439">
        <v>0</v>
      </c>
      <c r="U12" s="440">
        <v>0.72</v>
      </c>
      <c r="V12" s="440">
        <v>0.64</v>
      </c>
      <c r="W12" s="440">
        <v>0.53</v>
      </c>
      <c r="X12" s="440">
        <v>0.79</v>
      </c>
      <c r="Y12" s="440">
        <v>2.68</v>
      </c>
      <c r="Z12" s="440">
        <v>1.61</v>
      </c>
      <c r="AA12" s="440">
        <v>1.07</v>
      </c>
      <c r="AB12" s="441">
        <v>1500</v>
      </c>
      <c r="AC12" s="442">
        <v>0.2</v>
      </c>
      <c r="AD12" s="442">
        <v>0.2</v>
      </c>
      <c r="AE12" s="442">
        <v>0.2</v>
      </c>
      <c r="AF12" s="442">
        <v>0.12</v>
      </c>
      <c r="AG12" s="442">
        <v>0.12</v>
      </c>
      <c r="AH12" s="442">
        <v>0.1</v>
      </c>
      <c r="AI12" s="442">
        <v>0.06</v>
      </c>
      <c r="AJ12" s="443">
        <v>0.12</v>
      </c>
      <c r="AK12" s="443">
        <v>0</v>
      </c>
      <c r="AL12" s="444"/>
      <c r="AM12" s="445"/>
      <c r="AN12" s="445"/>
      <c r="AO12" s="446"/>
      <c r="BC12" s="376" t="s">
        <v>46</v>
      </c>
      <c r="BD12" s="273">
        <f t="shared" si="0"/>
        <v>2.68</v>
      </c>
      <c r="BE12" s="273">
        <f t="shared" si="1"/>
        <v>4.0199999999999996</v>
      </c>
      <c r="BF12" s="274">
        <f t="shared" si="2"/>
        <v>1500</v>
      </c>
    </row>
    <row r="13" spans="2:58" ht="21.75" x14ac:dyDescent="0.4">
      <c r="B13" s="416" t="s">
        <v>34</v>
      </c>
      <c r="C13" s="434">
        <v>0.1</v>
      </c>
      <c r="D13" s="435">
        <v>0.02</v>
      </c>
      <c r="E13" s="435">
        <v>0.02</v>
      </c>
      <c r="F13" s="435">
        <v>0.02</v>
      </c>
      <c r="G13" s="435">
        <v>0.02</v>
      </c>
      <c r="H13" s="435">
        <v>0.02</v>
      </c>
      <c r="I13" s="435">
        <v>0.02</v>
      </c>
      <c r="J13" s="435">
        <v>0.02</v>
      </c>
      <c r="K13" s="435">
        <v>0.02</v>
      </c>
      <c r="L13" s="436">
        <v>2.9999999999999997E-4</v>
      </c>
      <c r="M13" s="436">
        <v>5.0000000000000001E-4</v>
      </c>
      <c r="N13" s="436">
        <v>2.9999999999999997E-4</v>
      </c>
      <c r="O13" s="436">
        <v>0</v>
      </c>
      <c r="P13" s="1203">
        <v>0</v>
      </c>
      <c r="Q13" s="437">
        <v>5.0000000000000001E-3</v>
      </c>
      <c r="R13" s="438">
        <v>2E-3</v>
      </c>
      <c r="S13" s="438">
        <v>1.1999999999999999E-3</v>
      </c>
      <c r="T13" s="439">
        <v>0</v>
      </c>
      <c r="U13" s="440">
        <v>0.72</v>
      </c>
      <c r="V13" s="440">
        <v>0.64</v>
      </c>
      <c r="W13" s="440">
        <v>0.53</v>
      </c>
      <c r="X13" s="440">
        <v>0.79</v>
      </c>
      <c r="Y13" s="440">
        <v>2.68</v>
      </c>
      <c r="Z13" s="440">
        <v>1.61</v>
      </c>
      <c r="AA13" s="440">
        <v>1.07</v>
      </c>
      <c r="AB13" s="441">
        <v>1500</v>
      </c>
      <c r="AC13" s="442">
        <v>0.2</v>
      </c>
      <c r="AD13" s="442">
        <v>0.2</v>
      </c>
      <c r="AE13" s="442">
        <v>0.2</v>
      </c>
      <c r="AF13" s="442">
        <v>0.12</v>
      </c>
      <c r="AG13" s="442">
        <v>0.12</v>
      </c>
      <c r="AH13" s="442">
        <v>0.1</v>
      </c>
      <c r="AI13" s="442">
        <v>0.06</v>
      </c>
      <c r="AJ13" s="443">
        <v>0.12</v>
      </c>
      <c r="AK13" s="443">
        <v>0</v>
      </c>
      <c r="AL13" s="444"/>
      <c r="AM13" s="445"/>
      <c r="AN13" s="445"/>
      <c r="AO13" s="446"/>
      <c r="BC13" s="376" t="s">
        <v>34</v>
      </c>
      <c r="BD13" s="273">
        <f t="shared" si="0"/>
        <v>2.68</v>
      </c>
      <c r="BE13" s="273">
        <f t="shared" si="1"/>
        <v>4.0199999999999996</v>
      </c>
      <c r="BF13" s="274">
        <f t="shared" si="2"/>
        <v>1500</v>
      </c>
    </row>
    <row r="14" spans="2:58" ht="21.75" x14ac:dyDescent="0.4">
      <c r="B14" s="416" t="s">
        <v>37</v>
      </c>
      <c r="C14" s="434">
        <v>0.1</v>
      </c>
      <c r="D14" s="435">
        <v>0.02</v>
      </c>
      <c r="E14" s="435">
        <v>0.02</v>
      </c>
      <c r="F14" s="435">
        <v>0.02</v>
      </c>
      <c r="G14" s="435">
        <v>0.02</v>
      </c>
      <c r="H14" s="435">
        <v>0.02</v>
      </c>
      <c r="I14" s="435">
        <v>0.02</v>
      </c>
      <c r="J14" s="435">
        <v>0.02</v>
      </c>
      <c r="K14" s="435">
        <v>0.02</v>
      </c>
      <c r="L14" s="436">
        <v>2.9999999999999997E-4</v>
      </c>
      <c r="M14" s="436">
        <v>5.0000000000000001E-4</v>
      </c>
      <c r="N14" s="436">
        <v>2.9999999999999997E-4</v>
      </c>
      <c r="O14" s="436">
        <v>0</v>
      </c>
      <c r="P14" s="1203">
        <v>0</v>
      </c>
      <c r="Q14" s="437">
        <v>5.0000000000000001E-3</v>
      </c>
      <c r="R14" s="438">
        <v>2E-3</v>
      </c>
      <c r="S14" s="438">
        <v>1.1999999999999999E-3</v>
      </c>
      <c r="T14" s="439">
        <v>0</v>
      </c>
      <c r="U14" s="440">
        <v>0.72</v>
      </c>
      <c r="V14" s="440">
        <v>0.64</v>
      </c>
      <c r="W14" s="440">
        <v>0.53</v>
      </c>
      <c r="X14" s="440">
        <v>0.79</v>
      </c>
      <c r="Y14" s="440">
        <v>2.68</v>
      </c>
      <c r="Z14" s="440">
        <v>1.61</v>
      </c>
      <c r="AA14" s="440">
        <v>1.07</v>
      </c>
      <c r="AB14" s="441">
        <v>1500</v>
      </c>
      <c r="AC14" s="442">
        <v>0.2</v>
      </c>
      <c r="AD14" s="442">
        <v>0.2</v>
      </c>
      <c r="AE14" s="442">
        <v>0.2</v>
      </c>
      <c r="AF14" s="442">
        <v>0.12</v>
      </c>
      <c r="AG14" s="442">
        <v>0.12</v>
      </c>
      <c r="AH14" s="442">
        <v>0.1</v>
      </c>
      <c r="AI14" s="442">
        <v>0.06</v>
      </c>
      <c r="AJ14" s="443">
        <v>0.12</v>
      </c>
      <c r="AK14" s="443">
        <v>0</v>
      </c>
      <c r="AL14" s="444"/>
      <c r="AM14" s="445"/>
      <c r="AN14" s="445"/>
      <c r="AO14" s="446"/>
      <c r="BC14" s="376" t="s">
        <v>37</v>
      </c>
      <c r="BD14" s="273">
        <f t="shared" si="0"/>
        <v>2.68</v>
      </c>
      <c r="BE14" s="273">
        <f t="shared" si="1"/>
        <v>4.0199999999999996</v>
      </c>
      <c r="BF14" s="274">
        <f t="shared" si="2"/>
        <v>1500</v>
      </c>
    </row>
    <row r="15" spans="2:58" ht="21.75" x14ac:dyDescent="0.4">
      <c r="B15" s="416" t="s">
        <v>47</v>
      </c>
      <c r="C15" s="434">
        <v>0.1</v>
      </c>
      <c r="D15" s="435">
        <v>0.02</v>
      </c>
      <c r="E15" s="435">
        <v>0.02</v>
      </c>
      <c r="F15" s="435">
        <v>0.02</v>
      </c>
      <c r="G15" s="435">
        <v>0.02</v>
      </c>
      <c r="H15" s="435">
        <v>0.02</v>
      </c>
      <c r="I15" s="435">
        <v>0.02</v>
      </c>
      <c r="J15" s="435">
        <v>0.02</v>
      </c>
      <c r="K15" s="435">
        <v>0.02</v>
      </c>
      <c r="L15" s="436">
        <v>2.9999999999999997E-4</v>
      </c>
      <c r="M15" s="436">
        <v>5.0000000000000001E-4</v>
      </c>
      <c r="N15" s="436">
        <v>2.9999999999999997E-4</v>
      </c>
      <c r="O15" s="436">
        <v>0</v>
      </c>
      <c r="P15" s="1203">
        <v>0</v>
      </c>
      <c r="Q15" s="437">
        <v>5.0000000000000001E-3</v>
      </c>
      <c r="R15" s="438">
        <v>2E-3</v>
      </c>
      <c r="S15" s="438">
        <v>1.1999999999999999E-3</v>
      </c>
      <c r="T15" s="439">
        <v>0</v>
      </c>
      <c r="U15" s="440">
        <v>0.71</v>
      </c>
      <c r="V15" s="440">
        <v>0.79</v>
      </c>
      <c r="W15" s="440">
        <v>0.57999999999999996</v>
      </c>
      <c r="X15" s="440">
        <v>0.79</v>
      </c>
      <c r="Y15" s="440">
        <f>U15+V15+W15+X15</f>
        <v>2.87</v>
      </c>
      <c r="Z15" s="440">
        <v>1.61</v>
      </c>
      <c r="AA15" s="440">
        <v>1.07</v>
      </c>
      <c r="AB15" s="441">
        <v>1500</v>
      </c>
      <c r="AC15" s="442">
        <v>0.2</v>
      </c>
      <c r="AD15" s="442">
        <v>0.2</v>
      </c>
      <c r="AE15" s="442">
        <v>0.2</v>
      </c>
      <c r="AF15" s="442">
        <v>0.12</v>
      </c>
      <c r="AG15" s="442">
        <v>0.12</v>
      </c>
      <c r="AH15" s="442">
        <v>0.1</v>
      </c>
      <c r="AI15" s="442">
        <v>0.06</v>
      </c>
      <c r="AJ15" s="443">
        <v>0.12</v>
      </c>
      <c r="AK15" s="443">
        <v>0</v>
      </c>
      <c r="AL15" s="444"/>
      <c r="AM15" s="445"/>
      <c r="AN15" s="445"/>
      <c r="AO15" s="446"/>
      <c r="BC15" s="376" t="s">
        <v>47</v>
      </c>
      <c r="BD15" s="273">
        <f t="shared" si="0"/>
        <v>2.87</v>
      </c>
      <c r="BE15" s="273">
        <f t="shared" si="1"/>
        <v>4.0199999999999996</v>
      </c>
      <c r="BF15" s="274">
        <f t="shared" si="2"/>
        <v>1500</v>
      </c>
    </row>
    <row r="16" spans="2:58" ht="21.75" x14ac:dyDescent="0.4">
      <c r="B16" s="416" t="s">
        <v>38</v>
      </c>
      <c r="C16" s="434">
        <v>0.1</v>
      </c>
      <c r="D16" s="435">
        <v>0.02</v>
      </c>
      <c r="E16" s="435">
        <v>0.02</v>
      </c>
      <c r="F16" s="435">
        <v>0.02</v>
      </c>
      <c r="G16" s="435">
        <v>0.02</v>
      </c>
      <c r="H16" s="435">
        <v>0.02</v>
      </c>
      <c r="I16" s="435">
        <v>0.02</v>
      </c>
      <c r="J16" s="435">
        <v>0.02</v>
      </c>
      <c r="K16" s="435">
        <v>0.02</v>
      </c>
      <c r="L16" s="436">
        <v>2.9999999999999997E-4</v>
      </c>
      <c r="M16" s="436">
        <v>5.0000000000000001E-4</v>
      </c>
      <c r="N16" s="436">
        <v>2.9999999999999997E-4</v>
      </c>
      <c r="O16" s="436">
        <v>0</v>
      </c>
      <c r="P16" s="1203">
        <v>0</v>
      </c>
      <c r="Q16" s="437">
        <v>5.0000000000000001E-3</v>
      </c>
      <c r="R16" s="438">
        <v>2E-3</v>
      </c>
      <c r="S16" s="438">
        <v>1.1999999999999999E-3</v>
      </c>
      <c r="T16" s="439">
        <v>0</v>
      </c>
      <c r="U16" s="440">
        <v>0.71</v>
      </c>
      <c r="V16" s="440">
        <v>0.79</v>
      </c>
      <c r="W16" s="440">
        <v>0.57999999999999996</v>
      </c>
      <c r="X16" s="440">
        <v>0.79</v>
      </c>
      <c r="Y16" s="440">
        <f t="shared" ref="Y16:Y20" si="3">U16+V16+W16+X16</f>
        <v>2.87</v>
      </c>
      <c r="Z16" s="440">
        <v>1.61</v>
      </c>
      <c r="AA16" s="440">
        <v>1.07</v>
      </c>
      <c r="AB16" s="441">
        <v>1500</v>
      </c>
      <c r="AC16" s="442">
        <v>0.2</v>
      </c>
      <c r="AD16" s="442">
        <v>0.2</v>
      </c>
      <c r="AE16" s="442">
        <v>0.2</v>
      </c>
      <c r="AF16" s="442">
        <v>0.12</v>
      </c>
      <c r="AG16" s="442">
        <v>0.12</v>
      </c>
      <c r="AH16" s="442">
        <v>0.1</v>
      </c>
      <c r="AI16" s="442">
        <v>0.06</v>
      </c>
      <c r="AJ16" s="443">
        <v>0.12</v>
      </c>
      <c r="AK16" s="443">
        <v>0</v>
      </c>
      <c r="AL16" s="444"/>
      <c r="AM16" s="445"/>
      <c r="AN16" s="445"/>
      <c r="AO16" s="446"/>
      <c r="BC16" s="376" t="s">
        <v>38</v>
      </c>
      <c r="BD16" s="273">
        <f t="shared" si="0"/>
        <v>2.87</v>
      </c>
      <c r="BE16" s="273">
        <f t="shared" si="1"/>
        <v>4.0199999999999996</v>
      </c>
      <c r="BF16" s="274">
        <f t="shared" si="2"/>
        <v>1500</v>
      </c>
    </row>
    <row r="17" spans="1:58" ht="21.75" x14ac:dyDescent="0.4">
      <c r="B17" s="416" t="s">
        <v>39</v>
      </c>
      <c r="C17" s="434">
        <v>0.1</v>
      </c>
      <c r="D17" s="435">
        <v>0.02</v>
      </c>
      <c r="E17" s="435">
        <v>0.02</v>
      </c>
      <c r="F17" s="435">
        <v>0.02</v>
      </c>
      <c r="G17" s="435">
        <v>0.02</v>
      </c>
      <c r="H17" s="435">
        <v>0.02</v>
      </c>
      <c r="I17" s="435">
        <v>0.02</v>
      </c>
      <c r="J17" s="435">
        <v>0.02</v>
      </c>
      <c r="K17" s="435">
        <v>0.02</v>
      </c>
      <c r="L17" s="436">
        <v>2.9999999999999997E-4</v>
      </c>
      <c r="M17" s="436">
        <v>5.0000000000000001E-4</v>
      </c>
      <c r="N17" s="436">
        <v>2.9999999999999997E-4</v>
      </c>
      <c r="O17" s="436">
        <v>0</v>
      </c>
      <c r="P17" s="1203">
        <v>0</v>
      </c>
      <c r="Q17" s="437">
        <v>5.0000000000000001E-3</v>
      </c>
      <c r="R17" s="438">
        <v>2E-3</v>
      </c>
      <c r="S17" s="438">
        <v>1.1999999999999999E-3</v>
      </c>
      <c r="T17" s="439">
        <v>0</v>
      </c>
      <c r="U17" s="440">
        <v>0.71</v>
      </c>
      <c r="V17" s="440">
        <v>0.79</v>
      </c>
      <c r="W17" s="440">
        <v>0.57999999999999996</v>
      </c>
      <c r="X17" s="440">
        <v>0.79</v>
      </c>
      <c r="Y17" s="440">
        <f t="shared" si="3"/>
        <v>2.87</v>
      </c>
      <c r="Z17" s="440">
        <v>1.61</v>
      </c>
      <c r="AA17" s="440">
        <v>1.07</v>
      </c>
      <c r="AB17" s="441">
        <v>1500</v>
      </c>
      <c r="AC17" s="442">
        <v>0.2</v>
      </c>
      <c r="AD17" s="442">
        <v>0.2</v>
      </c>
      <c r="AE17" s="442">
        <v>0.2</v>
      </c>
      <c r="AF17" s="442">
        <v>0.12</v>
      </c>
      <c r="AG17" s="442">
        <v>0.12</v>
      </c>
      <c r="AH17" s="442">
        <v>0.1</v>
      </c>
      <c r="AI17" s="442">
        <v>0.06</v>
      </c>
      <c r="AJ17" s="443">
        <v>0.12</v>
      </c>
      <c r="AK17" s="443">
        <v>0</v>
      </c>
      <c r="AL17" s="444"/>
      <c r="AM17" s="445"/>
      <c r="AN17" s="445"/>
      <c r="AO17" s="446"/>
      <c r="BC17" s="376" t="s">
        <v>39</v>
      </c>
      <c r="BD17" s="273">
        <f t="shared" si="0"/>
        <v>2.87</v>
      </c>
      <c r="BE17" s="273">
        <f t="shared" si="1"/>
        <v>4.0199999999999996</v>
      </c>
      <c r="BF17" s="274">
        <f t="shared" si="2"/>
        <v>1500</v>
      </c>
    </row>
    <row r="18" spans="1:58" ht="21.75" x14ac:dyDescent="0.4">
      <c r="B18" s="416" t="s">
        <v>33</v>
      </c>
      <c r="C18" s="434">
        <v>0.1</v>
      </c>
      <c r="D18" s="435">
        <v>0.02</v>
      </c>
      <c r="E18" s="435">
        <v>0.02</v>
      </c>
      <c r="F18" s="435">
        <v>0.02</v>
      </c>
      <c r="G18" s="435">
        <v>0.02</v>
      </c>
      <c r="H18" s="435">
        <v>0.02</v>
      </c>
      <c r="I18" s="435">
        <v>0.02</v>
      </c>
      <c r="J18" s="435">
        <v>0.02</v>
      </c>
      <c r="K18" s="435">
        <v>0.02</v>
      </c>
      <c r="L18" s="436">
        <v>2.9999999999999997E-4</v>
      </c>
      <c r="M18" s="436">
        <v>5.0000000000000001E-4</v>
      </c>
      <c r="N18" s="436">
        <v>2.9999999999999997E-4</v>
      </c>
      <c r="O18" s="436">
        <v>0</v>
      </c>
      <c r="P18" s="1203">
        <v>0</v>
      </c>
      <c r="Q18" s="437">
        <v>5.0000000000000001E-3</v>
      </c>
      <c r="R18" s="438">
        <v>2E-3</v>
      </c>
      <c r="S18" s="438">
        <v>1.1999999999999999E-3</v>
      </c>
      <c r="T18" s="439">
        <v>0</v>
      </c>
      <c r="U18" s="440">
        <v>0.71</v>
      </c>
      <c r="V18" s="440">
        <v>0.79</v>
      </c>
      <c r="W18" s="440">
        <v>0.57999999999999996</v>
      </c>
      <c r="X18" s="440">
        <v>0.79</v>
      </c>
      <c r="Y18" s="440">
        <f t="shared" si="3"/>
        <v>2.87</v>
      </c>
      <c r="Z18" s="440">
        <v>1.61</v>
      </c>
      <c r="AA18" s="440">
        <v>1.07</v>
      </c>
      <c r="AB18" s="441">
        <v>1500</v>
      </c>
      <c r="AC18" s="442">
        <v>0.2</v>
      </c>
      <c r="AD18" s="442">
        <v>0.2</v>
      </c>
      <c r="AE18" s="442">
        <v>0.2</v>
      </c>
      <c r="AF18" s="442">
        <v>0.12</v>
      </c>
      <c r="AG18" s="442">
        <v>0.12</v>
      </c>
      <c r="AH18" s="442">
        <v>0.1</v>
      </c>
      <c r="AI18" s="442">
        <v>0.06</v>
      </c>
      <c r="AJ18" s="443">
        <v>0.12</v>
      </c>
      <c r="AK18" s="443">
        <v>0</v>
      </c>
      <c r="AL18" s="444"/>
      <c r="AM18" s="445"/>
      <c r="AN18" s="445"/>
      <c r="AO18" s="446"/>
      <c r="BC18" s="376" t="s">
        <v>33</v>
      </c>
      <c r="BD18" s="273">
        <f t="shared" si="0"/>
        <v>2.87</v>
      </c>
      <c r="BE18" s="273">
        <f t="shared" si="1"/>
        <v>4.0199999999999996</v>
      </c>
      <c r="BF18" s="274">
        <f t="shared" si="2"/>
        <v>1500</v>
      </c>
    </row>
    <row r="19" spans="1:58" ht="21.75" x14ac:dyDescent="0.4">
      <c r="B19" s="416" t="s">
        <v>40</v>
      </c>
      <c r="C19" s="434">
        <v>0.1</v>
      </c>
      <c r="D19" s="435">
        <v>0.02</v>
      </c>
      <c r="E19" s="435">
        <v>0.02</v>
      </c>
      <c r="F19" s="435">
        <v>0.02</v>
      </c>
      <c r="G19" s="435">
        <v>0.02</v>
      </c>
      <c r="H19" s="435">
        <v>0.02</v>
      </c>
      <c r="I19" s="435">
        <v>0.02</v>
      </c>
      <c r="J19" s="435">
        <v>0.02</v>
      </c>
      <c r="K19" s="435">
        <v>0.02</v>
      </c>
      <c r="L19" s="436">
        <v>2.9999999999999997E-4</v>
      </c>
      <c r="M19" s="436">
        <v>5.0000000000000001E-4</v>
      </c>
      <c r="N19" s="436">
        <v>2.9999999999999997E-4</v>
      </c>
      <c r="O19" s="436">
        <v>0</v>
      </c>
      <c r="P19" s="1203">
        <v>0</v>
      </c>
      <c r="Q19" s="437">
        <v>5.0000000000000001E-3</v>
      </c>
      <c r="R19" s="438">
        <v>2E-3</v>
      </c>
      <c r="S19" s="438">
        <v>1.1999999999999999E-3</v>
      </c>
      <c r="T19" s="439">
        <v>0</v>
      </c>
      <c r="U19" s="440">
        <v>0.71</v>
      </c>
      <c r="V19" s="440">
        <v>0.79</v>
      </c>
      <c r="W19" s="440">
        <v>0.57999999999999996</v>
      </c>
      <c r="X19" s="440">
        <v>0.79</v>
      </c>
      <c r="Y19" s="440">
        <f t="shared" si="3"/>
        <v>2.87</v>
      </c>
      <c r="Z19" s="440">
        <v>1.61</v>
      </c>
      <c r="AA19" s="440">
        <v>1.07</v>
      </c>
      <c r="AB19" s="441">
        <v>1500</v>
      </c>
      <c r="AC19" s="442">
        <v>0.2</v>
      </c>
      <c r="AD19" s="442">
        <v>0.2</v>
      </c>
      <c r="AE19" s="442">
        <v>0.2</v>
      </c>
      <c r="AF19" s="442">
        <v>0.12</v>
      </c>
      <c r="AG19" s="442">
        <v>0.12</v>
      </c>
      <c r="AH19" s="442">
        <v>0.1</v>
      </c>
      <c r="AI19" s="442">
        <v>0.06</v>
      </c>
      <c r="AJ19" s="443">
        <v>0.12</v>
      </c>
      <c r="AK19" s="443">
        <v>0</v>
      </c>
      <c r="AL19" s="444"/>
      <c r="AM19" s="445"/>
      <c r="AN19" s="445"/>
      <c r="AO19" s="446"/>
      <c r="BC19" s="376" t="s">
        <v>40</v>
      </c>
      <c r="BD19" s="273">
        <f t="shared" si="0"/>
        <v>2.87</v>
      </c>
      <c r="BE19" s="273">
        <f t="shared" si="1"/>
        <v>4.0199999999999996</v>
      </c>
      <c r="BF19" s="274">
        <f t="shared" si="2"/>
        <v>1500</v>
      </c>
    </row>
    <row r="20" spans="1:58" ht="22.5" thickBot="1" x14ac:dyDescent="0.45">
      <c r="B20" s="416" t="s">
        <v>41</v>
      </c>
      <c r="C20" s="434">
        <v>0.1</v>
      </c>
      <c r="D20" s="435">
        <v>0.02</v>
      </c>
      <c r="E20" s="435">
        <v>0.02</v>
      </c>
      <c r="F20" s="435">
        <v>0.02</v>
      </c>
      <c r="G20" s="435">
        <v>0.02</v>
      </c>
      <c r="H20" s="435">
        <v>0.02</v>
      </c>
      <c r="I20" s="435">
        <v>0.02</v>
      </c>
      <c r="J20" s="435">
        <v>0.02</v>
      </c>
      <c r="K20" s="435">
        <v>0.02</v>
      </c>
      <c r="L20" s="436">
        <v>2.9999999999999997E-4</v>
      </c>
      <c r="M20" s="436">
        <v>5.0000000000000001E-4</v>
      </c>
      <c r="N20" s="436">
        <v>2.9999999999999997E-4</v>
      </c>
      <c r="O20" s="436">
        <v>0</v>
      </c>
      <c r="P20" s="1203">
        <v>0</v>
      </c>
      <c r="Q20" s="437">
        <v>5.0000000000000001E-3</v>
      </c>
      <c r="R20" s="438">
        <v>2E-3</v>
      </c>
      <c r="S20" s="438">
        <v>1.1999999999999999E-3</v>
      </c>
      <c r="T20" s="439">
        <v>0</v>
      </c>
      <c r="U20" s="440">
        <v>0.71</v>
      </c>
      <c r="V20" s="440">
        <v>0.79</v>
      </c>
      <c r="W20" s="440">
        <v>0.57999999999999996</v>
      </c>
      <c r="X20" s="440">
        <v>0.79</v>
      </c>
      <c r="Y20" s="440">
        <f t="shared" si="3"/>
        <v>2.87</v>
      </c>
      <c r="Z20" s="440">
        <v>1.61</v>
      </c>
      <c r="AA20" s="440">
        <v>1.07</v>
      </c>
      <c r="AB20" s="441">
        <v>1500</v>
      </c>
      <c r="AC20" s="442">
        <v>0.2</v>
      </c>
      <c r="AD20" s="442">
        <v>0.2</v>
      </c>
      <c r="AE20" s="442">
        <v>0.2</v>
      </c>
      <c r="AF20" s="442">
        <v>0.12</v>
      </c>
      <c r="AG20" s="442">
        <v>0.12</v>
      </c>
      <c r="AH20" s="442">
        <v>0.1</v>
      </c>
      <c r="AI20" s="442">
        <v>0.06</v>
      </c>
      <c r="AJ20" s="443">
        <v>0.12</v>
      </c>
      <c r="AK20" s="443">
        <v>0</v>
      </c>
      <c r="AL20" s="448"/>
      <c r="AM20" s="449"/>
      <c r="AN20" s="449"/>
      <c r="AO20" s="450"/>
      <c r="BC20" s="376" t="s">
        <v>41</v>
      </c>
      <c r="BD20" s="273">
        <f t="shared" si="0"/>
        <v>2.87</v>
      </c>
      <c r="BE20" s="273">
        <f t="shared" si="1"/>
        <v>4.0199999999999996</v>
      </c>
      <c r="BF20" s="274">
        <f t="shared" si="2"/>
        <v>1500</v>
      </c>
    </row>
    <row r="21" spans="1:58" ht="16.5" thickBot="1" x14ac:dyDescent="0.35">
      <c r="D21" s="418"/>
      <c r="BC21" s="371"/>
      <c r="BD21" s="371"/>
      <c r="BE21" s="371"/>
      <c r="BF21" s="371"/>
    </row>
    <row r="22" spans="1:58" x14ac:dyDescent="0.3">
      <c r="D22" s="1559" t="str">
        <f>'शाळा माहिती'!D4</f>
        <v>जि.प.प्रा.शा.बोरजाई वस्ती</v>
      </c>
      <c r="E22" s="1560"/>
      <c r="F22" s="1560"/>
      <c r="G22" s="1560"/>
      <c r="H22" s="1560"/>
      <c r="I22" s="1560"/>
      <c r="J22" s="1560"/>
      <c r="K22" s="1571"/>
      <c r="L22" s="1573" t="s">
        <v>255</v>
      </c>
      <c r="M22" s="1566"/>
      <c r="N22" s="1569">
        <f>HOME!E2</f>
        <v>2022</v>
      </c>
      <c r="O22" s="1569">
        <f>HOME!F2</f>
        <v>2023</v>
      </c>
      <c r="P22" s="402"/>
      <c r="BC22" s="371"/>
      <c r="BD22" s="371"/>
      <c r="BE22" s="371"/>
      <c r="BF22" s="371"/>
    </row>
    <row r="23" spans="1:58" ht="16.5" customHeight="1" thickBot="1" x14ac:dyDescent="0.35">
      <c r="D23" s="1562"/>
      <c r="E23" s="1563"/>
      <c r="F23" s="1563"/>
      <c r="G23" s="1563"/>
      <c r="H23" s="1563"/>
      <c r="I23" s="1563"/>
      <c r="J23" s="1563"/>
      <c r="K23" s="1572"/>
      <c r="L23" s="1574"/>
      <c r="M23" s="1575"/>
      <c r="N23" s="1570"/>
      <c r="O23" s="1570"/>
      <c r="P23" s="419"/>
      <c r="BC23" s="371"/>
      <c r="BD23" s="371"/>
      <c r="BE23" s="371"/>
      <c r="BF23" s="371"/>
    </row>
    <row r="24" spans="1:58" ht="25.5" thickBot="1" x14ac:dyDescent="0.5">
      <c r="A24" s="420"/>
      <c r="B24" s="1622" t="s">
        <v>230</v>
      </c>
      <c r="C24" s="1623"/>
      <c r="D24" s="1578" t="s">
        <v>80</v>
      </c>
      <c r="E24" s="1578"/>
      <c r="F24" s="1578"/>
      <c r="G24" s="1578"/>
      <c r="H24" s="1578"/>
      <c r="I24" s="1578"/>
      <c r="J24" s="1578"/>
      <c r="K24" s="1578"/>
      <c r="L24" s="1624" t="s">
        <v>95</v>
      </c>
      <c r="M24" s="1625"/>
      <c r="N24" s="1625"/>
      <c r="O24" s="1625"/>
      <c r="P24" s="1625"/>
      <c r="Q24" s="1625"/>
      <c r="R24" s="1625"/>
      <c r="S24" s="1625"/>
      <c r="T24" s="1626"/>
      <c r="U24" s="1597" t="s">
        <v>78</v>
      </c>
      <c r="V24" s="1597"/>
      <c r="W24" s="1597"/>
      <c r="X24" s="1597"/>
      <c r="Y24" s="1596"/>
      <c r="Z24" s="1595" t="s">
        <v>345</v>
      </c>
      <c r="AA24" s="1596"/>
      <c r="AB24" s="403" t="s">
        <v>274</v>
      </c>
      <c r="AC24" s="1593" t="s">
        <v>79</v>
      </c>
      <c r="AD24" s="1594"/>
      <c r="AE24" s="1594"/>
      <c r="AF24" s="1594"/>
      <c r="AG24" s="1594"/>
      <c r="AH24" s="1594"/>
      <c r="AI24" s="1594"/>
      <c r="AJ24" s="1610"/>
      <c r="AK24" s="421"/>
      <c r="AL24" s="1617"/>
      <c r="AM24" s="1618"/>
      <c r="AN24" s="1618"/>
      <c r="AO24" s="1619"/>
      <c r="AP24" s="422"/>
      <c r="AQ24" s="422"/>
      <c r="AR24" s="422"/>
      <c r="AS24" s="422"/>
      <c r="AT24" s="422"/>
      <c r="AU24" s="422"/>
      <c r="AV24" s="422"/>
      <c r="BC24" s="371"/>
      <c r="BD24" s="371"/>
      <c r="BE24" s="371"/>
      <c r="BF24" s="371"/>
    </row>
    <row r="25" spans="1:58" ht="22.5" customHeight="1" x14ac:dyDescent="0.4">
      <c r="B25" s="1620" t="s">
        <v>43</v>
      </c>
      <c r="C25" s="1576" t="str">
        <f>'साठा नोंदवही'!E60</f>
        <v>तांदूळ</v>
      </c>
      <c r="D25" s="1576" t="str">
        <f>'साठा नोंदवही'!F60</f>
        <v>मुगडाळ</v>
      </c>
      <c r="E25" s="1576" t="str">
        <f>'साठा नोंदवही'!G60</f>
        <v>तुरडाळ</v>
      </c>
      <c r="F25" s="1576" t="str">
        <f>'साठा नोंदवही'!H60</f>
        <v>मसूरडाळ</v>
      </c>
      <c r="G25" s="1576" t="str">
        <f>'साठा नोंदवही'!I60</f>
        <v>मटकी</v>
      </c>
      <c r="H25" s="1576" t="str">
        <f>'साठा नोंदवही'!J60</f>
        <v>मुग</v>
      </c>
      <c r="I25" s="1576" t="str">
        <f>'साठा नोंदवही'!K60</f>
        <v>चवळी</v>
      </c>
      <c r="J25" s="1576" t="str">
        <f>'साठा नोंदवही'!L60</f>
        <v>हरभरा</v>
      </c>
      <c r="K25" s="1576" t="str">
        <f>'साठा नोंदवही'!M60</f>
        <v>वाटणा</v>
      </c>
      <c r="L25" s="1576" t="str">
        <f>'साठा नोंदवही'!N60</f>
        <v>जिरे</v>
      </c>
      <c r="M25" s="1576" t="str">
        <f>'साठा नोंदवही'!O60</f>
        <v>मोहरी</v>
      </c>
      <c r="N25" s="1576" t="str">
        <f>'साठा नोंदवही'!P60</f>
        <v>हळद</v>
      </c>
      <c r="O25" s="1598" t="str">
        <f>'साठा नोंदवही'!Q60</f>
        <v>मिरची पावडर</v>
      </c>
      <c r="P25" s="1603" t="str">
        <f>'साठा नोंदवही'!R60</f>
        <v>गरम मसाला</v>
      </c>
      <c r="Q25" s="1603" t="str">
        <f>'साठा नोंदवही'!S60</f>
        <v>सोयाबीन तेल</v>
      </c>
      <c r="R25" s="1576" t="str">
        <f>'साठा नोंदवही'!T60</f>
        <v>मीठ</v>
      </c>
      <c r="S25" s="1603" t="str">
        <f>'साठा नोंदवही'!U60</f>
        <v>कांदा लसून मसाला</v>
      </c>
      <c r="T25" s="1576">
        <f>'साठा नोंदवही'!V60</f>
        <v>0</v>
      </c>
      <c r="U25" s="1585" t="s">
        <v>728</v>
      </c>
      <c r="V25" s="1585" t="s">
        <v>729</v>
      </c>
      <c r="W25" s="1585" t="s">
        <v>730</v>
      </c>
      <c r="X25" s="1585" t="s">
        <v>731</v>
      </c>
      <c r="Y25" s="1585" t="s">
        <v>346</v>
      </c>
      <c r="Z25" s="1589" t="s">
        <v>347</v>
      </c>
      <c r="AA25" s="1591" t="s">
        <v>348</v>
      </c>
      <c r="AB25" s="1615" t="s">
        <v>273</v>
      </c>
      <c r="AC25" s="423" t="s">
        <v>62</v>
      </c>
      <c r="AD25" s="424"/>
      <c r="AE25" s="424"/>
      <c r="AF25" s="424"/>
      <c r="AG25" s="424"/>
      <c r="AH25" s="425"/>
      <c r="AI25" s="426"/>
      <c r="AJ25" s="427"/>
      <c r="AK25" s="428"/>
      <c r="AL25" s="1582" t="s">
        <v>48</v>
      </c>
      <c r="AM25" s="1583"/>
      <c r="AN25" s="1583"/>
      <c r="AO25" s="1584"/>
      <c r="BC25" s="371"/>
      <c r="BD25" s="371"/>
      <c r="BE25" s="371"/>
      <c r="BF25" s="371"/>
    </row>
    <row r="26" spans="1:58" ht="46.5" customHeight="1" x14ac:dyDescent="0.3">
      <c r="B26" s="1621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99"/>
      <c r="P26" s="1599"/>
      <c r="Q26" s="1599"/>
      <c r="R26" s="1577"/>
      <c r="S26" s="1627"/>
      <c r="T26" s="1628"/>
      <c r="U26" s="1586"/>
      <c r="V26" s="1586"/>
      <c r="W26" s="1586"/>
      <c r="X26" s="1604"/>
      <c r="Y26" s="1586"/>
      <c r="Z26" s="1590"/>
      <c r="AA26" s="1592"/>
      <c r="AB26" s="1616"/>
      <c r="AC26" s="404" t="s">
        <v>49</v>
      </c>
      <c r="AD26" s="405" t="s">
        <v>53</v>
      </c>
      <c r="AE26" s="405" t="s">
        <v>340</v>
      </c>
      <c r="AF26" s="406" t="s">
        <v>52</v>
      </c>
      <c r="AG26" s="405" t="s">
        <v>50</v>
      </c>
      <c r="AH26" s="405" t="s">
        <v>51</v>
      </c>
      <c r="AI26" s="405" t="s">
        <v>54</v>
      </c>
      <c r="AJ26" s="405" t="s">
        <v>55</v>
      </c>
      <c r="AK26" s="407" t="s">
        <v>339</v>
      </c>
      <c r="AL26" s="429" t="s">
        <v>56</v>
      </c>
      <c r="AM26" s="430" t="s">
        <v>57</v>
      </c>
      <c r="AN26" s="430" t="s">
        <v>58</v>
      </c>
      <c r="AO26" s="431" t="s">
        <v>59</v>
      </c>
    </row>
    <row r="27" spans="1:58" ht="18.75" customHeight="1" x14ac:dyDescent="0.3">
      <c r="B27" s="432"/>
      <c r="C27" s="408" t="s">
        <v>81</v>
      </c>
      <c r="D27" s="409" t="s">
        <v>81</v>
      </c>
      <c r="E27" s="409" t="s">
        <v>81</v>
      </c>
      <c r="F27" s="409" t="s">
        <v>81</v>
      </c>
      <c r="G27" s="409" t="s">
        <v>81</v>
      </c>
      <c r="H27" s="409" t="s">
        <v>81</v>
      </c>
      <c r="I27" s="409" t="s">
        <v>81</v>
      </c>
      <c r="J27" s="409" t="s">
        <v>81</v>
      </c>
      <c r="K27" s="409" t="s">
        <v>81</v>
      </c>
      <c r="L27" s="409" t="s">
        <v>81</v>
      </c>
      <c r="M27" s="409" t="s">
        <v>81</v>
      </c>
      <c r="N27" s="409" t="s">
        <v>81</v>
      </c>
      <c r="O27" s="409" t="s">
        <v>81</v>
      </c>
      <c r="P27" s="409" t="s">
        <v>81</v>
      </c>
      <c r="Q27" s="409" t="s">
        <v>82</v>
      </c>
      <c r="R27" s="409" t="s">
        <v>81</v>
      </c>
      <c r="S27" s="409" t="s">
        <v>81</v>
      </c>
      <c r="T27" s="409" t="s">
        <v>81</v>
      </c>
      <c r="U27" s="410" t="s">
        <v>83</v>
      </c>
      <c r="V27" s="410" t="s">
        <v>83</v>
      </c>
      <c r="W27" s="410" t="s">
        <v>83</v>
      </c>
      <c r="X27" s="410" t="s">
        <v>83</v>
      </c>
      <c r="Y27" s="410" t="s">
        <v>83</v>
      </c>
      <c r="Z27" s="410" t="s">
        <v>83</v>
      </c>
      <c r="AA27" s="410" t="s">
        <v>83</v>
      </c>
      <c r="AB27" s="410" t="s">
        <v>83</v>
      </c>
      <c r="AC27" s="411" t="s">
        <v>83</v>
      </c>
      <c r="AD27" s="411" t="s">
        <v>83</v>
      </c>
      <c r="AE27" s="411" t="s">
        <v>83</v>
      </c>
      <c r="AF27" s="411" t="s">
        <v>83</v>
      </c>
      <c r="AG27" s="411" t="s">
        <v>83</v>
      </c>
      <c r="AH27" s="411" t="s">
        <v>83</v>
      </c>
      <c r="AI27" s="411" t="s">
        <v>83</v>
      </c>
      <c r="AJ27" s="411" t="s">
        <v>83</v>
      </c>
      <c r="AK27" s="412" t="s">
        <v>83</v>
      </c>
      <c r="AL27" s="412" t="s">
        <v>83</v>
      </c>
      <c r="AM27" s="412" t="s">
        <v>83</v>
      </c>
      <c r="AN27" s="412" t="s">
        <v>83</v>
      </c>
      <c r="AO27" s="412" t="s">
        <v>83</v>
      </c>
    </row>
    <row r="28" spans="1:58" ht="21.75" x14ac:dyDescent="0.4">
      <c r="B28" s="433" t="s">
        <v>42</v>
      </c>
      <c r="C28" s="434">
        <v>0.15</v>
      </c>
      <c r="D28" s="435">
        <v>0.03</v>
      </c>
      <c r="E28" s="435">
        <v>0.03</v>
      </c>
      <c r="F28" s="435">
        <v>0.03</v>
      </c>
      <c r="G28" s="435">
        <v>0.03</v>
      </c>
      <c r="H28" s="435">
        <v>0.03</v>
      </c>
      <c r="I28" s="435">
        <v>0.03</v>
      </c>
      <c r="J28" s="435">
        <v>0.03</v>
      </c>
      <c r="K28" s="435">
        <v>0.03</v>
      </c>
      <c r="L28" s="436">
        <v>2.0000000000000001E-4</v>
      </c>
      <c r="M28" s="436">
        <v>2.0000000000000001E-4</v>
      </c>
      <c r="N28" s="436">
        <v>1E-3</v>
      </c>
      <c r="O28" s="436">
        <v>0</v>
      </c>
      <c r="P28" s="436">
        <v>0</v>
      </c>
      <c r="Q28" s="437">
        <v>7.4999999999999997E-3</v>
      </c>
      <c r="R28" s="1202">
        <v>2E-3</v>
      </c>
      <c r="S28" s="439">
        <v>1.5E-3</v>
      </c>
      <c r="T28" s="439">
        <v>0</v>
      </c>
      <c r="U28" s="440">
        <v>1.1399999999999999</v>
      </c>
      <c r="V28" s="440">
        <v>0.88</v>
      </c>
      <c r="W28" s="440">
        <v>0.82</v>
      </c>
      <c r="X28" s="440">
        <v>1.18</v>
      </c>
      <c r="Y28" s="440">
        <v>4.0199999999999996</v>
      </c>
      <c r="Z28" s="440">
        <v>2.41</v>
      </c>
      <c r="AA28" s="440">
        <v>1.61</v>
      </c>
      <c r="AB28" s="441">
        <v>1500</v>
      </c>
      <c r="AC28" s="451">
        <v>0.3</v>
      </c>
      <c r="AD28" s="451">
        <v>0.3</v>
      </c>
      <c r="AE28" s="451">
        <v>0.3</v>
      </c>
      <c r="AF28" s="451">
        <v>0.18</v>
      </c>
      <c r="AG28" s="451">
        <v>0.18</v>
      </c>
      <c r="AH28" s="451">
        <v>0.15</v>
      </c>
      <c r="AI28" s="451">
        <v>0.1</v>
      </c>
      <c r="AJ28" s="452">
        <v>0.23</v>
      </c>
      <c r="AK28" s="452">
        <v>0</v>
      </c>
      <c r="AL28" s="444"/>
      <c r="AM28" s="445"/>
      <c r="AN28" s="445"/>
      <c r="AO28" s="446"/>
    </row>
    <row r="29" spans="1:58" ht="21.75" x14ac:dyDescent="0.4">
      <c r="B29" s="433" t="s">
        <v>44</v>
      </c>
      <c r="C29" s="434">
        <v>0.15</v>
      </c>
      <c r="D29" s="435">
        <v>0.03</v>
      </c>
      <c r="E29" s="435">
        <v>0.03</v>
      </c>
      <c r="F29" s="435">
        <v>0.03</v>
      </c>
      <c r="G29" s="435">
        <v>0.03</v>
      </c>
      <c r="H29" s="435">
        <v>0.03</v>
      </c>
      <c r="I29" s="435">
        <v>0.03</v>
      </c>
      <c r="J29" s="435">
        <v>0.03</v>
      </c>
      <c r="K29" s="435">
        <v>0.03</v>
      </c>
      <c r="L29" s="436">
        <v>2.0000000000000001E-4</v>
      </c>
      <c r="M29" s="436">
        <v>2.0000000000000001E-4</v>
      </c>
      <c r="N29" s="436">
        <v>1E-3</v>
      </c>
      <c r="O29" s="436">
        <v>0</v>
      </c>
      <c r="P29" s="436">
        <v>0</v>
      </c>
      <c r="Q29" s="437">
        <v>7.4999999999999997E-3</v>
      </c>
      <c r="R29" s="1202">
        <v>2E-3</v>
      </c>
      <c r="S29" s="439">
        <v>1.5E-3</v>
      </c>
      <c r="T29" s="439">
        <v>0</v>
      </c>
      <c r="U29" s="440">
        <v>1.1399999999999999</v>
      </c>
      <c r="V29" s="440">
        <v>0.88</v>
      </c>
      <c r="W29" s="440">
        <v>0.82</v>
      </c>
      <c r="X29" s="440">
        <v>1.18</v>
      </c>
      <c r="Y29" s="440">
        <v>4.0199999999999996</v>
      </c>
      <c r="Z29" s="440">
        <v>2.41</v>
      </c>
      <c r="AA29" s="440">
        <v>1.61</v>
      </c>
      <c r="AB29" s="441">
        <v>0</v>
      </c>
      <c r="AC29" s="451">
        <v>0.3</v>
      </c>
      <c r="AD29" s="451">
        <v>0.3</v>
      </c>
      <c r="AE29" s="451">
        <v>0.3</v>
      </c>
      <c r="AF29" s="451">
        <v>0.18</v>
      </c>
      <c r="AG29" s="451">
        <v>0.18</v>
      </c>
      <c r="AH29" s="451">
        <v>0.15</v>
      </c>
      <c r="AI29" s="451">
        <v>0.1</v>
      </c>
      <c r="AJ29" s="452">
        <v>0.23</v>
      </c>
      <c r="AK29" s="452">
        <v>0</v>
      </c>
      <c r="AL29" s="444"/>
      <c r="AM29" s="445"/>
      <c r="AN29" s="445"/>
      <c r="AO29" s="446"/>
    </row>
    <row r="30" spans="1:58" ht="21.75" x14ac:dyDescent="0.4">
      <c r="B30" s="433" t="s">
        <v>94</v>
      </c>
      <c r="C30" s="434">
        <v>0.15</v>
      </c>
      <c r="D30" s="435">
        <v>0.03</v>
      </c>
      <c r="E30" s="435">
        <v>0.03</v>
      </c>
      <c r="F30" s="435">
        <v>0.03</v>
      </c>
      <c r="G30" s="435">
        <v>0.03</v>
      </c>
      <c r="H30" s="435">
        <v>0.03</v>
      </c>
      <c r="I30" s="435">
        <v>0.03</v>
      </c>
      <c r="J30" s="435">
        <v>0.03</v>
      </c>
      <c r="K30" s="435">
        <v>0.03</v>
      </c>
      <c r="L30" s="436">
        <v>2.0000000000000001E-4</v>
      </c>
      <c r="M30" s="436">
        <v>2.0000000000000001E-4</v>
      </c>
      <c r="N30" s="436">
        <v>1E-3</v>
      </c>
      <c r="O30" s="436">
        <v>0</v>
      </c>
      <c r="P30" s="436">
        <v>0</v>
      </c>
      <c r="Q30" s="437">
        <v>7.4999999999999997E-3</v>
      </c>
      <c r="R30" s="1202">
        <v>2E-3</v>
      </c>
      <c r="S30" s="439">
        <v>1.5E-3</v>
      </c>
      <c r="T30" s="439">
        <v>0</v>
      </c>
      <c r="U30" s="440">
        <v>1.1399999999999999</v>
      </c>
      <c r="V30" s="440">
        <v>0.88</v>
      </c>
      <c r="W30" s="440">
        <v>0.82</v>
      </c>
      <c r="X30" s="440">
        <v>1.18</v>
      </c>
      <c r="Y30" s="440">
        <v>4.0199999999999996</v>
      </c>
      <c r="Z30" s="440">
        <v>2.41</v>
      </c>
      <c r="AA30" s="440">
        <v>1.61</v>
      </c>
      <c r="AB30" s="441">
        <v>1500</v>
      </c>
      <c r="AC30" s="451">
        <v>0.3</v>
      </c>
      <c r="AD30" s="451">
        <v>0.3</v>
      </c>
      <c r="AE30" s="451">
        <v>0.3</v>
      </c>
      <c r="AF30" s="451">
        <v>0.18</v>
      </c>
      <c r="AG30" s="451">
        <v>0.18</v>
      </c>
      <c r="AH30" s="451">
        <v>0.15</v>
      </c>
      <c r="AI30" s="451">
        <v>0.1</v>
      </c>
      <c r="AJ30" s="452">
        <v>0.23</v>
      </c>
      <c r="AK30" s="452">
        <v>0</v>
      </c>
      <c r="AL30" s="444"/>
      <c r="AM30" s="445"/>
      <c r="AN30" s="445"/>
      <c r="AO30" s="446"/>
    </row>
    <row r="31" spans="1:58" ht="21.75" x14ac:dyDescent="0.4">
      <c r="B31" s="433" t="s">
        <v>46</v>
      </c>
      <c r="C31" s="434">
        <v>0.15</v>
      </c>
      <c r="D31" s="435">
        <v>0.03</v>
      </c>
      <c r="E31" s="435">
        <v>0.03</v>
      </c>
      <c r="F31" s="435">
        <v>0.03</v>
      </c>
      <c r="G31" s="435">
        <v>0.03</v>
      </c>
      <c r="H31" s="435">
        <v>0.03</v>
      </c>
      <c r="I31" s="435">
        <v>0.03</v>
      </c>
      <c r="J31" s="435">
        <v>0.03</v>
      </c>
      <c r="K31" s="435">
        <v>0.03</v>
      </c>
      <c r="L31" s="436">
        <v>2.0000000000000001E-4</v>
      </c>
      <c r="M31" s="436">
        <v>2.0000000000000001E-4</v>
      </c>
      <c r="N31" s="436">
        <v>1E-3</v>
      </c>
      <c r="O31" s="436">
        <v>0</v>
      </c>
      <c r="P31" s="436">
        <v>0</v>
      </c>
      <c r="Q31" s="437">
        <v>7.4999999999999997E-3</v>
      </c>
      <c r="R31" s="1202">
        <v>2E-3</v>
      </c>
      <c r="S31" s="439">
        <v>1.5E-3</v>
      </c>
      <c r="T31" s="439">
        <v>0</v>
      </c>
      <c r="U31" s="440">
        <v>1.1399999999999999</v>
      </c>
      <c r="V31" s="440">
        <v>0.88</v>
      </c>
      <c r="W31" s="440">
        <v>0.82</v>
      </c>
      <c r="X31" s="440">
        <v>1.18</v>
      </c>
      <c r="Y31" s="440">
        <v>4.0199999999999996</v>
      </c>
      <c r="Z31" s="440">
        <v>2.41</v>
      </c>
      <c r="AA31" s="440">
        <v>1.61</v>
      </c>
      <c r="AB31" s="441">
        <v>1500</v>
      </c>
      <c r="AC31" s="451">
        <v>0.3</v>
      </c>
      <c r="AD31" s="451">
        <v>0.3</v>
      </c>
      <c r="AE31" s="451">
        <v>0.3</v>
      </c>
      <c r="AF31" s="451">
        <v>0.18</v>
      </c>
      <c r="AG31" s="451">
        <v>0.18</v>
      </c>
      <c r="AH31" s="451">
        <v>0.15</v>
      </c>
      <c r="AI31" s="451">
        <v>0.1</v>
      </c>
      <c r="AJ31" s="452">
        <v>0.23</v>
      </c>
      <c r="AK31" s="452">
        <v>0</v>
      </c>
      <c r="AL31" s="444"/>
      <c r="AM31" s="445"/>
      <c r="AN31" s="445"/>
      <c r="AO31" s="446"/>
    </row>
    <row r="32" spans="1:58" ht="21.75" x14ac:dyDescent="0.4">
      <c r="B32" s="433" t="s">
        <v>34</v>
      </c>
      <c r="C32" s="434">
        <v>0.15</v>
      </c>
      <c r="D32" s="435">
        <v>0.03</v>
      </c>
      <c r="E32" s="435">
        <v>0.03</v>
      </c>
      <c r="F32" s="435">
        <v>0.03</v>
      </c>
      <c r="G32" s="435">
        <v>0.03</v>
      </c>
      <c r="H32" s="435">
        <v>0.03</v>
      </c>
      <c r="I32" s="435">
        <v>0.03</v>
      </c>
      <c r="J32" s="435">
        <v>0.03</v>
      </c>
      <c r="K32" s="435">
        <v>0.03</v>
      </c>
      <c r="L32" s="436">
        <v>2.0000000000000001E-4</v>
      </c>
      <c r="M32" s="436">
        <v>2.0000000000000001E-4</v>
      </c>
      <c r="N32" s="436">
        <v>1E-3</v>
      </c>
      <c r="O32" s="436">
        <v>0</v>
      </c>
      <c r="P32" s="436">
        <v>0</v>
      </c>
      <c r="Q32" s="437">
        <v>7.4999999999999997E-3</v>
      </c>
      <c r="R32" s="1202">
        <v>2E-3</v>
      </c>
      <c r="S32" s="439">
        <v>1.5E-3</v>
      </c>
      <c r="T32" s="439">
        <v>0</v>
      </c>
      <c r="U32" s="440">
        <v>1.1399999999999999</v>
      </c>
      <c r="V32" s="440">
        <v>0.88</v>
      </c>
      <c r="W32" s="440">
        <v>0.82</v>
      </c>
      <c r="X32" s="440">
        <v>1.18</v>
      </c>
      <c r="Y32" s="440">
        <v>4.0199999999999996</v>
      </c>
      <c r="Z32" s="440">
        <v>2.41</v>
      </c>
      <c r="AA32" s="440">
        <v>1.61</v>
      </c>
      <c r="AB32" s="441">
        <v>1500</v>
      </c>
      <c r="AC32" s="451">
        <v>0.3</v>
      </c>
      <c r="AD32" s="451">
        <v>0.3</v>
      </c>
      <c r="AE32" s="451">
        <v>0.3</v>
      </c>
      <c r="AF32" s="451">
        <v>0.18</v>
      </c>
      <c r="AG32" s="451">
        <v>0.18</v>
      </c>
      <c r="AH32" s="451">
        <v>0.15</v>
      </c>
      <c r="AI32" s="451">
        <v>0.1</v>
      </c>
      <c r="AJ32" s="452">
        <v>0.23</v>
      </c>
      <c r="AK32" s="452">
        <v>0</v>
      </c>
      <c r="AL32" s="444"/>
      <c r="AM32" s="445"/>
      <c r="AN32" s="445"/>
      <c r="AO32" s="446"/>
    </row>
    <row r="33" spans="2:41" ht="21.75" x14ac:dyDescent="0.4">
      <c r="B33" s="433" t="s">
        <v>37</v>
      </c>
      <c r="C33" s="434">
        <v>0.15</v>
      </c>
      <c r="D33" s="435">
        <v>0.03</v>
      </c>
      <c r="E33" s="435">
        <v>0.03</v>
      </c>
      <c r="F33" s="435">
        <v>0.03</v>
      </c>
      <c r="G33" s="435">
        <v>0.03</v>
      </c>
      <c r="H33" s="435">
        <v>0.03</v>
      </c>
      <c r="I33" s="435">
        <v>0.03</v>
      </c>
      <c r="J33" s="435">
        <v>0.03</v>
      </c>
      <c r="K33" s="435">
        <v>0.03</v>
      </c>
      <c r="L33" s="436">
        <v>2.0000000000000001E-4</v>
      </c>
      <c r="M33" s="436">
        <v>2.0000000000000001E-4</v>
      </c>
      <c r="N33" s="436">
        <v>1E-3</v>
      </c>
      <c r="O33" s="436">
        <v>0</v>
      </c>
      <c r="P33" s="436">
        <v>0</v>
      </c>
      <c r="Q33" s="437">
        <v>7.4999999999999997E-3</v>
      </c>
      <c r="R33" s="1202">
        <v>2E-3</v>
      </c>
      <c r="S33" s="439">
        <v>1.5E-3</v>
      </c>
      <c r="T33" s="439">
        <v>0</v>
      </c>
      <c r="U33" s="440">
        <v>1.1399999999999999</v>
      </c>
      <c r="V33" s="440">
        <v>0.88</v>
      </c>
      <c r="W33" s="440">
        <v>0.82</v>
      </c>
      <c r="X33" s="440">
        <v>1.18</v>
      </c>
      <c r="Y33" s="440">
        <v>4.0199999999999996</v>
      </c>
      <c r="Z33" s="440">
        <v>2.41</v>
      </c>
      <c r="AA33" s="440">
        <v>1.61</v>
      </c>
      <c r="AB33" s="441">
        <v>1500</v>
      </c>
      <c r="AC33" s="451">
        <v>0.3</v>
      </c>
      <c r="AD33" s="451">
        <v>0.3</v>
      </c>
      <c r="AE33" s="451">
        <v>0.3</v>
      </c>
      <c r="AF33" s="451">
        <v>0.18</v>
      </c>
      <c r="AG33" s="451">
        <v>0.18</v>
      </c>
      <c r="AH33" s="451">
        <v>0.15</v>
      </c>
      <c r="AI33" s="451">
        <v>0.1</v>
      </c>
      <c r="AJ33" s="452">
        <v>0.23</v>
      </c>
      <c r="AK33" s="452">
        <v>0</v>
      </c>
      <c r="AL33" s="444"/>
      <c r="AM33" s="445"/>
      <c r="AN33" s="445"/>
      <c r="AO33" s="446"/>
    </row>
    <row r="34" spans="2:41" ht="21.75" x14ac:dyDescent="0.4">
      <c r="B34" s="433" t="s">
        <v>47</v>
      </c>
      <c r="C34" s="434">
        <v>0.15</v>
      </c>
      <c r="D34" s="435">
        <v>0.03</v>
      </c>
      <c r="E34" s="435">
        <v>0.03</v>
      </c>
      <c r="F34" s="435">
        <v>0.03</v>
      </c>
      <c r="G34" s="435">
        <v>0.03</v>
      </c>
      <c r="H34" s="435">
        <v>0.03</v>
      </c>
      <c r="I34" s="435">
        <v>0.03</v>
      </c>
      <c r="J34" s="435">
        <v>0.03</v>
      </c>
      <c r="K34" s="435">
        <v>0.03</v>
      </c>
      <c r="L34" s="436">
        <v>2.0000000000000001E-4</v>
      </c>
      <c r="M34" s="436">
        <v>2.0000000000000001E-4</v>
      </c>
      <c r="N34" s="436">
        <v>1E-3</v>
      </c>
      <c r="O34" s="436">
        <v>0</v>
      </c>
      <c r="P34" s="436">
        <v>0</v>
      </c>
      <c r="Q34" s="437">
        <v>7.4999999999999997E-3</v>
      </c>
      <c r="R34" s="1202">
        <v>2E-3</v>
      </c>
      <c r="S34" s="439">
        <v>1.5E-3</v>
      </c>
      <c r="T34" s="439">
        <v>0</v>
      </c>
      <c r="U34" s="440">
        <v>1.1399999999999999</v>
      </c>
      <c r="V34" s="440">
        <v>0.88</v>
      </c>
      <c r="W34" s="440">
        <v>0.82</v>
      </c>
      <c r="X34" s="440">
        <v>1.18</v>
      </c>
      <c r="Y34" s="440">
        <v>4.0199999999999996</v>
      </c>
      <c r="Z34" s="440">
        <v>2.41</v>
      </c>
      <c r="AA34" s="440">
        <v>1.61</v>
      </c>
      <c r="AB34" s="441">
        <v>1500</v>
      </c>
      <c r="AC34" s="451">
        <v>0.3</v>
      </c>
      <c r="AD34" s="451">
        <v>0.3</v>
      </c>
      <c r="AE34" s="451">
        <v>0.3</v>
      </c>
      <c r="AF34" s="451">
        <v>0.18</v>
      </c>
      <c r="AG34" s="451">
        <v>0.18</v>
      </c>
      <c r="AH34" s="451">
        <v>0.15</v>
      </c>
      <c r="AI34" s="451">
        <v>0.1</v>
      </c>
      <c r="AJ34" s="452">
        <v>0.23</v>
      </c>
      <c r="AK34" s="452">
        <v>0</v>
      </c>
      <c r="AL34" s="444"/>
      <c r="AM34" s="445"/>
      <c r="AN34" s="445"/>
      <c r="AO34" s="446"/>
    </row>
    <row r="35" spans="2:41" ht="21.75" x14ac:dyDescent="0.4">
      <c r="B35" s="433" t="s">
        <v>38</v>
      </c>
      <c r="C35" s="434">
        <v>0.15</v>
      </c>
      <c r="D35" s="435">
        <v>0.03</v>
      </c>
      <c r="E35" s="435">
        <v>0.03</v>
      </c>
      <c r="F35" s="435">
        <v>0.03</v>
      </c>
      <c r="G35" s="435">
        <v>0.03</v>
      </c>
      <c r="H35" s="435">
        <v>0.03</v>
      </c>
      <c r="I35" s="435">
        <v>0.03</v>
      </c>
      <c r="J35" s="435">
        <v>0.03</v>
      </c>
      <c r="K35" s="435">
        <v>0.03</v>
      </c>
      <c r="L35" s="436">
        <v>2.0000000000000001E-4</v>
      </c>
      <c r="M35" s="436">
        <v>2.0000000000000001E-4</v>
      </c>
      <c r="N35" s="436">
        <v>1E-3</v>
      </c>
      <c r="O35" s="436">
        <v>0</v>
      </c>
      <c r="P35" s="436">
        <v>0</v>
      </c>
      <c r="Q35" s="437">
        <v>7.4999999999999997E-3</v>
      </c>
      <c r="R35" s="1202">
        <v>2E-3</v>
      </c>
      <c r="S35" s="439">
        <v>1.5E-3</v>
      </c>
      <c r="T35" s="439">
        <v>0</v>
      </c>
      <c r="U35" s="440">
        <v>1.1399999999999999</v>
      </c>
      <c r="V35" s="440">
        <v>0.88</v>
      </c>
      <c r="W35" s="440">
        <v>0.82</v>
      </c>
      <c r="X35" s="440">
        <v>1.18</v>
      </c>
      <c r="Y35" s="440">
        <v>4.0199999999999996</v>
      </c>
      <c r="Z35" s="440">
        <v>2.41</v>
      </c>
      <c r="AA35" s="440">
        <v>1.61</v>
      </c>
      <c r="AB35" s="441">
        <v>1500</v>
      </c>
      <c r="AC35" s="451">
        <v>0.3</v>
      </c>
      <c r="AD35" s="451">
        <v>0.3</v>
      </c>
      <c r="AE35" s="451">
        <v>0.3</v>
      </c>
      <c r="AF35" s="451">
        <v>0.18</v>
      </c>
      <c r="AG35" s="451">
        <v>0.18</v>
      </c>
      <c r="AH35" s="451">
        <v>0.15</v>
      </c>
      <c r="AI35" s="451">
        <v>0.1</v>
      </c>
      <c r="AJ35" s="452">
        <v>0.23</v>
      </c>
      <c r="AK35" s="452">
        <v>0</v>
      </c>
      <c r="AL35" s="444"/>
      <c r="AM35" s="445"/>
      <c r="AN35" s="445"/>
      <c r="AO35" s="446"/>
    </row>
    <row r="36" spans="2:41" ht="21.75" x14ac:dyDescent="0.4">
      <c r="B36" s="433" t="s">
        <v>39</v>
      </c>
      <c r="C36" s="434">
        <v>0.15</v>
      </c>
      <c r="D36" s="435">
        <v>0.03</v>
      </c>
      <c r="E36" s="435">
        <v>0.03</v>
      </c>
      <c r="F36" s="435">
        <v>0.03</v>
      </c>
      <c r="G36" s="435">
        <v>0.03</v>
      </c>
      <c r="H36" s="435">
        <v>0.03</v>
      </c>
      <c r="I36" s="435">
        <v>0.03</v>
      </c>
      <c r="J36" s="435">
        <v>0.03</v>
      </c>
      <c r="K36" s="435">
        <v>0.03</v>
      </c>
      <c r="L36" s="436">
        <v>2.0000000000000001E-4</v>
      </c>
      <c r="M36" s="436">
        <v>2.0000000000000001E-4</v>
      </c>
      <c r="N36" s="436">
        <v>1E-3</v>
      </c>
      <c r="O36" s="436">
        <v>0</v>
      </c>
      <c r="P36" s="436">
        <v>0</v>
      </c>
      <c r="Q36" s="437">
        <v>7.4999999999999997E-3</v>
      </c>
      <c r="R36" s="1202">
        <v>2E-3</v>
      </c>
      <c r="S36" s="439">
        <v>1.5E-3</v>
      </c>
      <c r="T36" s="439">
        <v>0</v>
      </c>
      <c r="U36" s="440">
        <v>1.1399999999999999</v>
      </c>
      <c r="V36" s="440">
        <v>0.88</v>
      </c>
      <c r="W36" s="440">
        <v>0.82</v>
      </c>
      <c r="X36" s="440">
        <v>1.18</v>
      </c>
      <c r="Y36" s="440">
        <v>4.0199999999999996</v>
      </c>
      <c r="Z36" s="440">
        <v>2.41</v>
      </c>
      <c r="AA36" s="440">
        <v>1.61</v>
      </c>
      <c r="AB36" s="441">
        <v>1500</v>
      </c>
      <c r="AC36" s="451">
        <v>0.3</v>
      </c>
      <c r="AD36" s="451">
        <v>0.3</v>
      </c>
      <c r="AE36" s="451">
        <v>0.3</v>
      </c>
      <c r="AF36" s="451">
        <v>0.18</v>
      </c>
      <c r="AG36" s="451">
        <v>0.18</v>
      </c>
      <c r="AH36" s="451">
        <v>0.15</v>
      </c>
      <c r="AI36" s="451">
        <v>0.1</v>
      </c>
      <c r="AJ36" s="452">
        <v>0.23</v>
      </c>
      <c r="AK36" s="452">
        <v>0</v>
      </c>
      <c r="AL36" s="444"/>
      <c r="AM36" s="445"/>
      <c r="AN36" s="445"/>
      <c r="AO36" s="446"/>
    </row>
    <row r="37" spans="2:41" ht="21.75" x14ac:dyDescent="0.4">
      <c r="B37" s="433" t="s">
        <v>33</v>
      </c>
      <c r="C37" s="434">
        <v>0.15</v>
      </c>
      <c r="D37" s="435">
        <v>0.03</v>
      </c>
      <c r="E37" s="435">
        <v>0.03</v>
      </c>
      <c r="F37" s="435">
        <v>0.03</v>
      </c>
      <c r="G37" s="435">
        <v>0.03</v>
      </c>
      <c r="H37" s="435">
        <v>0.03</v>
      </c>
      <c r="I37" s="435">
        <v>0.03</v>
      </c>
      <c r="J37" s="435">
        <v>0.03</v>
      </c>
      <c r="K37" s="435">
        <v>0.03</v>
      </c>
      <c r="L37" s="436">
        <v>2.0000000000000001E-4</v>
      </c>
      <c r="M37" s="436">
        <v>2.0000000000000001E-4</v>
      </c>
      <c r="N37" s="436">
        <v>1E-3</v>
      </c>
      <c r="O37" s="436">
        <v>0</v>
      </c>
      <c r="P37" s="436">
        <v>0</v>
      </c>
      <c r="Q37" s="437">
        <v>7.4999999999999997E-3</v>
      </c>
      <c r="R37" s="1202">
        <v>2E-3</v>
      </c>
      <c r="S37" s="439">
        <v>1.5E-3</v>
      </c>
      <c r="T37" s="439">
        <v>0</v>
      </c>
      <c r="U37" s="440">
        <v>1.1399999999999999</v>
      </c>
      <c r="V37" s="440">
        <v>0.88</v>
      </c>
      <c r="W37" s="440">
        <v>0.82</v>
      </c>
      <c r="X37" s="440">
        <v>1.18</v>
      </c>
      <c r="Y37" s="440">
        <v>4.0199999999999996</v>
      </c>
      <c r="Z37" s="440">
        <v>2.41</v>
      </c>
      <c r="AA37" s="440">
        <v>1.61</v>
      </c>
      <c r="AB37" s="441">
        <v>1500</v>
      </c>
      <c r="AC37" s="451">
        <v>0.3</v>
      </c>
      <c r="AD37" s="451">
        <v>0.3</v>
      </c>
      <c r="AE37" s="451">
        <v>0.3</v>
      </c>
      <c r="AF37" s="451">
        <v>0.18</v>
      </c>
      <c r="AG37" s="451">
        <v>0.18</v>
      </c>
      <c r="AH37" s="451">
        <v>0.15</v>
      </c>
      <c r="AI37" s="451">
        <v>0.1</v>
      </c>
      <c r="AJ37" s="452">
        <v>0.23</v>
      </c>
      <c r="AK37" s="452">
        <v>0</v>
      </c>
      <c r="AL37" s="444"/>
      <c r="AM37" s="445"/>
      <c r="AN37" s="445"/>
      <c r="AO37" s="446"/>
    </row>
    <row r="38" spans="2:41" ht="21.75" x14ac:dyDescent="0.4">
      <c r="B38" s="433" t="s">
        <v>40</v>
      </c>
      <c r="C38" s="434">
        <v>0.15</v>
      </c>
      <c r="D38" s="435">
        <v>0.03</v>
      </c>
      <c r="E38" s="435">
        <v>0.03</v>
      </c>
      <c r="F38" s="435">
        <v>0.03</v>
      </c>
      <c r="G38" s="435">
        <v>0.03</v>
      </c>
      <c r="H38" s="435">
        <v>0.03</v>
      </c>
      <c r="I38" s="435">
        <v>0.03</v>
      </c>
      <c r="J38" s="435">
        <v>0.03</v>
      </c>
      <c r="K38" s="435">
        <v>0.03</v>
      </c>
      <c r="L38" s="436">
        <v>2.0000000000000001E-4</v>
      </c>
      <c r="M38" s="436">
        <v>2.0000000000000001E-4</v>
      </c>
      <c r="N38" s="436">
        <v>1E-3</v>
      </c>
      <c r="O38" s="436">
        <v>0</v>
      </c>
      <c r="P38" s="436">
        <v>0</v>
      </c>
      <c r="Q38" s="437">
        <v>7.4999999999999997E-3</v>
      </c>
      <c r="R38" s="1202">
        <v>2E-3</v>
      </c>
      <c r="S38" s="439">
        <v>1.5E-3</v>
      </c>
      <c r="T38" s="439">
        <v>0</v>
      </c>
      <c r="U38" s="440">
        <v>1.1399999999999999</v>
      </c>
      <c r="V38" s="440">
        <v>0.88</v>
      </c>
      <c r="W38" s="440">
        <v>0.82</v>
      </c>
      <c r="X38" s="440">
        <v>1.18</v>
      </c>
      <c r="Y38" s="440">
        <v>4.0199999999999996</v>
      </c>
      <c r="Z38" s="440">
        <v>2.41</v>
      </c>
      <c r="AA38" s="440">
        <v>1.61</v>
      </c>
      <c r="AB38" s="441">
        <v>1500</v>
      </c>
      <c r="AC38" s="451">
        <v>0.3</v>
      </c>
      <c r="AD38" s="451">
        <v>0.3</v>
      </c>
      <c r="AE38" s="451">
        <v>0.3</v>
      </c>
      <c r="AF38" s="451">
        <v>0.18</v>
      </c>
      <c r="AG38" s="451">
        <v>0.18</v>
      </c>
      <c r="AH38" s="451">
        <v>0.15</v>
      </c>
      <c r="AI38" s="451">
        <v>0.1</v>
      </c>
      <c r="AJ38" s="452">
        <v>0.23</v>
      </c>
      <c r="AK38" s="452">
        <v>0</v>
      </c>
      <c r="AL38" s="444"/>
      <c r="AM38" s="445"/>
      <c r="AN38" s="445"/>
      <c r="AO38" s="446"/>
    </row>
    <row r="39" spans="2:41" ht="22.5" thickBot="1" x14ac:dyDescent="0.45">
      <c r="B39" s="433" t="s">
        <v>41</v>
      </c>
      <c r="C39" s="434">
        <v>0.15</v>
      </c>
      <c r="D39" s="435">
        <v>0.03</v>
      </c>
      <c r="E39" s="435">
        <v>0.03</v>
      </c>
      <c r="F39" s="435">
        <v>0.03</v>
      </c>
      <c r="G39" s="435">
        <v>0.03</v>
      </c>
      <c r="H39" s="435">
        <v>0.03</v>
      </c>
      <c r="I39" s="435">
        <v>0.03</v>
      </c>
      <c r="J39" s="435">
        <v>0.03</v>
      </c>
      <c r="K39" s="435">
        <v>0.03</v>
      </c>
      <c r="L39" s="436">
        <v>2.0000000000000001E-4</v>
      </c>
      <c r="M39" s="436">
        <v>2.0000000000000001E-4</v>
      </c>
      <c r="N39" s="436">
        <v>1E-3</v>
      </c>
      <c r="O39" s="436">
        <v>0</v>
      </c>
      <c r="P39" s="436">
        <v>0</v>
      </c>
      <c r="Q39" s="437">
        <v>7.4999999999999997E-3</v>
      </c>
      <c r="R39" s="1202">
        <v>2E-3</v>
      </c>
      <c r="S39" s="439">
        <v>1.5E-3</v>
      </c>
      <c r="T39" s="439">
        <v>0</v>
      </c>
      <c r="U39" s="440">
        <v>1.1399999999999999</v>
      </c>
      <c r="V39" s="440">
        <v>0.88</v>
      </c>
      <c r="W39" s="440">
        <v>0.82</v>
      </c>
      <c r="X39" s="440">
        <v>1.18</v>
      </c>
      <c r="Y39" s="440">
        <v>4.0199999999999996</v>
      </c>
      <c r="Z39" s="440">
        <v>2.41</v>
      </c>
      <c r="AA39" s="440">
        <v>1.61</v>
      </c>
      <c r="AB39" s="441">
        <v>1500</v>
      </c>
      <c r="AC39" s="451">
        <v>0.3</v>
      </c>
      <c r="AD39" s="451">
        <v>0.3</v>
      </c>
      <c r="AE39" s="451">
        <v>0.3</v>
      </c>
      <c r="AF39" s="451">
        <v>0.18</v>
      </c>
      <c r="AG39" s="451">
        <v>0.18</v>
      </c>
      <c r="AH39" s="451">
        <v>0.15</v>
      </c>
      <c r="AI39" s="451">
        <v>0.1</v>
      </c>
      <c r="AJ39" s="452">
        <v>0.23</v>
      </c>
      <c r="AK39" s="452">
        <v>0</v>
      </c>
      <c r="AL39" s="448"/>
      <c r="AM39" s="449"/>
      <c r="AN39" s="449"/>
      <c r="AO39" s="450"/>
    </row>
    <row r="40" spans="2:41" x14ac:dyDescent="0.3">
      <c r="R40" s="368"/>
      <c r="T40" s="15"/>
    </row>
  </sheetData>
  <sheetProtection algorithmName="SHA-512" hashValue="jwWKftWjUUKOk0TfD7gKxWHsoc8Lu4purreQoEQh7b3IAMnI6Ez6B7ee2SzxoDzNAZBmPpo+BaJxT6cThx9/oA==" saltValue="S3ZCBbqBvaxOwI+SQGZ7Wg==" spinCount="100000" sheet="1" objects="1" scenarios="1" selectLockedCells="1"/>
  <protectedRanges>
    <protectedRange sqref="U9:Y20 C28:AO39" name="Range2"/>
    <protectedRange sqref="Z9:AO20 C9:T20" name="Range1"/>
  </protectedRanges>
  <mergeCells count="79">
    <mergeCell ref="AL24:AO24"/>
    <mergeCell ref="B25:B26"/>
    <mergeCell ref="P25:P26"/>
    <mergeCell ref="B24:C24"/>
    <mergeCell ref="D24:K24"/>
    <mergeCell ref="L24:T24"/>
    <mergeCell ref="U25:U26"/>
    <mergeCell ref="W25:W26"/>
    <mergeCell ref="Y25:Y26"/>
    <mergeCell ref="AL25:AO25"/>
    <mergeCell ref="Q25:Q26"/>
    <mergeCell ref="R25:R26"/>
    <mergeCell ref="S25:S26"/>
    <mergeCell ref="T25:T26"/>
    <mergeCell ref="J25:J26"/>
    <mergeCell ref="K25:K26"/>
    <mergeCell ref="AC24:AJ24"/>
    <mergeCell ref="AB6:AB7"/>
    <mergeCell ref="AC6:AK6"/>
    <mergeCell ref="AB25:AB26"/>
    <mergeCell ref="C25:C26"/>
    <mergeCell ref="N25:N26"/>
    <mergeCell ref="U24:Y24"/>
    <mergeCell ref="D25:D26"/>
    <mergeCell ref="E25:E26"/>
    <mergeCell ref="F25:F26"/>
    <mergeCell ref="G25:G26"/>
    <mergeCell ref="H25:H26"/>
    <mergeCell ref="I25:I26"/>
    <mergeCell ref="X6:X7"/>
    <mergeCell ref="M25:M26"/>
    <mergeCell ref="L25:L26"/>
    <mergeCell ref="B5:C5"/>
    <mergeCell ref="L5:T5"/>
    <mergeCell ref="S6:S7"/>
    <mergeCell ref="T6:T7"/>
    <mergeCell ref="L6:L7"/>
    <mergeCell ref="M6:M7"/>
    <mergeCell ref="N6:N7"/>
    <mergeCell ref="O6:O7"/>
    <mergeCell ref="K6:K7"/>
    <mergeCell ref="P6:P7"/>
    <mergeCell ref="C6:C7"/>
    <mergeCell ref="D6:D7"/>
    <mergeCell ref="O25:O26"/>
    <mergeCell ref="B6:B8"/>
    <mergeCell ref="Z24:AA24"/>
    <mergeCell ref="Z25:Z26"/>
    <mergeCell ref="Q6:Q7"/>
    <mergeCell ref="AA25:AA26"/>
    <mergeCell ref="V25:V26"/>
    <mergeCell ref="X25:X26"/>
    <mergeCell ref="AL5:AO5"/>
    <mergeCell ref="R6:R7"/>
    <mergeCell ref="AL6:AO6"/>
    <mergeCell ref="U6:U7"/>
    <mergeCell ref="V6:V7"/>
    <mergeCell ref="W6:W7"/>
    <mergeCell ref="Y6:Y7"/>
    <mergeCell ref="Z6:Z7"/>
    <mergeCell ref="AA6:AA7"/>
    <mergeCell ref="AC5:AK5"/>
    <mergeCell ref="Z5:AA5"/>
    <mergeCell ref="U5:Y5"/>
    <mergeCell ref="D3:K4"/>
    <mergeCell ref="L3:M4"/>
    <mergeCell ref="N3:N4"/>
    <mergeCell ref="O3:O4"/>
    <mergeCell ref="D22:K23"/>
    <mergeCell ref="L22:M23"/>
    <mergeCell ref="N22:N23"/>
    <mergeCell ref="O22:O23"/>
    <mergeCell ref="H6:H7"/>
    <mergeCell ref="I6:I7"/>
    <mergeCell ref="J6:J7"/>
    <mergeCell ref="D5:K5"/>
    <mergeCell ref="F6:F7"/>
    <mergeCell ref="G6:G7"/>
    <mergeCell ref="E6:E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4:AE63"/>
  <sheetViews>
    <sheetView showZeros="0" topLeftCell="L1" zoomScale="90" zoomScaleNormal="90" workbookViewId="0">
      <selection activeCell="D5" sqref="D5:J5"/>
    </sheetView>
  </sheetViews>
  <sheetFormatPr defaultRowHeight="15" x14ac:dyDescent="0.25"/>
  <cols>
    <col min="1" max="1" width="5.28515625" customWidth="1"/>
    <col min="2" max="2" width="5.85546875" style="454" customWidth="1"/>
    <col min="3" max="3" width="11.28515625" customWidth="1"/>
    <col min="4" max="4" width="9.140625" customWidth="1"/>
    <col min="5" max="5" width="15.140625" customWidth="1"/>
    <col min="6" max="6" width="8.42578125" customWidth="1"/>
    <col min="7" max="7" width="7.28515625" customWidth="1"/>
    <col min="8" max="8" width="7.85546875" customWidth="1"/>
    <col min="9" max="9" width="10.42578125" style="454" customWidth="1"/>
    <col min="12" max="12" width="10" customWidth="1"/>
    <col min="17" max="17" width="9.28515625" customWidth="1"/>
    <col min="18" max="18" width="10.28515625" customWidth="1"/>
    <col min="23" max="23" width="10.85546875" customWidth="1"/>
    <col min="27" max="27" width="10.7109375" customWidth="1"/>
    <col min="29" max="30" width="10.28515625" customWidth="1"/>
    <col min="31" max="31" width="12" customWidth="1"/>
  </cols>
  <sheetData>
    <row r="4" spans="1:31" ht="11.25" customHeight="1" thickBot="1" x14ac:dyDescent="0.3">
      <c r="B4" s="453"/>
    </row>
    <row r="5" spans="1:31" ht="33.75" customHeight="1" thickBot="1" x14ac:dyDescent="0.55000000000000004">
      <c r="A5" s="455"/>
      <c r="B5" s="1631" t="s">
        <v>96</v>
      </c>
      <c r="C5" s="1632"/>
      <c r="D5" s="1633"/>
      <c r="E5" s="36" t="s">
        <v>39</v>
      </c>
      <c r="F5" s="1634">
        <v>2022</v>
      </c>
      <c r="G5" s="1635"/>
      <c r="H5" s="1636"/>
      <c r="I5" s="1640" t="s">
        <v>285</v>
      </c>
      <c r="J5" s="1641"/>
      <c r="K5" s="1641"/>
      <c r="L5" s="1641"/>
      <c r="M5" s="1641"/>
      <c r="N5" s="1641"/>
      <c r="O5" s="34" t="s">
        <v>284</v>
      </c>
      <c r="P5" s="1671" t="str">
        <f>'शाळा माहिती'!C17</f>
        <v>1 ते 5</v>
      </c>
      <c r="Q5" s="1672"/>
      <c r="R5" s="1659" t="str">
        <f>'शाळा माहिती'!D4</f>
        <v>जि.प.प्रा.शा.बोरजाई वस्ती</v>
      </c>
      <c r="S5" s="1660"/>
      <c r="T5" s="1660"/>
      <c r="U5" s="1660"/>
      <c r="V5" s="1660"/>
      <c r="W5" s="1660"/>
      <c r="X5" s="1660"/>
      <c r="Y5" s="1660"/>
      <c r="Z5" s="1660"/>
      <c r="AA5" s="1661"/>
      <c r="AB5" s="1661"/>
      <c r="AC5" s="1661"/>
      <c r="AD5" s="1661"/>
      <c r="AE5" s="1662"/>
    </row>
    <row r="6" spans="1:31" ht="66" thickBot="1" x14ac:dyDescent="0.3">
      <c r="A6" s="455"/>
      <c r="B6" s="1687" t="s">
        <v>86</v>
      </c>
      <c r="C6" s="1663" t="s">
        <v>17</v>
      </c>
      <c r="D6" s="1664" t="s">
        <v>18</v>
      </c>
      <c r="E6" s="1665" t="s">
        <v>32</v>
      </c>
      <c r="F6" s="1688" t="s">
        <v>107</v>
      </c>
      <c r="G6" s="1667" t="s">
        <v>19</v>
      </c>
      <c r="H6" s="1669" t="s">
        <v>93</v>
      </c>
      <c r="I6" s="46" t="str">
        <f>'साठा नोंदवही'!E5</f>
        <v>तांदूळ</v>
      </c>
      <c r="J6" s="46" t="str">
        <f>'साठा नोंदवही'!F5</f>
        <v>मुगडाळ</v>
      </c>
      <c r="K6" s="46" t="str">
        <f>'साठा नोंदवही'!G5</f>
        <v>तुरडाळ</v>
      </c>
      <c r="L6" s="46" t="str">
        <f>'साठा नोंदवही'!H5</f>
        <v>मसूरडाळ</v>
      </c>
      <c r="M6" s="46" t="str">
        <f>'साठा नोंदवही'!I5</f>
        <v>मटकी</v>
      </c>
      <c r="N6" s="46" t="str">
        <f>'साठा नोंदवही'!J5</f>
        <v>मुग</v>
      </c>
      <c r="O6" s="46" t="str">
        <f>'साठा नोंदवही'!K5</f>
        <v>चवळी</v>
      </c>
      <c r="P6" s="46" t="str">
        <f>'साठा नोंदवही'!L5</f>
        <v>हरभरा</v>
      </c>
      <c r="Q6" s="46" t="str">
        <f>'साठा नोंदवही'!M5</f>
        <v>वाटाणा</v>
      </c>
      <c r="R6" s="47" t="str">
        <f>'साठा नोंदवही'!N5</f>
        <v>जिरे</v>
      </c>
      <c r="S6" s="48" t="str">
        <f>'साठा नोंदवही'!O5</f>
        <v>मोहरी</v>
      </c>
      <c r="T6" s="48" t="str">
        <f>'साठा नोंदवही'!P5</f>
        <v>हळद</v>
      </c>
      <c r="U6" s="48" t="str">
        <f>'साठा नोंदवही'!Q5</f>
        <v>मिरची पावडर</v>
      </c>
      <c r="V6" s="48" t="str">
        <f>'साठा नोंदवही'!R5</f>
        <v>गरम मसाला</v>
      </c>
      <c r="W6" s="48" t="str">
        <f>'साठा नोंदवही'!S5</f>
        <v>सोयाबीन तेल</v>
      </c>
      <c r="X6" s="48" t="str">
        <f>'साठा नोंदवही'!T5</f>
        <v>मीठ</v>
      </c>
      <c r="Y6" s="48" t="str">
        <f>'साठा नोंदवही'!U5</f>
        <v>कांदा लसून मसाला</v>
      </c>
      <c r="Z6" s="49">
        <f>'साठा नोंदवही'!V5</f>
        <v>0</v>
      </c>
      <c r="AA6" s="28" t="s">
        <v>98</v>
      </c>
      <c r="AB6" s="29" t="s">
        <v>60</v>
      </c>
      <c r="AC6" s="29" t="s">
        <v>99</v>
      </c>
      <c r="AD6" s="1208" t="s">
        <v>738</v>
      </c>
      <c r="AE6" s="30" t="s">
        <v>100</v>
      </c>
    </row>
    <row r="7" spans="1:31" ht="20.25" customHeight="1" thickBot="1" x14ac:dyDescent="0.3">
      <c r="A7" s="455"/>
      <c r="B7" s="1687"/>
      <c r="C7" s="1663"/>
      <c r="D7" s="1664"/>
      <c r="E7" s="1666"/>
      <c r="F7" s="1689"/>
      <c r="G7" s="1668"/>
      <c r="H7" s="1670"/>
      <c r="I7" s="22" t="s">
        <v>81</v>
      </c>
      <c r="J7" s="22" t="s">
        <v>81</v>
      </c>
      <c r="K7" s="22" t="s">
        <v>81</v>
      </c>
      <c r="L7" s="22" t="s">
        <v>81</v>
      </c>
      <c r="M7" s="22" t="s">
        <v>81</v>
      </c>
      <c r="N7" s="22" t="s">
        <v>81</v>
      </c>
      <c r="O7" s="22" t="s">
        <v>81</v>
      </c>
      <c r="P7" s="22" t="s">
        <v>81</v>
      </c>
      <c r="Q7" s="22" t="s">
        <v>81</v>
      </c>
      <c r="R7" s="22" t="s">
        <v>81</v>
      </c>
      <c r="S7" s="22" t="s">
        <v>81</v>
      </c>
      <c r="T7" s="22" t="s">
        <v>81</v>
      </c>
      <c r="U7" s="22" t="s">
        <v>81</v>
      </c>
      <c r="V7" s="22" t="s">
        <v>81</v>
      </c>
      <c r="W7" s="22" t="s">
        <v>215</v>
      </c>
      <c r="X7" s="22" t="s">
        <v>81</v>
      </c>
      <c r="Y7" s="22" t="s">
        <v>81</v>
      </c>
      <c r="Z7" s="25" t="s">
        <v>81</v>
      </c>
      <c r="AA7" s="23" t="s">
        <v>214</v>
      </c>
      <c r="AB7" s="23" t="s">
        <v>214</v>
      </c>
      <c r="AC7" s="23" t="s">
        <v>214</v>
      </c>
      <c r="AD7" s="23" t="s">
        <v>214</v>
      </c>
      <c r="AE7" s="23" t="s">
        <v>214</v>
      </c>
    </row>
    <row r="8" spans="1:31" ht="20.25" customHeight="1" thickBot="1" x14ac:dyDescent="0.3">
      <c r="B8" s="8"/>
      <c r="C8" s="9"/>
      <c r="D8" s="10"/>
      <c r="E8" s="1637" t="s">
        <v>216</v>
      </c>
      <c r="F8" s="1638"/>
      <c r="G8" s="1638"/>
      <c r="H8" s="1639"/>
      <c r="I8" s="50">
        <f>VLOOKUP(' दैनिक नोंदवही1 ते 5'!E5,' प्रमाण निश्चिती '!B9:Y20,2,0)</f>
        <v>0.1</v>
      </c>
      <c r="J8" s="51">
        <f>VLOOKUP(' दैनिक नोंदवही1 ते 5'!E5,' प्रमाण निश्चिती '!B9:Y20,3,0)</f>
        <v>0.02</v>
      </c>
      <c r="K8" s="51">
        <f>VLOOKUP(' दैनिक नोंदवही1 ते 5'!E5,' प्रमाण निश्चिती '!B9:Y20,4,0)</f>
        <v>0.02</v>
      </c>
      <c r="L8" s="51">
        <f>VLOOKUP(' दैनिक नोंदवही1 ते 5'!E5,' प्रमाण निश्चिती '!B9:Y20,5,0)</f>
        <v>0.02</v>
      </c>
      <c r="M8" s="51">
        <f>VLOOKUP(' दैनिक नोंदवही1 ते 5'!E5,' प्रमाण निश्चिती '!B9:Y20,6,0)</f>
        <v>0.02</v>
      </c>
      <c r="N8" s="51">
        <f>VLOOKUP(' दैनिक नोंदवही1 ते 5'!E5,' प्रमाण निश्चिती '!B9:Y20,7,0)</f>
        <v>0.02</v>
      </c>
      <c r="O8" s="51">
        <f>VLOOKUP(' दैनिक नोंदवही1 ते 5'!E5,' प्रमाण निश्चिती '!B9:Y20,8,0)</f>
        <v>0.02</v>
      </c>
      <c r="P8" s="51">
        <f>VLOOKUP(' दैनिक नोंदवही1 ते 5'!E5,' प्रमाण निश्चिती '!B9:Y20,9,0)</f>
        <v>0.02</v>
      </c>
      <c r="Q8" s="52">
        <f>VLOOKUP(' दैनिक नोंदवही1 ते 5'!E5,' प्रमाण निश्चिती '!B9:Y20,10,0)</f>
        <v>0.02</v>
      </c>
      <c r="R8" s="1200">
        <f>VLOOKUP(' दैनिक नोंदवही1 ते 5'!E5,' प्रमाण निश्चिती '!B9:Y20,11,0)</f>
        <v>2.9999999999999997E-4</v>
      </c>
      <c r="S8" s="1201">
        <f>VLOOKUP(' दैनिक नोंदवही1 ते 5'!E5,' प्रमाण निश्चिती '!B9:Y20,12,0)</f>
        <v>5.0000000000000001E-4</v>
      </c>
      <c r="T8" s="1201">
        <f>VLOOKUP(' दैनिक नोंदवही1 ते 5'!E5,' प्रमाण निश्चिती '!B9:Y20,13,0)</f>
        <v>2.9999999999999997E-4</v>
      </c>
      <c r="U8" s="54">
        <f>VLOOKUP(' दैनिक नोंदवही1 ते 5'!E5,' प्रमाण निश्चिती '!B9:Y20,14,0)</f>
        <v>0</v>
      </c>
      <c r="V8" s="54">
        <f>VLOOKUP(' दैनिक नोंदवही1 ते 5'!E5,' प्रमाण निश्चिती '!B9:Y20,15,0)</f>
        <v>0</v>
      </c>
      <c r="W8" s="54">
        <f>VLOOKUP(' दैनिक नोंदवही1 ते 5'!E5,' प्रमाण निश्चिती '!B9:Y20,16,0)</f>
        <v>5.0000000000000001E-3</v>
      </c>
      <c r="X8" s="54">
        <f>VLOOKUP(' दैनिक नोंदवही1 ते 5'!E5,' प्रमाण निश्चिती '!B9:Y20,17,0)</f>
        <v>2E-3</v>
      </c>
      <c r="Y8" s="54">
        <f>VLOOKUP(' दैनिक नोंदवही1 ते 5'!E5,' प्रमाण निश्चिती '!B9:Y20,18,0)</f>
        <v>1.1999999999999999E-3</v>
      </c>
      <c r="Z8" s="55">
        <f>VLOOKUP(' दैनिक नोंदवही1 ते 5'!E5,' प्रमाण निश्चिती '!B9:Y20,19,0)</f>
        <v>0</v>
      </c>
      <c r="AA8" s="56">
        <f>VLOOKUP(' दैनिक नोंदवही1 ते 5'!E5,' प्रमाण निश्चिती '!B9:Y20,20,0)</f>
        <v>0.71</v>
      </c>
      <c r="AB8" s="57">
        <f>VLOOKUP(' दैनिक नोंदवही1 ते 5'!E5,' प्रमाण निश्चिती '!B9:Y20,21,0)</f>
        <v>0.79</v>
      </c>
      <c r="AC8" s="57">
        <f>VLOOKUP(' दैनिक नोंदवही1 ते 5'!E5,' प्रमाण निश्चिती '!B9:Y20,22,0)</f>
        <v>0.57999999999999996</v>
      </c>
      <c r="AD8" s="1209">
        <f>VLOOKUP(' दैनिक नोंदवही1 ते 5'!E5,' प्रमाण निश्चिती '!B9:Y20,23,0)</f>
        <v>0.79</v>
      </c>
      <c r="AE8" s="58">
        <f>VLOOKUP(' दैनिक नोंदवही1 ते 5'!E5,' प्रमाण निश्चिती '!B9:Y20,24,0)</f>
        <v>2.87</v>
      </c>
    </row>
    <row r="9" spans="1:31" ht="24" customHeight="1" thickBot="1" x14ac:dyDescent="0.3">
      <c r="B9" s="11"/>
      <c r="C9" s="1648" t="s">
        <v>286</v>
      </c>
      <c r="D9" s="1649"/>
      <c r="E9" s="1650" t="s">
        <v>101</v>
      </c>
      <c r="F9" s="1651"/>
      <c r="G9" s="1651"/>
      <c r="H9" s="1652"/>
      <c r="I9" s="59">
        <f>VLOOKUP(E5,'शिक्षक मानधन पावती'!BF50:BY61,3,0)</f>
        <v>45.599999999999959</v>
      </c>
      <c r="J9" s="60">
        <f>VLOOKUP(E5,'शिक्षक मानधन पावती'!BF50:BY61,4,0)</f>
        <v>3.5000000000000004</v>
      </c>
      <c r="K9" s="61">
        <f>VLOOKUP(E5,'शिक्षक मानधन पावती'!BF50:BY61,5,0)</f>
        <v>0</v>
      </c>
      <c r="L9" s="61">
        <f>VLOOKUP(E5,'शिक्षक मानधन पावती'!BF50:BY61,6,0)</f>
        <v>0</v>
      </c>
      <c r="M9" s="62">
        <f>VLOOKUP(E5,'शिक्षक मानधन पावती'!BF50:BY61,7,0)</f>
        <v>0</v>
      </c>
      <c r="N9" s="62">
        <f>VLOOKUP(E5,'शिक्षक मानधन पावती'!BF50:BY61,8,0)</f>
        <v>0</v>
      </c>
      <c r="O9" s="62">
        <f>VLOOKUP(E5,'शिक्षक मानधन पावती'!BF50:BY61,9,0)</f>
        <v>0</v>
      </c>
      <c r="P9" s="62">
        <f>VLOOKUP(E5,'शिक्षक मानधन पावती'!BF50:BY61,10,0)</f>
        <v>3.6</v>
      </c>
      <c r="Q9" s="62">
        <f>VLOOKUP(E5,'शिक्षक मानधन पावती'!BF50:BY61,11,0)</f>
        <v>3.0199999999999996</v>
      </c>
      <c r="R9" s="60">
        <f>VLOOKUP(E5,'शिक्षक मानधन पावती'!BF50:BY61,12,0)</f>
        <v>0.38760000000000017</v>
      </c>
      <c r="S9" s="61">
        <f>VLOOKUP(E5,'शिक्षक मानधन पावती'!BF50:BY61,13,0)</f>
        <v>0.27799999999999958</v>
      </c>
      <c r="T9" s="61">
        <f>VLOOKUP(E5,'शिक्षक मानधन पावती'!BF50:BY61,14,0)</f>
        <v>0.48760000000000026</v>
      </c>
      <c r="U9" s="61">
        <f>VLOOKUP(E5,'शिक्षक मानधन पावती'!BF50:BY61,15,0)</f>
        <v>0</v>
      </c>
      <c r="V9" s="61">
        <f>VLOOKUP(E5,'शिक्षक मानधन पावती'!BF50:BY61,16,0)</f>
        <v>0</v>
      </c>
      <c r="W9" s="62">
        <f>VLOOKUP(E5,'शिक्षक मानधन पावती'!BF50:BY61,17,0)</f>
        <v>13.779999999999998</v>
      </c>
      <c r="X9" s="63">
        <f>VLOOKUP(E5,'शिक्षक मानधन पावती'!BF50:BY61,18,0)</f>
        <v>3.3079999999999981</v>
      </c>
      <c r="Y9" s="63">
        <f>VLOOKUP(E5,'शिक्षक मानधन पावती'!BF50:BY61,19,0)</f>
        <v>0.54720000000000124</v>
      </c>
      <c r="Z9" s="63">
        <f>VLOOKUP(E5,'शिक्षक मानधन पावती'!BF50:BY61,20,0)</f>
        <v>0</v>
      </c>
      <c r="AA9" s="1675"/>
      <c r="AB9" s="1676"/>
      <c r="AC9" s="1676"/>
      <c r="AD9" s="1676"/>
      <c r="AE9" s="1677"/>
    </row>
    <row r="10" spans="1:31" ht="24.75" customHeight="1" thickBot="1" x14ac:dyDescent="0.3">
      <c r="B10" s="1646"/>
      <c r="C10" s="1642" t="str">
        <f>'शाळा माहिती'!C17</f>
        <v>1 ते 5</v>
      </c>
      <c r="D10" s="1643"/>
      <c r="E10" s="1653" t="s">
        <v>102</v>
      </c>
      <c r="F10" s="1654"/>
      <c r="G10" s="1654"/>
      <c r="H10" s="1655"/>
      <c r="I10" s="64">
        <f>VLOOKUP(E5,'साठा नोंदवही'!AY31:BR64,3,0)</f>
        <v>30</v>
      </c>
      <c r="J10" s="64">
        <f>VLOOKUP(E5,'साठा नोंदवही'!AY31:BR64,4,0)</f>
        <v>2</v>
      </c>
      <c r="K10" s="65">
        <f>VLOOKUP(E5,'साठा नोंदवही'!AY31:BR64,5,0)</f>
        <v>0</v>
      </c>
      <c r="L10" s="65">
        <f>VLOOKUP(E5,'साठा नोंदवही'!AY31:BR64,6,0)</f>
        <v>0</v>
      </c>
      <c r="M10" s="65">
        <f>VLOOKUP(E5,'साठा नोंदवही'!AY31:BR64,7,0)</f>
        <v>0</v>
      </c>
      <c r="N10" s="65">
        <f>VLOOKUP(E5,'साठा नोंदवही'!AY31:BR64,8,0)</f>
        <v>0</v>
      </c>
      <c r="O10" s="65">
        <f>VLOOKUP(E5,'साठा नोंदवही'!AY31:BR64,9,0)</f>
        <v>0</v>
      </c>
      <c r="P10" s="65">
        <f>VLOOKUP(E5,'साठा नोंदवही'!AY31:BR64,10,0)</f>
        <v>0</v>
      </c>
      <c r="Q10" s="66">
        <f>VLOOKUP(E5,'साठा नोंदवही'!AY31:BR64,11,0)</f>
        <v>0</v>
      </c>
      <c r="R10" s="67">
        <f>VLOOKUP(E5,'साठा नोंदवही'!AY31:BR64,12,0)</f>
        <v>0</v>
      </c>
      <c r="S10" s="65">
        <f>VLOOKUP(E5,'साठा नोंदवही'!AY31:BR64,13,0)</f>
        <v>0</v>
      </c>
      <c r="T10" s="65">
        <f>VLOOKUP(E5,'साठा नोंदवही'!AY31:BR64,14,0)</f>
        <v>0</v>
      </c>
      <c r="U10" s="65">
        <f>VLOOKUP(E5,'साठा नोंदवही'!AY31:BR64,15,0)</f>
        <v>0</v>
      </c>
      <c r="V10" s="65">
        <f>VLOOKUP(E5,'साठा नोंदवही'!AY31:BR64,16,0)</f>
        <v>0</v>
      </c>
      <c r="W10" s="68">
        <f>VLOOKUP(E5,'साठा नोंदवही'!AY31:BR64,17,0)</f>
        <v>3</v>
      </c>
      <c r="X10" s="66">
        <f>VLOOKUP(E5,'साठा नोंदवही'!AY31:BR64,18,0)</f>
        <v>0</v>
      </c>
      <c r="Y10" s="66">
        <f>VLOOKUP(E5,'साठा नोंदवही'!AY31:BR64,19,0)</f>
        <v>0.5</v>
      </c>
      <c r="Z10" s="66">
        <f>VLOOKUP(E5,'साठा नोंदवही'!AY31:BR64,20,0)</f>
        <v>0</v>
      </c>
      <c r="AA10" s="1678"/>
      <c r="AB10" s="1679"/>
      <c r="AC10" s="1679"/>
      <c r="AD10" s="1679"/>
      <c r="AE10" s="1680"/>
    </row>
    <row r="11" spans="1:31" ht="24.75" customHeight="1" thickBot="1" x14ac:dyDescent="0.3">
      <c r="B11" s="1646"/>
      <c r="C11" s="1642"/>
      <c r="D11" s="1643"/>
      <c r="E11" s="1694" t="s">
        <v>328</v>
      </c>
      <c r="F11" s="1695"/>
      <c r="G11" s="1695"/>
      <c r="H11" s="1695"/>
      <c r="I11" s="69">
        <f>VLOOKUP(E5,'साठा नोंदवही'!C44:V56,3,0)</f>
        <v>0</v>
      </c>
      <c r="J11" s="69">
        <f>VLOOKUP(E5,'साठा नोंदवही'!C44:V56,4,0)</f>
        <v>0</v>
      </c>
      <c r="K11" s="69">
        <f>VLOOKUP(E5,'साठा नोंदवही'!C44:V56,5,0)</f>
        <v>0</v>
      </c>
      <c r="L11" s="69">
        <f>VLOOKUP(E5,'साठा नोंदवही'!C44:V56,6,0)</f>
        <v>0</v>
      </c>
      <c r="M11" s="69">
        <f>VLOOKUP(E5,'साठा नोंदवही'!C44:V56,7,0)</f>
        <v>0</v>
      </c>
      <c r="N11" s="69">
        <f>VLOOKUP(E5,'साठा नोंदवही'!C44:V56,8,0)</f>
        <v>0</v>
      </c>
      <c r="O11" s="69">
        <f>VLOOKUP(E5,'साठा नोंदवही'!C44:V56,9,0)</f>
        <v>0</v>
      </c>
      <c r="P11" s="69">
        <f>VLOOKUP(E5,'साठा नोंदवही'!C44:V56,10,0)</f>
        <v>0</v>
      </c>
      <c r="Q11" s="69">
        <f>VLOOKUP(E5,'साठा नोंदवही'!C44:V56,11,0)</f>
        <v>0</v>
      </c>
      <c r="R11" s="69">
        <f>VLOOKUP(E5,'साठा नोंदवही'!C44:V56,12,0)</f>
        <v>0</v>
      </c>
      <c r="S11" s="69">
        <f>VLOOKUP(E5,'साठा नोंदवही'!C44:V56,13,0)</f>
        <v>0</v>
      </c>
      <c r="T11" s="69">
        <f>VLOOKUP(E5,'साठा नोंदवही'!C44:V56,14,0)</f>
        <v>0</v>
      </c>
      <c r="U11" s="69">
        <f>VLOOKUP(E5,'साठा नोंदवही'!C44:V56,15,0)</f>
        <v>0</v>
      </c>
      <c r="V11" s="69">
        <f>VLOOKUP(E5,'साठा नोंदवही'!C44:V56,16,0)</f>
        <v>0</v>
      </c>
      <c r="W11" s="69">
        <f>VLOOKUP(E5,'साठा नोंदवही'!C44:V56,17,0)</f>
        <v>0</v>
      </c>
      <c r="X11" s="69">
        <f>VLOOKUP(E5,'साठा नोंदवही'!C44:V56,18,0)</f>
        <v>0</v>
      </c>
      <c r="Y11" s="69">
        <f>VLOOKUP(E5,'साठा नोंदवही'!C44:V56,19,0)</f>
        <v>0</v>
      </c>
      <c r="Z11" s="70">
        <f>VLOOKUP(E5,'साठा नोंदवही'!C44:V56,20,0)</f>
        <v>0</v>
      </c>
      <c r="AA11" s="1679"/>
      <c r="AB11" s="1679"/>
      <c r="AC11" s="1679"/>
      <c r="AD11" s="1679"/>
      <c r="AE11" s="1680"/>
    </row>
    <row r="12" spans="1:31" ht="24.75" customHeight="1" thickBot="1" x14ac:dyDescent="0.3">
      <c r="B12" s="1647"/>
      <c r="C12" s="1644"/>
      <c r="D12" s="1645"/>
      <c r="E12" s="1656" t="s">
        <v>103</v>
      </c>
      <c r="F12" s="1657"/>
      <c r="G12" s="1657"/>
      <c r="H12" s="1658"/>
      <c r="I12" s="71">
        <f>(I9+I10-I11)</f>
        <v>75.599999999999966</v>
      </c>
      <c r="J12" s="71">
        <f t="shared" ref="J12:Z12" si="0">(J9+J10-J11)</f>
        <v>5.5</v>
      </c>
      <c r="K12" s="71">
        <f t="shared" si="0"/>
        <v>0</v>
      </c>
      <c r="L12" s="71">
        <f t="shared" si="0"/>
        <v>0</v>
      </c>
      <c r="M12" s="71">
        <f t="shared" si="0"/>
        <v>0</v>
      </c>
      <c r="N12" s="71">
        <f t="shared" si="0"/>
        <v>0</v>
      </c>
      <c r="O12" s="71">
        <f t="shared" si="0"/>
        <v>0</v>
      </c>
      <c r="P12" s="71">
        <f t="shared" si="0"/>
        <v>3.6</v>
      </c>
      <c r="Q12" s="71">
        <f t="shared" si="0"/>
        <v>3.0199999999999996</v>
      </c>
      <c r="R12" s="71">
        <f t="shared" si="0"/>
        <v>0.38760000000000017</v>
      </c>
      <c r="S12" s="71">
        <f t="shared" si="0"/>
        <v>0.27799999999999958</v>
      </c>
      <c r="T12" s="71">
        <f t="shared" si="0"/>
        <v>0.48760000000000026</v>
      </c>
      <c r="U12" s="71">
        <f t="shared" si="0"/>
        <v>0</v>
      </c>
      <c r="V12" s="71">
        <f t="shared" si="0"/>
        <v>0</v>
      </c>
      <c r="W12" s="71">
        <f t="shared" si="0"/>
        <v>16.779999999999998</v>
      </c>
      <c r="X12" s="71">
        <f t="shared" si="0"/>
        <v>3.3079999999999981</v>
      </c>
      <c r="Y12" s="71">
        <f t="shared" si="0"/>
        <v>1.0472000000000012</v>
      </c>
      <c r="Z12" s="71">
        <f t="shared" si="0"/>
        <v>0</v>
      </c>
      <c r="AA12" s="1681"/>
      <c r="AB12" s="1682"/>
      <c r="AC12" s="1682"/>
      <c r="AD12" s="1682"/>
      <c r="AE12" s="1683"/>
    </row>
    <row r="13" spans="1:31" ht="22.5" thickBot="1" x14ac:dyDescent="0.3">
      <c r="A13" s="455"/>
      <c r="B13" s="456">
        <v>1</v>
      </c>
      <c r="C13" s="72">
        <f>DATE(F5,INDEX({1,2,3,4,5,6,7,8,9,10,11,12},MATCH(E5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44896</v>
      </c>
      <c r="D13" s="73" t="str">
        <f>IF(C13="","",INDEX({"रवि";"सोम";"मंगळ";"बुध";"गुरू";"शुक्र";"शनि"},WEEKDAY(C13)))</f>
        <v>गुरू</v>
      </c>
      <c r="E13" s="89" t="str">
        <f>HLOOKUP(E5,'दैनिक माहिती'!BF120:BQ151,2,0)</f>
        <v>हरभरा</v>
      </c>
      <c r="F13" s="74">
        <f>HLOOKUP(E5,'दैनिक माहिती'!BF8:BQ40,2,0)</f>
        <v>22</v>
      </c>
      <c r="G13" s="75">
        <f>HLOOKUP(E5,'दैनिक माहिती'!BF46:BQ78,2,0)</f>
        <v>22</v>
      </c>
      <c r="H13" s="76">
        <f>HLOOKUP(E5,'दैनिक माहिती'!BF83:BQ115,2,0)</f>
        <v>22</v>
      </c>
      <c r="I13" s="77">
        <f>(H13*$I$8)</f>
        <v>2.2000000000000002</v>
      </c>
      <c r="J13" s="78">
        <f>IF(E13=$J$6,H13*$J$8,0)</f>
        <v>0</v>
      </c>
      <c r="K13" s="78">
        <f>IF(E13=$K$6,H13*$K$8,0)</f>
        <v>0</v>
      </c>
      <c r="L13" s="78">
        <f>IF(E13=$L$6,H13*$L$8,0)</f>
        <v>0</v>
      </c>
      <c r="M13" s="78">
        <f>IF(E13=$M$6,H13*$M$8,0)</f>
        <v>0</v>
      </c>
      <c r="N13" s="78">
        <f>IF(E13=$N$6,H13*$N$8,0)</f>
        <v>0</v>
      </c>
      <c r="O13" s="78">
        <f>IF(E13=$O$6,H13*$O$8,0)</f>
        <v>0</v>
      </c>
      <c r="P13" s="78">
        <f>IF(E13=$P$6,H13*$P$8,0)</f>
        <v>0.44</v>
      </c>
      <c r="Q13" s="78">
        <f>IF(E13=$Q$6,H13*$Q$8,0)</f>
        <v>0</v>
      </c>
      <c r="R13" s="79">
        <f>$R$8*H13</f>
        <v>6.5999999999999991E-3</v>
      </c>
      <c r="S13" s="80">
        <f>$S$8*H13</f>
        <v>1.0999999999999999E-2</v>
      </c>
      <c r="T13" s="80">
        <f>$T$8*H13</f>
        <v>6.5999999999999991E-3</v>
      </c>
      <c r="U13" s="80">
        <f>$U$8*H13</f>
        <v>0</v>
      </c>
      <c r="V13" s="80">
        <f>$V$8*H13</f>
        <v>0</v>
      </c>
      <c r="W13" s="80">
        <f>$W$8*H13</f>
        <v>0.11</v>
      </c>
      <c r="X13" s="81">
        <f>$X$8*H13</f>
        <v>4.3999999999999997E-2</v>
      </c>
      <c r="Y13" s="81">
        <f>$Y$8*H13</f>
        <v>2.6399999999999996E-2</v>
      </c>
      <c r="Z13" s="81">
        <f>$Z$8*H13</f>
        <v>0</v>
      </c>
      <c r="AA13" s="82">
        <f>$AA$8*H13</f>
        <v>15.62</v>
      </c>
      <c r="AB13" s="83">
        <f>$AB$8*H13</f>
        <v>17.380000000000003</v>
      </c>
      <c r="AC13" s="83">
        <f>$AC$8*H13</f>
        <v>12.76</v>
      </c>
      <c r="AD13" s="1210">
        <f>$AD$8*H13</f>
        <v>17.380000000000003</v>
      </c>
      <c r="AE13" s="91">
        <f>$AE$8*H13</f>
        <v>63.14</v>
      </c>
    </row>
    <row r="14" spans="1:31" ht="22.5" thickBot="1" x14ac:dyDescent="0.3">
      <c r="A14" s="455"/>
      <c r="B14" s="457">
        <v>2</v>
      </c>
      <c r="C14" s="72">
        <f>C13+1</f>
        <v>44897</v>
      </c>
      <c r="D14" s="73" t="str">
        <f>IF(C14="","",INDEX({"रवि";"सोम";"मंगळ";"बुध";"गुरू";"शुक्र";"शनि"},WEEKDAY(C14)))</f>
        <v>शुक्र</v>
      </c>
      <c r="E14" s="89" t="str">
        <f>HLOOKUP(E5,'दैनिक माहिती'!BF120:BQ151,3,0)</f>
        <v>वाटाणा</v>
      </c>
      <c r="F14" s="74">
        <f>HLOOKUP(E5,'दैनिक माहिती'!BF8:BQ40,3,0)</f>
        <v>21</v>
      </c>
      <c r="G14" s="75">
        <f>HLOOKUP(E5,'दैनिक माहिती'!BF46:BQ78,3,0)</f>
        <v>21</v>
      </c>
      <c r="H14" s="76">
        <f>HLOOKUP(E5,'दैनिक माहिती'!BF83:BQ115,3,0)</f>
        <v>21</v>
      </c>
      <c r="I14" s="77">
        <f t="shared" ref="I14:I43" si="1">(H14*$I$8)</f>
        <v>2.1</v>
      </c>
      <c r="J14" s="78">
        <f t="shared" ref="J14:J43" si="2">IF(E14=$J$6,H14*$J$8,0)</f>
        <v>0</v>
      </c>
      <c r="K14" s="78">
        <f t="shared" ref="K14:K43" si="3">IF(E14=$K$6,H14*$K$8,0)</f>
        <v>0</v>
      </c>
      <c r="L14" s="78">
        <f t="shared" ref="L14:L43" si="4">IF(E14=$L$6,H14*$L$8,0)</f>
        <v>0</v>
      </c>
      <c r="M14" s="78">
        <f t="shared" ref="M14:M43" si="5">IF(E14=$M$6,H14*$M$8,0)</f>
        <v>0</v>
      </c>
      <c r="N14" s="78">
        <f t="shared" ref="N14:N43" si="6">IF(E14=$N$6,H14*$N$8,0)</f>
        <v>0</v>
      </c>
      <c r="O14" s="78">
        <f t="shared" ref="O14:O43" si="7">IF(E14=$O$6,H14*$O$8,0)</f>
        <v>0</v>
      </c>
      <c r="P14" s="78">
        <f t="shared" ref="P14:P43" si="8">IF(E14=$P$6,H14*$P$8,0)</f>
        <v>0</v>
      </c>
      <c r="Q14" s="78">
        <f t="shared" ref="Q14:Q43" si="9">IF(E14=$Q$6,H14*$Q$8,0)</f>
        <v>0.42</v>
      </c>
      <c r="R14" s="79">
        <f t="shared" ref="R14:R43" si="10">$R$8*H14</f>
        <v>6.2999999999999992E-3</v>
      </c>
      <c r="S14" s="80">
        <f t="shared" ref="S14:S43" si="11">$S$8*H14</f>
        <v>1.0500000000000001E-2</v>
      </c>
      <c r="T14" s="80">
        <f t="shared" ref="T14:T43" si="12">$T$8*H14</f>
        <v>6.2999999999999992E-3</v>
      </c>
      <c r="U14" s="80">
        <f t="shared" ref="U14:U43" si="13">$U$8*H14</f>
        <v>0</v>
      </c>
      <c r="V14" s="80">
        <f t="shared" ref="V14:V43" si="14">$V$8*H14</f>
        <v>0</v>
      </c>
      <c r="W14" s="80">
        <f t="shared" ref="W14:W43" si="15">$W$8*H14</f>
        <v>0.105</v>
      </c>
      <c r="X14" s="81">
        <f t="shared" ref="X14:X43" si="16">$X$8*H14</f>
        <v>4.2000000000000003E-2</v>
      </c>
      <c r="Y14" s="81">
        <f t="shared" ref="Y14:Y43" si="17">$Y$8*H14</f>
        <v>2.5199999999999997E-2</v>
      </c>
      <c r="Z14" s="81">
        <f t="shared" ref="Z14:Z43" si="18">$Z$8*H14</f>
        <v>0</v>
      </c>
      <c r="AA14" s="82">
        <f t="shared" ref="AA14:AA43" si="19">$AA$8*H14</f>
        <v>14.91</v>
      </c>
      <c r="AB14" s="83">
        <f t="shared" ref="AB14:AB43" si="20">$AB$8*H14</f>
        <v>16.59</v>
      </c>
      <c r="AC14" s="83">
        <f t="shared" ref="AC14:AC43" si="21">$AC$8*H14</f>
        <v>12.18</v>
      </c>
      <c r="AD14" s="1210">
        <f t="shared" ref="AD14:AD43" si="22">$AD$8*H14</f>
        <v>16.59</v>
      </c>
      <c r="AE14" s="91">
        <f t="shared" ref="AE14:AE43" si="23">$AE$8*H14</f>
        <v>60.27</v>
      </c>
    </row>
    <row r="15" spans="1:31" ht="22.5" thickBot="1" x14ac:dyDescent="0.3">
      <c r="A15" s="455"/>
      <c r="B15" s="457">
        <v>3</v>
      </c>
      <c r="C15" s="72">
        <f t="shared" ref="C15:C43" si="24">C14+1</f>
        <v>44898</v>
      </c>
      <c r="D15" s="73" t="str">
        <f>IF(C15="","",INDEX({"रवि";"सोम";"मंगळ";"बुध";"गुरू";"शुक्र";"शनि"},WEEKDAY(C15)))</f>
        <v>शनि</v>
      </c>
      <c r="E15" s="89" t="str">
        <f>HLOOKUP(E5,'दैनिक माहिती'!BF120:BQ151,4,0)</f>
        <v>मुगडाळ</v>
      </c>
      <c r="F15" s="74">
        <f>HLOOKUP(E5,'दैनिक माहिती'!BF8:BQ40,4,0)</f>
        <v>21</v>
      </c>
      <c r="G15" s="75">
        <f>HLOOKUP(E5,'दैनिक माहिती'!BF46:BQ78,4,0)</f>
        <v>21</v>
      </c>
      <c r="H15" s="76">
        <f>HLOOKUP(E5,'दैनिक माहिती'!BF83:BQ115,4,0)</f>
        <v>21</v>
      </c>
      <c r="I15" s="77">
        <f t="shared" si="1"/>
        <v>2.1</v>
      </c>
      <c r="J15" s="78">
        <f t="shared" si="2"/>
        <v>0.42</v>
      </c>
      <c r="K15" s="78">
        <f t="shared" si="3"/>
        <v>0</v>
      </c>
      <c r="L15" s="78">
        <f t="shared" si="4"/>
        <v>0</v>
      </c>
      <c r="M15" s="78">
        <f t="shared" si="5"/>
        <v>0</v>
      </c>
      <c r="N15" s="78">
        <f t="shared" si="6"/>
        <v>0</v>
      </c>
      <c r="O15" s="78">
        <f t="shared" si="7"/>
        <v>0</v>
      </c>
      <c r="P15" s="78">
        <f t="shared" si="8"/>
        <v>0</v>
      </c>
      <c r="Q15" s="78">
        <f t="shared" si="9"/>
        <v>0</v>
      </c>
      <c r="R15" s="79">
        <f t="shared" si="10"/>
        <v>6.2999999999999992E-3</v>
      </c>
      <c r="S15" s="80">
        <f t="shared" si="11"/>
        <v>1.0500000000000001E-2</v>
      </c>
      <c r="T15" s="80">
        <f t="shared" si="12"/>
        <v>6.2999999999999992E-3</v>
      </c>
      <c r="U15" s="80">
        <f t="shared" si="13"/>
        <v>0</v>
      </c>
      <c r="V15" s="80">
        <f t="shared" si="14"/>
        <v>0</v>
      </c>
      <c r="W15" s="80">
        <f t="shared" si="15"/>
        <v>0.105</v>
      </c>
      <c r="X15" s="81">
        <f t="shared" si="16"/>
        <v>4.2000000000000003E-2</v>
      </c>
      <c r="Y15" s="81">
        <f t="shared" si="17"/>
        <v>2.5199999999999997E-2</v>
      </c>
      <c r="Z15" s="81">
        <f t="shared" si="18"/>
        <v>0</v>
      </c>
      <c r="AA15" s="82">
        <f t="shared" si="19"/>
        <v>14.91</v>
      </c>
      <c r="AB15" s="83">
        <f t="shared" si="20"/>
        <v>16.59</v>
      </c>
      <c r="AC15" s="83">
        <f t="shared" si="21"/>
        <v>12.18</v>
      </c>
      <c r="AD15" s="1210">
        <f t="shared" si="22"/>
        <v>16.59</v>
      </c>
      <c r="AE15" s="91">
        <f t="shared" si="23"/>
        <v>60.27</v>
      </c>
    </row>
    <row r="16" spans="1:31" ht="22.5" thickBot="1" x14ac:dyDescent="0.3">
      <c r="A16" s="455"/>
      <c r="B16" s="457">
        <v>4</v>
      </c>
      <c r="C16" s="72">
        <f t="shared" si="24"/>
        <v>44899</v>
      </c>
      <c r="D16" s="73" t="str">
        <f>IF(C16="","",INDEX({"रवि";"सोम";"मंगळ";"बुध";"गुरू";"शुक्र";"शनि"},WEEKDAY(C16)))</f>
        <v>रवि</v>
      </c>
      <c r="E16" s="89">
        <f>HLOOKUP(E5,'दैनिक माहिती'!BF120:BQ151,5,0)</f>
        <v>0</v>
      </c>
      <c r="F16" s="74">
        <f>HLOOKUP(E5,'दैनिक माहिती'!BF8:BQ40,5,0)</f>
        <v>0</v>
      </c>
      <c r="G16" s="75">
        <f>HLOOKUP(E5,'दैनिक माहिती'!BF46:BQ78,5,0)</f>
        <v>0</v>
      </c>
      <c r="H16" s="76">
        <f>HLOOKUP(E5,'दैनिक माहिती'!BF83:BQ115,5,0)</f>
        <v>0</v>
      </c>
      <c r="I16" s="77">
        <f t="shared" si="1"/>
        <v>0</v>
      </c>
      <c r="J16" s="78">
        <f t="shared" si="2"/>
        <v>0</v>
      </c>
      <c r="K16" s="78">
        <f t="shared" si="3"/>
        <v>0</v>
      </c>
      <c r="L16" s="78">
        <f t="shared" si="4"/>
        <v>0</v>
      </c>
      <c r="M16" s="78">
        <f t="shared" si="5"/>
        <v>0</v>
      </c>
      <c r="N16" s="78">
        <f t="shared" si="6"/>
        <v>0</v>
      </c>
      <c r="O16" s="78">
        <f t="shared" si="7"/>
        <v>0</v>
      </c>
      <c r="P16" s="78">
        <f t="shared" si="8"/>
        <v>0</v>
      </c>
      <c r="Q16" s="78">
        <f t="shared" si="9"/>
        <v>0</v>
      </c>
      <c r="R16" s="79">
        <f t="shared" si="10"/>
        <v>0</v>
      </c>
      <c r="S16" s="80">
        <f t="shared" si="11"/>
        <v>0</v>
      </c>
      <c r="T16" s="80">
        <f t="shared" si="12"/>
        <v>0</v>
      </c>
      <c r="U16" s="80">
        <f t="shared" si="13"/>
        <v>0</v>
      </c>
      <c r="V16" s="80">
        <f t="shared" si="14"/>
        <v>0</v>
      </c>
      <c r="W16" s="80">
        <f t="shared" si="15"/>
        <v>0</v>
      </c>
      <c r="X16" s="81">
        <f t="shared" si="16"/>
        <v>0</v>
      </c>
      <c r="Y16" s="81">
        <f t="shared" si="17"/>
        <v>0</v>
      </c>
      <c r="Z16" s="81">
        <f t="shared" si="18"/>
        <v>0</v>
      </c>
      <c r="AA16" s="82">
        <f t="shared" si="19"/>
        <v>0</v>
      </c>
      <c r="AB16" s="83">
        <f t="shared" si="20"/>
        <v>0</v>
      </c>
      <c r="AC16" s="83">
        <f t="shared" si="21"/>
        <v>0</v>
      </c>
      <c r="AD16" s="1210">
        <f t="shared" si="22"/>
        <v>0</v>
      </c>
      <c r="AE16" s="91">
        <f t="shared" si="23"/>
        <v>0</v>
      </c>
    </row>
    <row r="17" spans="1:31" ht="22.5" thickBot="1" x14ac:dyDescent="0.3">
      <c r="A17" s="455"/>
      <c r="B17" s="457">
        <v>5</v>
      </c>
      <c r="C17" s="72">
        <f t="shared" si="24"/>
        <v>44900</v>
      </c>
      <c r="D17" s="73" t="str">
        <f>IF(C17="","",INDEX({"रवि";"सोम";"मंगळ";"बुध";"गुरू";"शुक्र";"शनि"},WEEKDAY(C17)))</f>
        <v>सोम</v>
      </c>
      <c r="E17" s="89" t="str">
        <f>HLOOKUP(E5,'दैनिक माहिती'!BF120:BQ151,6,0)</f>
        <v>मुगडाळ</v>
      </c>
      <c r="F17" s="74">
        <f>HLOOKUP(E5,'दैनिक माहिती'!BF8:BQ40,6,0)</f>
        <v>21</v>
      </c>
      <c r="G17" s="75">
        <f>HLOOKUP(E5,'दैनिक माहिती'!BF46:BQ78,6,0)</f>
        <v>21</v>
      </c>
      <c r="H17" s="76">
        <f>HLOOKUP(E5,'दैनिक माहिती'!BF83:BQ115,6,0)</f>
        <v>21</v>
      </c>
      <c r="I17" s="77">
        <f t="shared" si="1"/>
        <v>2.1</v>
      </c>
      <c r="J17" s="78">
        <f t="shared" si="2"/>
        <v>0.42</v>
      </c>
      <c r="K17" s="78">
        <f t="shared" si="3"/>
        <v>0</v>
      </c>
      <c r="L17" s="78">
        <f t="shared" si="4"/>
        <v>0</v>
      </c>
      <c r="M17" s="78">
        <f t="shared" si="5"/>
        <v>0</v>
      </c>
      <c r="N17" s="78">
        <f t="shared" si="6"/>
        <v>0</v>
      </c>
      <c r="O17" s="78">
        <f t="shared" si="7"/>
        <v>0</v>
      </c>
      <c r="P17" s="78">
        <f t="shared" si="8"/>
        <v>0</v>
      </c>
      <c r="Q17" s="78">
        <f t="shared" si="9"/>
        <v>0</v>
      </c>
      <c r="R17" s="79">
        <f t="shared" si="10"/>
        <v>6.2999999999999992E-3</v>
      </c>
      <c r="S17" s="80">
        <f t="shared" si="11"/>
        <v>1.0500000000000001E-2</v>
      </c>
      <c r="T17" s="80">
        <f t="shared" si="12"/>
        <v>6.2999999999999992E-3</v>
      </c>
      <c r="U17" s="80">
        <f t="shared" si="13"/>
        <v>0</v>
      </c>
      <c r="V17" s="80">
        <f t="shared" si="14"/>
        <v>0</v>
      </c>
      <c r="W17" s="80">
        <f t="shared" si="15"/>
        <v>0.105</v>
      </c>
      <c r="X17" s="81">
        <f t="shared" si="16"/>
        <v>4.2000000000000003E-2</v>
      </c>
      <c r="Y17" s="81">
        <f t="shared" si="17"/>
        <v>2.5199999999999997E-2</v>
      </c>
      <c r="Z17" s="81">
        <f t="shared" si="18"/>
        <v>0</v>
      </c>
      <c r="AA17" s="82">
        <f t="shared" si="19"/>
        <v>14.91</v>
      </c>
      <c r="AB17" s="83">
        <f t="shared" si="20"/>
        <v>16.59</v>
      </c>
      <c r="AC17" s="83">
        <f t="shared" si="21"/>
        <v>12.18</v>
      </c>
      <c r="AD17" s="1210">
        <f t="shared" si="22"/>
        <v>16.59</v>
      </c>
      <c r="AE17" s="91">
        <f t="shared" si="23"/>
        <v>60.27</v>
      </c>
    </row>
    <row r="18" spans="1:31" ht="22.5" thickBot="1" x14ac:dyDescent="0.3">
      <c r="A18" s="455"/>
      <c r="B18" s="457">
        <v>6</v>
      </c>
      <c r="C18" s="72">
        <f t="shared" si="24"/>
        <v>44901</v>
      </c>
      <c r="D18" s="73" t="str">
        <f>IF(C18="","",INDEX({"रवि";"सोम";"मंगळ";"बुध";"गुरू";"शुक्र";"शनि"},WEEKDAY(C18)))</f>
        <v>मंगळ</v>
      </c>
      <c r="E18" s="89">
        <f>HLOOKUP(E5,'दैनिक माहिती'!BF120:BQ151,7,0)</f>
        <v>0</v>
      </c>
      <c r="F18" s="74">
        <f>HLOOKUP(E5,'दैनिक माहिती'!BF8:BQ40,7,0)</f>
        <v>0</v>
      </c>
      <c r="G18" s="75">
        <f>HLOOKUP(E5,'दैनिक माहिती'!BF46:BQ78,7,0)</f>
        <v>0</v>
      </c>
      <c r="H18" s="76">
        <f>HLOOKUP(E5,'दैनिक माहिती'!BF83:BQ115,7,0)</f>
        <v>0</v>
      </c>
      <c r="I18" s="77">
        <f t="shared" si="1"/>
        <v>0</v>
      </c>
      <c r="J18" s="78">
        <f t="shared" si="2"/>
        <v>0</v>
      </c>
      <c r="K18" s="78">
        <f t="shared" si="3"/>
        <v>0</v>
      </c>
      <c r="L18" s="78">
        <f t="shared" si="4"/>
        <v>0</v>
      </c>
      <c r="M18" s="78">
        <f t="shared" si="5"/>
        <v>0</v>
      </c>
      <c r="N18" s="78">
        <f t="shared" si="6"/>
        <v>0</v>
      </c>
      <c r="O18" s="78">
        <f t="shared" si="7"/>
        <v>0</v>
      </c>
      <c r="P18" s="78">
        <f t="shared" si="8"/>
        <v>0</v>
      </c>
      <c r="Q18" s="78">
        <f t="shared" si="9"/>
        <v>0</v>
      </c>
      <c r="R18" s="79">
        <f t="shared" si="10"/>
        <v>0</v>
      </c>
      <c r="S18" s="80">
        <f t="shared" si="11"/>
        <v>0</v>
      </c>
      <c r="T18" s="80">
        <f t="shared" si="12"/>
        <v>0</v>
      </c>
      <c r="U18" s="80">
        <f t="shared" si="13"/>
        <v>0</v>
      </c>
      <c r="V18" s="80">
        <f t="shared" si="14"/>
        <v>0</v>
      </c>
      <c r="W18" s="80">
        <f t="shared" si="15"/>
        <v>0</v>
      </c>
      <c r="X18" s="81">
        <f t="shared" si="16"/>
        <v>0</v>
      </c>
      <c r="Y18" s="81">
        <f t="shared" si="17"/>
        <v>0</v>
      </c>
      <c r="Z18" s="81">
        <f t="shared" si="18"/>
        <v>0</v>
      </c>
      <c r="AA18" s="82">
        <f t="shared" si="19"/>
        <v>0</v>
      </c>
      <c r="AB18" s="83">
        <f t="shared" si="20"/>
        <v>0</v>
      </c>
      <c r="AC18" s="83">
        <f t="shared" si="21"/>
        <v>0</v>
      </c>
      <c r="AD18" s="1210">
        <f t="shared" si="22"/>
        <v>0</v>
      </c>
      <c r="AE18" s="91">
        <f t="shared" si="23"/>
        <v>0</v>
      </c>
    </row>
    <row r="19" spans="1:31" ht="22.5" thickBot="1" x14ac:dyDescent="0.3">
      <c r="A19" s="455"/>
      <c r="B19" s="457">
        <v>7</v>
      </c>
      <c r="C19" s="72">
        <f t="shared" si="24"/>
        <v>44902</v>
      </c>
      <c r="D19" s="73" t="str">
        <f>IF(C19="","",INDEX({"रवि";"सोम";"मंगळ";"बुध";"गुरू";"शुक्र";"शनि"},WEEKDAY(C19)))</f>
        <v>बुध</v>
      </c>
      <c r="E19" s="89" t="str">
        <f>HLOOKUP(E5,'दैनिक माहिती'!BF120:BQ151,8,0)</f>
        <v>वाटाणा</v>
      </c>
      <c r="F19" s="74">
        <f>HLOOKUP(E5,'दैनिक माहिती'!BF8:BQ40,8,0)</f>
        <v>21</v>
      </c>
      <c r="G19" s="75">
        <f>HLOOKUP(E5,'दैनिक माहिती'!BF46:BQ78,8,0)</f>
        <v>21</v>
      </c>
      <c r="H19" s="76">
        <f>HLOOKUP(E5,'दैनिक माहिती'!BF83:BQ115,8,0)</f>
        <v>21</v>
      </c>
      <c r="I19" s="77">
        <f t="shared" si="1"/>
        <v>2.1</v>
      </c>
      <c r="J19" s="78">
        <f t="shared" si="2"/>
        <v>0</v>
      </c>
      <c r="K19" s="78">
        <f t="shared" si="3"/>
        <v>0</v>
      </c>
      <c r="L19" s="78">
        <f t="shared" si="4"/>
        <v>0</v>
      </c>
      <c r="M19" s="78">
        <f t="shared" si="5"/>
        <v>0</v>
      </c>
      <c r="N19" s="78">
        <f t="shared" si="6"/>
        <v>0</v>
      </c>
      <c r="O19" s="78">
        <f t="shared" si="7"/>
        <v>0</v>
      </c>
      <c r="P19" s="78">
        <f t="shared" si="8"/>
        <v>0</v>
      </c>
      <c r="Q19" s="78">
        <f t="shared" si="9"/>
        <v>0.42</v>
      </c>
      <c r="R19" s="79">
        <f t="shared" si="10"/>
        <v>6.2999999999999992E-3</v>
      </c>
      <c r="S19" s="80">
        <f t="shared" si="11"/>
        <v>1.0500000000000001E-2</v>
      </c>
      <c r="T19" s="80">
        <f t="shared" si="12"/>
        <v>6.2999999999999992E-3</v>
      </c>
      <c r="U19" s="80">
        <f t="shared" si="13"/>
        <v>0</v>
      </c>
      <c r="V19" s="80">
        <f t="shared" si="14"/>
        <v>0</v>
      </c>
      <c r="W19" s="80">
        <f t="shared" si="15"/>
        <v>0.105</v>
      </c>
      <c r="X19" s="81">
        <f t="shared" si="16"/>
        <v>4.2000000000000003E-2</v>
      </c>
      <c r="Y19" s="81">
        <f t="shared" si="17"/>
        <v>2.5199999999999997E-2</v>
      </c>
      <c r="Z19" s="81">
        <f t="shared" si="18"/>
        <v>0</v>
      </c>
      <c r="AA19" s="82">
        <f t="shared" si="19"/>
        <v>14.91</v>
      </c>
      <c r="AB19" s="83">
        <f t="shared" si="20"/>
        <v>16.59</v>
      </c>
      <c r="AC19" s="83">
        <f t="shared" si="21"/>
        <v>12.18</v>
      </c>
      <c r="AD19" s="1210">
        <f t="shared" si="22"/>
        <v>16.59</v>
      </c>
      <c r="AE19" s="91">
        <f t="shared" si="23"/>
        <v>60.27</v>
      </c>
    </row>
    <row r="20" spans="1:31" ht="22.5" thickBot="1" x14ac:dyDescent="0.3">
      <c r="A20" s="455"/>
      <c r="B20" s="457">
        <v>8</v>
      </c>
      <c r="C20" s="72">
        <f t="shared" si="24"/>
        <v>44903</v>
      </c>
      <c r="D20" s="73" t="str">
        <f>IF(C20="","",INDEX({"रवि";"सोम";"मंगळ";"बुध";"गुरू";"शुक्र";"शनि"},WEEKDAY(C20)))</f>
        <v>गुरू</v>
      </c>
      <c r="E20" s="89" t="str">
        <f>HLOOKUP(E5,'दैनिक माहिती'!BF120:BQ151,9,0)</f>
        <v>हरभरा</v>
      </c>
      <c r="F20" s="74">
        <f>HLOOKUP(E5,'दैनिक माहिती'!BF8:BQ40,9,0)</f>
        <v>21</v>
      </c>
      <c r="G20" s="75">
        <f>HLOOKUP(E5,'दैनिक माहिती'!BF46:BQ78,9,0)</f>
        <v>21</v>
      </c>
      <c r="H20" s="76">
        <f>HLOOKUP(E5,'दैनिक माहिती'!BF83:BQ115,9,0)</f>
        <v>21</v>
      </c>
      <c r="I20" s="77">
        <f t="shared" si="1"/>
        <v>2.1</v>
      </c>
      <c r="J20" s="78">
        <f t="shared" si="2"/>
        <v>0</v>
      </c>
      <c r="K20" s="78">
        <f t="shared" si="3"/>
        <v>0</v>
      </c>
      <c r="L20" s="78">
        <f t="shared" si="4"/>
        <v>0</v>
      </c>
      <c r="M20" s="78">
        <f t="shared" si="5"/>
        <v>0</v>
      </c>
      <c r="N20" s="78">
        <f t="shared" si="6"/>
        <v>0</v>
      </c>
      <c r="O20" s="78">
        <f t="shared" si="7"/>
        <v>0</v>
      </c>
      <c r="P20" s="78">
        <f t="shared" si="8"/>
        <v>0.42</v>
      </c>
      <c r="Q20" s="78">
        <f t="shared" si="9"/>
        <v>0</v>
      </c>
      <c r="R20" s="79">
        <f t="shared" si="10"/>
        <v>6.2999999999999992E-3</v>
      </c>
      <c r="S20" s="80">
        <f t="shared" si="11"/>
        <v>1.0500000000000001E-2</v>
      </c>
      <c r="T20" s="80">
        <f t="shared" si="12"/>
        <v>6.2999999999999992E-3</v>
      </c>
      <c r="U20" s="80">
        <f t="shared" si="13"/>
        <v>0</v>
      </c>
      <c r="V20" s="80">
        <f t="shared" si="14"/>
        <v>0</v>
      </c>
      <c r="W20" s="80">
        <f t="shared" si="15"/>
        <v>0.105</v>
      </c>
      <c r="X20" s="81">
        <f t="shared" si="16"/>
        <v>4.2000000000000003E-2</v>
      </c>
      <c r="Y20" s="81">
        <f t="shared" si="17"/>
        <v>2.5199999999999997E-2</v>
      </c>
      <c r="Z20" s="81">
        <f t="shared" si="18"/>
        <v>0</v>
      </c>
      <c r="AA20" s="82">
        <f t="shared" si="19"/>
        <v>14.91</v>
      </c>
      <c r="AB20" s="83">
        <f t="shared" si="20"/>
        <v>16.59</v>
      </c>
      <c r="AC20" s="83">
        <f t="shared" si="21"/>
        <v>12.18</v>
      </c>
      <c r="AD20" s="1210">
        <f t="shared" si="22"/>
        <v>16.59</v>
      </c>
      <c r="AE20" s="91">
        <f t="shared" si="23"/>
        <v>60.27</v>
      </c>
    </row>
    <row r="21" spans="1:31" ht="22.5" thickBot="1" x14ac:dyDescent="0.3">
      <c r="A21" s="455"/>
      <c r="B21" s="457">
        <v>9</v>
      </c>
      <c r="C21" s="72">
        <f t="shared" si="24"/>
        <v>44904</v>
      </c>
      <c r="D21" s="73" t="str">
        <f>IF(C21="","",INDEX({"रवि";"सोम";"मंगळ";"बुध";"गुरू";"शुक्र";"शनि"},WEEKDAY(C21)))</f>
        <v>शुक्र</v>
      </c>
      <c r="E21" s="89" t="str">
        <f>HLOOKUP(E5,'दैनिक माहिती'!BF120:BQ151,10,0)</f>
        <v>वाटाणा</v>
      </c>
      <c r="F21" s="74">
        <f>HLOOKUP(E5,'दैनिक माहिती'!BF8:BQ40,10,0)</f>
        <v>21</v>
      </c>
      <c r="G21" s="75">
        <f>HLOOKUP(E5,'दैनिक माहिती'!BF46:BQ78,10,0)</f>
        <v>21</v>
      </c>
      <c r="H21" s="76">
        <f>HLOOKUP(E5,'दैनिक माहिती'!BF83:BQ115,10,0)</f>
        <v>21</v>
      </c>
      <c r="I21" s="77">
        <f t="shared" si="1"/>
        <v>2.1</v>
      </c>
      <c r="J21" s="78">
        <f t="shared" si="2"/>
        <v>0</v>
      </c>
      <c r="K21" s="78">
        <f t="shared" si="3"/>
        <v>0</v>
      </c>
      <c r="L21" s="78">
        <f t="shared" si="4"/>
        <v>0</v>
      </c>
      <c r="M21" s="78">
        <f t="shared" si="5"/>
        <v>0</v>
      </c>
      <c r="N21" s="78">
        <f t="shared" si="6"/>
        <v>0</v>
      </c>
      <c r="O21" s="78">
        <f t="shared" si="7"/>
        <v>0</v>
      </c>
      <c r="P21" s="78">
        <f t="shared" si="8"/>
        <v>0</v>
      </c>
      <c r="Q21" s="78">
        <f t="shared" si="9"/>
        <v>0.42</v>
      </c>
      <c r="R21" s="79">
        <f t="shared" si="10"/>
        <v>6.2999999999999992E-3</v>
      </c>
      <c r="S21" s="80">
        <f t="shared" si="11"/>
        <v>1.0500000000000001E-2</v>
      </c>
      <c r="T21" s="80">
        <f t="shared" si="12"/>
        <v>6.2999999999999992E-3</v>
      </c>
      <c r="U21" s="80">
        <f t="shared" si="13"/>
        <v>0</v>
      </c>
      <c r="V21" s="80">
        <f t="shared" si="14"/>
        <v>0</v>
      </c>
      <c r="W21" s="80">
        <f t="shared" si="15"/>
        <v>0.105</v>
      </c>
      <c r="X21" s="81">
        <f t="shared" si="16"/>
        <v>4.2000000000000003E-2</v>
      </c>
      <c r="Y21" s="81">
        <f t="shared" si="17"/>
        <v>2.5199999999999997E-2</v>
      </c>
      <c r="Z21" s="81">
        <f t="shared" si="18"/>
        <v>0</v>
      </c>
      <c r="AA21" s="82">
        <f t="shared" si="19"/>
        <v>14.91</v>
      </c>
      <c r="AB21" s="83">
        <f t="shared" si="20"/>
        <v>16.59</v>
      </c>
      <c r="AC21" s="83">
        <f t="shared" si="21"/>
        <v>12.18</v>
      </c>
      <c r="AD21" s="1210">
        <f t="shared" si="22"/>
        <v>16.59</v>
      </c>
      <c r="AE21" s="91">
        <f t="shared" si="23"/>
        <v>60.27</v>
      </c>
    </row>
    <row r="22" spans="1:31" ht="22.5" thickBot="1" x14ac:dyDescent="0.3">
      <c r="A22" s="455"/>
      <c r="B22" s="457">
        <v>10</v>
      </c>
      <c r="C22" s="72">
        <f t="shared" si="24"/>
        <v>44905</v>
      </c>
      <c r="D22" s="73" t="str">
        <f>IF(C22="","",INDEX({"रवि";"सोम";"मंगळ";"बुध";"गुरू";"शुक्र";"शनि"},WEEKDAY(C22)))</f>
        <v>शनि</v>
      </c>
      <c r="E22" s="89" t="str">
        <f>HLOOKUP(E5,'दैनिक माहिती'!BF120:BQ151,11,0)</f>
        <v>मुगडाळ</v>
      </c>
      <c r="F22" s="74">
        <f>HLOOKUP(E5,'दैनिक माहिती'!BF8:BQ40,11,0)</f>
        <v>21</v>
      </c>
      <c r="G22" s="75">
        <f>HLOOKUP(E5,'दैनिक माहिती'!BF46:BQ78,11,0)</f>
        <v>21</v>
      </c>
      <c r="H22" s="76">
        <f>HLOOKUP(E5,'दैनिक माहिती'!BF83:BQ115,11,0)</f>
        <v>21</v>
      </c>
      <c r="I22" s="77">
        <f t="shared" si="1"/>
        <v>2.1</v>
      </c>
      <c r="J22" s="78">
        <f t="shared" si="2"/>
        <v>0.42</v>
      </c>
      <c r="K22" s="78">
        <f t="shared" si="3"/>
        <v>0</v>
      </c>
      <c r="L22" s="78">
        <f t="shared" si="4"/>
        <v>0</v>
      </c>
      <c r="M22" s="78">
        <f t="shared" si="5"/>
        <v>0</v>
      </c>
      <c r="N22" s="78">
        <f t="shared" si="6"/>
        <v>0</v>
      </c>
      <c r="O22" s="78">
        <f t="shared" si="7"/>
        <v>0</v>
      </c>
      <c r="P22" s="78">
        <f t="shared" si="8"/>
        <v>0</v>
      </c>
      <c r="Q22" s="78">
        <f t="shared" si="9"/>
        <v>0</v>
      </c>
      <c r="R22" s="79">
        <f t="shared" si="10"/>
        <v>6.2999999999999992E-3</v>
      </c>
      <c r="S22" s="80">
        <f t="shared" si="11"/>
        <v>1.0500000000000001E-2</v>
      </c>
      <c r="T22" s="80">
        <f t="shared" si="12"/>
        <v>6.2999999999999992E-3</v>
      </c>
      <c r="U22" s="80">
        <f t="shared" si="13"/>
        <v>0</v>
      </c>
      <c r="V22" s="80">
        <f t="shared" si="14"/>
        <v>0</v>
      </c>
      <c r="W22" s="80">
        <f t="shared" si="15"/>
        <v>0.105</v>
      </c>
      <c r="X22" s="81">
        <f t="shared" si="16"/>
        <v>4.2000000000000003E-2</v>
      </c>
      <c r="Y22" s="81">
        <f t="shared" si="17"/>
        <v>2.5199999999999997E-2</v>
      </c>
      <c r="Z22" s="81">
        <f t="shared" si="18"/>
        <v>0</v>
      </c>
      <c r="AA22" s="82">
        <f t="shared" si="19"/>
        <v>14.91</v>
      </c>
      <c r="AB22" s="83">
        <f t="shared" si="20"/>
        <v>16.59</v>
      </c>
      <c r="AC22" s="83">
        <f t="shared" si="21"/>
        <v>12.18</v>
      </c>
      <c r="AD22" s="1210">
        <f t="shared" si="22"/>
        <v>16.59</v>
      </c>
      <c r="AE22" s="91">
        <f t="shared" si="23"/>
        <v>60.27</v>
      </c>
    </row>
    <row r="23" spans="1:31" ht="22.5" thickBot="1" x14ac:dyDescent="0.3">
      <c r="A23" s="455"/>
      <c r="B23" s="457">
        <v>11</v>
      </c>
      <c r="C23" s="72">
        <f t="shared" si="24"/>
        <v>44906</v>
      </c>
      <c r="D23" s="73" t="str">
        <f>IF(C23="","",INDEX({"रवि";"सोम";"मंगळ";"बुध";"गुरू";"शुक्र";"शनि"},WEEKDAY(C23)))</f>
        <v>रवि</v>
      </c>
      <c r="E23" s="89">
        <f>HLOOKUP(E5,'दैनिक माहिती'!BF120:BQ151,12,0)</f>
        <v>0</v>
      </c>
      <c r="F23" s="74">
        <f>HLOOKUP(E5,'दैनिक माहिती'!BF8:BQ40,12,0)</f>
        <v>0</v>
      </c>
      <c r="G23" s="75">
        <f>HLOOKUP(E5,'दैनिक माहिती'!BF46:BQ78,12,0)</f>
        <v>0</v>
      </c>
      <c r="H23" s="76">
        <f>HLOOKUP(E5,'दैनिक माहिती'!BF83:BQ115,12,0)</f>
        <v>0</v>
      </c>
      <c r="I23" s="77">
        <f t="shared" si="1"/>
        <v>0</v>
      </c>
      <c r="J23" s="78">
        <f t="shared" si="2"/>
        <v>0</v>
      </c>
      <c r="K23" s="78">
        <f t="shared" si="3"/>
        <v>0</v>
      </c>
      <c r="L23" s="78">
        <f t="shared" si="4"/>
        <v>0</v>
      </c>
      <c r="M23" s="78">
        <f t="shared" si="5"/>
        <v>0</v>
      </c>
      <c r="N23" s="78">
        <f t="shared" si="6"/>
        <v>0</v>
      </c>
      <c r="O23" s="78">
        <f t="shared" si="7"/>
        <v>0</v>
      </c>
      <c r="P23" s="78">
        <f t="shared" si="8"/>
        <v>0</v>
      </c>
      <c r="Q23" s="78">
        <f t="shared" si="9"/>
        <v>0</v>
      </c>
      <c r="R23" s="79">
        <f t="shared" si="10"/>
        <v>0</v>
      </c>
      <c r="S23" s="80">
        <f t="shared" si="11"/>
        <v>0</v>
      </c>
      <c r="T23" s="80">
        <f t="shared" si="12"/>
        <v>0</v>
      </c>
      <c r="U23" s="80">
        <f t="shared" si="13"/>
        <v>0</v>
      </c>
      <c r="V23" s="80">
        <f t="shared" si="14"/>
        <v>0</v>
      </c>
      <c r="W23" s="80">
        <f t="shared" si="15"/>
        <v>0</v>
      </c>
      <c r="X23" s="81">
        <f t="shared" si="16"/>
        <v>0</v>
      </c>
      <c r="Y23" s="81">
        <f t="shared" si="17"/>
        <v>0</v>
      </c>
      <c r="Z23" s="81">
        <f t="shared" si="18"/>
        <v>0</v>
      </c>
      <c r="AA23" s="82">
        <f t="shared" si="19"/>
        <v>0</v>
      </c>
      <c r="AB23" s="83">
        <f t="shared" si="20"/>
        <v>0</v>
      </c>
      <c r="AC23" s="83">
        <f t="shared" si="21"/>
        <v>0</v>
      </c>
      <c r="AD23" s="1210">
        <f t="shared" si="22"/>
        <v>0</v>
      </c>
      <c r="AE23" s="91">
        <f t="shared" si="23"/>
        <v>0</v>
      </c>
    </row>
    <row r="24" spans="1:31" ht="22.5" thickBot="1" x14ac:dyDescent="0.3">
      <c r="A24" s="455"/>
      <c r="B24" s="457">
        <v>12</v>
      </c>
      <c r="C24" s="72">
        <f t="shared" si="24"/>
        <v>44907</v>
      </c>
      <c r="D24" s="73" t="str">
        <f>IF(C24="","",INDEX({"रवि";"सोम";"मंगळ";"बुध";"गुरू";"शुक्र";"शनि"},WEEKDAY(C24)))</f>
        <v>सोम</v>
      </c>
      <c r="E24" s="89" t="str">
        <f>HLOOKUP(E5,'दैनिक माहिती'!BF120:BQ151,13,0)</f>
        <v>मुगडाळ</v>
      </c>
      <c r="F24" s="74">
        <f>HLOOKUP(E5,'दैनिक माहिती'!BF8:BQ40,13,0)</f>
        <v>21</v>
      </c>
      <c r="G24" s="75">
        <f>HLOOKUP(E5,'दैनिक माहिती'!BF46:BQ78,13,0)</f>
        <v>21</v>
      </c>
      <c r="H24" s="76">
        <f>HLOOKUP(E5,'दैनिक माहिती'!BF83:BQ115,13,0)</f>
        <v>21</v>
      </c>
      <c r="I24" s="77">
        <f t="shared" si="1"/>
        <v>2.1</v>
      </c>
      <c r="J24" s="78">
        <f t="shared" si="2"/>
        <v>0.42</v>
      </c>
      <c r="K24" s="78">
        <f t="shared" si="3"/>
        <v>0</v>
      </c>
      <c r="L24" s="78">
        <f t="shared" si="4"/>
        <v>0</v>
      </c>
      <c r="M24" s="78">
        <f t="shared" si="5"/>
        <v>0</v>
      </c>
      <c r="N24" s="78">
        <f t="shared" si="6"/>
        <v>0</v>
      </c>
      <c r="O24" s="78">
        <f t="shared" si="7"/>
        <v>0</v>
      </c>
      <c r="P24" s="78">
        <f t="shared" si="8"/>
        <v>0</v>
      </c>
      <c r="Q24" s="78">
        <f t="shared" si="9"/>
        <v>0</v>
      </c>
      <c r="R24" s="79">
        <f t="shared" si="10"/>
        <v>6.2999999999999992E-3</v>
      </c>
      <c r="S24" s="80">
        <f t="shared" si="11"/>
        <v>1.0500000000000001E-2</v>
      </c>
      <c r="T24" s="80">
        <f t="shared" si="12"/>
        <v>6.2999999999999992E-3</v>
      </c>
      <c r="U24" s="80">
        <f t="shared" si="13"/>
        <v>0</v>
      </c>
      <c r="V24" s="80">
        <f t="shared" si="14"/>
        <v>0</v>
      </c>
      <c r="W24" s="80">
        <f t="shared" si="15"/>
        <v>0.105</v>
      </c>
      <c r="X24" s="81">
        <f t="shared" si="16"/>
        <v>4.2000000000000003E-2</v>
      </c>
      <c r="Y24" s="81">
        <f t="shared" si="17"/>
        <v>2.5199999999999997E-2</v>
      </c>
      <c r="Z24" s="81">
        <f t="shared" si="18"/>
        <v>0</v>
      </c>
      <c r="AA24" s="82">
        <f t="shared" si="19"/>
        <v>14.91</v>
      </c>
      <c r="AB24" s="83">
        <f t="shared" si="20"/>
        <v>16.59</v>
      </c>
      <c r="AC24" s="83">
        <f t="shared" si="21"/>
        <v>12.18</v>
      </c>
      <c r="AD24" s="1210">
        <f t="shared" si="22"/>
        <v>16.59</v>
      </c>
      <c r="AE24" s="91">
        <f t="shared" si="23"/>
        <v>60.27</v>
      </c>
    </row>
    <row r="25" spans="1:31" ht="22.5" thickBot="1" x14ac:dyDescent="0.3">
      <c r="A25" s="455"/>
      <c r="B25" s="457">
        <v>13</v>
      </c>
      <c r="C25" s="72">
        <f t="shared" si="24"/>
        <v>44908</v>
      </c>
      <c r="D25" s="73" t="str">
        <f>IF(C25="","",INDEX({"रवि";"सोम";"मंगळ";"बुध";"गुरू";"शुक्र";"शनि"},WEEKDAY(C25)))</f>
        <v>मंगळ</v>
      </c>
      <c r="E25" s="89" t="str">
        <f>HLOOKUP(E5,'दैनिक माहिती'!BF120:BQ151,14,0)</f>
        <v>हरभरा</v>
      </c>
      <c r="F25" s="74">
        <f>HLOOKUP(E5,'दैनिक माहिती'!BF8:BQ40,14,0)</f>
        <v>21</v>
      </c>
      <c r="G25" s="75">
        <f>HLOOKUP(E5,'दैनिक माहिती'!BF46:BQ78,14,0)</f>
        <v>21</v>
      </c>
      <c r="H25" s="76">
        <f>HLOOKUP(E5,'दैनिक माहिती'!BF83:BQ115,14,0)</f>
        <v>21</v>
      </c>
      <c r="I25" s="77">
        <f t="shared" si="1"/>
        <v>2.1</v>
      </c>
      <c r="J25" s="78">
        <f t="shared" si="2"/>
        <v>0</v>
      </c>
      <c r="K25" s="78">
        <f t="shared" si="3"/>
        <v>0</v>
      </c>
      <c r="L25" s="78">
        <f t="shared" si="4"/>
        <v>0</v>
      </c>
      <c r="M25" s="78">
        <f t="shared" si="5"/>
        <v>0</v>
      </c>
      <c r="N25" s="78">
        <f t="shared" si="6"/>
        <v>0</v>
      </c>
      <c r="O25" s="78">
        <f t="shared" si="7"/>
        <v>0</v>
      </c>
      <c r="P25" s="78">
        <f t="shared" si="8"/>
        <v>0.42</v>
      </c>
      <c r="Q25" s="78">
        <f t="shared" si="9"/>
        <v>0</v>
      </c>
      <c r="R25" s="79">
        <f t="shared" si="10"/>
        <v>6.2999999999999992E-3</v>
      </c>
      <c r="S25" s="80">
        <f t="shared" si="11"/>
        <v>1.0500000000000001E-2</v>
      </c>
      <c r="T25" s="80">
        <f t="shared" si="12"/>
        <v>6.2999999999999992E-3</v>
      </c>
      <c r="U25" s="80">
        <f t="shared" si="13"/>
        <v>0</v>
      </c>
      <c r="V25" s="80">
        <f t="shared" si="14"/>
        <v>0</v>
      </c>
      <c r="W25" s="80">
        <f t="shared" si="15"/>
        <v>0.105</v>
      </c>
      <c r="X25" s="81">
        <f t="shared" si="16"/>
        <v>4.2000000000000003E-2</v>
      </c>
      <c r="Y25" s="81">
        <f t="shared" si="17"/>
        <v>2.5199999999999997E-2</v>
      </c>
      <c r="Z25" s="81">
        <f t="shared" si="18"/>
        <v>0</v>
      </c>
      <c r="AA25" s="82">
        <f t="shared" si="19"/>
        <v>14.91</v>
      </c>
      <c r="AB25" s="83">
        <f t="shared" si="20"/>
        <v>16.59</v>
      </c>
      <c r="AC25" s="83">
        <f t="shared" si="21"/>
        <v>12.18</v>
      </c>
      <c r="AD25" s="1210">
        <f t="shared" si="22"/>
        <v>16.59</v>
      </c>
      <c r="AE25" s="91">
        <f t="shared" si="23"/>
        <v>60.27</v>
      </c>
    </row>
    <row r="26" spans="1:31" ht="22.5" thickBot="1" x14ac:dyDescent="0.3">
      <c r="A26" s="455"/>
      <c r="B26" s="457">
        <v>14</v>
      </c>
      <c r="C26" s="72">
        <f t="shared" si="24"/>
        <v>44909</v>
      </c>
      <c r="D26" s="73" t="str">
        <f>IF(C26="","",INDEX({"रवि";"सोम";"मंगळ";"बुध";"गुरू";"शुक्र";"शनि"},WEEKDAY(C26)))</f>
        <v>बुध</v>
      </c>
      <c r="E26" s="89" t="str">
        <f>HLOOKUP(E5,'दैनिक माहिती'!BF120:BQ151,15,0)</f>
        <v>वाटाणा</v>
      </c>
      <c r="F26" s="74">
        <f>HLOOKUP(E5,'दैनिक माहिती'!BF8:BQ40,15,0)</f>
        <v>21</v>
      </c>
      <c r="G26" s="75">
        <f>HLOOKUP(E5,'दैनिक माहिती'!BF46:BQ78,15,0)</f>
        <v>21</v>
      </c>
      <c r="H26" s="76">
        <f>HLOOKUP(E5,'दैनिक माहिती'!BF83:BQ115,15,0)</f>
        <v>21</v>
      </c>
      <c r="I26" s="77">
        <f t="shared" si="1"/>
        <v>2.1</v>
      </c>
      <c r="J26" s="78">
        <f t="shared" si="2"/>
        <v>0</v>
      </c>
      <c r="K26" s="78">
        <f t="shared" si="3"/>
        <v>0</v>
      </c>
      <c r="L26" s="78">
        <f t="shared" si="4"/>
        <v>0</v>
      </c>
      <c r="M26" s="78">
        <f t="shared" si="5"/>
        <v>0</v>
      </c>
      <c r="N26" s="78">
        <f t="shared" si="6"/>
        <v>0</v>
      </c>
      <c r="O26" s="78">
        <f t="shared" si="7"/>
        <v>0</v>
      </c>
      <c r="P26" s="78">
        <f t="shared" si="8"/>
        <v>0</v>
      </c>
      <c r="Q26" s="78">
        <f t="shared" si="9"/>
        <v>0.42</v>
      </c>
      <c r="R26" s="79">
        <f t="shared" si="10"/>
        <v>6.2999999999999992E-3</v>
      </c>
      <c r="S26" s="80">
        <f t="shared" si="11"/>
        <v>1.0500000000000001E-2</v>
      </c>
      <c r="T26" s="80">
        <f t="shared" si="12"/>
        <v>6.2999999999999992E-3</v>
      </c>
      <c r="U26" s="80">
        <f t="shared" si="13"/>
        <v>0</v>
      </c>
      <c r="V26" s="80">
        <f t="shared" si="14"/>
        <v>0</v>
      </c>
      <c r="W26" s="80">
        <f t="shared" si="15"/>
        <v>0.105</v>
      </c>
      <c r="X26" s="81">
        <f t="shared" si="16"/>
        <v>4.2000000000000003E-2</v>
      </c>
      <c r="Y26" s="81">
        <f t="shared" si="17"/>
        <v>2.5199999999999997E-2</v>
      </c>
      <c r="Z26" s="81">
        <f t="shared" si="18"/>
        <v>0</v>
      </c>
      <c r="AA26" s="82">
        <f t="shared" si="19"/>
        <v>14.91</v>
      </c>
      <c r="AB26" s="83">
        <f t="shared" si="20"/>
        <v>16.59</v>
      </c>
      <c r="AC26" s="83">
        <f t="shared" si="21"/>
        <v>12.18</v>
      </c>
      <c r="AD26" s="1210">
        <f t="shared" si="22"/>
        <v>16.59</v>
      </c>
      <c r="AE26" s="91">
        <f t="shared" si="23"/>
        <v>60.27</v>
      </c>
    </row>
    <row r="27" spans="1:31" ht="22.5" thickBot="1" x14ac:dyDescent="0.3">
      <c r="A27" s="455"/>
      <c r="B27" s="457">
        <v>15</v>
      </c>
      <c r="C27" s="72">
        <f t="shared" si="24"/>
        <v>44910</v>
      </c>
      <c r="D27" s="73" t="str">
        <f>IF(C27="","",INDEX({"रवि";"सोम";"मंगळ";"बुध";"गुरू";"शुक्र";"शनि"},WEEKDAY(C27)))</f>
        <v>गुरू</v>
      </c>
      <c r="E27" s="89" t="str">
        <f>HLOOKUP(E5,'दैनिक माहिती'!BF120:BQ151,16,0)</f>
        <v>हरभरा</v>
      </c>
      <c r="F27" s="74">
        <f>HLOOKUP(E5,'दैनिक माहिती'!BF8:BQ40,16,0)</f>
        <v>21</v>
      </c>
      <c r="G27" s="75">
        <f>HLOOKUP(E5,'दैनिक माहिती'!BF46:BQ78,16,0)</f>
        <v>21</v>
      </c>
      <c r="H27" s="76">
        <f>HLOOKUP(E5,'दैनिक माहिती'!BF83:BQ115,16,0)</f>
        <v>21</v>
      </c>
      <c r="I27" s="77">
        <f t="shared" si="1"/>
        <v>2.1</v>
      </c>
      <c r="J27" s="78">
        <f t="shared" si="2"/>
        <v>0</v>
      </c>
      <c r="K27" s="78">
        <f t="shared" si="3"/>
        <v>0</v>
      </c>
      <c r="L27" s="78">
        <f t="shared" si="4"/>
        <v>0</v>
      </c>
      <c r="M27" s="78">
        <f t="shared" si="5"/>
        <v>0</v>
      </c>
      <c r="N27" s="78">
        <f t="shared" si="6"/>
        <v>0</v>
      </c>
      <c r="O27" s="78">
        <f t="shared" si="7"/>
        <v>0</v>
      </c>
      <c r="P27" s="78">
        <f t="shared" si="8"/>
        <v>0.42</v>
      </c>
      <c r="Q27" s="78">
        <f t="shared" si="9"/>
        <v>0</v>
      </c>
      <c r="R27" s="79">
        <f t="shared" si="10"/>
        <v>6.2999999999999992E-3</v>
      </c>
      <c r="S27" s="80">
        <f t="shared" si="11"/>
        <v>1.0500000000000001E-2</v>
      </c>
      <c r="T27" s="80">
        <f t="shared" si="12"/>
        <v>6.2999999999999992E-3</v>
      </c>
      <c r="U27" s="80">
        <f t="shared" si="13"/>
        <v>0</v>
      </c>
      <c r="V27" s="80">
        <f t="shared" si="14"/>
        <v>0</v>
      </c>
      <c r="W27" s="80">
        <f t="shared" si="15"/>
        <v>0.105</v>
      </c>
      <c r="X27" s="81">
        <f t="shared" si="16"/>
        <v>4.2000000000000003E-2</v>
      </c>
      <c r="Y27" s="81">
        <f t="shared" si="17"/>
        <v>2.5199999999999997E-2</v>
      </c>
      <c r="Z27" s="81">
        <f t="shared" si="18"/>
        <v>0</v>
      </c>
      <c r="AA27" s="82">
        <f t="shared" si="19"/>
        <v>14.91</v>
      </c>
      <c r="AB27" s="83">
        <f t="shared" si="20"/>
        <v>16.59</v>
      </c>
      <c r="AC27" s="83">
        <f t="shared" si="21"/>
        <v>12.18</v>
      </c>
      <c r="AD27" s="1210">
        <f t="shared" si="22"/>
        <v>16.59</v>
      </c>
      <c r="AE27" s="91">
        <f t="shared" si="23"/>
        <v>60.27</v>
      </c>
    </row>
    <row r="28" spans="1:31" ht="22.5" thickBot="1" x14ac:dyDescent="0.3">
      <c r="A28" s="455"/>
      <c r="B28" s="457">
        <v>16</v>
      </c>
      <c r="C28" s="72">
        <f t="shared" si="24"/>
        <v>44911</v>
      </c>
      <c r="D28" s="73" t="str">
        <f>IF(C28="","",INDEX({"रवि";"सोम";"मंगळ";"बुध";"गुरू";"शुक्र";"शनि"},WEEKDAY(C28)))</f>
        <v>शुक्र</v>
      </c>
      <c r="E28" s="89" t="str">
        <f>HLOOKUP(E5,'दैनिक माहिती'!BF120:BQ151,17,0)</f>
        <v>वाटाणा</v>
      </c>
      <c r="F28" s="74">
        <f>HLOOKUP(E5,'दैनिक माहिती'!BF8:BQ40,17,0)</f>
        <v>21</v>
      </c>
      <c r="G28" s="75">
        <f>HLOOKUP(E5,'दैनिक माहिती'!BF46:BQ78,17,0)</f>
        <v>21</v>
      </c>
      <c r="H28" s="76">
        <f>HLOOKUP(E5,'दैनिक माहिती'!BF83:BQ115,17,0)</f>
        <v>21</v>
      </c>
      <c r="I28" s="77">
        <f t="shared" si="1"/>
        <v>2.1</v>
      </c>
      <c r="J28" s="78">
        <f t="shared" si="2"/>
        <v>0</v>
      </c>
      <c r="K28" s="78">
        <f t="shared" si="3"/>
        <v>0</v>
      </c>
      <c r="L28" s="78">
        <f t="shared" si="4"/>
        <v>0</v>
      </c>
      <c r="M28" s="78">
        <f t="shared" si="5"/>
        <v>0</v>
      </c>
      <c r="N28" s="78">
        <f t="shared" si="6"/>
        <v>0</v>
      </c>
      <c r="O28" s="78">
        <f t="shared" si="7"/>
        <v>0</v>
      </c>
      <c r="P28" s="78">
        <f t="shared" si="8"/>
        <v>0</v>
      </c>
      <c r="Q28" s="78">
        <f t="shared" si="9"/>
        <v>0.42</v>
      </c>
      <c r="R28" s="79">
        <f t="shared" si="10"/>
        <v>6.2999999999999992E-3</v>
      </c>
      <c r="S28" s="80">
        <f t="shared" si="11"/>
        <v>1.0500000000000001E-2</v>
      </c>
      <c r="T28" s="80">
        <f t="shared" si="12"/>
        <v>6.2999999999999992E-3</v>
      </c>
      <c r="U28" s="80">
        <f t="shared" si="13"/>
        <v>0</v>
      </c>
      <c r="V28" s="80">
        <f t="shared" si="14"/>
        <v>0</v>
      </c>
      <c r="W28" s="80">
        <f t="shared" si="15"/>
        <v>0.105</v>
      </c>
      <c r="X28" s="81">
        <f t="shared" si="16"/>
        <v>4.2000000000000003E-2</v>
      </c>
      <c r="Y28" s="81">
        <f t="shared" si="17"/>
        <v>2.5199999999999997E-2</v>
      </c>
      <c r="Z28" s="81">
        <f t="shared" si="18"/>
        <v>0</v>
      </c>
      <c r="AA28" s="82">
        <f t="shared" si="19"/>
        <v>14.91</v>
      </c>
      <c r="AB28" s="83">
        <f t="shared" si="20"/>
        <v>16.59</v>
      </c>
      <c r="AC28" s="83">
        <f t="shared" si="21"/>
        <v>12.18</v>
      </c>
      <c r="AD28" s="1210">
        <f t="shared" si="22"/>
        <v>16.59</v>
      </c>
      <c r="AE28" s="91">
        <f t="shared" si="23"/>
        <v>60.27</v>
      </c>
    </row>
    <row r="29" spans="1:31" ht="22.5" thickBot="1" x14ac:dyDescent="0.3">
      <c r="A29" s="455"/>
      <c r="B29" s="457">
        <v>17</v>
      </c>
      <c r="C29" s="72">
        <f t="shared" si="24"/>
        <v>44912</v>
      </c>
      <c r="D29" s="73" t="str">
        <f>IF(C29="","",INDEX({"रवि";"सोम";"मंगळ";"बुध";"गुरू";"शुक्र";"शनि"},WEEKDAY(C29)))</f>
        <v>शनि</v>
      </c>
      <c r="E29" s="89" t="str">
        <f>HLOOKUP(E5,'दैनिक माहिती'!BF120:BQ151,18,0)</f>
        <v>मुगडाळ</v>
      </c>
      <c r="F29" s="74">
        <f>HLOOKUP(E5,'दैनिक माहिती'!BF8:BQ40,18,0)</f>
        <v>21</v>
      </c>
      <c r="G29" s="75">
        <f>HLOOKUP(E5,'दैनिक माहिती'!BF46:BQ78,18,0)</f>
        <v>21</v>
      </c>
      <c r="H29" s="76">
        <f>HLOOKUP(E5,'दैनिक माहिती'!BF83:BQ115,18,0)</f>
        <v>21</v>
      </c>
      <c r="I29" s="77">
        <f t="shared" si="1"/>
        <v>2.1</v>
      </c>
      <c r="J29" s="78">
        <f t="shared" si="2"/>
        <v>0.42</v>
      </c>
      <c r="K29" s="78">
        <f t="shared" si="3"/>
        <v>0</v>
      </c>
      <c r="L29" s="78">
        <f t="shared" si="4"/>
        <v>0</v>
      </c>
      <c r="M29" s="78">
        <f t="shared" si="5"/>
        <v>0</v>
      </c>
      <c r="N29" s="78">
        <f t="shared" si="6"/>
        <v>0</v>
      </c>
      <c r="O29" s="78">
        <f t="shared" si="7"/>
        <v>0</v>
      </c>
      <c r="P29" s="78">
        <f t="shared" si="8"/>
        <v>0</v>
      </c>
      <c r="Q29" s="78">
        <f t="shared" si="9"/>
        <v>0</v>
      </c>
      <c r="R29" s="79">
        <f t="shared" si="10"/>
        <v>6.2999999999999992E-3</v>
      </c>
      <c r="S29" s="80">
        <f t="shared" si="11"/>
        <v>1.0500000000000001E-2</v>
      </c>
      <c r="T29" s="80">
        <f t="shared" si="12"/>
        <v>6.2999999999999992E-3</v>
      </c>
      <c r="U29" s="80">
        <f t="shared" si="13"/>
        <v>0</v>
      </c>
      <c r="V29" s="80">
        <f t="shared" si="14"/>
        <v>0</v>
      </c>
      <c r="W29" s="80">
        <f t="shared" si="15"/>
        <v>0.105</v>
      </c>
      <c r="X29" s="81">
        <f t="shared" si="16"/>
        <v>4.2000000000000003E-2</v>
      </c>
      <c r="Y29" s="81">
        <f t="shared" si="17"/>
        <v>2.5199999999999997E-2</v>
      </c>
      <c r="Z29" s="81">
        <f t="shared" si="18"/>
        <v>0</v>
      </c>
      <c r="AA29" s="82">
        <f t="shared" si="19"/>
        <v>14.91</v>
      </c>
      <c r="AB29" s="83">
        <f t="shared" si="20"/>
        <v>16.59</v>
      </c>
      <c r="AC29" s="83">
        <f t="shared" si="21"/>
        <v>12.18</v>
      </c>
      <c r="AD29" s="1210">
        <f t="shared" si="22"/>
        <v>16.59</v>
      </c>
      <c r="AE29" s="91">
        <f t="shared" si="23"/>
        <v>60.27</v>
      </c>
    </row>
    <row r="30" spans="1:31" ht="22.5" thickBot="1" x14ac:dyDescent="0.3">
      <c r="A30" s="455"/>
      <c r="B30" s="457">
        <v>18</v>
      </c>
      <c r="C30" s="72">
        <f t="shared" si="24"/>
        <v>44913</v>
      </c>
      <c r="D30" s="73" t="str">
        <f>IF(C30="","",INDEX({"रवि";"सोम";"मंगळ";"बुध";"गुरू";"शुक्र";"शनि"},WEEKDAY(C30)))</f>
        <v>रवि</v>
      </c>
      <c r="E30" s="89">
        <f>HLOOKUP(E5,'दैनिक माहिती'!BF120:BQ151,19,0)</f>
        <v>0</v>
      </c>
      <c r="F30" s="74">
        <f>HLOOKUP(E5,'दैनिक माहिती'!BF8:BQ40,19,0)</f>
        <v>0</v>
      </c>
      <c r="G30" s="75">
        <f>HLOOKUP(E5,'दैनिक माहिती'!BF46:BQ78,19,0)</f>
        <v>0</v>
      </c>
      <c r="H30" s="76">
        <f>HLOOKUP(E5,'दैनिक माहिती'!BF83:BQ115,19,0)</f>
        <v>0</v>
      </c>
      <c r="I30" s="77">
        <f t="shared" si="1"/>
        <v>0</v>
      </c>
      <c r="J30" s="78">
        <f t="shared" si="2"/>
        <v>0</v>
      </c>
      <c r="K30" s="78">
        <f t="shared" si="3"/>
        <v>0</v>
      </c>
      <c r="L30" s="78">
        <f t="shared" si="4"/>
        <v>0</v>
      </c>
      <c r="M30" s="78">
        <f t="shared" si="5"/>
        <v>0</v>
      </c>
      <c r="N30" s="78">
        <f t="shared" si="6"/>
        <v>0</v>
      </c>
      <c r="O30" s="78">
        <f t="shared" si="7"/>
        <v>0</v>
      </c>
      <c r="P30" s="78">
        <f t="shared" si="8"/>
        <v>0</v>
      </c>
      <c r="Q30" s="78">
        <f t="shared" si="9"/>
        <v>0</v>
      </c>
      <c r="R30" s="79">
        <f t="shared" si="10"/>
        <v>0</v>
      </c>
      <c r="S30" s="80">
        <f t="shared" si="11"/>
        <v>0</v>
      </c>
      <c r="T30" s="80">
        <f t="shared" si="12"/>
        <v>0</v>
      </c>
      <c r="U30" s="80">
        <f t="shared" si="13"/>
        <v>0</v>
      </c>
      <c r="V30" s="80">
        <f t="shared" si="14"/>
        <v>0</v>
      </c>
      <c r="W30" s="80">
        <f t="shared" si="15"/>
        <v>0</v>
      </c>
      <c r="X30" s="81">
        <f t="shared" si="16"/>
        <v>0</v>
      </c>
      <c r="Y30" s="81">
        <f t="shared" si="17"/>
        <v>0</v>
      </c>
      <c r="Z30" s="81">
        <f t="shared" si="18"/>
        <v>0</v>
      </c>
      <c r="AA30" s="82">
        <f t="shared" si="19"/>
        <v>0</v>
      </c>
      <c r="AB30" s="83">
        <f t="shared" si="20"/>
        <v>0</v>
      </c>
      <c r="AC30" s="83">
        <f t="shared" si="21"/>
        <v>0</v>
      </c>
      <c r="AD30" s="1210">
        <f t="shared" si="22"/>
        <v>0</v>
      </c>
      <c r="AE30" s="91">
        <f t="shared" si="23"/>
        <v>0</v>
      </c>
    </row>
    <row r="31" spans="1:31" ht="22.5" thickBot="1" x14ac:dyDescent="0.3">
      <c r="A31" s="455"/>
      <c r="B31" s="457">
        <v>19</v>
      </c>
      <c r="C31" s="72">
        <f t="shared" si="24"/>
        <v>44914</v>
      </c>
      <c r="D31" s="73" t="str">
        <f>IF(C31="","",INDEX({"रवि";"सोम";"मंगळ";"बुध";"गुरू";"शुक्र";"शनि"},WEEKDAY(C31)))</f>
        <v>सोम</v>
      </c>
      <c r="E31" s="89" t="str">
        <f>HLOOKUP(E5,'दैनिक माहिती'!BF120:BQ151,20,0)</f>
        <v>मुगडाळ</v>
      </c>
      <c r="F31" s="74">
        <f>HLOOKUP(E5,'दैनिक माहिती'!BF8:BQ40,20,0)</f>
        <v>21</v>
      </c>
      <c r="G31" s="75">
        <f>HLOOKUP(E5,'दैनिक माहिती'!BF46:BQ78,20,0)</f>
        <v>21</v>
      </c>
      <c r="H31" s="76">
        <f>HLOOKUP(E5,'दैनिक माहिती'!BF83:BQ115,20,0)</f>
        <v>21</v>
      </c>
      <c r="I31" s="77">
        <f t="shared" si="1"/>
        <v>2.1</v>
      </c>
      <c r="J31" s="78">
        <f t="shared" si="2"/>
        <v>0.42</v>
      </c>
      <c r="K31" s="78">
        <f t="shared" si="3"/>
        <v>0</v>
      </c>
      <c r="L31" s="78">
        <f t="shared" si="4"/>
        <v>0</v>
      </c>
      <c r="M31" s="78">
        <f t="shared" si="5"/>
        <v>0</v>
      </c>
      <c r="N31" s="78">
        <f t="shared" si="6"/>
        <v>0</v>
      </c>
      <c r="O31" s="78">
        <f t="shared" si="7"/>
        <v>0</v>
      </c>
      <c r="P31" s="78">
        <f t="shared" si="8"/>
        <v>0</v>
      </c>
      <c r="Q31" s="78">
        <f t="shared" si="9"/>
        <v>0</v>
      </c>
      <c r="R31" s="79">
        <f t="shared" si="10"/>
        <v>6.2999999999999992E-3</v>
      </c>
      <c r="S31" s="80">
        <f t="shared" si="11"/>
        <v>1.0500000000000001E-2</v>
      </c>
      <c r="T31" s="80">
        <f t="shared" si="12"/>
        <v>6.2999999999999992E-3</v>
      </c>
      <c r="U31" s="80">
        <f t="shared" si="13"/>
        <v>0</v>
      </c>
      <c r="V31" s="80">
        <f t="shared" si="14"/>
        <v>0</v>
      </c>
      <c r="W31" s="80">
        <f t="shared" si="15"/>
        <v>0.105</v>
      </c>
      <c r="X31" s="81">
        <f t="shared" si="16"/>
        <v>4.2000000000000003E-2</v>
      </c>
      <c r="Y31" s="81">
        <f t="shared" si="17"/>
        <v>2.5199999999999997E-2</v>
      </c>
      <c r="Z31" s="81">
        <f t="shared" si="18"/>
        <v>0</v>
      </c>
      <c r="AA31" s="82">
        <f t="shared" si="19"/>
        <v>14.91</v>
      </c>
      <c r="AB31" s="83">
        <f t="shared" si="20"/>
        <v>16.59</v>
      </c>
      <c r="AC31" s="83">
        <f t="shared" si="21"/>
        <v>12.18</v>
      </c>
      <c r="AD31" s="1210">
        <f t="shared" si="22"/>
        <v>16.59</v>
      </c>
      <c r="AE31" s="91">
        <f t="shared" si="23"/>
        <v>60.27</v>
      </c>
    </row>
    <row r="32" spans="1:31" ht="22.5" thickBot="1" x14ac:dyDescent="0.3">
      <c r="A32" s="455"/>
      <c r="B32" s="457">
        <v>20</v>
      </c>
      <c r="C32" s="72">
        <f t="shared" si="24"/>
        <v>44915</v>
      </c>
      <c r="D32" s="73" t="str">
        <f>IF(C32="","",INDEX({"रवि";"सोम";"मंगळ";"बुध";"गुरू";"शुक्र";"शनि"},WEEKDAY(C32)))</f>
        <v>मंगळ</v>
      </c>
      <c r="E32" s="89" t="str">
        <f>HLOOKUP(E5,'दैनिक माहिती'!BF120:BQ151,21,0)</f>
        <v>हरभरा</v>
      </c>
      <c r="F32" s="74">
        <f>HLOOKUP(E5,'दैनिक माहिती'!BF8:BQ40,21,0)</f>
        <v>21</v>
      </c>
      <c r="G32" s="75">
        <f>HLOOKUP(E5,'दैनिक माहिती'!BF46:BQ78,21,0)</f>
        <v>21</v>
      </c>
      <c r="H32" s="76">
        <f>HLOOKUP(E5,'दैनिक माहिती'!BF83:BQ115,21,0)</f>
        <v>21</v>
      </c>
      <c r="I32" s="77">
        <f t="shared" si="1"/>
        <v>2.1</v>
      </c>
      <c r="J32" s="78">
        <f t="shared" si="2"/>
        <v>0</v>
      </c>
      <c r="K32" s="78">
        <f t="shared" si="3"/>
        <v>0</v>
      </c>
      <c r="L32" s="78">
        <f t="shared" si="4"/>
        <v>0</v>
      </c>
      <c r="M32" s="78">
        <f t="shared" si="5"/>
        <v>0</v>
      </c>
      <c r="N32" s="78">
        <f t="shared" si="6"/>
        <v>0</v>
      </c>
      <c r="O32" s="78">
        <f t="shared" si="7"/>
        <v>0</v>
      </c>
      <c r="P32" s="78">
        <f t="shared" si="8"/>
        <v>0.42</v>
      </c>
      <c r="Q32" s="78">
        <f t="shared" si="9"/>
        <v>0</v>
      </c>
      <c r="R32" s="79">
        <f t="shared" si="10"/>
        <v>6.2999999999999992E-3</v>
      </c>
      <c r="S32" s="80">
        <f t="shared" si="11"/>
        <v>1.0500000000000001E-2</v>
      </c>
      <c r="T32" s="80">
        <f t="shared" si="12"/>
        <v>6.2999999999999992E-3</v>
      </c>
      <c r="U32" s="80">
        <f t="shared" si="13"/>
        <v>0</v>
      </c>
      <c r="V32" s="80">
        <f t="shared" si="14"/>
        <v>0</v>
      </c>
      <c r="W32" s="80">
        <f t="shared" si="15"/>
        <v>0.105</v>
      </c>
      <c r="X32" s="81">
        <f t="shared" si="16"/>
        <v>4.2000000000000003E-2</v>
      </c>
      <c r="Y32" s="81">
        <f t="shared" si="17"/>
        <v>2.5199999999999997E-2</v>
      </c>
      <c r="Z32" s="81">
        <f t="shared" si="18"/>
        <v>0</v>
      </c>
      <c r="AA32" s="82">
        <f t="shared" si="19"/>
        <v>14.91</v>
      </c>
      <c r="AB32" s="83">
        <f t="shared" si="20"/>
        <v>16.59</v>
      </c>
      <c r="AC32" s="83">
        <f t="shared" si="21"/>
        <v>12.18</v>
      </c>
      <c r="AD32" s="1210">
        <f t="shared" si="22"/>
        <v>16.59</v>
      </c>
      <c r="AE32" s="91">
        <f t="shared" si="23"/>
        <v>60.27</v>
      </c>
    </row>
    <row r="33" spans="1:31" ht="22.5" thickBot="1" x14ac:dyDescent="0.3">
      <c r="A33" s="455"/>
      <c r="B33" s="457">
        <v>21</v>
      </c>
      <c r="C33" s="72">
        <f t="shared" si="24"/>
        <v>44916</v>
      </c>
      <c r="D33" s="73" t="str">
        <f>IF(C33="","",INDEX({"रवि";"सोम";"मंगळ";"बुध";"गुरू";"शुक्र";"शनि"},WEEKDAY(C33)))</f>
        <v>बुध</v>
      </c>
      <c r="E33" s="89" t="str">
        <f>HLOOKUP(E5,'दैनिक माहिती'!BF120:BQ151,22,0)</f>
        <v>वाटाणा</v>
      </c>
      <c r="F33" s="74">
        <f>HLOOKUP(E5,'दैनिक माहिती'!BF8:BQ40,22,0)</f>
        <v>21</v>
      </c>
      <c r="G33" s="75">
        <f>HLOOKUP(E5,'दैनिक माहिती'!BF46:BQ78,22,0)</f>
        <v>21</v>
      </c>
      <c r="H33" s="76">
        <f>HLOOKUP(E5,'दैनिक माहिती'!BF83:BQ115,22,0)</f>
        <v>21</v>
      </c>
      <c r="I33" s="77">
        <f t="shared" si="1"/>
        <v>2.1</v>
      </c>
      <c r="J33" s="78">
        <f t="shared" si="2"/>
        <v>0</v>
      </c>
      <c r="K33" s="78">
        <f t="shared" si="3"/>
        <v>0</v>
      </c>
      <c r="L33" s="78">
        <f t="shared" si="4"/>
        <v>0</v>
      </c>
      <c r="M33" s="78">
        <f t="shared" si="5"/>
        <v>0</v>
      </c>
      <c r="N33" s="78">
        <f t="shared" si="6"/>
        <v>0</v>
      </c>
      <c r="O33" s="78">
        <f t="shared" si="7"/>
        <v>0</v>
      </c>
      <c r="P33" s="78">
        <f t="shared" si="8"/>
        <v>0</v>
      </c>
      <c r="Q33" s="78">
        <f t="shared" si="9"/>
        <v>0.42</v>
      </c>
      <c r="R33" s="79">
        <f t="shared" si="10"/>
        <v>6.2999999999999992E-3</v>
      </c>
      <c r="S33" s="80">
        <f t="shared" si="11"/>
        <v>1.0500000000000001E-2</v>
      </c>
      <c r="T33" s="80">
        <f t="shared" si="12"/>
        <v>6.2999999999999992E-3</v>
      </c>
      <c r="U33" s="80">
        <f t="shared" si="13"/>
        <v>0</v>
      </c>
      <c r="V33" s="80">
        <f t="shared" si="14"/>
        <v>0</v>
      </c>
      <c r="W33" s="80">
        <f t="shared" si="15"/>
        <v>0.105</v>
      </c>
      <c r="X33" s="81">
        <f t="shared" si="16"/>
        <v>4.2000000000000003E-2</v>
      </c>
      <c r="Y33" s="81">
        <f t="shared" si="17"/>
        <v>2.5199999999999997E-2</v>
      </c>
      <c r="Z33" s="81">
        <f t="shared" si="18"/>
        <v>0</v>
      </c>
      <c r="AA33" s="82">
        <f t="shared" si="19"/>
        <v>14.91</v>
      </c>
      <c r="AB33" s="83">
        <f t="shared" si="20"/>
        <v>16.59</v>
      </c>
      <c r="AC33" s="83">
        <f t="shared" si="21"/>
        <v>12.18</v>
      </c>
      <c r="AD33" s="1210">
        <f t="shared" si="22"/>
        <v>16.59</v>
      </c>
      <c r="AE33" s="91">
        <f t="shared" si="23"/>
        <v>60.27</v>
      </c>
    </row>
    <row r="34" spans="1:31" ht="22.5" thickBot="1" x14ac:dyDescent="0.3">
      <c r="A34" s="455"/>
      <c r="B34" s="457">
        <v>22</v>
      </c>
      <c r="C34" s="72">
        <f t="shared" si="24"/>
        <v>44917</v>
      </c>
      <c r="D34" s="73" t="str">
        <f>IF(C34="","",INDEX({"रवि";"सोम";"मंगळ";"बुध";"गुरू";"शुक्र";"शनि"},WEEKDAY(C34)))</f>
        <v>गुरू</v>
      </c>
      <c r="E34" s="89" t="str">
        <f>HLOOKUP(E5,'दैनिक माहिती'!BF120:BQ151,23,0)</f>
        <v>हरभरा</v>
      </c>
      <c r="F34" s="74">
        <f>HLOOKUP(E5,'दैनिक माहिती'!BF8:BQ40,23,0)</f>
        <v>21</v>
      </c>
      <c r="G34" s="75">
        <f>HLOOKUP(E5,'दैनिक माहिती'!BF46:BQ78,23,0)</f>
        <v>21</v>
      </c>
      <c r="H34" s="76">
        <f>HLOOKUP(E5,'दैनिक माहिती'!BF83:BQ115,23,0)</f>
        <v>21</v>
      </c>
      <c r="I34" s="77">
        <f t="shared" si="1"/>
        <v>2.1</v>
      </c>
      <c r="J34" s="78">
        <f t="shared" si="2"/>
        <v>0</v>
      </c>
      <c r="K34" s="78">
        <f t="shared" si="3"/>
        <v>0</v>
      </c>
      <c r="L34" s="78">
        <f t="shared" si="4"/>
        <v>0</v>
      </c>
      <c r="M34" s="78">
        <f t="shared" si="5"/>
        <v>0</v>
      </c>
      <c r="N34" s="78">
        <f t="shared" si="6"/>
        <v>0</v>
      </c>
      <c r="O34" s="78">
        <f t="shared" si="7"/>
        <v>0</v>
      </c>
      <c r="P34" s="78">
        <f t="shared" si="8"/>
        <v>0.42</v>
      </c>
      <c r="Q34" s="78">
        <f t="shared" si="9"/>
        <v>0</v>
      </c>
      <c r="R34" s="79">
        <f t="shared" si="10"/>
        <v>6.2999999999999992E-3</v>
      </c>
      <c r="S34" s="80">
        <f t="shared" si="11"/>
        <v>1.0500000000000001E-2</v>
      </c>
      <c r="T34" s="80">
        <f t="shared" si="12"/>
        <v>6.2999999999999992E-3</v>
      </c>
      <c r="U34" s="80">
        <f t="shared" si="13"/>
        <v>0</v>
      </c>
      <c r="V34" s="80">
        <f t="shared" si="14"/>
        <v>0</v>
      </c>
      <c r="W34" s="80">
        <f t="shared" si="15"/>
        <v>0.105</v>
      </c>
      <c r="X34" s="81">
        <f t="shared" si="16"/>
        <v>4.2000000000000003E-2</v>
      </c>
      <c r="Y34" s="81">
        <f t="shared" si="17"/>
        <v>2.5199999999999997E-2</v>
      </c>
      <c r="Z34" s="81">
        <f t="shared" si="18"/>
        <v>0</v>
      </c>
      <c r="AA34" s="82">
        <f t="shared" si="19"/>
        <v>14.91</v>
      </c>
      <c r="AB34" s="83">
        <f t="shared" si="20"/>
        <v>16.59</v>
      </c>
      <c r="AC34" s="83">
        <f t="shared" si="21"/>
        <v>12.18</v>
      </c>
      <c r="AD34" s="1210">
        <f t="shared" si="22"/>
        <v>16.59</v>
      </c>
      <c r="AE34" s="91">
        <f t="shared" si="23"/>
        <v>60.27</v>
      </c>
    </row>
    <row r="35" spans="1:31" ht="22.5" thickBot="1" x14ac:dyDescent="0.3">
      <c r="A35" s="455"/>
      <c r="B35" s="457">
        <v>23</v>
      </c>
      <c r="C35" s="72">
        <f t="shared" si="24"/>
        <v>44918</v>
      </c>
      <c r="D35" s="73" t="str">
        <f>IF(C35="","",INDEX({"रवि";"सोम";"मंगळ";"बुध";"गुरू";"शुक्र";"शनि"},WEEKDAY(C35)))</f>
        <v>शुक्र</v>
      </c>
      <c r="E35" s="89" t="str">
        <f>HLOOKUP(E5,'दैनिक माहिती'!BF120:BQ151,24,0)</f>
        <v>वाटाणा</v>
      </c>
      <c r="F35" s="74">
        <f>HLOOKUP(E5,'दैनिक माहिती'!BF8:BQ40,24,0)</f>
        <v>21</v>
      </c>
      <c r="G35" s="75">
        <f>HLOOKUP(E5,'दैनिक माहिती'!BF46:BQ78,24,0)</f>
        <v>21</v>
      </c>
      <c r="H35" s="76">
        <f>HLOOKUP(E5,'दैनिक माहिती'!BF83:BQ115,24,0)</f>
        <v>21</v>
      </c>
      <c r="I35" s="77">
        <f t="shared" si="1"/>
        <v>2.1</v>
      </c>
      <c r="J35" s="78">
        <f t="shared" si="2"/>
        <v>0</v>
      </c>
      <c r="K35" s="78">
        <f t="shared" si="3"/>
        <v>0</v>
      </c>
      <c r="L35" s="78">
        <f t="shared" si="4"/>
        <v>0</v>
      </c>
      <c r="M35" s="78">
        <f t="shared" si="5"/>
        <v>0</v>
      </c>
      <c r="N35" s="78">
        <f t="shared" si="6"/>
        <v>0</v>
      </c>
      <c r="O35" s="78">
        <f t="shared" si="7"/>
        <v>0</v>
      </c>
      <c r="P35" s="78">
        <f t="shared" si="8"/>
        <v>0</v>
      </c>
      <c r="Q35" s="78">
        <f t="shared" si="9"/>
        <v>0.42</v>
      </c>
      <c r="R35" s="79">
        <f t="shared" si="10"/>
        <v>6.2999999999999992E-3</v>
      </c>
      <c r="S35" s="80">
        <f t="shared" si="11"/>
        <v>1.0500000000000001E-2</v>
      </c>
      <c r="T35" s="80">
        <f t="shared" si="12"/>
        <v>6.2999999999999992E-3</v>
      </c>
      <c r="U35" s="80">
        <f t="shared" si="13"/>
        <v>0</v>
      </c>
      <c r="V35" s="80">
        <f t="shared" si="14"/>
        <v>0</v>
      </c>
      <c r="W35" s="80">
        <f t="shared" si="15"/>
        <v>0.105</v>
      </c>
      <c r="X35" s="81">
        <f t="shared" si="16"/>
        <v>4.2000000000000003E-2</v>
      </c>
      <c r="Y35" s="81">
        <f t="shared" si="17"/>
        <v>2.5199999999999997E-2</v>
      </c>
      <c r="Z35" s="81">
        <f t="shared" si="18"/>
        <v>0</v>
      </c>
      <c r="AA35" s="82">
        <f t="shared" si="19"/>
        <v>14.91</v>
      </c>
      <c r="AB35" s="83">
        <f t="shared" si="20"/>
        <v>16.59</v>
      </c>
      <c r="AC35" s="83">
        <f t="shared" si="21"/>
        <v>12.18</v>
      </c>
      <c r="AD35" s="1210">
        <f t="shared" si="22"/>
        <v>16.59</v>
      </c>
      <c r="AE35" s="91">
        <f t="shared" si="23"/>
        <v>60.27</v>
      </c>
    </row>
    <row r="36" spans="1:31" ht="22.5" thickBot="1" x14ac:dyDescent="0.3">
      <c r="A36" s="455"/>
      <c r="B36" s="457">
        <v>24</v>
      </c>
      <c r="C36" s="72">
        <f t="shared" si="24"/>
        <v>44919</v>
      </c>
      <c r="D36" s="73" t="str">
        <f>IF(C36="","",INDEX({"रवि";"सोम";"मंगळ";"बुध";"गुरू";"शुक्र";"शनि"},WEEKDAY(C36)))</f>
        <v>शनि</v>
      </c>
      <c r="E36" s="89" t="str">
        <f>HLOOKUP(E5,'दैनिक माहिती'!BF120:BQ151,25,0)</f>
        <v>मुगडाळ</v>
      </c>
      <c r="F36" s="74">
        <f>HLOOKUP(E5,'दैनिक माहिती'!BF8:BQ40,25,0)</f>
        <v>21</v>
      </c>
      <c r="G36" s="75">
        <f>HLOOKUP(E5,'दैनिक माहिती'!BF46:BQ78,25,0)</f>
        <v>21</v>
      </c>
      <c r="H36" s="76">
        <f>HLOOKUP(E5,'दैनिक माहिती'!BF83:BQ115,25,0)</f>
        <v>21</v>
      </c>
      <c r="I36" s="77">
        <f t="shared" si="1"/>
        <v>2.1</v>
      </c>
      <c r="J36" s="78">
        <f t="shared" si="2"/>
        <v>0.42</v>
      </c>
      <c r="K36" s="78">
        <f t="shared" si="3"/>
        <v>0</v>
      </c>
      <c r="L36" s="78">
        <f t="shared" si="4"/>
        <v>0</v>
      </c>
      <c r="M36" s="78">
        <f t="shared" si="5"/>
        <v>0</v>
      </c>
      <c r="N36" s="78">
        <f t="shared" si="6"/>
        <v>0</v>
      </c>
      <c r="O36" s="78">
        <f t="shared" si="7"/>
        <v>0</v>
      </c>
      <c r="P36" s="78">
        <f t="shared" si="8"/>
        <v>0</v>
      </c>
      <c r="Q36" s="78">
        <f t="shared" si="9"/>
        <v>0</v>
      </c>
      <c r="R36" s="79">
        <f t="shared" si="10"/>
        <v>6.2999999999999992E-3</v>
      </c>
      <c r="S36" s="80">
        <f t="shared" si="11"/>
        <v>1.0500000000000001E-2</v>
      </c>
      <c r="T36" s="80">
        <f t="shared" si="12"/>
        <v>6.2999999999999992E-3</v>
      </c>
      <c r="U36" s="80">
        <f t="shared" si="13"/>
        <v>0</v>
      </c>
      <c r="V36" s="80">
        <f t="shared" si="14"/>
        <v>0</v>
      </c>
      <c r="W36" s="80">
        <f t="shared" si="15"/>
        <v>0.105</v>
      </c>
      <c r="X36" s="81">
        <f t="shared" si="16"/>
        <v>4.2000000000000003E-2</v>
      </c>
      <c r="Y36" s="81">
        <f t="shared" si="17"/>
        <v>2.5199999999999997E-2</v>
      </c>
      <c r="Z36" s="81">
        <f t="shared" si="18"/>
        <v>0</v>
      </c>
      <c r="AA36" s="82">
        <f t="shared" si="19"/>
        <v>14.91</v>
      </c>
      <c r="AB36" s="83">
        <f t="shared" si="20"/>
        <v>16.59</v>
      </c>
      <c r="AC36" s="83">
        <f t="shared" si="21"/>
        <v>12.18</v>
      </c>
      <c r="AD36" s="1210">
        <f t="shared" si="22"/>
        <v>16.59</v>
      </c>
      <c r="AE36" s="91">
        <f t="shared" si="23"/>
        <v>60.27</v>
      </c>
    </row>
    <row r="37" spans="1:31" ht="22.5" thickBot="1" x14ac:dyDescent="0.3">
      <c r="A37" s="455"/>
      <c r="B37" s="457">
        <v>25</v>
      </c>
      <c r="C37" s="72">
        <f t="shared" si="24"/>
        <v>44920</v>
      </c>
      <c r="D37" s="73" t="str">
        <f>IF(C37="","",INDEX({"रवि";"सोम";"मंगळ";"बुध";"गुरू";"शुक्र";"शनि"},WEEKDAY(C37)))</f>
        <v>रवि</v>
      </c>
      <c r="E37" s="89">
        <f>HLOOKUP(E5,'दैनिक माहिती'!BF120:BQ151,26,0)</f>
        <v>0</v>
      </c>
      <c r="F37" s="74">
        <f>HLOOKUP(E5,'दैनिक माहिती'!BF8:BQ40,26,0)</f>
        <v>0</v>
      </c>
      <c r="G37" s="75">
        <f>HLOOKUP(E5,'दैनिक माहिती'!BF46:BQ78,26,0)</f>
        <v>0</v>
      </c>
      <c r="H37" s="76">
        <f>HLOOKUP(E5,'दैनिक माहिती'!BF83:BQ115,26,0)</f>
        <v>0</v>
      </c>
      <c r="I37" s="77">
        <f t="shared" si="1"/>
        <v>0</v>
      </c>
      <c r="J37" s="78">
        <f t="shared" si="2"/>
        <v>0</v>
      </c>
      <c r="K37" s="78">
        <f t="shared" si="3"/>
        <v>0</v>
      </c>
      <c r="L37" s="78">
        <f t="shared" si="4"/>
        <v>0</v>
      </c>
      <c r="M37" s="78">
        <f t="shared" si="5"/>
        <v>0</v>
      </c>
      <c r="N37" s="78">
        <f t="shared" si="6"/>
        <v>0</v>
      </c>
      <c r="O37" s="78">
        <f t="shared" si="7"/>
        <v>0</v>
      </c>
      <c r="P37" s="78">
        <f t="shared" si="8"/>
        <v>0</v>
      </c>
      <c r="Q37" s="78">
        <f t="shared" si="9"/>
        <v>0</v>
      </c>
      <c r="R37" s="79">
        <f t="shared" si="10"/>
        <v>0</v>
      </c>
      <c r="S37" s="80">
        <f t="shared" si="11"/>
        <v>0</v>
      </c>
      <c r="T37" s="80">
        <f t="shared" si="12"/>
        <v>0</v>
      </c>
      <c r="U37" s="80">
        <f t="shared" si="13"/>
        <v>0</v>
      </c>
      <c r="V37" s="80">
        <f t="shared" si="14"/>
        <v>0</v>
      </c>
      <c r="W37" s="80">
        <f t="shared" si="15"/>
        <v>0</v>
      </c>
      <c r="X37" s="81">
        <f t="shared" si="16"/>
        <v>0</v>
      </c>
      <c r="Y37" s="81">
        <f t="shared" si="17"/>
        <v>0</v>
      </c>
      <c r="Z37" s="81">
        <f t="shared" si="18"/>
        <v>0</v>
      </c>
      <c r="AA37" s="82">
        <f t="shared" si="19"/>
        <v>0</v>
      </c>
      <c r="AB37" s="83">
        <f t="shared" si="20"/>
        <v>0</v>
      </c>
      <c r="AC37" s="83">
        <f t="shared" si="21"/>
        <v>0</v>
      </c>
      <c r="AD37" s="1210">
        <f t="shared" si="22"/>
        <v>0</v>
      </c>
      <c r="AE37" s="91">
        <f t="shared" si="23"/>
        <v>0</v>
      </c>
    </row>
    <row r="38" spans="1:31" ht="22.5" thickBot="1" x14ac:dyDescent="0.3">
      <c r="A38" s="455"/>
      <c r="B38" s="457">
        <v>26</v>
      </c>
      <c r="C38" s="72">
        <f t="shared" si="24"/>
        <v>44921</v>
      </c>
      <c r="D38" s="73" t="str">
        <f>IF(C38="","",INDEX({"रवि";"सोम";"मंगळ";"बुध";"गुरू";"शुक्र";"शनि"},WEEKDAY(C38)))</f>
        <v>सोम</v>
      </c>
      <c r="E38" s="89" t="str">
        <f>HLOOKUP(E5,'दैनिक माहिती'!BF120:BQ151,27,0)</f>
        <v>मुगडाळ</v>
      </c>
      <c r="F38" s="74">
        <f>HLOOKUP(E5,'दैनिक माहिती'!BF8:BQ40,27,0)</f>
        <v>21</v>
      </c>
      <c r="G38" s="75">
        <f>HLOOKUP(E5,'दैनिक माहिती'!BF46:BQ78,27,0)</f>
        <v>21</v>
      </c>
      <c r="H38" s="76">
        <f>HLOOKUP(E5,'दैनिक माहिती'!BF83:BQ115,27,0)</f>
        <v>21</v>
      </c>
      <c r="I38" s="77">
        <f t="shared" si="1"/>
        <v>2.1</v>
      </c>
      <c r="J38" s="78">
        <f t="shared" si="2"/>
        <v>0.42</v>
      </c>
      <c r="K38" s="78">
        <f t="shared" si="3"/>
        <v>0</v>
      </c>
      <c r="L38" s="78">
        <f t="shared" si="4"/>
        <v>0</v>
      </c>
      <c r="M38" s="78">
        <f t="shared" si="5"/>
        <v>0</v>
      </c>
      <c r="N38" s="78">
        <f t="shared" si="6"/>
        <v>0</v>
      </c>
      <c r="O38" s="78">
        <f t="shared" si="7"/>
        <v>0</v>
      </c>
      <c r="P38" s="78">
        <f t="shared" si="8"/>
        <v>0</v>
      </c>
      <c r="Q38" s="78">
        <f t="shared" si="9"/>
        <v>0</v>
      </c>
      <c r="R38" s="79">
        <f t="shared" si="10"/>
        <v>6.2999999999999992E-3</v>
      </c>
      <c r="S38" s="80">
        <f t="shared" si="11"/>
        <v>1.0500000000000001E-2</v>
      </c>
      <c r="T38" s="80">
        <f t="shared" si="12"/>
        <v>6.2999999999999992E-3</v>
      </c>
      <c r="U38" s="80">
        <f t="shared" si="13"/>
        <v>0</v>
      </c>
      <c r="V38" s="80">
        <f t="shared" si="14"/>
        <v>0</v>
      </c>
      <c r="W38" s="80">
        <f t="shared" si="15"/>
        <v>0.105</v>
      </c>
      <c r="X38" s="81">
        <f t="shared" si="16"/>
        <v>4.2000000000000003E-2</v>
      </c>
      <c r="Y38" s="81">
        <f t="shared" si="17"/>
        <v>2.5199999999999997E-2</v>
      </c>
      <c r="Z38" s="81">
        <f t="shared" si="18"/>
        <v>0</v>
      </c>
      <c r="AA38" s="82">
        <f t="shared" si="19"/>
        <v>14.91</v>
      </c>
      <c r="AB38" s="83">
        <f t="shared" si="20"/>
        <v>16.59</v>
      </c>
      <c r="AC38" s="83">
        <f t="shared" si="21"/>
        <v>12.18</v>
      </c>
      <c r="AD38" s="1210">
        <f t="shared" si="22"/>
        <v>16.59</v>
      </c>
      <c r="AE38" s="91">
        <f t="shared" si="23"/>
        <v>60.27</v>
      </c>
    </row>
    <row r="39" spans="1:31" ht="22.5" thickBot="1" x14ac:dyDescent="0.3">
      <c r="A39" s="455"/>
      <c r="B39" s="457">
        <v>27</v>
      </c>
      <c r="C39" s="72">
        <f t="shared" si="24"/>
        <v>44922</v>
      </c>
      <c r="D39" s="73" t="str">
        <f>IF(C39="","",INDEX({"रवि";"सोम";"मंगळ";"बुध";"गुरू";"शुक्र";"शनि"},WEEKDAY(C39)))</f>
        <v>मंगळ</v>
      </c>
      <c r="E39" s="89" t="str">
        <f>HLOOKUP(E5,'दैनिक माहिती'!BF120:BQ151,28,0)</f>
        <v>हरभरा</v>
      </c>
      <c r="F39" s="74">
        <f>HLOOKUP(E5,'दैनिक माहिती'!BF8:BQ40,28,0)</f>
        <v>21</v>
      </c>
      <c r="G39" s="75">
        <f>HLOOKUP(E5,'दैनिक माहिती'!BF46:BQ78,28,0)</f>
        <v>21</v>
      </c>
      <c r="H39" s="76">
        <f>HLOOKUP(E5,'दैनिक माहिती'!BF83:BQ115,28,0)</f>
        <v>21</v>
      </c>
      <c r="I39" s="77">
        <f t="shared" si="1"/>
        <v>2.1</v>
      </c>
      <c r="J39" s="78">
        <f t="shared" si="2"/>
        <v>0</v>
      </c>
      <c r="K39" s="78">
        <f t="shared" si="3"/>
        <v>0</v>
      </c>
      <c r="L39" s="78">
        <f t="shared" si="4"/>
        <v>0</v>
      </c>
      <c r="M39" s="78">
        <f t="shared" si="5"/>
        <v>0</v>
      </c>
      <c r="N39" s="78">
        <f t="shared" si="6"/>
        <v>0</v>
      </c>
      <c r="O39" s="78">
        <f t="shared" si="7"/>
        <v>0</v>
      </c>
      <c r="P39" s="78">
        <f t="shared" si="8"/>
        <v>0.42</v>
      </c>
      <c r="Q39" s="78">
        <f t="shared" si="9"/>
        <v>0</v>
      </c>
      <c r="R39" s="79">
        <f t="shared" si="10"/>
        <v>6.2999999999999992E-3</v>
      </c>
      <c r="S39" s="80">
        <f t="shared" si="11"/>
        <v>1.0500000000000001E-2</v>
      </c>
      <c r="T39" s="80">
        <f t="shared" si="12"/>
        <v>6.2999999999999992E-3</v>
      </c>
      <c r="U39" s="80">
        <f t="shared" si="13"/>
        <v>0</v>
      </c>
      <c r="V39" s="80">
        <f t="shared" si="14"/>
        <v>0</v>
      </c>
      <c r="W39" s="80">
        <f t="shared" si="15"/>
        <v>0.105</v>
      </c>
      <c r="X39" s="81">
        <f t="shared" si="16"/>
        <v>4.2000000000000003E-2</v>
      </c>
      <c r="Y39" s="81">
        <f t="shared" si="17"/>
        <v>2.5199999999999997E-2</v>
      </c>
      <c r="Z39" s="81">
        <f t="shared" si="18"/>
        <v>0</v>
      </c>
      <c r="AA39" s="82">
        <f t="shared" si="19"/>
        <v>14.91</v>
      </c>
      <c r="AB39" s="83">
        <f t="shared" si="20"/>
        <v>16.59</v>
      </c>
      <c r="AC39" s="83">
        <f t="shared" si="21"/>
        <v>12.18</v>
      </c>
      <c r="AD39" s="1210">
        <f t="shared" si="22"/>
        <v>16.59</v>
      </c>
      <c r="AE39" s="91">
        <f t="shared" si="23"/>
        <v>60.27</v>
      </c>
    </row>
    <row r="40" spans="1:31" ht="22.5" thickBot="1" x14ac:dyDescent="0.3">
      <c r="A40" s="455"/>
      <c r="B40" s="457">
        <v>28</v>
      </c>
      <c r="C40" s="72">
        <f t="shared" si="24"/>
        <v>44923</v>
      </c>
      <c r="D40" s="73" t="str">
        <f>IF(C40="","",INDEX({"रवि";"सोम";"मंगळ";"बुध";"गुरू";"शुक्र";"शनि"},WEEKDAY(C40)))</f>
        <v>बुध</v>
      </c>
      <c r="E40" s="89" t="str">
        <f>HLOOKUP(E5,'दैनिक माहिती'!BF120:BQ151,29,0)</f>
        <v>वाटाणा</v>
      </c>
      <c r="F40" s="74">
        <f>HLOOKUP(E5,'दैनिक माहिती'!BF8:BQ40,29,0)</f>
        <v>21</v>
      </c>
      <c r="G40" s="75">
        <f>HLOOKUP(E5,'दैनिक माहिती'!BF46:BQ78,29,0)</f>
        <v>21</v>
      </c>
      <c r="H40" s="76">
        <f>HLOOKUP(E5,'दैनिक माहिती'!BF83:BQ115,29,0)</f>
        <v>21</v>
      </c>
      <c r="I40" s="77">
        <f t="shared" si="1"/>
        <v>2.1</v>
      </c>
      <c r="J40" s="78">
        <f t="shared" si="2"/>
        <v>0</v>
      </c>
      <c r="K40" s="78">
        <f t="shared" si="3"/>
        <v>0</v>
      </c>
      <c r="L40" s="78">
        <f t="shared" si="4"/>
        <v>0</v>
      </c>
      <c r="M40" s="78">
        <f t="shared" si="5"/>
        <v>0</v>
      </c>
      <c r="N40" s="78">
        <f t="shared" si="6"/>
        <v>0</v>
      </c>
      <c r="O40" s="78">
        <f t="shared" si="7"/>
        <v>0</v>
      </c>
      <c r="P40" s="78">
        <f t="shared" si="8"/>
        <v>0</v>
      </c>
      <c r="Q40" s="78">
        <f t="shared" si="9"/>
        <v>0.42</v>
      </c>
      <c r="R40" s="79">
        <f t="shared" si="10"/>
        <v>6.2999999999999992E-3</v>
      </c>
      <c r="S40" s="80">
        <f t="shared" si="11"/>
        <v>1.0500000000000001E-2</v>
      </c>
      <c r="T40" s="80">
        <f t="shared" si="12"/>
        <v>6.2999999999999992E-3</v>
      </c>
      <c r="U40" s="80">
        <f t="shared" si="13"/>
        <v>0</v>
      </c>
      <c r="V40" s="80">
        <f t="shared" si="14"/>
        <v>0</v>
      </c>
      <c r="W40" s="80">
        <f t="shared" si="15"/>
        <v>0.105</v>
      </c>
      <c r="X40" s="81">
        <f t="shared" si="16"/>
        <v>4.2000000000000003E-2</v>
      </c>
      <c r="Y40" s="81">
        <f t="shared" si="17"/>
        <v>2.5199999999999997E-2</v>
      </c>
      <c r="Z40" s="81">
        <f t="shared" si="18"/>
        <v>0</v>
      </c>
      <c r="AA40" s="82">
        <f t="shared" si="19"/>
        <v>14.91</v>
      </c>
      <c r="AB40" s="83">
        <f t="shared" si="20"/>
        <v>16.59</v>
      </c>
      <c r="AC40" s="83">
        <f t="shared" si="21"/>
        <v>12.18</v>
      </c>
      <c r="AD40" s="1210">
        <f t="shared" si="22"/>
        <v>16.59</v>
      </c>
      <c r="AE40" s="91">
        <f t="shared" si="23"/>
        <v>60.27</v>
      </c>
    </row>
    <row r="41" spans="1:31" ht="22.5" thickBot="1" x14ac:dyDescent="0.3">
      <c r="A41" s="455"/>
      <c r="B41" s="457">
        <v>29</v>
      </c>
      <c r="C41" s="72">
        <f t="shared" si="24"/>
        <v>44924</v>
      </c>
      <c r="D41" s="73" t="str">
        <f>IF(C41="","",INDEX({"रवि";"सोम";"मंगळ";"बुध";"गुरू";"शुक्र";"शनि"},WEEKDAY(C41)))</f>
        <v>गुरू</v>
      </c>
      <c r="E41" s="89" t="str">
        <f>HLOOKUP(E5,'दैनिक माहिती'!BF120:BQ151,30,0)</f>
        <v>हरभरा</v>
      </c>
      <c r="F41" s="74">
        <f>HLOOKUP(E5,'दैनिक माहिती'!BF8:BQ40,30,0)</f>
        <v>21</v>
      </c>
      <c r="G41" s="75">
        <f>HLOOKUP(E5,'दैनिक माहिती'!BF46:BQ78,30,0)</f>
        <v>21</v>
      </c>
      <c r="H41" s="76">
        <f>HLOOKUP(E5,'दैनिक माहिती'!BF83:BQ115,30,0)</f>
        <v>21</v>
      </c>
      <c r="I41" s="77">
        <f t="shared" si="1"/>
        <v>2.1</v>
      </c>
      <c r="J41" s="78">
        <f t="shared" si="2"/>
        <v>0</v>
      </c>
      <c r="K41" s="78">
        <f t="shared" si="3"/>
        <v>0</v>
      </c>
      <c r="L41" s="78">
        <f t="shared" si="4"/>
        <v>0</v>
      </c>
      <c r="M41" s="78">
        <f t="shared" si="5"/>
        <v>0</v>
      </c>
      <c r="N41" s="78">
        <f t="shared" si="6"/>
        <v>0</v>
      </c>
      <c r="O41" s="78">
        <f t="shared" si="7"/>
        <v>0</v>
      </c>
      <c r="P41" s="78">
        <f t="shared" si="8"/>
        <v>0.42</v>
      </c>
      <c r="Q41" s="78">
        <f t="shared" si="9"/>
        <v>0</v>
      </c>
      <c r="R41" s="79">
        <f t="shared" si="10"/>
        <v>6.2999999999999992E-3</v>
      </c>
      <c r="S41" s="80">
        <f t="shared" si="11"/>
        <v>1.0500000000000001E-2</v>
      </c>
      <c r="T41" s="80">
        <f t="shared" si="12"/>
        <v>6.2999999999999992E-3</v>
      </c>
      <c r="U41" s="80">
        <f t="shared" si="13"/>
        <v>0</v>
      </c>
      <c r="V41" s="80">
        <f t="shared" si="14"/>
        <v>0</v>
      </c>
      <c r="W41" s="80">
        <f t="shared" si="15"/>
        <v>0.105</v>
      </c>
      <c r="X41" s="81">
        <f t="shared" si="16"/>
        <v>4.2000000000000003E-2</v>
      </c>
      <c r="Y41" s="81">
        <f t="shared" si="17"/>
        <v>2.5199999999999997E-2</v>
      </c>
      <c r="Z41" s="81">
        <f t="shared" si="18"/>
        <v>0</v>
      </c>
      <c r="AA41" s="82">
        <f t="shared" si="19"/>
        <v>14.91</v>
      </c>
      <c r="AB41" s="83">
        <f t="shared" si="20"/>
        <v>16.59</v>
      </c>
      <c r="AC41" s="83">
        <f t="shared" si="21"/>
        <v>12.18</v>
      </c>
      <c r="AD41" s="1210">
        <f t="shared" si="22"/>
        <v>16.59</v>
      </c>
      <c r="AE41" s="91">
        <f t="shared" si="23"/>
        <v>60.27</v>
      </c>
    </row>
    <row r="42" spans="1:31" ht="21.75" x14ac:dyDescent="0.25">
      <c r="A42" s="455"/>
      <c r="B42" s="457">
        <v>30</v>
      </c>
      <c r="C42" s="72">
        <f t="shared" si="24"/>
        <v>44925</v>
      </c>
      <c r="D42" s="73" t="str">
        <f>IF(C42="","",INDEX({"रवि";"सोम";"मंगळ";"बुध";"गुरू";"शुक्र";"शनि"},WEEKDAY(C42)))</f>
        <v>शुक्र</v>
      </c>
      <c r="E42" s="89" t="str">
        <f>HLOOKUP(E5,'दैनिक माहिती'!BF120:BQ151,31,0)</f>
        <v>वाटाणा</v>
      </c>
      <c r="F42" s="74">
        <f>HLOOKUP(E5,'दैनिक माहिती'!BF8:BQ40,31,0)</f>
        <v>21</v>
      </c>
      <c r="G42" s="75">
        <f>HLOOKUP(E5,'दैनिक माहिती'!BF46:BQ78,31,0)</f>
        <v>21</v>
      </c>
      <c r="H42" s="76">
        <f>HLOOKUP(E5,'दैनिक माहिती'!BF83:BQ115,31,0)</f>
        <v>21</v>
      </c>
      <c r="I42" s="77">
        <f t="shared" si="1"/>
        <v>2.1</v>
      </c>
      <c r="J42" s="78">
        <f t="shared" si="2"/>
        <v>0</v>
      </c>
      <c r="K42" s="78">
        <f t="shared" si="3"/>
        <v>0</v>
      </c>
      <c r="L42" s="78">
        <f t="shared" si="4"/>
        <v>0</v>
      </c>
      <c r="M42" s="78">
        <f t="shared" si="5"/>
        <v>0</v>
      </c>
      <c r="N42" s="78">
        <f t="shared" si="6"/>
        <v>0</v>
      </c>
      <c r="O42" s="78">
        <f t="shared" si="7"/>
        <v>0</v>
      </c>
      <c r="P42" s="78">
        <f t="shared" si="8"/>
        <v>0</v>
      </c>
      <c r="Q42" s="78">
        <f t="shared" si="9"/>
        <v>0.42</v>
      </c>
      <c r="R42" s="79">
        <f t="shared" si="10"/>
        <v>6.2999999999999992E-3</v>
      </c>
      <c r="S42" s="80">
        <f t="shared" si="11"/>
        <v>1.0500000000000001E-2</v>
      </c>
      <c r="T42" s="80">
        <f t="shared" si="12"/>
        <v>6.2999999999999992E-3</v>
      </c>
      <c r="U42" s="80">
        <f t="shared" si="13"/>
        <v>0</v>
      </c>
      <c r="V42" s="80">
        <f t="shared" si="14"/>
        <v>0</v>
      </c>
      <c r="W42" s="80">
        <f t="shared" si="15"/>
        <v>0.105</v>
      </c>
      <c r="X42" s="81">
        <f t="shared" si="16"/>
        <v>4.2000000000000003E-2</v>
      </c>
      <c r="Y42" s="81">
        <f t="shared" si="17"/>
        <v>2.5199999999999997E-2</v>
      </c>
      <c r="Z42" s="81">
        <f t="shared" si="18"/>
        <v>0</v>
      </c>
      <c r="AA42" s="82">
        <f t="shared" si="19"/>
        <v>14.91</v>
      </c>
      <c r="AB42" s="83">
        <f t="shared" si="20"/>
        <v>16.59</v>
      </c>
      <c r="AC42" s="83">
        <f t="shared" si="21"/>
        <v>12.18</v>
      </c>
      <c r="AD42" s="1210">
        <f t="shared" si="22"/>
        <v>16.59</v>
      </c>
      <c r="AE42" s="91">
        <f t="shared" si="23"/>
        <v>60.27</v>
      </c>
    </row>
    <row r="43" spans="1:31" ht="22.5" thickBot="1" x14ac:dyDescent="0.3">
      <c r="A43" s="455"/>
      <c r="B43" s="1205">
        <v>31</v>
      </c>
      <c r="C43" s="1206">
        <f t="shared" si="24"/>
        <v>44926</v>
      </c>
      <c r="D43" s="1207" t="str">
        <f>IF(C43="","",INDEX({"रवि";"सोम";"मंगळ";"बुध";"गुरू";"शुक्र";"शनि"},WEEKDAY(C43)))</f>
        <v>शनि</v>
      </c>
      <c r="E43" s="90" t="str">
        <f>HLOOKUP(E5,'दैनिक माहिती'!BF120:BQ151,32,0)</f>
        <v>मुगडाळ</v>
      </c>
      <c r="F43" s="84">
        <f>HLOOKUP(E5,'दैनिक माहिती'!BF8:BQ40,32,0)</f>
        <v>21</v>
      </c>
      <c r="G43" s="85">
        <f>HLOOKUP(E5,'दैनिक माहिती'!BF46:BQ78,32,0)</f>
        <v>21</v>
      </c>
      <c r="H43" s="86">
        <f>HLOOKUP(E5,'दैनिक माहिती'!BF83:BQ115,32,0)</f>
        <v>21</v>
      </c>
      <c r="I43" s="77">
        <f t="shared" si="1"/>
        <v>2.1</v>
      </c>
      <c r="J43" s="78">
        <f t="shared" si="2"/>
        <v>0.42</v>
      </c>
      <c r="K43" s="78">
        <f t="shared" si="3"/>
        <v>0</v>
      </c>
      <c r="L43" s="78">
        <f t="shared" si="4"/>
        <v>0</v>
      </c>
      <c r="M43" s="78">
        <f t="shared" si="5"/>
        <v>0</v>
      </c>
      <c r="N43" s="78">
        <f t="shared" si="6"/>
        <v>0</v>
      </c>
      <c r="O43" s="78">
        <f t="shared" si="7"/>
        <v>0</v>
      </c>
      <c r="P43" s="78">
        <f t="shared" si="8"/>
        <v>0</v>
      </c>
      <c r="Q43" s="78">
        <f t="shared" si="9"/>
        <v>0</v>
      </c>
      <c r="R43" s="79">
        <f t="shared" si="10"/>
        <v>6.2999999999999992E-3</v>
      </c>
      <c r="S43" s="80">
        <f t="shared" si="11"/>
        <v>1.0500000000000001E-2</v>
      </c>
      <c r="T43" s="80">
        <f t="shared" si="12"/>
        <v>6.2999999999999992E-3</v>
      </c>
      <c r="U43" s="80">
        <f t="shared" si="13"/>
        <v>0</v>
      </c>
      <c r="V43" s="80">
        <f t="shared" si="14"/>
        <v>0</v>
      </c>
      <c r="W43" s="80">
        <f t="shared" si="15"/>
        <v>0.105</v>
      </c>
      <c r="X43" s="81">
        <f t="shared" si="16"/>
        <v>4.2000000000000003E-2</v>
      </c>
      <c r="Y43" s="81">
        <f t="shared" si="17"/>
        <v>2.5199999999999997E-2</v>
      </c>
      <c r="Z43" s="81">
        <f t="shared" si="18"/>
        <v>0</v>
      </c>
      <c r="AA43" s="82">
        <f t="shared" si="19"/>
        <v>14.91</v>
      </c>
      <c r="AB43" s="83">
        <f t="shared" si="20"/>
        <v>16.59</v>
      </c>
      <c r="AC43" s="83">
        <f t="shared" si="21"/>
        <v>12.18</v>
      </c>
      <c r="AD43" s="1210">
        <f t="shared" si="22"/>
        <v>16.59</v>
      </c>
      <c r="AE43" s="91">
        <f t="shared" si="23"/>
        <v>60.27</v>
      </c>
    </row>
    <row r="44" spans="1:31" ht="33.75" customHeight="1" thickBot="1" x14ac:dyDescent="0.3">
      <c r="A44" s="455"/>
      <c r="B44" s="1690" t="s">
        <v>218</v>
      </c>
      <c r="C44" s="1691"/>
      <c r="D44" s="1691"/>
      <c r="E44" s="1692">
        <f>COUNTIF(H13:H43,"&gt;0")</f>
        <v>26</v>
      </c>
      <c r="F44" s="1204">
        <f>SUM(F13:F43)</f>
        <v>547</v>
      </c>
      <c r="G44" s="1204">
        <f>SUM(G13:G43)</f>
        <v>547</v>
      </c>
      <c r="H44" s="1204">
        <f>SUM(H13:H43)</f>
        <v>547</v>
      </c>
      <c r="I44" s="87">
        <f>SUM(I13:I43)</f>
        <v>54.700000000000024</v>
      </c>
      <c r="J44" s="87">
        <f t="shared" ref="J44:AA44" si="25">SUM(J13:J43)</f>
        <v>3.78</v>
      </c>
      <c r="K44" s="87">
        <f t="shared" si="25"/>
        <v>0</v>
      </c>
      <c r="L44" s="87">
        <f t="shared" si="25"/>
        <v>0</v>
      </c>
      <c r="M44" s="87">
        <f t="shared" si="25"/>
        <v>0</v>
      </c>
      <c r="N44" s="87">
        <f t="shared" si="25"/>
        <v>0</v>
      </c>
      <c r="O44" s="87">
        <f t="shared" si="25"/>
        <v>0</v>
      </c>
      <c r="P44" s="87">
        <f t="shared" si="25"/>
        <v>3.38</v>
      </c>
      <c r="Q44" s="87">
        <f t="shared" si="25"/>
        <v>3.78</v>
      </c>
      <c r="R44" s="87">
        <f t="shared" si="25"/>
        <v>0.1641</v>
      </c>
      <c r="S44" s="87">
        <f t="shared" si="25"/>
        <v>0.27350000000000008</v>
      </c>
      <c r="T44" s="87">
        <f t="shared" si="25"/>
        <v>0.1641</v>
      </c>
      <c r="U44" s="87">
        <f t="shared" si="25"/>
        <v>0</v>
      </c>
      <c r="V44" s="87">
        <f t="shared" si="25"/>
        <v>0</v>
      </c>
      <c r="W44" s="87">
        <f t="shared" si="25"/>
        <v>2.7349999999999999</v>
      </c>
      <c r="X44" s="87">
        <f t="shared" si="25"/>
        <v>1.0940000000000003</v>
      </c>
      <c r="Y44" s="87">
        <f t="shared" si="25"/>
        <v>0.65639999999999998</v>
      </c>
      <c r="Z44" s="87">
        <f t="shared" si="25"/>
        <v>0</v>
      </c>
      <c r="AA44" s="88">
        <f t="shared" si="25"/>
        <v>388.37000000000018</v>
      </c>
      <c r="AB44" s="88">
        <f t="shared" ref="AB44" si="26">SUM(AB13:AB43)</f>
        <v>432.12999999999977</v>
      </c>
      <c r="AC44" s="88">
        <f t="shared" ref="AC44:AD44" si="27">SUM(AC13:AC43)</f>
        <v>317.2600000000001</v>
      </c>
      <c r="AD44" s="88">
        <f t="shared" si="27"/>
        <v>432.12999999999977</v>
      </c>
      <c r="AE44" s="92">
        <f>SUM(AA44:AD44)</f>
        <v>1569.8899999999999</v>
      </c>
    </row>
    <row r="45" spans="1:31" ht="37.5" customHeight="1" thickBot="1" x14ac:dyDescent="0.3">
      <c r="A45" s="455"/>
      <c r="B45" s="1684" t="s">
        <v>717</v>
      </c>
      <c r="C45" s="1685"/>
      <c r="D45" s="1686"/>
      <c r="E45" s="1693"/>
      <c r="F45" s="1684" t="s">
        <v>104</v>
      </c>
      <c r="G45" s="1685"/>
      <c r="H45" s="1686"/>
      <c r="I45" s="93">
        <f>(I12-I44)</f>
        <v>20.899999999999942</v>
      </c>
      <c r="J45" s="94">
        <f>(J12-J44)</f>
        <v>1.7200000000000002</v>
      </c>
      <c r="K45" s="94">
        <f t="shared" ref="K45:Z45" si="28">(K12-K44)</f>
        <v>0</v>
      </c>
      <c r="L45" s="94">
        <f t="shared" si="28"/>
        <v>0</v>
      </c>
      <c r="M45" s="94">
        <f t="shared" si="28"/>
        <v>0</v>
      </c>
      <c r="N45" s="94">
        <f t="shared" si="28"/>
        <v>0</v>
      </c>
      <c r="O45" s="94">
        <f t="shared" si="28"/>
        <v>0</v>
      </c>
      <c r="P45" s="94">
        <f t="shared" si="28"/>
        <v>0.2200000000000002</v>
      </c>
      <c r="Q45" s="94">
        <f t="shared" si="28"/>
        <v>-0.76000000000000023</v>
      </c>
      <c r="R45" s="94">
        <f t="shared" si="28"/>
        <v>0.22350000000000017</v>
      </c>
      <c r="S45" s="94">
        <f t="shared" si="28"/>
        <v>4.4999999999995044E-3</v>
      </c>
      <c r="T45" s="94">
        <f t="shared" si="28"/>
        <v>0.32350000000000023</v>
      </c>
      <c r="U45" s="94">
        <f t="shared" si="28"/>
        <v>0</v>
      </c>
      <c r="V45" s="94">
        <f t="shared" si="28"/>
        <v>0</v>
      </c>
      <c r="W45" s="94">
        <f t="shared" si="28"/>
        <v>14.044999999999998</v>
      </c>
      <c r="X45" s="94">
        <f t="shared" si="28"/>
        <v>2.2139999999999977</v>
      </c>
      <c r="Y45" s="94">
        <f t="shared" si="28"/>
        <v>0.39080000000000126</v>
      </c>
      <c r="Z45" s="94">
        <f t="shared" si="28"/>
        <v>0</v>
      </c>
      <c r="AA45" s="1673" t="s">
        <v>217</v>
      </c>
      <c r="AB45" s="1674"/>
      <c r="AC45" s="95">
        <f>AE44</f>
        <v>1569.8899999999999</v>
      </c>
      <c r="AD45" s="95"/>
      <c r="AE45" s="24" t="s">
        <v>214</v>
      </c>
    </row>
    <row r="46" spans="1:31" ht="21" x14ac:dyDescent="0.35">
      <c r="B46" s="458"/>
      <c r="C46" s="360"/>
      <c r="D46" s="1629"/>
      <c r="E46" s="1629"/>
      <c r="F46" s="1629"/>
      <c r="G46" s="1629"/>
      <c r="H46" s="1629"/>
      <c r="I46" s="1629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</row>
    <row r="47" spans="1:31" ht="21" x14ac:dyDescent="0.35">
      <c r="C47" s="360"/>
      <c r="D47" s="1630"/>
      <c r="E47" s="1630"/>
      <c r="F47" s="1630"/>
      <c r="G47" s="1630"/>
      <c r="H47" s="1630"/>
      <c r="I47" s="163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1211"/>
      <c r="AB47" s="360"/>
      <c r="AC47" s="360"/>
      <c r="AD47" s="360"/>
      <c r="AE47" s="360"/>
    </row>
    <row r="48" spans="1:31" ht="21" x14ac:dyDescent="0.35">
      <c r="C48" s="360"/>
      <c r="D48" s="360"/>
      <c r="E48" s="360"/>
      <c r="F48" s="360"/>
      <c r="G48" s="360"/>
      <c r="H48" s="360"/>
      <c r="I48" s="5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</row>
    <row r="49" spans="3:31" ht="21" x14ac:dyDescent="0.35">
      <c r="C49" s="360"/>
      <c r="D49" s="360"/>
      <c r="E49" s="360"/>
      <c r="F49" s="360"/>
      <c r="G49" s="360"/>
      <c r="H49" s="360"/>
      <c r="I49" s="5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  <c r="AA49" s="360"/>
      <c r="AB49" s="360"/>
      <c r="AC49" s="360"/>
      <c r="AD49" s="360"/>
      <c r="AE49" s="360"/>
    </row>
    <row r="50" spans="3:31" ht="21" x14ac:dyDescent="0.35">
      <c r="C50" s="360"/>
      <c r="D50" s="360"/>
      <c r="E50" s="360"/>
      <c r="F50" s="360"/>
      <c r="G50" s="360"/>
      <c r="H50" s="360"/>
      <c r="I50" s="5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</row>
    <row r="51" spans="3:31" ht="21" x14ac:dyDescent="0.35">
      <c r="C51" s="360"/>
      <c r="D51" s="360"/>
      <c r="E51" s="360"/>
      <c r="F51" s="360"/>
      <c r="G51" s="360"/>
      <c r="H51" s="360"/>
      <c r="I51" s="5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</row>
    <row r="52" spans="3:31" ht="21" x14ac:dyDescent="0.35">
      <c r="C52" s="360"/>
      <c r="D52" s="360"/>
      <c r="E52" s="360"/>
      <c r="F52" s="360"/>
      <c r="G52" s="360"/>
      <c r="H52" s="360"/>
      <c r="I52" s="5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</row>
    <row r="53" spans="3:31" ht="21" x14ac:dyDescent="0.35">
      <c r="C53" s="360"/>
      <c r="D53" s="360"/>
      <c r="E53" s="360"/>
      <c r="F53" s="360"/>
      <c r="G53" s="360"/>
      <c r="H53" s="360"/>
      <c r="I53" s="5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</row>
    <row r="54" spans="3:31" ht="21" x14ac:dyDescent="0.35">
      <c r="C54" s="360"/>
      <c r="D54" s="360"/>
      <c r="E54" s="360"/>
      <c r="F54" s="360"/>
      <c r="G54" s="360"/>
      <c r="H54" s="360"/>
      <c r="I54" s="5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0"/>
      <c r="W54" s="360"/>
      <c r="X54" s="360"/>
      <c r="Y54" s="360"/>
      <c r="Z54" s="360"/>
      <c r="AA54" s="360"/>
      <c r="AB54" s="360"/>
      <c r="AC54" s="360"/>
      <c r="AD54" s="360"/>
      <c r="AE54" s="360"/>
    </row>
    <row r="55" spans="3:31" ht="21" x14ac:dyDescent="0.35">
      <c r="C55" s="360"/>
      <c r="D55" s="360"/>
      <c r="E55" s="360"/>
      <c r="F55" s="360"/>
      <c r="G55" s="360"/>
      <c r="H55" s="360"/>
      <c r="I55" s="5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</row>
    <row r="56" spans="3:31" ht="21" x14ac:dyDescent="0.35">
      <c r="C56" s="360"/>
      <c r="D56" s="360"/>
      <c r="E56" s="360"/>
      <c r="F56" s="360"/>
      <c r="G56" s="360"/>
      <c r="H56" s="360"/>
      <c r="I56" s="5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  <c r="AA56" s="360"/>
      <c r="AB56" s="360"/>
      <c r="AC56" s="360"/>
      <c r="AD56" s="360"/>
      <c r="AE56" s="360"/>
    </row>
    <row r="57" spans="3:31" ht="21" x14ac:dyDescent="0.35">
      <c r="C57" s="360"/>
      <c r="D57" s="360"/>
      <c r="E57" s="360"/>
      <c r="F57" s="360"/>
      <c r="G57" s="360"/>
      <c r="H57" s="360"/>
      <c r="I57" s="5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</row>
    <row r="58" spans="3:31" ht="21" x14ac:dyDescent="0.35">
      <c r="C58" s="360"/>
      <c r="D58" s="360"/>
      <c r="E58" s="360"/>
      <c r="F58" s="360"/>
      <c r="G58" s="360"/>
      <c r="H58" s="360"/>
      <c r="I58" s="5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</row>
    <row r="59" spans="3:31" ht="21" x14ac:dyDescent="0.35">
      <c r="C59" s="360"/>
      <c r="D59" s="360"/>
      <c r="E59" s="360"/>
      <c r="F59" s="360"/>
      <c r="G59" s="360"/>
      <c r="H59" s="360"/>
      <c r="I59" s="5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</row>
    <row r="60" spans="3:31" ht="21" x14ac:dyDescent="0.35">
      <c r="C60" s="360"/>
      <c r="D60" s="360"/>
      <c r="E60" s="360"/>
      <c r="F60" s="360"/>
      <c r="G60" s="360"/>
      <c r="H60" s="360"/>
      <c r="I60" s="5"/>
      <c r="J60" s="360"/>
      <c r="K60" s="360"/>
      <c r="L60" s="360"/>
      <c r="M60" s="360"/>
      <c r="N60" s="360"/>
      <c r="O60" s="360"/>
      <c r="P60" s="360"/>
      <c r="Q60" s="360"/>
      <c r="R60" s="360"/>
      <c r="S60" s="360"/>
      <c r="T60" s="360"/>
      <c r="U60" s="360"/>
      <c r="V60" s="360"/>
      <c r="W60" s="360"/>
      <c r="X60" s="360"/>
      <c r="Y60" s="360"/>
      <c r="Z60" s="360"/>
      <c r="AA60" s="360"/>
      <c r="AB60" s="360"/>
      <c r="AC60" s="360"/>
      <c r="AD60" s="360"/>
      <c r="AE60" s="360"/>
    </row>
    <row r="61" spans="3:31" ht="21" x14ac:dyDescent="0.35">
      <c r="C61" s="360"/>
      <c r="D61" s="360"/>
      <c r="E61" s="360"/>
      <c r="F61" s="360"/>
      <c r="G61" s="360"/>
      <c r="H61" s="360"/>
      <c r="I61" s="5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  <c r="AA61" s="360"/>
      <c r="AB61" s="360"/>
      <c r="AC61" s="360"/>
      <c r="AD61" s="360"/>
      <c r="AE61" s="360"/>
    </row>
    <row r="62" spans="3:31" ht="21" x14ac:dyDescent="0.35">
      <c r="C62" s="360"/>
      <c r="D62" s="360"/>
      <c r="E62" s="360"/>
      <c r="F62" s="360"/>
      <c r="G62" s="360"/>
      <c r="H62" s="360"/>
      <c r="I62" s="5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</row>
    <row r="63" spans="3:31" ht="21" x14ac:dyDescent="0.35">
      <c r="C63" s="360"/>
      <c r="D63" s="360"/>
      <c r="E63" s="360"/>
      <c r="F63" s="360"/>
      <c r="G63" s="360"/>
      <c r="H63" s="360"/>
      <c r="I63" s="5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</row>
  </sheetData>
  <sheetProtection algorithmName="SHA-512" hashValue="7z/Kz2PIk/ZKI3WhrRWuK+IJYWml44dkg2poCY/qnD+w51xo8vG7p7GN6TNUcycCrXTacpwm6s55WMfdLLX8MQ==" saltValue="IQj0qG6SSMFPW46vfgzHQw==" spinCount="100000" sheet="1" objects="1" scenarios="1" selectLockedCells="1"/>
  <mergeCells count="27">
    <mergeCell ref="AA45:AB45"/>
    <mergeCell ref="AA9:AE12"/>
    <mergeCell ref="F45:H45"/>
    <mergeCell ref="B6:B7"/>
    <mergeCell ref="F6:F7"/>
    <mergeCell ref="B44:D44"/>
    <mergeCell ref="B45:D45"/>
    <mergeCell ref="E44:E45"/>
    <mergeCell ref="E11:H11"/>
    <mergeCell ref="R5:AE5"/>
    <mergeCell ref="C6:C7"/>
    <mergeCell ref="D6:D7"/>
    <mergeCell ref="E6:E7"/>
    <mergeCell ref="G6:G7"/>
    <mergeCell ref="H6:H7"/>
    <mergeCell ref="P5:Q5"/>
    <mergeCell ref="D46:I47"/>
    <mergeCell ref="B5:D5"/>
    <mergeCell ref="F5:H5"/>
    <mergeCell ref="E8:H8"/>
    <mergeCell ref="I5:N5"/>
    <mergeCell ref="C10:D12"/>
    <mergeCell ref="B10:B12"/>
    <mergeCell ref="C9:D9"/>
    <mergeCell ref="E9:H9"/>
    <mergeCell ref="E10:H10"/>
    <mergeCell ref="E12:H12"/>
  </mergeCells>
  <conditionalFormatting sqref="D13:D43">
    <cfRule type="expression" dxfId="63" priority="6">
      <formula>TEXT(D13,"ddd")="sat"</formula>
    </cfRule>
    <cfRule type="expression" dxfId="62" priority="7">
      <formula>TEXT(D13,"ddd")="fri"</formula>
    </cfRule>
    <cfRule type="expression" dxfId="61" priority="8">
      <formula>TEXT(D13,"ddd")="thu"</formula>
    </cfRule>
    <cfRule type="expression" dxfId="60" priority="9">
      <formula>TEXT(D13,"ddd")="wed"</formula>
    </cfRule>
    <cfRule type="expression" dxfId="59" priority="10">
      <formula>TEXT(D13,"ddd")="tue"</formula>
    </cfRule>
    <cfRule type="expression" dxfId="58" priority="11">
      <formula>TEXT(D13,"ddd")="mon"</formula>
    </cfRule>
    <cfRule type="expression" dxfId="57" priority="12">
      <formula>TEXT(D13,"ddd")="sun"</formula>
    </cfRule>
  </conditionalFormatting>
  <dataValidations count="1">
    <dataValidation type="list" allowBlank="1" showInputMessage="1" showErrorMessage="1" errorTitle="Invalid Month" error="Please enter a month such as January, February, etc. or select the month from the drop-down box." sqref="E5">
      <formula1>"जानेवारी,फेब्रुवारी,मार्च,एप्रिल,मे,जून,जुलै,ऑगस्ट,सप्टेंबर,ऑक्टोबर,नोव्हेंबर,डिसेंबर"</formula1>
    </dataValidation>
  </dataValidations>
  <printOptions horizontalCentered="1"/>
  <pageMargins left="7.874015748031496E-2" right="7.874015748031496E-2" top="0.47244094488188981" bottom="0.11811023622047245" header="0.39370078740157483" footer="7.874015748031496E-2"/>
  <pageSetup paperSize="9" scale="49" orientation="landscape" r:id="rId1"/>
  <rowBreaks count="1" manualBreakCount="1">
    <brk id="45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98D1140D-3D61-438A-88DA-96CCA6F3E607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F13:H43</xm:sqref>
        </x14:conditionalFormatting>
        <x14:conditionalFormatting xmlns:xm="http://schemas.microsoft.com/office/excel/2006/main">
          <x14:cfRule type="expression" priority="19" id="{51A70581-AB9B-4CD4-8616-D778D45A339F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AE44 AA13:AE43</xm:sqref>
        </x14:conditionalFormatting>
        <x14:conditionalFormatting xmlns:xm="http://schemas.microsoft.com/office/excel/2006/main">
          <x14:cfRule type="expression" priority="13" id="{08866E40-9766-40DF-A915-B43E4B9C670D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Z13:Z43</xm:sqref>
        </x14:conditionalFormatting>
        <x14:conditionalFormatting xmlns:xm="http://schemas.microsoft.com/office/excel/2006/main">
          <x14:cfRule type="expression" priority="15" id="{6FCDB7A4-C7C1-492B-B211-B027F96B0DCE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FFFF00"/>
                </patternFill>
              </fill>
            </x14:dxf>
          </x14:cfRule>
          <xm:sqref>Z13:Z43</xm:sqref>
        </x14:conditionalFormatting>
        <x14:conditionalFormatting xmlns:xm="http://schemas.microsoft.com/office/excel/2006/main">
          <x14:cfRule type="expression" priority="14" id="{1E671C6E-335C-4ABB-9052-C91F06B76391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auto="1"/>
              </font>
            </x14:dxf>
          </x14:cfRule>
          <xm:sqref>Z13:Z43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F5:H5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  <pageSetUpPr fitToPage="1"/>
  </sheetPr>
  <dimension ref="B1:CJ79"/>
  <sheetViews>
    <sheetView showZeros="0" zoomScaleNormal="100" workbookViewId="0">
      <selection activeCell="D5" sqref="D5:J5"/>
    </sheetView>
  </sheetViews>
  <sheetFormatPr defaultRowHeight="26.25" customHeight="1" x14ac:dyDescent="0.3"/>
  <cols>
    <col min="1" max="1" width="7.28515625" style="15" customWidth="1"/>
    <col min="2" max="2" width="6.85546875" style="15" customWidth="1"/>
    <col min="3" max="3" width="13.42578125" style="15" customWidth="1"/>
    <col min="4" max="4" width="10.28515625" style="15" customWidth="1"/>
    <col min="5" max="5" width="12.28515625" style="15" customWidth="1"/>
    <col min="6" max="6" width="14.42578125" style="15" customWidth="1"/>
    <col min="7" max="7" width="12.28515625" style="15" customWidth="1"/>
    <col min="8" max="8" width="9.140625" style="15"/>
    <col min="9" max="9" width="10.140625" style="15" bestFit="1" customWidth="1"/>
    <col min="10" max="18" width="9.140625" style="15"/>
    <col min="19" max="19" width="12.42578125" style="15" customWidth="1"/>
    <col min="20" max="23" width="9.140625" style="15"/>
    <col min="24" max="26" width="11.7109375" style="15" customWidth="1"/>
    <col min="27" max="27" width="14.7109375" style="15" customWidth="1"/>
    <col min="28" max="28" width="9.140625" style="15" customWidth="1"/>
    <col min="29" max="29" width="0.140625" style="15" customWidth="1"/>
    <col min="30" max="30" width="9.140625" style="15" customWidth="1"/>
    <col min="31" max="31" width="0.140625" style="15" customWidth="1"/>
    <col min="32" max="32" width="9.140625" style="15" hidden="1" customWidth="1"/>
    <col min="33" max="33" width="3.5703125" style="15" hidden="1" customWidth="1"/>
    <col min="34" max="37" width="9.140625" style="15" hidden="1" customWidth="1"/>
    <col min="38" max="38" width="0.28515625" style="15" hidden="1" customWidth="1"/>
    <col min="39" max="39" width="6.28515625" style="15" hidden="1" customWidth="1"/>
    <col min="40" max="47" width="9.140625" style="15" hidden="1" customWidth="1"/>
    <col min="48" max="48" width="1.5703125" style="15" hidden="1" customWidth="1"/>
    <col min="49" max="52" width="9.140625" style="15" hidden="1" customWidth="1"/>
    <col min="53" max="53" width="9" style="15" hidden="1" customWidth="1"/>
    <col min="54" max="55" width="9.140625" style="15" hidden="1" customWidth="1"/>
    <col min="56" max="56" width="9.85546875" style="15" hidden="1" customWidth="1"/>
    <col min="57" max="57" width="4.85546875" style="15" customWidth="1"/>
    <col min="58" max="58" width="0.28515625" style="15" hidden="1" customWidth="1"/>
    <col min="59" max="59" width="9.140625" style="15" hidden="1" customWidth="1"/>
    <col min="60" max="60" width="14.85546875" style="15" hidden="1" customWidth="1"/>
    <col min="61" max="61" width="9.140625" style="15" hidden="1" customWidth="1"/>
    <col min="62" max="62" width="10.140625" style="15" hidden="1" customWidth="1"/>
    <col min="63" max="64" width="9.140625" style="15" hidden="1" customWidth="1"/>
    <col min="65" max="68" width="8.7109375" style="15" hidden="1" customWidth="1"/>
    <col min="69" max="75" width="9.140625" style="15" hidden="1" customWidth="1"/>
    <col min="76" max="76" width="10.7109375" style="15" hidden="1" customWidth="1"/>
    <col min="77" max="77" width="9.28515625" style="15" hidden="1" customWidth="1"/>
    <col min="78" max="78" width="0.5703125" style="15" hidden="1" customWidth="1"/>
    <col min="79" max="79" width="8.42578125" style="15" hidden="1" customWidth="1"/>
    <col min="80" max="80" width="10.85546875" style="15" hidden="1" customWidth="1"/>
    <col min="81" max="81" width="12.28515625" style="15" hidden="1" customWidth="1"/>
    <col min="82" max="82" width="8.42578125" style="15" hidden="1" customWidth="1"/>
    <col min="83" max="83" width="10.140625" style="15" hidden="1" customWidth="1"/>
    <col min="84" max="84" width="11.7109375" style="15" hidden="1" customWidth="1"/>
    <col min="85" max="86" width="9.140625" style="15" hidden="1" customWidth="1"/>
    <col min="87" max="87" width="12.28515625" style="15" hidden="1" customWidth="1"/>
    <col min="88" max="88" width="9.140625" style="15" hidden="1" customWidth="1"/>
    <col min="89" max="98" width="9.140625" style="15" customWidth="1"/>
    <col min="99" max="16384" width="9.140625" style="15"/>
  </cols>
  <sheetData>
    <row r="1" spans="2:86" ht="48" customHeight="1" x14ac:dyDescent="0.3">
      <c r="E1" s="504" t="s">
        <v>413</v>
      </c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H1" s="15">
        <f t="shared" ref="CH1:CH39" si="0">CG1</f>
        <v>0</v>
      </c>
    </row>
    <row r="2" spans="2:86" ht="19.5" customHeight="1" thickBot="1" x14ac:dyDescent="0.35">
      <c r="G2" s="415" t="s">
        <v>355</v>
      </c>
      <c r="H2" s="415"/>
      <c r="I2" s="371"/>
      <c r="J2" s="111" t="str">
        <f>'साठा नोंदवही'!F5</f>
        <v>मुगडाळ</v>
      </c>
      <c r="K2" s="111" t="str">
        <f>'साठा नोंदवही'!G5</f>
        <v>तुरडाळ</v>
      </c>
      <c r="L2" s="111" t="str">
        <f>'साठा नोंदवही'!H5</f>
        <v>मसूरडाळ</v>
      </c>
      <c r="M2" s="111" t="str">
        <f>'साठा नोंदवही'!I5</f>
        <v>मटकी</v>
      </c>
      <c r="N2" s="111" t="str">
        <f>'साठा नोंदवही'!J5</f>
        <v>मुग</v>
      </c>
      <c r="O2" s="111" t="str">
        <f>'साठा नोंदवही'!K5</f>
        <v>चवळी</v>
      </c>
      <c r="P2" s="111" t="str">
        <f>'साठा नोंदवही'!L5</f>
        <v>हरभरा</v>
      </c>
      <c r="Q2" s="111" t="str">
        <f>'साठा नोंदवही'!M5</f>
        <v>वाटाणा</v>
      </c>
      <c r="T2" s="111" t="str">
        <f>'शाळा माहिती'!D33</f>
        <v>शनिवार</v>
      </c>
      <c r="U2" s="111" t="str">
        <f>'दैनिक माहिती'!D480</f>
        <v>सुट्टी</v>
      </c>
      <c r="BF2" s="191"/>
      <c r="BG2" s="191"/>
      <c r="BH2" s="191"/>
      <c r="BI2" s="191"/>
      <c r="BJ2" s="191"/>
      <c r="BK2" s="191"/>
      <c r="BL2" s="301" t="str">
        <f>G2</f>
        <v>वाटप</v>
      </c>
      <c r="BM2" s="1226"/>
      <c r="BN2" s="1226"/>
      <c r="BO2" s="301" t="str">
        <f t="shared" ref="BO2:BV2" si="1">J2</f>
        <v>मुगडाळ</v>
      </c>
      <c r="BP2" s="301" t="str">
        <f t="shared" si="1"/>
        <v>तुरडाळ</v>
      </c>
      <c r="BQ2" s="301" t="str">
        <f t="shared" si="1"/>
        <v>मसूरडाळ</v>
      </c>
      <c r="BR2" s="301" t="str">
        <f t="shared" si="1"/>
        <v>मटकी</v>
      </c>
      <c r="BS2" s="301" t="str">
        <f t="shared" si="1"/>
        <v>मुग</v>
      </c>
      <c r="BT2" s="301" t="str">
        <f t="shared" si="1"/>
        <v>चवळी</v>
      </c>
      <c r="BU2" s="301" t="str">
        <f t="shared" si="1"/>
        <v>हरभरा</v>
      </c>
      <c r="BV2" s="301" t="str">
        <f t="shared" si="1"/>
        <v>वाटाणा</v>
      </c>
      <c r="BW2" s="1226"/>
      <c r="BX2" s="1226"/>
      <c r="BY2" s="301" t="str">
        <f>T2</f>
        <v>शनिवार</v>
      </c>
      <c r="BZ2" s="301" t="str">
        <f>U2</f>
        <v>सुट्टी</v>
      </c>
      <c r="CA2" s="1226"/>
      <c r="CB2" s="1226"/>
      <c r="CC2" s="1226"/>
      <c r="CD2" s="191"/>
      <c r="CE2" s="191"/>
      <c r="CF2" s="191"/>
      <c r="CH2" s="15">
        <f t="shared" si="0"/>
        <v>0</v>
      </c>
    </row>
    <row r="3" spans="2:86" ht="29.25" customHeight="1" thickBot="1" x14ac:dyDescent="0.55000000000000004">
      <c r="B3" s="505" t="s">
        <v>307</v>
      </c>
      <c r="C3" s="523" t="s">
        <v>38</v>
      </c>
      <c r="D3" s="523">
        <v>2022</v>
      </c>
      <c r="E3" s="112" t="str">
        <f>'शाळा माहिती'!C17</f>
        <v>1 ते 5</v>
      </c>
      <c r="F3" s="1703" t="s">
        <v>302</v>
      </c>
      <c r="G3" s="1704"/>
      <c r="H3" s="1704"/>
      <c r="I3" s="1704"/>
      <c r="J3" s="1704"/>
      <c r="K3" s="1704"/>
      <c r="L3" s="1704"/>
      <c r="M3" s="1704"/>
      <c r="N3" s="1704"/>
      <c r="O3" s="1704"/>
      <c r="P3" s="1704"/>
      <c r="Q3" s="1704"/>
      <c r="R3" s="1704"/>
      <c r="S3" s="1704"/>
      <c r="T3" s="1704"/>
      <c r="U3" s="1704"/>
      <c r="V3" s="1704"/>
      <c r="W3" s="1704"/>
      <c r="X3" s="506" t="s">
        <v>362</v>
      </c>
      <c r="Y3" s="1705" t="str">
        <f>'शाळा माहिती'!C17</f>
        <v>1 ते 5</v>
      </c>
      <c r="Z3" s="1706"/>
      <c r="AA3" s="1707"/>
      <c r="BF3" s="191"/>
      <c r="BG3" s="1236" t="s">
        <v>307</v>
      </c>
      <c r="BH3" s="1237" t="str">
        <f>'सोयाबीन,पूरक आ. पावती 1 ते 5'!L2</f>
        <v>नोव्हेंबर</v>
      </c>
      <c r="BI3" s="1237">
        <f>D3</f>
        <v>2022</v>
      </c>
      <c r="BJ3" s="1238" t="str">
        <f>'शाळा माहिती'!C17</f>
        <v>1 ते 5</v>
      </c>
      <c r="BK3" s="1729" t="s">
        <v>302</v>
      </c>
      <c r="BL3" s="1729"/>
      <c r="BM3" s="1729"/>
      <c r="BN3" s="1729"/>
      <c r="BO3" s="1729"/>
      <c r="BP3" s="1729"/>
      <c r="BQ3" s="1729"/>
      <c r="BR3" s="1729"/>
      <c r="BS3" s="1729"/>
      <c r="BT3" s="1729"/>
      <c r="BU3" s="1729"/>
      <c r="BV3" s="1729"/>
      <c r="BW3" s="1729"/>
      <c r="BX3" s="1729"/>
      <c r="BY3" s="1729"/>
      <c r="BZ3" s="1729"/>
      <c r="CA3" s="1729"/>
      <c r="CB3" s="1729"/>
      <c r="CC3" s="1239" t="s">
        <v>362</v>
      </c>
      <c r="CD3" s="1730" t="str">
        <f>Y3</f>
        <v>1 ते 5</v>
      </c>
      <c r="CE3" s="1730"/>
      <c r="CF3" s="1730"/>
      <c r="CG3" s="191"/>
      <c r="CH3" s="191">
        <f t="shared" si="0"/>
        <v>0</v>
      </c>
    </row>
    <row r="4" spans="2:86" ht="26.25" customHeight="1" x14ac:dyDescent="0.3">
      <c r="B4" s="1710" t="s">
        <v>303</v>
      </c>
      <c r="C4" s="1711"/>
      <c r="D4" s="1700" t="str">
        <f>'शाळा माहिती'!D4</f>
        <v>जि.प.प्रा.शा.बोरजाई वस्ती</v>
      </c>
      <c r="E4" s="1701"/>
      <c r="F4" s="1701"/>
      <c r="G4" s="1701"/>
      <c r="H4" s="1701"/>
      <c r="I4" s="1702"/>
      <c r="J4" s="1715" t="s">
        <v>61</v>
      </c>
      <c r="K4" s="1716"/>
      <c r="L4" s="1716"/>
      <c r="M4" s="1716"/>
      <c r="N4" s="1716"/>
      <c r="O4" s="1716"/>
      <c r="P4" s="1716"/>
      <c r="Q4" s="1716"/>
      <c r="R4" s="1716"/>
      <c r="S4" s="1717"/>
      <c r="T4" s="1712" t="s">
        <v>304</v>
      </c>
      <c r="U4" s="1713"/>
      <c r="V4" s="1713"/>
      <c r="W4" s="1713"/>
      <c r="X4" s="1714"/>
      <c r="Y4" s="1718" t="s">
        <v>343</v>
      </c>
      <c r="Z4" s="1723" t="s">
        <v>731</v>
      </c>
      <c r="AA4" s="1698" t="s">
        <v>342</v>
      </c>
      <c r="BF4" s="191"/>
      <c r="BG4" s="1727" t="s">
        <v>303</v>
      </c>
      <c r="BH4" s="1727"/>
      <c r="BI4" s="1731"/>
      <c r="BJ4" s="1731"/>
      <c r="BK4" s="1731"/>
      <c r="BL4" s="1731"/>
      <c r="BM4" s="1731"/>
      <c r="BN4" s="1731"/>
      <c r="BO4" s="1732" t="s">
        <v>61</v>
      </c>
      <c r="BP4" s="1732"/>
      <c r="BQ4" s="1732"/>
      <c r="BR4" s="1732"/>
      <c r="BS4" s="1732"/>
      <c r="BT4" s="1732"/>
      <c r="BU4" s="1732"/>
      <c r="BV4" s="1732"/>
      <c r="BW4" s="1732"/>
      <c r="BX4" s="1732"/>
      <c r="BY4" s="1733" t="s">
        <v>304</v>
      </c>
      <c r="BZ4" s="1733"/>
      <c r="CA4" s="1733"/>
      <c r="CB4" s="1733"/>
      <c r="CC4" s="1733"/>
      <c r="CD4" s="1727" t="s">
        <v>343</v>
      </c>
      <c r="CE4" s="1734" t="s">
        <v>731</v>
      </c>
      <c r="CF4" s="1727" t="s">
        <v>342</v>
      </c>
      <c r="CG4" s="191"/>
      <c r="CH4" s="191">
        <f t="shared" si="0"/>
        <v>0</v>
      </c>
    </row>
    <row r="5" spans="2:86" ht="68.25" customHeight="1" x14ac:dyDescent="0.3">
      <c r="B5" s="507" t="s">
        <v>86</v>
      </c>
      <c r="C5" s="508" t="s">
        <v>305</v>
      </c>
      <c r="D5" s="509" t="s">
        <v>18</v>
      </c>
      <c r="E5" s="508" t="s">
        <v>32</v>
      </c>
      <c r="F5" s="510" t="s">
        <v>360</v>
      </c>
      <c r="G5" s="510" t="s">
        <v>99</v>
      </c>
      <c r="H5" s="511" t="s">
        <v>19</v>
      </c>
      <c r="I5" s="510" t="s">
        <v>338</v>
      </c>
      <c r="J5" s="113" t="str">
        <f>' प्रमाण निश्चिती '!AC7</f>
        <v xml:space="preserve">बटाटा </v>
      </c>
      <c r="K5" s="113" t="str">
        <f>' प्रमाण निश्चिती '!AD7</f>
        <v xml:space="preserve">फ्लावर </v>
      </c>
      <c r="L5" s="113" t="str">
        <f>' प्रमाण निश्चिती '!AE7</f>
        <v>गाजर</v>
      </c>
      <c r="M5" s="114" t="str">
        <f>' प्रमाण निश्चिती '!AF7</f>
        <v xml:space="preserve">हिरवी मिरची </v>
      </c>
      <c r="N5" s="113" t="str">
        <f>' प्रमाण निश्चिती '!AG7</f>
        <v xml:space="preserve">टमाटर </v>
      </c>
      <c r="O5" s="113" t="str">
        <f>' प्रमाण निश्चिती '!AH7</f>
        <v xml:space="preserve">कोथिंबीर </v>
      </c>
      <c r="P5" s="113" t="str">
        <f>' प्रमाण निश्चिती '!AI7</f>
        <v xml:space="preserve">कढीपत्ता </v>
      </c>
      <c r="Q5" s="113" t="str">
        <f>' प्रमाण निश्चिती '!AJ7</f>
        <v xml:space="preserve">कांदा </v>
      </c>
      <c r="R5" s="113" t="str">
        <f>' प्रमाण निश्चिती '!AK7</f>
        <v>इतर</v>
      </c>
      <c r="S5" s="512" t="s">
        <v>341</v>
      </c>
      <c r="T5" s="115" t="str">
        <f>' प्रमाण निश्चिती '!AL7</f>
        <v>केळी</v>
      </c>
      <c r="U5" s="115" t="str">
        <f>' प्रमाण निश्चिती '!AM7</f>
        <v>खारीक</v>
      </c>
      <c r="V5" s="115" t="str">
        <f>' प्रमाण निश्चिती '!AN7</f>
        <v>गूळ शेंगदाणे</v>
      </c>
      <c r="W5" s="115" t="str">
        <f>' प्रमाण निश्चिती '!AO7</f>
        <v>राजगिरा लाडू</v>
      </c>
      <c r="X5" s="513" t="s">
        <v>306</v>
      </c>
      <c r="Y5" s="1719"/>
      <c r="Z5" s="1724"/>
      <c r="AA5" s="1699"/>
      <c r="BF5" s="191"/>
      <c r="BG5" s="1240" t="s">
        <v>86</v>
      </c>
      <c r="BH5" s="1240" t="s">
        <v>305</v>
      </c>
      <c r="BI5" s="1240" t="s">
        <v>18</v>
      </c>
      <c r="BJ5" s="1240" t="s">
        <v>32</v>
      </c>
      <c r="BK5" s="1240" t="s">
        <v>360</v>
      </c>
      <c r="BL5" s="1240" t="s">
        <v>99</v>
      </c>
      <c r="BM5" s="1240" t="s">
        <v>19</v>
      </c>
      <c r="BN5" s="1240" t="s">
        <v>338</v>
      </c>
      <c r="BO5" s="1241" t="str">
        <f t="shared" ref="BO5:BW6" si="2">J5</f>
        <v xml:space="preserve">बटाटा </v>
      </c>
      <c r="BP5" s="1241" t="str">
        <f t="shared" si="2"/>
        <v xml:space="preserve">फ्लावर </v>
      </c>
      <c r="BQ5" s="1241" t="str">
        <f t="shared" si="2"/>
        <v>गाजर</v>
      </c>
      <c r="BR5" s="101" t="str">
        <f t="shared" si="2"/>
        <v xml:space="preserve">हिरवी मिरची </v>
      </c>
      <c r="BS5" s="1241" t="str">
        <f t="shared" si="2"/>
        <v xml:space="preserve">टमाटर </v>
      </c>
      <c r="BT5" s="1241" t="str">
        <f t="shared" si="2"/>
        <v xml:space="preserve">कोथिंबीर </v>
      </c>
      <c r="BU5" s="1241" t="str">
        <f t="shared" si="2"/>
        <v xml:space="preserve">कढीपत्ता </v>
      </c>
      <c r="BV5" s="1241" t="str">
        <f t="shared" si="2"/>
        <v xml:space="preserve">कांदा </v>
      </c>
      <c r="BW5" s="1241" t="str">
        <f t="shared" si="2"/>
        <v>इतर</v>
      </c>
      <c r="BX5" s="1242" t="s">
        <v>341</v>
      </c>
      <c r="BY5" s="101" t="s">
        <v>56</v>
      </c>
      <c r="BZ5" s="101" t="s">
        <v>57</v>
      </c>
      <c r="CA5" s="101" t="s">
        <v>58</v>
      </c>
      <c r="CB5" s="101" t="s">
        <v>59</v>
      </c>
      <c r="CC5" s="1240" t="s">
        <v>306</v>
      </c>
      <c r="CD5" s="1727"/>
      <c r="CE5" s="1735"/>
      <c r="CF5" s="1727"/>
      <c r="CG5" s="191"/>
      <c r="CH5" s="191">
        <f t="shared" si="0"/>
        <v>0</v>
      </c>
    </row>
    <row r="6" spans="2:86" ht="26.25" customHeight="1" x14ac:dyDescent="0.35">
      <c r="B6" s="1230"/>
      <c r="C6" s="515"/>
      <c r="D6" s="515"/>
      <c r="E6" s="1720" t="s">
        <v>344</v>
      </c>
      <c r="F6" s="1721"/>
      <c r="G6" s="1721"/>
      <c r="H6" s="1721"/>
      <c r="I6" s="1722"/>
      <c r="J6" s="1229">
        <f>VLOOKUP(C3,' प्रमाण निश्चिती '!B9:AO20,28,0)</f>
        <v>0.2</v>
      </c>
      <c r="K6" s="1229">
        <f>VLOOKUP(C3,' प्रमाण निश्चिती '!B9:AO20,29,0)</f>
        <v>0.2</v>
      </c>
      <c r="L6" s="1229">
        <f>VLOOKUP(C3,' प्रमाण निश्चिती '!B9:AO20,30,0)</f>
        <v>0.2</v>
      </c>
      <c r="M6" s="1229">
        <f>VLOOKUP(C3,' प्रमाण निश्चिती '!B9:AO20,31,0)</f>
        <v>0.12</v>
      </c>
      <c r="N6" s="1229">
        <f>VLOOKUP(C3,' प्रमाण निश्चिती '!B9:AO20,32,0)</f>
        <v>0.12</v>
      </c>
      <c r="O6" s="1229">
        <f>VLOOKUP(C3,' प्रमाण निश्चिती '!B9:AO20,33,0)</f>
        <v>0.1</v>
      </c>
      <c r="P6" s="1229">
        <f>VLOOKUP(C3,' प्रमाण निश्चिती '!B9:AO20,34,0)</f>
        <v>0.06</v>
      </c>
      <c r="Q6" s="1229">
        <f>VLOOKUP(C3,' प्रमाण निश्चिती '!B9:AO20,35,0)</f>
        <v>0.12</v>
      </c>
      <c r="R6" s="1229">
        <f>VLOOKUP(C3,' प्रमाण निश्चिती '!B9:AO20,36,0)</f>
        <v>0</v>
      </c>
      <c r="S6" s="1229">
        <f>VLOOKUP(C3,' प्रमाण निश्चिती '!B9:AO20,20,0)</f>
        <v>0.71</v>
      </c>
      <c r="T6" s="516">
        <v>0</v>
      </c>
      <c r="U6" s="516">
        <v>0</v>
      </c>
      <c r="V6" s="516">
        <v>0</v>
      </c>
      <c r="W6" s="516">
        <v>0</v>
      </c>
      <c r="X6" s="117">
        <f>VLOOKUP(C3,' प्रमाण निश्चिती '!B9:AO20,22,0)</f>
        <v>0.57999999999999996</v>
      </c>
      <c r="Y6" s="118">
        <f>VLOOKUP(C3,' प्रमाण निश्चिती '!B9:AO20,21,0)</f>
        <v>0.79</v>
      </c>
      <c r="Z6" s="1148">
        <f>VLOOKUP(C3,' प्रमाण निश्चिती '!B9:AO20,23,0)</f>
        <v>0.79</v>
      </c>
      <c r="AA6" s="119">
        <f>VLOOKUP(C3,' प्रमाण निश्चिती '!B9:AO20,24,0)</f>
        <v>2.87</v>
      </c>
      <c r="BF6" s="191"/>
      <c r="BG6" s="1243"/>
      <c r="BH6" s="1244"/>
      <c r="BI6" s="1244"/>
      <c r="BJ6" s="1727" t="s">
        <v>344</v>
      </c>
      <c r="BK6" s="1727"/>
      <c r="BL6" s="1727"/>
      <c r="BM6" s="1727"/>
      <c r="BN6" s="1727"/>
      <c r="BO6" s="1245">
        <f t="shared" si="2"/>
        <v>0.2</v>
      </c>
      <c r="BP6" s="1245">
        <f t="shared" si="2"/>
        <v>0.2</v>
      </c>
      <c r="BQ6" s="1245">
        <f t="shared" si="2"/>
        <v>0.2</v>
      </c>
      <c r="BR6" s="1245">
        <f t="shared" si="2"/>
        <v>0.12</v>
      </c>
      <c r="BS6" s="1245">
        <f t="shared" si="2"/>
        <v>0.12</v>
      </c>
      <c r="BT6" s="1245">
        <f t="shared" si="2"/>
        <v>0.1</v>
      </c>
      <c r="BU6" s="1245">
        <f t="shared" si="2"/>
        <v>0.06</v>
      </c>
      <c r="BV6" s="1245">
        <f t="shared" si="2"/>
        <v>0.12</v>
      </c>
      <c r="BW6" s="1245">
        <f t="shared" si="2"/>
        <v>0</v>
      </c>
      <c r="BX6" s="1245">
        <f t="shared" ref="BX6:CC6" si="3">S6</f>
        <v>0.71</v>
      </c>
      <c r="BY6" s="1245">
        <f t="shared" si="3"/>
        <v>0</v>
      </c>
      <c r="BZ6" s="1245">
        <f t="shared" si="3"/>
        <v>0</v>
      </c>
      <c r="CA6" s="1245">
        <f t="shared" si="3"/>
        <v>0</v>
      </c>
      <c r="CB6" s="1245">
        <f t="shared" si="3"/>
        <v>0</v>
      </c>
      <c r="CC6" s="1245">
        <f t="shared" si="3"/>
        <v>0.57999999999999996</v>
      </c>
      <c r="CD6" s="1245">
        <f>Y6</f>
        <v>0.79</v>
      </c>
      <c r="CE6" s="1245">
        <f>Z6</f>
        <v>0.79</v>
      </c>
      <c r="CF6" s="1245">
        <f t="shared" ref="CF6" si="4">AA6</f>
        <v>2.87</v>
      </c>
      <c r="CG6" s="191"/>
      <c r="CH6" s="191">
        <f t="shared" si="0"/>
        <v>0</v>
      </c>
    </row>
    <row r="7" spans="2:86" ht="26.25" customHeight="1" x14ac:dyDescent="0.3">
      <c r="B7" s="1231">
        <v>1</v>
      </c>
      <c r="C7" s="1232">
        <f>DATE($D$3,INDEX({4,5,6,7,8,9,10,11,12,1,2,3},MATCH($C$3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D7" s="124" t="str">
        <f>IF(C7="","",INDEX({"रविवार";"सोमवार";"मंगळवार";"बुधवार";"गुरूवार";"शुक्रवार";"शनिवार"},WEEKDAY(C7)))</f>
        <v>मंगळवार</v>
      </c>
      <c r="E7" s="125">
        <f>HLOOKUP(C3,'दैनिक माहिती'!BF120:BQ151,2,0)</f>
        <v>0</v>
      </c>
      <c r="F7" s="126">
        <f>HLOOKUP(C3,'दैनिक माहिती'!BF338:BQ369,2,0)</f>
        <v>0</v>
      </c>
      <c r="G7" s="126">
        <f>IF(AND(D7=$T$2,I7&gt;0),$G$2,0)</f>
        <v>0</v>
      </c>
      <c r="H7" s="126">
        <f>HLOOKUP(C3,'दैनिक माहिती'!BF46:BQ78,2,0)</f>
        <v>0</v>
      </c>
      <c r="I7" s="126">
        <f>HLOOKUP(C3,'दैनिक माहिती'!BF83:BQ115,2,0)</f>
        <v>0</v>
      </c>
      <c r="J7" s="127">
        <f>IF(E7=$J$2,$J$6*I7,IF(E7=$K$2,$J$6*I7,IF(E7=$Q$2,$J$6*I7,0)))</f>
        <v>0</v>
      </c>
      <c r="K7" s="128">
        <f>IF(E7=$L$2,$K$6*I7,IF(E7=$M$2,$K$6*I7,IF(E7=$N$2,$K$6*I7,0)))</f>
        <v>0</v>
      </c>
      <c r="L7" s="128">
        <f>IF(E7=$O$2,$L$6*I7,IF(E7=$P$2,$L$6*I7,0))</f>
        <v>0</v>
      </c>
      <c r="M7" s="128">
        <f>$M$6*I7</f>
        <v>0</v>
      </c>
      <c r="N7" s="128">
        <f>$N$6*I7</f>
        <v>0</v>
      </c>
      <c r="O7" s="128">
        <f>$O$6*I7</f>
        <v>0</v>
      </c>
      <c r="P7" s="128">
        <f>$P$6*I7</f>
        <v>0</v>
      </c>
      <c r="Q7" s="128">
        <f>$Q$6*I7</f>
        <v>0</v>
      </c>
      <c r="R7" s="128">
        <f>$R$6*I7</f>
        <v>0</v>
      </c>
      <c r="S7" s="129">
        <f>SUM(J7:R7)</f>
        <v>0</v>
      </c>
      <c r="T7" s="130">
        <f>IF(G7=$G$2,$X$43/$G$38,0)</f>
        <v>0</v>
      </c>
      <c r="U7" s="518">
        <v>0</v>
      </c>
      <c r="V7" s="518">
        <v>0</v>
      </c>
      <c r="W7" s="518">
        <v>0</v>
      </c>
      <c r="X7" s="120">
        <f>SUM(T7:W7)</f>
        <v>0</v>
      </c>
      <c r="Y7" s="121">
        <f>(I7*$Y$6)</f>
        <v>0</v>
      </c>
      <c r="Z7" s="1149">
        <f>I7*$Z$6</f>
        <v>0</v>
      </c>
      <c r="AA7" s="122">
        <f>(S7+X7+Y7+Z7)</f>
        <v>0</v>
      </c>
      <c r="BF7" s="191"/>
      <c r="BG7" s="1246">
        <v>1</v>
      </c>
      <c r="BH7" s="1247">
        <f>DATE(BI3,INDEX({4,5,6,7,8,9,10,11,12,1,2,3},MATCH(BH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BI7" s="1248" t="str">
        <f>IF(BH7="","",INDEX({"रविवार";"सोमवार";"मंगळवार";"बुधवार";"गुरूवार";"शुक्रवार";"शनिवार"},WEEKDAY(BH7)))</f>
        <v>मंगळवार</v>
      </c>
      <c r="BJ7" s="1249">
        <f>HLOOKUP(BH3,'दैनिक माहिती'!BF120:BQ151,2,0)</f>
        <v>0</v>
      </c>
      <c r="BK7" s="1250"/>
      <c r="BL7" s="1251">
        <f>IF(AND(BI7=$BY$2,BN7&gt;0),$BL$2,0)</f>
        <v>0</v>
      </c>
      <c r="BM7" s="1250"/>
      <c r="BN7" s="1251">
        <f>HLOOKUP(BH3,'दैनिक माहिती'!BF83:BQ115,2,0)</f>
        <v>0</v>
      </c>
      <c r="BO7" s="1252">
        <f>IF(BJ7=$J$2,$J$6*BN7,IF(BJ7=$K$2,$J$6*BN7,IF(BJ7=$Q$2,$J$6*BN7,0)))</f>
        <v>0</v>
      </c>
      <c r="BP7" s="1253">
        <f>IF(BJ7=$L$2,$K$6*BN7,IF(BJ7=$M$2,$K$6*BN7,IF(BJ7=$N$2,$K$6*BN7,0)))</f>
        <v>0</v>
      </c>
      <c r="BQ7" s="1253">
        <f>IF(BJ7=$O$2,$L$6*BN7,IF(BJ7=$P$2,$L$6*BN7,0))</f>
        <v>0</v>
      </c>
      <c r="BR7" s="1253">
        <f>$M$6*BN7</f>
        <v>0</v>
      </c>
      <c r="BS7" s="1253">
        <f>$N$6*BN7</f>
        <v>0</v>
      </c>
      <c r="BT7" s="1253">
        <f>$O$6*BN7</f>
        <v>0</v>
      </c>
      <c r="BU7" s="1253">
        <f>$P$6*BN7</f>
        <v>0</v>
      </c>
      <c r="BV7" s="1253">
        <f>$Q$6*BN7</f>
        <v>0</v>
      </c>
      <c r="BW7" s="1253">
        <f>$R$6*BN7</f>
        <v>0</v>
      </c>
      <c r="BX7" s="1253">
        <f>SUM(BO7:BW7)</f>
        <v>0</v>
      </c>
      <c r="BY7" s="1253">
        <f>IF(BL7=$G$2,$CC$39/$BL$38,0)</f>
        <v>0</v>
      </c>
      <c r="BZ7" s="1254">
        <v>0</v>
      </c>
      <c r="CA7" s="1254">
        <v>0</v>
      </c>
      <c r="CB7" s="1254">
        <v>0</v>
      </c>
      <c r="CC7" s="1253">
        <f>SUM(BY7:CB7)</f>
        <v>0</v>
      </c>
      <c r="CD7" s="1253">
        <f>(BN7*$Y$6)</f>
        <v>0</v>
      </c>
      <c r="CE7" s="1257">
        <f>BN7*$CE$6</f>
        <v>0</v>
      </c>
      <c r="CF7" s="1253">
        <f>(BX7+CC7+CD7)</f>
        <v>0</v>
      </c>
      <c r="CG7" s="191"/>
      <c r="CH7" s="191">
        <f t="shared" si="0"/>
        <v>0</v>
      </c>
    </row>
    <row r="8" spans="2:86" ht="26.25" customHeight="1" x14ac:dyDescent="0.3">
      <c r="B8" s="1231">
        <v>2</v>
      </c>
      <c r="C8" s="1232">
        <f>C7+1</f>
        <v>44867</v>
      </c>
      <c r="D8" s="124" t="str">
        <f>IF(C8="","",INDEX({"रविवार";"सोमवार";"मंगळवार";"बुधवार";"गुरूवार";"शुक्रवार";"शनिवार"},WEEKDAY(C8)))</f>
        <v>बुधवार</v>
      </c>
      <c r="E8" s="125">
        <f>HLOOKUP(C3,'दैनिक माहिती'!BF120:BQ151,3,0)</f>
        <v>0</v>
      </c>
      <c r="F8" s="131">
        <f>HLOOKUP(C3,'दैनिक माहिती'!BF338:BQ369,3,0)</f>
        <v>0</v>
      </c>
      <c r="G8" s="126">
        <f t="shared" ref="G8:G37" si="5">IF(AND(D8=$T$2,I8&gt;0),$G$2,0)</f>
        <v>0</v>
      </c>
      <c r="H8" s="131">
        <f>HLOOKUP(C3,'दैनिक माहिती'!BF46:BQ78,3,0)</f>
        <v>0</v>
      </c>
      <c r="I8" s="131">
        <f>HLOOKUP(C3,'दैनिक माहिती'!BF83:BQ115,3,0)</f>
        <v>0</v>
      </c>
      <c r="J8" s="127">
        <f t="shared" ref="J8:J37" si="6">IF(E8=$J$2,$J$6*I8,IF(E8=$K$2,$J$6*I8,IF(E8=$Q$2,$J$6*I8,0)))</f>
        <v>0</v>
      </c>
      <c r="K8" s="128">
        <f t="shared" ref="K8:K37" si="7">IF(E8=$L$2,$K$6*I8,IF(E8=$M$2,$K$6*I8,IF(E8=$N$2,$K$6*I8,0)))</f>
        <v>0</v>
      </c>
      <c r="L8" s="128">
        <f t="shared" ref="L8:L37" si="8">IF(E8=$O$2,$L$6*I8,IF(E8=$P$2,$L$6*I8,0))</f>
        <v>0</v>
      </c>
      <c r="M8" s="128">
        <f t="shared" ref="M8:M37" si="9">$M$6*I8</f>
        <v>0</v>
      </c>
      <c r="N8" s="128">
        <f t="shared" ref="N8:N37" si="10">$N$6*I8</f>
        <v>0</v>
      </c>
      <c r="O8" s="128">
        <f t="shared" ref="O8:O37" si="11">$O$6*I8</f>
        <v>0</v>
      </c>
      <c r="P8" s="128">
        <f>$P$6*I8</f>
        <v>0</v>
      </c>
      <c r="Q8" s="128">
        <f t="shared" ref="Q8:Q37" si="12">$Q$6*I8</f>
        <v>0</v>
      </c>
      <c r="R8" s="128">
        <f t="shared" ref="R8:R37" si="13">$R$6*I8</f>
        <v>0</v>
      </c>
      <c r="S8" s="129">
        <f t="shared" ref="S8:S37" si="14">SUM(J8:R8)</f>
        <v>0</v>
      </c>
      <c r="T8" s="130">
        <f t="shared" ref="T8:T14" si="15">IF(G8=$G$2,$X$43/$G$38,0)</f>
        <v>0</v>
      </c>
      <c r="U8" s="518">
        <v>0</v>
      </c>
      <c r="V8" s="518">
        <v>0</v>
      </c>
      <c r="W8" s="518">
        <v>0</v>
      </c>
      <c r="X8" s="120">
        <f t="shared" ref="X8:X37" si="16">SUM(T8:W8)</f>
        <v>0</v>
      </c>
      <c r="Y8" s="121">
        <f t="shared" ref="Y8:Y36" si="17">(I8*$Y$6)</f>
        <v>0</v>
      </c>
      <c r="Z8" s="1149">
        <f t="shared" ref="Z8:Z38" si="18">I8*$Z$6</f>
        <v>0</v>
      </c>
      <c r="AA8" s="122">
        <f t="shared" ref="AA8:AA37" si="19">(S8+X8+Y8+Z8)</f>
        <v>0</v>
      </c>
      <c r="BF8" s="191"/>
      <c r="BG8" s="1246">
        <v>2</v>
      </c>
      <c r="BH8" s="1247">
        <f>BH7+1</f>
        <v>44867</v>
      </c>
      <c r="BI8" s="1248" t="str">
        <f>IF(BH8="","",INDEX({"रविवार";"सोमवार";"मंगळवार";"बुधवार";"गुरूवार";"शुक्रवार";"शनिवार"},WEEKDAY(BH8)))</f>
        <v>बुधवार</v>
      </c>
      <c r="BJ8" s="1249">
        <f>HLOOKUP(BH3,'दैनिक माहिती'!BF120:BQ151,3,0)</f>
        <v>0</v>
      </c>
      <c r="BK8" s="1250"/>
      <c r="BL8" s="1251">
        <f t="shared" ref="BL8:BL37" si="20">IF(AND(BI8=$BY$2,BN8&gt;0),$BL$2,0)</f>
        <v>0</v>
      </c>
      <c r="BM8" s="1250"/>
      <c r="BN8" s="1251">
        <f>HLOOKUP(BH3,'दैनिक माहिती'!BF83:BQ115,3,0)</f>
        <v>0</v>
      </c>
      <c r="BO8" s="1252">
        <f t="shared" ref="BO8:BO37" si="21">IF(BJ8=$J$2,$J$6*BN8,IF(BJ8=$K$2,$J$6*BN8,IF(BJ8=$Q$2,$J$6*BN8,0)))</f>
        <v>0</v>
      </c>
      <c r="BP8" s="1253">
        <f t="shared" ref="BP8:BP37" si="22">IF(BJ8=$L$2,$K$6*BN8,IF(BJ8=$M$2,$K$6*BN8,IF(BJ8=$N$2,$K$6*BN8,0)))</f>
        <v>0</v>
      </c>
      <c r="BQ8" s="1253">
        <f t="shared" ref="BQ8:BQ37" si="23">IF(BJ8=$O$2,$L$6*BN8,IF(BJ8=$P$2,$L$6*BN8,0))</f>
        <v>0</v>
      </c>
      <c r="BR8" s="1253">
        <f t="shared" ref="BR8:BR37" si="24">$M$6*BN8</f>
        <v>0</v>
      </c>
      <c r="BS8" s="1253">
        <f t="shared" ref="BS8:BS37" si="25">$N$6*BN8</f>
        <v>0</v>
      </c>
      <c r="BT8" s="1253">
        <f t="shared" ref="BT8:BT37" si="26">$O$6*BN8</f>
        <v>0</v>
      </c>
      <c r="BU8" s="1253">
        <f>$P$6*BN8</f>
        <v>0</v>
      </c>
      <c r="BV8" s="1253">
        <f t="shared" ref="BV8:BV37" si="27">$Q$6*BN8</f>
        <v>0</v>
      </c>
      <c r="BW8" s="1253">
        <f t="shared" ref="BW8:BW37" si="28">$R$6*BN8</f>
        <v>0</v>
      </c>
      <c r="BX8" s="1253">
        <f t="shared" ref="BX8:BX37" si="29">SUM(BO8:BW8)</f>
        <v>0</v>
      </c>
      <c r="BY8" s="1253">
        <f t="shared" ref="BY8:BY14" si="30">IF(BL8=$G$2,$CC$39/$BL$38,0)</f>
        <v>0</v>
      </c>
      <c r="BZ8" s="1254">
        <v>0</v>
      </c>
      <c r="CA8" s="1254">
        <v>0</v>
      </c>
      <c r="CB8" s="1254">
        <v>0</v>
      </c>
      <c r="CC8" s="1253">
        <f t="shared" ref="CC8:CC37" si="31">SUM(BY8:CB8)</f>
        <v>0</v>
      </c>
      <c r="CD8" s="1253">
        <f t="shared" ref="CD8:CD37" si="32">(BN8*$Y$6)</f>
        <v>0</v>
      </c>
      <c r="CE8" s="1257">
        <f t="shared" ref="CE8:CE38" si="33">BN8*$CE$6</f>
        <v>0</v>
      </c>
      <c r="CF8" s="1253">
        <f t="shared" ref="CF8:CF37" si="34">(BX8+CC8+CD8)</f>
        <v>0</v>
      </c>
      <c r="CG8" s="191"/>
      <c r="CH8" s="191">
        <f t="shared" si="0"/>
        <v>0</v>
      </c>
    </row>
    <row r="9" spans="2:86" ht="26.25" customHeight="1" x14ac:dyDescent="0.3">
      <c r="B9" s="1231">
        <v>3</v>
      </c>
      <c r="C9" s="1232">
        <f t="shared" ref="C9:C37" si="35">C8+1</f>
        <v>44868</v>
      </c>
      <c r="D9" s="124" t="str">
        <f>IF(C9="","",INDEX({"रविवार";"सोमवार";"मंगळवार";"बुधवार";"गुरूवार";"शुक्रवार";"शनिवार"},WEEKDAY(C9)))</f>
        <v>गुरूवार</v>
      </c>
      <c r="E9" s="125">
        <f>HLOOKUP(C3,'दैनिक माहिती'!BF120:BQ151,4,0)</f>
        <v>0</v>
      </c>
      <c r="F9" s="131">
        <f>HLOOKUP(C3,'दैनिक माहिती'!BF338:BQ369,4,0)</f>
        <v>0</v>
      </c>
      <c r="G9" s="126">
        <f t="shared" si="5"/>
        <v>0</v>
      </c>
      <c r="H9" s="131">
        <f>HLOOKUP(C3,'दैनिक माहिती'!BF46:BQ78,4,0)</f>
        <v>0</v>
      </c>
      <c r="I9" s="131">
        <f>HLOOKUP(C3,'दैनिक माहिती'!BF83:BQ115,4,0)</f>
        <v>0</v>
      </c>
      <c r="J9" s="127">
        <f t="shared" si="6"/>
        <v>0</v>
      </c>
      <c r="K9" s="128">
        <f t="shared" si="7"/>
        <v>0</v>
      </c>
      <c r="L9" s="128">
        <f t="shared" si="8"/>
        <v>0</v>
      </c>
      <c r="M9" s="128">
        <f t="shared" si="9"/>
        <v>0</v>
      </c>
      <c r="N9" s="128">
        <f t="shared" si="10"/>
        <v>0</v>
      </c>
      <c r="O9" s="128">
        <f t="shared" si="11"/>
        <v>0</v>
      </c>
      <c r="P9" s="128">
        <f t="shared" ref="P9:P37" si="36">$P$6*I9</f>
        <v>0</v>
      </c>
      <c r="Q9" s="128">
        <f t="shared" si="12"/>
        <v>0</v>
      </c>
      <c r="R9" s="128">
        <f t="shared" si="13"/>
        <v>0</v>
      </c>
      <c r="S9" s="129">
        <f t="shared" si="14"/>
        <v>0</v>
      </c>
      <c r="T9" s="130">
        <f t="shared" si="15"/>
        <v>0</v>
      </c>
      <c r="U9" s="518">
        <v>0</v>
      </c>
      <c r="V9" s="518">
        <v>0</v>
      </c>
      <c r="W9" s="518">
        <v>0</v>
      </c>
      <c r="X9" s="120">
        <f t="shared" si="16"/>
        <v>0</v>
      </c>
      <c r="Y9" s="121">
        <f t="shared" si="17"/>
        <v>0</v>
      </c>
      <c r="Z9" s="1149">
        <f t="shared" si="18"/>
        <v>0</v>
      </c>
      <c r="AA9" s="122">
        <f t="shared" si="19"/>
        <v>0</v>
      </c>
      <c r="BF9" s="191"/>
      <c r="BG9" s="1246">
        <v>3</v>
      </c>
      <c r="BH9" s="1247">
        <f t="shared" ref="BH9:BH37" si="37">BH8+1</f>
        <v>44868</v>
      </c>
      <c r="BI9" s="1248" t="str">
        <f>IF(BH9="","",INDEX({"रविवार";"सोमवार";"मंगळवार";"बुधवार";"गुरूवार";"शुक्रवार";"शनिवार"},WEEKDAY(BH9)))</f>
        <v>गुरूवार</v>
      </c>
      <c r="BJ9" s="1249">
        <f>HLOOKUP(BH3,'दैनिक माहिती'!BF120:BQ151,4,0)</f>
        <v>0</v>
      </c>
      <c r="BK9" s="1250"/>
      <c r="BL9" s="1251">
        <f t="shared" si="20"/>
        <v>0</v>
      </c>
      <c r="BM9" s="1250"/>
      <c r="BN9" s="1251">
        <f>HLOOKUP(BH3,'दैनिक माहिती'!BF83:BQ115,4,0)</f>
        <v>0</v>
      </c>
      <c r="BO9" s="1252">
        <f t="shared" si="21"/>
        <v>0</v>
      </c>
      <c r="BP9" s="1253">
        <f t="shared" si="22"/>
        <v>0</v>
      </c>
      <c r="BQ9" s="1253">
        <f t="shared" si="23"/>
        <v>0</v>
      </c>
      <c r="BR9" s="1253">
        <f t="shared" si="24"/>
        <v>0</v>
      </c>
      <c r="BS9" s="1253">
        <f t="shared" si="25"/>
        <v>0</v>
      </c>
      <c r="BT9" s="1253">
        <f t="shared" si="26"/>
        <v>0</v>
      </c>
      <c r="BU9" s="1253">
        <f t="shared" ref="BU9:BU37" si="38">$P$6*BN9</f>
        <v>0</v>
      </c>
      <c r="BV9" s="1253">
        <f t="shared" si="27"/>
        <v>0</v>
      </c>
      <c r="BW9" s="1253">
        <f t="shared" si="28"/>
        <v>0</v>
      </c>
      <c r="BX9" s="1253">
        <f t="shared" si="29"/>
        <v>0</v>
      </c>
      <c r="BY9" s="1253">
        <f t="shared" si="30"/>
        <v>0</v>
      </c>
      <c r="BZ9" s="1254">
        <v>0</v>
      </c>
      <c r="CA9" s="1254">
        <v>0</v>
      </c>
      <c r="CB9" s="1254">
        <v>0</v>
      </c>
      <c r="CC9" s="1253">
        <f t="shared" si="31"/>
        <v>0</v>
      </c>
      <c r="CD9" s="1253">
        <f t="shared" si="32"/>
        <v>0</v>
      </c>
      <c r="CE9" s="1257">
        <f t="shared" si="33"/>
        <v>0</v>
      </c>
      <c r="CF9" s="1253">
        <f t="shared" si="34"/>
        <v>0</v>
      </c>
      <c r="CG9" s="191"/>
      <c r="CH9" s="191">
        <f t="shared" si="0"/>
        <v>0</v>
      </c>
    </row>
    <row r="10" spans="2:86" ht="26.25" customHeight="1" x14ac:dyDescent="0.3">
      <c r="B10" s="1231">
        <v>4</v>
      </c>
      <c r="C10" s="1232">
        <f t="shared" si="35"/>
        <v>44869</v>
      </c>
      <c r="D10" s="124" t="str">
        <f>IF(C10="","",INDEX({"रविवार";"सोमवार";"मंगळवार";"बुधवार";"गुरूवार";"शुक्रवार";"शनिवार"},WEEKDAY(C10)))</f>
        <v>शुक्रवार</v>
      </c>
      <c r="E10" s="125">
        <f>HLOOKUP(C3,'दैनिक माहिती'!BF120:BQ151,5,0)</f>
        <v>0</v>
      </c>
      <c r="F10" s="131">
        <f>HLOOKUP(C3,'दैनिक माहिती'!BF338:BQ369,5,0)</f>
        <v>0</v>
      </c>
      <c r="G10" s="126">
        <f t="shared" si="5"/>
        <v>0</v>
      </c>
      <c r="H10" s="131">
        <f>HLOOKUP(C3,'दैनिक माहिती'!BF46:BQ78,5,0)</f>
        <v>0</v>
      </c>
      <c r="I10" s="131">
        <f>HLOOKUP(C3,'दैनिक माहिती'!BF83:BQ115,5,0)</f>
        <v>0</v>
      </c>
      <c r="J10" s="127">
        <f t="shared" si="6"/>
        <v>0</v>
      </c>
      <c r="K10" s="128">
        <f t="shared" si="7"/>
        <v>0</v>
      </c>
      <c r="L10" s="128">
        <f t="shared" si="8"/>
        <v>0</v>
      </c>
      <c r="M10" s="128">
        <f t="shared" si="9"/>
        <v>0</v>
      </c>
      <c r="N10" s="128">
        <f t="shared" si="10"/>
        <v>0</v>
      </c>
      <c r="O10" s="128">
        <f>$O$6*I10</f>
        <v>0</v>
      </c>
      <c r="P10" s="128">
        <f t="shared" si="36"/>
        <v>0</v>
      </c>
      <c r="Q10" s="128">
        <f t="shared" si="12"/>
        <v>0</v>
      </c>
      <c r="R10" s="128">
        <f t="shared" si="13"/>
        <v>0</v>
      </c>
      <c r="S10" s="129">
        <f t="shared" si="14"/>
        <v>0</v>
      </c>
      <c r="T10" s="130">
        <f t="shared" si="15"/>
        <v>0</v>
      </c>
      <c r="U10" s="518">
        <v>0</v>
      </c>
      <c r="V10" s="518">
        <v>0</v>
      </c>
      <c r="W10" s="518">
        <v>0</v>
      </c>
      <c r="X10" s="120">
        <f t="shared" si="16"/>
        <v>0</v>
      </c>
      <c r="Y10" s="121">
        <f t="shared" si="17"/>
        <v>0</v>
      </c>
      <c r="Z10" s="1149">
        <f t="shared" si="18"/>
        <v>0</v>
      </c>
      <c r="AA10" s="122">
        <f t="shared" si="19"/>
        <v>0</v>
      </c>
      <c r="BF10" s="191"/>
      <c r="BG10" s="1246">
        <v>4</v>
      </c>
      <c r="BH10" s="1247">
        <f t="shared" si="37"/>
        <v>44869</v>
      </c>
      <c r="BI10" s="1248" t="str">
        <f>IF(BH10="","",INDEX({"रविवार";"सोमवार";"मंगळवार";"बुधवार";"गुरूवार";"शुक्रवार";"शनिवार"},WEEKDAY(BH10)))</f>
        <v>शुक्रवार</v>
      </c>
      <c r="BJ10" s="1249">
        <f>HLOOKUP(BH3,'दैनिक माहिती'!BF120:BQ151,5,0)</f>
        <v>0</v>
      </c>
      <c r="BK10" s="1250"/>
      <c r="BL10" s="1251">
        <f t="shared" si="20"/>
        <v>0</v>
      </c>
      <c r="BM10" s="1250"/>
      <c r="BN10" s="1251">
        <f>HLOOKUP(BH3,'दैनिक माहिती'!BF83:BQ115,5,0)</f>
        <v>0</v>
      </c>
      <c r="BO10" s="1252">
        <f t="shared" si="21"/>
        <v>0</v>
      </c>
      <c r="BP10" s="1253">
        <f t="shared" si="22"/>
        <v>0</v>
      </c>
      <c r="BQ10" s="1253">
        <f t="shared" si="23"/>
        <v>0</v>
      </c>
      <c r="BR10" s="1253">
        <f t="shared" si="24"/>
        <v>0</v>
      </c>
      <c r="BS10" s="1253">
        <f t="shared" si="25"/>
        <v>0</v>
      </c>
      <c r="BT10" s="1253">
        <f t="shared" si="26"/>
        <v>0</v>
      </c>
      <c r="BU10" s="1253">
        <f t="shared" si="38"/>
        <v>0</v>
      </c>
      <c r="BV10" s="1253">
        <f t="shared" si="27"/>
        <v>0</v>
      </c>
      <c r="BW10" s="1253">
        <f t="shared" si="28"/>
        <v>0</v>
      </c>
      <c r="BX10" s="1253">
        <f t="shared" si="29"/>
        <v>0</v>
      </c>
      <c r="BY10" s="1253">
        <f t="shared" si="30"/>
        <v>0</v>
      </c>
      <c r="BZ10" s="1254">
        <v>0</v>
      </c>
      <c r="CA10" s="1254">
        <v>0</v>
      </c>
      <c r="CB10" s="1254">
        <v>0</v>
      </c>
      <c r="CC10" s="1253">
        <f t="shared" si="31"/>
        <v>0</v>
      </c>
      <c r="CD10" s="1253">
        <f t="shared" si="32"/>
        <v>0</v>
      </c>
      <c r="CE10" s="1257">
        <f t="shared" si="33"/>
        <v>0</v>
      </c>
      <c r="CF10" s="1253">
        <f t="shared" si="34"/>
        <v>0</v>
      </c>
      <c r="CG10" s="191"/>
      <c r="CH10" s="191">
        <f t="shared" si="0"/>
        <v>0</v>
      </c>
    </row>
    <row r="11" spans="2:86" ht="26.25" customHeight="1" x14ac:dyDescent="0.3">
      <c r="B11" s="1231">
        <v>5</v>
      </c>
      <c r="C11" s="1232">
        <f t="shared" si="35"/>
        <v>44870</v>
      </c>
      <c r="D11" s="124" t="str">
        <f>IF(C11="","",INDEX({"रविवार";"सोमवार";"मंगळवार";"बुधवार";"गुरूवार";"शुक्रवार";"शनिवार"},WEEKDAY(C11)))</f>
        <v>शनिवार</v>
      </c>
      <c r="E11" s="125">
        <f>HLOOKUP(C3,'दैनिक माहिती'!BF120:BQ151,6,0)</f>
        <v>0</v>
      </c>
      <c r="F11" s="131">
        <f>HLOOKUP(C3,'दैनिक माहिती'!BF338:BQ369,6,0)</f>
        <v>0</v>
      </c>
      <c r="G11" s="126">
        <f t="shared" si="5"/>
        <v>0</v>
      </c>
      <c r="H11" s="131">
        <f>HLOOKUP(C3,'दैनिक माहिती'!BF46:BQ78,6,0)</f>
        <v>0</v>
      </c>
      <c r="I11" s="131">
        <f>HLOOKUP(C3,'दैनिक माहिती'!BF83:BQ115,6,0)</f>
        <v>0</v>
      </c>
      <c r="J11" s="127">
        <f t="shared" si="6"/>
        <v>0</v>
      </c>
      <c r="K11" s="128">
        <f t="shared" si="7"/>
        <v>0</v>
      </c>
      <c r="L11" s="128">
        <f t="shared" si="8"/>
        <v>0</v>
      </c>
      <c r="M11" s="128">
        <f t="shared" si="9"/>
        <v>0</v>
      </c>
      <c r="N11" s="128">
        <f t="shared" si="10"/>
        <v>0</v>
      </c>
      <c r="O11" s="128">
        <f t="shared" si="11"/>
        <v>0</v>
      </c>
      <c r="P11" s="128">
        <f t="shared" si="36"/>
        <v>0</v>
      </c>
      <c r="Q11" s="128">
        <f t="shared" si="12"/>
        <v>0</v>
      </c>
      <c r="R11" s="128">
        <f t="shared" si="13"/>
        <v>0</v>
      </c>
      <c r="S11" s="129">
        <f t="shared" si="14"/>
        <v>0</v>
      </c>
      <c r="T11" s="130">
        <f t="shared" si="15"/>
        <v>0</v>
      </c>
      <c r="U11" s="518">
        <v>0</v>
      </c>
      <c r="V11" s="518">
        <v>0</v>
      </c>
      <c r="W11" s="518">
        <v>0</v>
      </c>
      <c r="X11" s="120">
        <f t="shared" si="16"/>
        <v>0</v>
      </c>
      <c r="Y11" s="121">
        <f t="shared" si="17"/>
        <v>0</v>
      </c>
      <c r="Z11" s="1149">
        <f t="shared" si="18"/>
        <v>0</v>
      </c>
      <c r="AA11" s="122">
        <f t="shared" si="19"/>
        <v>0</v>
      </c>
      <c r="BF11" s="191"/>
      <c r="BG11" s="1246">
        <v>5</v>
      </c>
      <c r="BH11" s="1247">
        <f t="shared" si="37"/>
        <v>44870</v>
      </c>
      <c r="BI11" s="1248" t="str">
        <f>IF(BH11="","",INDEX({"रविवार";"सोमवार";"मंगळवार";"बुधवार";"गुरूवार";"शुक्रवार";"शनिवार"},WEEKDAY(BH11)))</f>
        <v>शनिवार</v>
      </c>
      <c r="BJ11" s="1249">
        <f>HLOOKUP(BH3,'दैनिक माहिती'!BF120:BQ151,6,0)</f>
        <v>0</v>
      </c>
      <c r="BK11" s="1250"/>
      <c r="BL11" s="1251">
        <f t="shared" si="20"/>
        <v>0</v>
      </c>
      <c r="BM11" s="1250"/>
      <c r="BN11" s="1251">
        <f>HLOOKUP(BH3,'दैनिक माहिती'!BF83:BQ115,6,0)</f>
        <v>0</v>
      </c>
      <c r="BO11" s="1252">
        <f t="shared" si="21"/>
        <v>0</v>
      </c>
      <c r="BP11" s="1253">
        <f t="shared" si="22"/>
        <v>0</v>
      </c>
      <c r="BQ11" s="1253">
        <f t="shared" si="23"/>
        <v>0</v>
      </c>
      <c r="BR11" s="1253">
        <f t="shared" si="24"/>
        <v>0</v>
      </c>
      <c r="BS11" s="1253">
        <f t="shared" si="25"/>
        <v>0</v>
      </c>
      <c r="BT11" s="1253">
        <f t="shared" si="26"/>
        <v>0</v>
      </c>
      <c r="BU11" s="1253">
        <f t="shared" si="38"/>
        <v>0</v>
      </c>
      <c r="BV11" s="1253">
        <f t="shared" si="27"/>
        <v>0</v>
      </c>
      <c r="BW11" s="1253">
        <f t="shared" si="28"/>
        <v>0</v>
      </c>
      <c r="BX11" s="1253">
        <f t="shared" si="29"/>
        <v>0</v>
      </c>
      <c r="BY11" s="1253">
        <f t="shared" si="30"/>
        <v>0</v>
      </c>
      <c r="BZ11" s="1254">
        <v>0</v>
      </c>
      <c r="CA11" s="1254">
        <v>0</v>
      </c>
      <c r="CB11" s="1254">
        <v>0</v>
      </c>
      <c r="CC11" s="1253">
        <f t="shared" si="31"/>
        <v>0</v>
      </c>
      <c r="CD11" s="1253">
        <f t="shared" si="32"/>
        <v>0</v>
      </c>
      <c r="CE11" s="1257">
        <f t="shared" si="33"/>
        <v>0</v>
      </c>
      <c r="CF11" s="1253">
        <f t="shared" si="34"/>
        <v>0</v>
      </c>
      <c r="CG11" s="191"/>
      <c r="CH11" s="191">
        <f t="shared" si="0"/>
        <v>0</v>
      </c>
    </row>
    <row r="12" spans="2:86" ht="26.25" customHeight="1" x14ac:dyDescent="0.3">
      <c r="B12" s="1231">
        <v>6</v>
      </c>
      <c r="C12" s="1232">
        <f t="shared" si="35"/>
        <v>44871</v>
      </c>
      <c r="D12" s="124" t="str">
        <f>IF(C12="","",INDEX({"रविवार";"सोमवार";"मंगळवार";"बुधवार";"गुरूवार";"शुक्रवार";"शनिवार"},WEEKDAY(C12)))</f>
        <v>रविवार</v>
      </c>
      <c r="E12" s="125">
        <f>HLOOKUP(C3,'दैनिक माहिती'!BF120:BQ151,7,0)</f>
        <v>0</v>
      </c>
      <c r="F12" s="131">
        <f>HLOOKUP(C3,'दैनिक माहिती'!BF338:BQ369,7,0)</f>
        <v>0</v>
      </c>
      <c r="G12" s="126">
        <f t="shared" si="5"/>
        <v>0</v>
      </c>
      <c r="H12" s="131">
        <f>HLOOKUP(C3,'दैनिक माहिती'!BF46:BQ78,7,0)</f>
        <v>0</v>
      </c>
      <c r="I12" s="131">
        <f>HLOOKUP(C3,'दैनिक माहिती'!BF83:BQ115,7,0)</f>
        <v>0</v>
      </c>
      <c r="J12" s="127">
        <f t="shared" si="6"/>
        <v>0</v>
      </c>
      <c r="K12" s="128">
        <f t="shared" si="7"/>
        <v>0</v>
      </c>
      <c r="L12" s="128">
        <f t="shared" si="8"/>
        <v>0</v>
      </c>
      <c r="M12" s="128">
        <f t="shared" si="9"/>
        <v>0</v>
      </c>
      <c r="N12" s="128">
        <f t="shared" si="10"/>
        <v>0</v>
      </c>
      <c r="O12" s="128">
        <f t="shared" si="11"/>
        <v>0</v>
      </c>
      <c r="P12" s="128">
        <f t="shared" si="36"/>
        <v>0</v>
      </c>
      <c r="Q12" s="128">
        <f t="shared" si="12"/>
        <v>0</v>
      </c>
      <c r="R12" s="128">
        <f t="shared" si="13"/>
        <v>0</v>
      </c>
      <c r="S12" s="129">
        <f t="shared" si="14"/>
        <v>0</v>
      </c>
      <c r="T12" s="130">
        <f t="shared" si="15"/>
        <v>0</v>
      </c>
      <c r="U12" s="518">
        <v>0</v>
      </c>
      <c r="V12" s="518">
        <v>0</v>
      </c>
      <c r="W12" s="518">
        <v>0</v>
      </c>
      <c r="X12" s="120">
        <f t="shared" si="16"/>
        <v>0</v>
      </c>
      <c r="Y12" s="121">
        <f t="shared" si="17"/>
        <v>0</v>
      </c>
      <c r="Z12" s="1149">
        <f t="shared" si="18"/>
        <v>0</v>
      </c>
      <c r="AA12" s="122">
        <f t="shared" si="19"/>
        <v>0</v>
      </c>
      <c r="BF12" s="191"/>
      <c r="BG12" s="1246">
        <v>6</v>
      </c>
      <c r="BH12" s="1247">
        <f t="shared" si="37"/>
        <v>44871</v>
      </c>
      <c r="BI12" s="1248" t="str">
        <f>IF(BH12="","",INDEX({"रविवार";"सोमवार";"मंगळवार";"बुधवार";"गुरूवार";"शुक्रवार";"शनिवार"},WEEKDAY(BH12)))</f>
        <v>रविवार</v>
      </c>
      <c r="BJ12" s="1249">
        <f>HLOOKUP(BH3,'दैनिक माहिती'!BF120:BQ151,7,0)</f>
        <v>0</v>
      </c>
      <c r="BK12" s="1250"/>
      <c r="BL12" s="1251">
        <f t="shared" si="20"/>
        <v>0</v>
      </c>
      <c r="BM12" s="1250"/>
      <c r="BN12" s="1251">
        <f>HLOOKUP(BH3,'दैनिक माहिती'!BF83:BQ115,7,0)</f>
        <v>0</v>
      </c>
      <c r="BO12" s="1252">
        <f t="shared" si="21"/>
        <v>0</v>
      </c>
      <c r="BP12" s="1253">
        <f t="shared" si="22"/>
        <v>0</v>
      </c>
      <c r="BQ12" s="1253">
        <f t="shared" si="23"/>
        <v>0</v>
      </c>
      <c r="BR12" s="1253">
        <f t="shared" si="24"/>
        <v>0</v>
      </c>
      <c r="BS12" s="1253">
        <f t="shared" si="25"/>
        <v>0</v>
      </c>
      <c r="BT12" s="1253">
        <f t="shared" si="26"/>
        <v>0</v>
      </c>
      <c r="BU12" s="1253">
        <f t="shared" si="38"/>
        <v>0</v>
      </c>
      <c r="BV12" s="1253">
        <f t="shared" si="27"/>
        <v>0</v>
      </c>
      <c r="BW12" s="1253">
        <f t="shared" si="28"/>
        <v>0</v>
      </c>
      <c r="BX12" s="1253">
        <f t="shared" si="29"/>
        <v>0</v>
      </c>
      <c r="BY12" s="1253">
        <f t="shared" si="30"/>
        <v>0</v>
      </c>
      <c r="BZ12" s="1254">
        <v>0</v>
      </c>
      <c r="CA12" s="1254">
        <v>0</v>
      </c>
      <c r="CB12" s="1254">
        <v>0</v>
      </c>
      <c r="CC12" s="1253">
        <f t="shared" si="31"/>
        <v>0</v>
      </c>
      <c r="CD12" s="1253">
        <f t="shared" si="32"/>
        <v>0</v>
      </c>
      <c r="CE12" s="1257">
        <f t="shared" si="33"/>
        <v>0</v>
      </c>
      <c r="CF12" s="1253">
        <f t="shared" si="34"/>
        <v>0</v>
      </c>
      <c r="CG12" s="191"/>
      <c r="CH12" s="191">
        <f t="shared" si="0"/>
        <v>0</v>
      </c>
    </row>
    <row r="13" spans="2:86" ht="26.25" customHeight="1" x14ac:dyDescent="0.3">
      <c r="B13" s="1231">
        <v>7</v>
      </c>
      <c r="C13" s="1232">
        <f t="shared" si="35"/>
        <v>44872</v>
      </c>
      <c r="D13" s="124" t="str">
        <f>IF(C13="","",INDEX({"रविवार";"सोमवार";"मंगळवार";"बुधवार";"गुरूवार";"शुक्रवार";"शनिवार"},WEEKDAY(C13)))</f>
        <v>सोमवार</v>
      </c>
      <c r="E13" s="125">
        <f>HLOOKUP(C3,'दैनिक माहिती'!BF120:BQ151,8,0)</f>
        <v>0</v>
      </c>
      <c r="F13" s="131">
        <f>HLOOKUP(C3,'दैनिक माहिती'!BF338:BQ369,8,0)</f>
        <v>0</v>
      </c>
      <c r="G13" s="126">
        <f t="shared" si="5"/>
        <v>0</v>
      </c>
      <c r="H13" s="131">
        <f>HLOOKUP(C3,'दैनिक माहिती'!BF46:BQ78,8,0)</f>
        <v>0</v>
      </c>
      <c r="I13" s="131">
        <f>HLOOKUP(C3,'दैनिक माहिती'!BF83:BQ115,8,0)</f>
        <v>0</v>
      </c>
      <c r="J13" s="127">
        <f t="shared" si="6"/>
        <v>0</v>
      </c>
      <c r="K13" s="128">
        <f t="shared" si="7"/>
        <v>0</v>
      </c>
      <c r="L13" s="128">
        <f t="shared" si="8"/>
        <v>0</v>
      </c>
      <c r="M13" s="128">
        <f t="shared" si="9"/>
        <v>0</v>
      </c>
      <c r="N13" s="128">
        <f t="shared" si="10"/>
        <v>0</v>
      </c>
      <c r="O13" s="128">
        <f t="shared" si="11"/>
        <v>0</v>
      </c>
      <c r="P13" s="128">
        <f t="shared" si="36"/>
        <v>0</v>
      </c>
      <c r="Q13" s="128">
        <f t="shared" si="12"/>
        <v>0</v>
      </c>
      <c r="R13" s="128">
        <f t="shared" si="13"/>
        <v>0</v>
      </c>
      <c r="S13" s="129">
        <f t="shared" si="14"/>
        <v>0</v>
      </c>
      <c r="T13" s="130">
        <f t="shared" si="15"/>
        <v>0</v>
      </c>
      <c r="U13" s="518">
        <v>0</v>
      </c>
      <c r="V13" s="518">
        <v>0</v>
      </c>
      <c r="W13" s="518">
        <v>0</v>
      </c>
      <c r="X13" s="120">
        <f t="shared" si="16"/>
        <v>0</v>
      </c>
      <c r="Y13" s="121">
        <f t="shared" si="17"/>
        <v>0</v>
      </c>
      <c r="Z13" s="1149">
        <f t="shared" si="18"/>
        <v>0</v>
      </c>
      <c r="AA13" s="122">
        <f t="shared" si="19"/>
        <v>0</v>
      </c>
      <c r="BF13" s="191"/>
      <c r="BG13" s="1246">
        <v>7</v>
      </c>
      <c r="BH13" s="1247">
        <f t="shared" si="37"/>
        <v>44872</v>
      </c>
      <c r="BI13" s="1248" t="str">
        <f>IF(BH13="","",INDEX({"रविवार";"सोमवार";"मंगळवार";"बुधवार";"गुरूवार";"शुक्रवार";"शनिवार"},WEEKDAY(BH13)))</f>
        <v>सोमवार</v>
      </c>
      <c r="BJ13" s="1249">
        <f>HLOOKUP(BH3,'दैनिक माहिती'!BF120:BQ151,8,0)</f>
        <v>0</v>
      </c>
      <c r="BK13" s="1250"/>
      <c r="BL13" s="1251">
        <f t="shared" si="20"/>
        <v>0</v>
      </c>
      <c r="BM13" s="1250"/>
      <c r="BN13" s="1251">
        <f>HLOOKUP(BH3,'दैनिक माहिती'!BF83:BQ115,8,0)</f>
        <v>0</v>
      </c>
      <c r="BO13" s="1252">
        <f t="shared" si="21"/>
        <v>0</v>
      </c>
      <c r="BP13" s="1253">
        <f t="shared" si="22"/>
        <v>0</v>
      </c>
      <c r="BQ13" s="1253">
        <f t="shared" si="23"/>
        <v>0</v>
      </c>
      <c r="BR13" s="1253">
        <f t="shared" si="24"/>
        <v>0</v>
      </c>
      <c r="BS13" s="1253">
        <f t="shared" si="25"/>
        <v>0</v>
      </c>
      <c r="BT13" s="1253">
        <f t="shared" si="26"/>
        <v>0</v>
      </c>
      <c r="BU13" s="1253">
        <f t="shared" si="38"/>
        <v>0</v>
      </c>
      <c r="BV13" s="1253">
        <f t="shared" si="27"/>
        <v>0</v>
      </c>
      <c r="BW13" s="1253">
        <f t="shared" si="28"/>
        <v>0</v>
      </c>
      <c r="BX13" s="1253">
        <f t="shared" si="29"/>
        <v>0</v>
      </c>
      <c r="BY13" s="1253">
        <f t="shared" si="30"/>
        <v>0</v>
      </c>
      <c r="BZ13" s="1254">
        <v>0</v>
      </c>
      <c r="CA13" s="1254">
        <v>0</v>
      </c>
      <c r="CB13" s="1254">
        <v>0</v>
      </c>
      <c r="CC13" s="1253">
        <f t="shared" si="31"/>
        <v>0</v>
      </c>
      <c r="CD13" s="1253">
        <f t="shared" si="32"/>
        <v>0</v>
      </c>
      <c r="CE13" s="1257">
        <f t="shared" si="33"/>
        <v>0</v>
      </c>
      <c r="CF13" s="1253">
        <f t="shared" si="34"/>
        <v>0</v>
      </c>
      <c r="CG13" s="191"/>
      <c r="CH13" s="191">
        <f t="shared" si="0"/>
        <v>0</v>
      </c>
    </row>
    <row r="14" spans="2:86" ht="26.25" customHeight="1" x14ac:dyDescent="0.3">
      <c r="B14" s="517">
        <v>8</v>
      </c>
      <c r="C14" s="1233">
        <f t="shared" si="35"/>
        <v>44873</v>
      </c>
      <c r="D14" s="124" t="str">
        <f>IF(C14="","",INDEX({"रविवार";"सोमवार";"मंगळवार";"बुधवार";"गुरूवार";"शुक्रवार";"शनिवार"},WEEKDAY(C14)))</f>
        <v>मंगळवार</v>
      </c>
      <c r="E14" s="125">
        <f>HLOOKUP(C3,'दैनिक माहिती'!BF120:BQ151,9,0)</f>
        <v>0</v>
      </c>
      <c r="F14" s="131">
        <f>HLOOKUP(C3,'दैनिक माहिती'!BF338:BQ369,9,0)</f>
        <v>0</v>
      </c>
      <c r="G14" s="126">
        <f t="shared" si="5"/>
        <v>0</v>
      </c>
      <c r="H14" s="131">
        <f>HLOOKUP(C3,'दैनिक माहिती'!BF46:BQ78,9,0)</f>
        <v>0</v>
      </c>
      <c r="I14" s="131">
        <f>HLOOKUP(C3,'दैनिक माहिती'!BF83:BQ115,9,0)</f>
        <v>0</v>
      </c>
      <c r="J14" s="127">
        <f t="shared" si="6"/>
        <v>0</v>
      </c>
      <c r="K14" s="128">
        <f t="shared" si="7"/>
        <v>0</v>
      </c>
      <c r="L14" s="128">
        <f t="shared" si="8"/>
        <v>0</v>
      </c>
      <c r="M14" s="128">
        <f t="shared" si="9"/>
        <v>0</v>
      </c>
      <c r="N14" s="128">
        <f t="shared" si="10"/>
        <v>0</v>
      </c>
      <c r="O14" s="128">
        <f t="shared" si="11"/>
        <v>0</v>
      </c>
      <c r="P14" s="128">
        <f t="shared" si="36"/>
        <v>0</v>
      </c>
      <c r="Q14" s="128">
        <f t="shared" si="12"/>
        <v>0</v>
      </c>
      <c r="R14" s="128">
        <f t="shared" si="13"/>
        <v>0</v>
      </c>
      <c r="S14" s="129">
        <f t="shared" si="14"/>
        <v>0</v>
      </c>
      <c r="T14" s="130">
        <f t="shared" si="15"/>
        <v>0</v>
      </c>
      <c r="U14" s="518">
        <v>0</v>
      </c>
      <c r="V14" s="518">
        <v>0</v>
      </c>
      <c r="W14" s="518">
        <v>0</v>
      </c>
      <c r="X14" s="120">
        <f t="shared" si="16"/>
        <v>0</v>
      </c>
      <c r="Y14" s="121">
        <f t="shared" si="17"/>
        <v>0</v>
      </c>
      <c r="Z14" s="1149">
        <f t="shared" si="18"/>
        <v>0</v>
      </c>
      <c r="AA14" s="122">
        <f t="shared" si="19"/>
        <v>0</v>
      </c>
      <c r="BF14" s="191"/>
      <c r="BG14" s="1246">
        <v>8</v>
      </c>
      <c r="BH14" s="1247">
        <f t="shared" si="37"/>
        <v>44873</v>
      </c>
      <c r="BI14" s="1248" t="str">
        <f>IF(BH14="","",INDEX({"रविवार";"सोमवार";"मंगळवार";"बुधवार";"गुरूवार";"शुक्रवार";"शनिवार"},WEEKDAY(BH14)))</f>
        <v>मंगळवार</v>
      </c>
      <c r="BJ14" s="1249">
        <f>HLOOKUP(BH3,'दैनिक माहिती'!BF120:BQ151,9,0)</f>
        <v>0</v>
      </c>
      <c r="BK14" s="1250"/>
      <c r="BL14" s="1251">
        <f t="shared" si="20"/>
        <v>0</v>
      </c>
      <c r="BM14" s="1250"/>
      <c r="BN14" s="1251">
        <f>HLOOKUP(BH3,'दैनिक माहिती'!BF83:BQ115,9,0)</f>
        <v>0</v>
      </c>
      <c r="BO14" s="1252">
        <f t="shared" si="21"/>
        <v>0</v>
      </c>
      <c r="BP14" s="1253">
        <f t="shared" si="22"/>
        <v>0</v>
      </c>
      <c r="BQ14" s="1253">
        <f t="shared" si="23"/>
        <v>0</v>
      </c>
      <c r="BR14" s="1253">
        <f t="shared" si="24"/>
        <v>0</v>
      </c>
      <c r="BS14" s="1253">
        <f t="shared" si="25"/>
        <v>0</v>
      </c>
      <c r="BT14" s="1253">
        <f t="shared" si="26"/>
        <v>0</v>
      </c>
      <c r="BU14" s="1253">
        <f t="shared" si="38"/>
        <v>0</v>
      </c>
      <c r="BV14" s="1253">
        <f t="shared" si="27"/>
        <v>0</v>
      </c>
      <c r="BW14" s="1253">
        <f t="shared" si="28"/>
        <v>0</v>
      </c>
      <c r="BX14" s="1253">
        <f t="shared" si="29"/>
        <v>0</v>
      </c>
      <c r="BY14" s="1253">
        <f t="shared" si="30"/>
        <v>0</v>
      </c>
      <c r="BZ14" s="1254">
        <v>0</v>
      </c>
      <c r="CA14" s="1254">
        <v>0</v>
      </c>
      <c r="CB14" s="1254">
        <v>0</v>
      </c>
      <c r="CC14" s="1253">
        <f t="shared" si="31"/>
        <v>0</v>
      </c>
      <c r="CD14" s="1253">
        <f t="shared" si="32"/>
        <v>0</v>
      </c>
      <c r="CE14" s="1257">
        <f t="shared" si="33"/>
        <v>0</v>
      </c>
      <c r="CF14" s="1253">
        <f t="shared" si="34"/>
        <v>0</v>
      </c>
      <c r="CG14" s="191"/>
      <c r="CH14" s="191">
        <f t="shared" si="0"/>
        <v>0</v>
      </c>
    </row>
    <row r="15" spans="2:86" ht="26.25" customHeight="1" x14ac:dyDescent="0.3">
      <c r="B15" s="517">
        <v>9</v>
      </c>
      <c r="C15" s="1233">
        <f t="shared" si="35"/>
        <v>44874</v>
      </c>
      <c r="D15" s="124" t="str">
        <f>IF(C15="","",INDEX({"रविवार";"सोमवार";"मंगळवार";"बुधवार";"गुरूवार";"शुक्रवार";"शनिवार"},WEEKDAY(C15)))</f>
        <v>बुधवार</v>
      </c>
      <c r="E15" s="125" t="str">
        <f>HLOOKUP(C3,'दैनिक माहिती'!BF120:BQ151,10,0)</f>
        <v>वाटाणा</v>
      </c>
      <c r="F15" s="131" t="str">
        <f>HLOOKUP(C3,'दैनिक माहिती'!BF338:BQ369,10,0)</f>
        <v>उसळ</v>
      </c>
      <c r="G15" s="126">
        <f t="shared" si="5"/>
        <v>0</v>
      </c>
      <c r="H15" s="131">
        <f>HLOOKUP(C3,'दैनिक माहिती'!BF46:BQ78,10,0)</f>
        <v>22</v>
      </c>
      <c r="I15" s="131">
        <f>HLOOKUP(C3,'दैनिक माहिती'!BF83:BQ115,10,0)</f>
        <v>22</v>
      </c>
      <c r="J15" s="127">
        <f t="shared" si="6"/>
        <v>4.4000000000000004</v>
      </c>
      <c r="K15" s="128">
        <f t="shared" si="7"/>
        <v>0</v>
      </c>
      <c r="L15" s="128">
        <f t="shared" si="8"/>
        <v>0</v>
      </c>
      <c r="M15" s="128">
        <f t="shared" si="9"/>
        <v>2.6399999999999997</v>
      </c>
      <c r="N15" s="128">
        <f t="shared" si="10"/>
        <v>2.6399999999999997</v>
      </c>
      <c r="O15" s="128">
        <f t="shared" si="11"/>
        <v>2.2000000000000002</v>
      </c>
      <c r="P15" s="128">
        <f t="shared" si="36"/>
        <v>1.3199999999999998</v>
      </c>
      <c r="Q15" s="128">
        <f t="shared" si="12"/>
        <v>2.6399999999999997</v>
      </c>
      <c r="R15" s="128">
        <f t="shared" si="13"/>
        <v>0</v>
      </c>
      <c r="S15" s="129">
        <f t="shared" si="14"/>
        <v>15.84</v>
      </c>
      <c r="T15" s="518">
        <v>0</v>
      </c>
      <c r="U15" s="130">
        <f>IF(G15=$G$2,$X$43/$G$38,0)</f>
        <v>0</v>
      </c>
      <c r="V15" s="518">
        <v>0</v>
      </c>
      <c r="W15" s="518">
        <v>0</v>
      </c>
      <c r="X15" s="120">
        <f t="shared" si="16"/>
        <v>0</v>
      </c>
      <c r="Y15" s="121">
        <f t="shared" si="17"/>
        <v>17.380000000000003</v>
      </c>
      <c r="Z15" s="1149">
        <f t="shared" si="18"/>
        <v>17.380000000000003</v>
      </c>
      <c r="AA15" s="122">
        <f t="shared" si="19"/>
        <v>50.6</v>
      </c>
      <c r="BF15" s="191"/>
      <c r="BG15" s="1246">
        <v>9</v>
      </c>
      <c r="BH15" s="1247">
        <f t="shared" si="37"/>
        <v>44874</v>
      </c>
      <c r="BI15" s="1248" t="str">
        <f>IF(BH15="","",INDEX({"रविवार";"सोमवार";"मंगळवार";"बुधवार";"गुरूवार";"शुक्रवार";"शनिवार"},WEEKDAY(BH15)))</f>
        <v>बुधवार</v>
      </c>
      <c r="BJ15" s="1249" t="str">
        <f>HLOOKUP(BH3,'दैनिक माहिती'!BF120:BQ151,10,0)</f>
        <v>वाटाणा</v>
      </c>
      <c r="BK15" s="1250"/>
      <c r="BL15" s="1251">
        <f t="shared" si="20"/>
        <v>0</v>
      </c>
      <c r="BM15" s="1250"/>
      <c r="BN15" s="1251">
        <f>HLOOKUP(BH3,'दैनिक माहिती'!BF83:BQ115,10,0)</f>
        <v>22</v>
      </c>
      <c r="BO15" s="1252">
        <f t="shared" si="21"/>
        <v>4.4000000000000004</v>
      </c>
      <c r="BP15" s="1253">
        <f t="shared" si="22"/>
        <v>0</v>
      </c>
      <c r="BQ15" s="1253">
        <f t="shared" si="23"/>
        <v>0</v>
      </c>
      <c r="BR15" s="1253">
        <f t="shared" si="24"/>
        <v>2.6399999999999997</v>
      </c>
      <c r="BS15" s="1253">
        <f t="shared" si="25"/>
        <v>2.6399999999999997</v>
      </c>
      <c r="BT15" s="1253">
        <f t="shared" si="26"/>
        <v>2.2000000000000002</v>
      </c>
      <c r="BU15" s="1253">
        <f t="shared" si="38"/>
        <v>1.3199999999999998</v>
      </c>
      <c r="BV15" s="1253">
        <f t="shared" si="27"/>
        <v>2.6399999999999997</v>
      </c>
      <c r="BW15" s="1253">
        <f t="shared" si="28"/>
        <v>0</v>
      </c>
      <c r="BX15" s="1253">
        <f t="shared" si="29"/>
        <v>15.84</v>
      </c>
      <c r="BY15" s="1254">
        <v>0</v>
      </c>
      <c r="BZ15" s="1253">
        <f>IF(BL15=$G$2,$CC$39/$BL$38,0)</f>
        <v>0</v>
      </c>
      <c r="CA15" s="1254">
        <v>0</v>
      </c>
      <c r="CB15" s="1254">
        <v>0</v>
      </c>
      <c r="CC15" s="1253">
        <f t="shared" si="31"/>
        <v>0</v>
      </c>
      <c r="CD15" s="1253">
        <f t="shared" si="32"/>
        <v>17.380000000000003</v>
      </c>
      <c r="CE15" s="1257">
        <f t="shared" si="33"/>
        <v>17.380000000000003</v>
      </c>
      <c r="CF15" s="1253">
        <f t="shared" si="34"/>
        <v>33.22</v>
      </c>
      <c r="CG15" s="191"/>
      <c r="CH15" s="191">
        <f t="shared" si="0"/>
        <v>0</v>
      </c>
    </row>
    <row r="16" spans="2:86" ht="26.25" customHeight="1" x14ac:dyDescent="0.3">
      <c r="B16" s="517">
        <v>10</v>
      </c>
      <c r="C16" s="1233">
        <f t="shared" si="35"/>
        <v>44875</v>
      </c>
      <c r="D16" s="124" t="str">
        <f>IF(C16="","",INDEX({"रविवार";"सोमवार";"मंगळवार";"बुधवार";"गुरूवार";"शुक्रवार";"शनिवार"},WEEKDAY(C16)))</f>
        <v>गुरूवार</v>
      </c>
      <c r="E16" s="125" t="str">
        <f>HLOOKUP(C3,'दैनिक माहिती'!BF120:BQ151,11,0)</f>
        <v>हरभरा</v>
      </c>
      <c r="F16" s="131" t="str">
        <f>HLOOKUP(C3,'दैनिक माहिती'!BF338:BQ369,11,0)</f>
        <v>उसळ</v>
      </c>
      <c r="G16" s="126">
        <f t="shared" si="5"/>
        <v>0</v>
      </c>
      <c r="H16" s="131">
        <f>HLOOKUP(C3,'दैनिक माहिती'!BF46:BQ78,11,0)</f>
        <v>22</v>
      </c>
      <c r="I16" s="131">
        <f>HLOOKUP(C3,'दैनिक माहिती'!BF83:BQ115,11,0)</f>
        <v>22</v>
      </c>
      <c r="J16" s="127">
        <f t="shared" si="6"/>
        <v>0</v>
      </c>
      <c r="K16" s="128">
        <f t="shared" si="7"/>
        <v>0</v>
      </c>
      <c r="L16" s="128">
        <f t="shared" si="8"/>
        <v>4.4000000000000004</v>
      </c>
      <c r="M16" s="128">
        <f t="shared" si="9"/>
        <v>2.6399999999999997</v>
      </c>
      <c r="N16" s="128">
        <f t="shared" si="10"/>
        <v>2.6399999999999997</v>
      </c>
      <c r="O16" s="128">
        <f t="shared" si="11"/>
        <v>2.2000000000000002</v>
      </c>
      <c r="P16" s="128">
        <f t="shared" si="36"/>
        <v>1.3199999999999998</v>
      </c>
      <c r="Q16" s="128">
        <f t="shared" si="12"/>
        <v>2.6399999999999997</v>
      </c>
      <c r="R16" s="128">
        <f t="shared" si="13"/>
        <v>0</v>
      </c>
      <c r="S16" s="129">
        <f t="shared" si="14"/>
        <v>15.84</v>
      </c>
      <c r="T16" s="518">
        <v>0</v>
      </c>
      <c r="U16" s="130">
        <f t="shared" ref="U16:U22" si="39">IF(G16=$G$2,$X$43/$G$38,0)</f>
        <v>0</v>
      </c>
      <c r="V16" s="518">
        <v>0</v>
      </c>
      <c r="W16" s="518">
        <v>0</v>
      </c>
      <c r="X16" s="120">
        <f t="shared" si="16"/>
        <v>0</v>
      </c>
      <c r="Y16" s="121">
        <f t="shared" si="17"/>
        <v>17.380000000000003</v>
      </c>
      <c r="Z16" s="1149">
        <f t="shared" si="18"/>
        <v>17.380000000000003</v>
      </c>
      <c r="AA16" s="122">
        <f t="shared" si="19"/>
        <v>50.6</v>
      </c>
      <c r="BG16" s="1246">
        <v>10</v>
      </c>
      <c r="BH16" s="1247">
        <f t="shared" si="37"/>
        <v>44875</v>
      </c>
      <c r="BI16" s="1248" t="str">
        <f>IF(BH16="","",INDEX({"रविवार";"सोमवार";"मंगळवार";"बुधवार";"गुरूवार";"शुक्रवार";"शनिवार"},WEEKDAY(BH16)))</f>
        <v>गुरूवार</v>
      </c>
      <c r="BJ16" s="1249" t="str">
        <f>HLOOKUP(BH3,'दैनिक माहिती'!BF120:BQ151,11,0)</f>
        <v>हरभरा</v>
      </c>
      <c r="BK16" s="1250"/>
      <c r="BL16" s="1251">
        <f t="shared" si="20"/>
        <v>0</v>
      </c>
      <c r="BM16" s="1250"/>
      <c r="BN16" s="1251">
        <f>HLOOKUP(BH3,'दैनिक माहिती'!BF83:BQ115,11,0)</f>
        <v>22</v>
      </c>
      <c r="BO16" s="1252">
        <f t="shared" si="21"/>
        <v>0</v>
      </c>
      <c r="BP16" s="1253">
        <f t="shared" si="22"/>
        <v>0</v>
      </c>
      <c r="BQ16" s="1253">
        <f t="shared" si="23"/>
        <v>4.4000000000000004</v>
      </c>
      <c r="BR16" s="1253">
        <f t="shared" si="24"/>
        <v>2.6399999999999997</v>
      </c>
      <c r="BS16" s="1253">
        <f t="shared" si="25"/>
        <v>2.6399999999999997</v>
      </c>
      <c r="BT16" s="1253">
        <f t="shared" si="26"/>
        <v>2.2000000000000002</v>
      </c>
      <c r="BU16" s="1253">
        <f t="shared" si="38"/>
        <v>1.3199999999999998</v>
      </c>
      <c r="BV16" s="1253">
        <f t="shared" si="27"/>
        <v>2.6399999999999997</v>
      </c>
      <c r="BW16" s="1253">
        <f t="shared" si="28"/>
        <v>0</v>
      </c>
      <c r="BX16" s="1253">
        <f t="shared" si="29"/>
        <v>15.84</v>
      </c>
      <c r="BY16" s="1254">
        <v>0</v>
      </c>
      <c r="BZ16" s="1253">
        <f t="shared" ref="BZ16:BZ22" si="40">IF(BL16=$G$2,$CC$39/$BL$38,0)</f>
        <v>0</v>
      </c>
      <c r="CA16" s="1254">
        <v>0</v>
      </c>
      <c r="CB16" s="1254">
        <v>0</v>
      </c>
      <c r="CC16" s="1253">
        <f t="shared" si="31"/>
        <v>0</v>
      </c>
      <c r="CD16" s="1253">
        <f t="shared" si="32"/>
        <v>17.380000000000003</v>
      </c>
      <c r="CE16" s="1257">
        <f t="shared" si="33"/>
        <v>17.380000000000003</v>
      </c>
      <c r="CF16" s="1253">
        <f t="shared" si="34"/>
        <v>33.22</v>
      </c>
      <c r="CG16" s="191"/>
      <c r="CH16" s="191">
        <f t="shared" si="0"/>
        <v>0</v>
      </c>
    </row>
    <row r="17" spans="2:86" ht="26.25" customHeight="1" x14ac:dyDescent="0.3">
      <c r="B17" s="517">
        <v>11</v>
      </c>
      <c r="C17" s="1233">
        <f t="shared" si="35"/>
        <v>44876</v>
      </c>
      <c r="D17" s="124" t="str">
        <f>IF(C17="","",INDEX({"रविवार";"सोमवार";"मंगळवार";"बुधवार";"गुरूवार";"शुक्रवार";"शनिवार"},WEEKDAY(C17)))</f>
        <v>शुक्रवार</v>
      </c>
      <c r="E17" s="125" t="str">
        <f>HLOOKUP(C3,'दैनिक माहिती'!BF120:BQ151,12,0)</f>
        <v>वाटाणा</v>
      </c>
      <c r="F17" s="131" t="str">
        <f>HLOOKUP(C3,'दैनिक माहिती'!BF338:BQ369,12,0)</f>
        <v>उसळ</v>
      </c>
      <c r="G17" s="126">
        <f t="shared" si="5"/>
        <v>0</v>
      </c>
      <c r="H17" s="131">
        <f>HLOOKUP(C3,'दैनिक माहिती'!BF46:BQ78,12,0)</f>
        <v>22</v>
      </c>
      <c r="I17" s="131">
        <f>HLOOKUP(C3,'दैनिक माहिती'!BF83:BQ115,12,0)</f>
        <v>22</v>
      </c>
      <c r="J17" s="127">
        <f t="shared" si="6"/>
        <v>4.4000000000000004</v>
      </c>
      <c r="K17" s="128">
        <f t="shared" si="7"/>
        <v>0</v>
      </c>
      <c r="L17" s="128">
        <f t="shared" si="8"/>
        <v>0</v>
      </c>
      <c r="M17" s="128">
        <f t="shared" si="9"/>
        <v>2.6399999999999997</v>
      </c>
      <c r="N17" s="128">
        <f t="shared" si="10"/>
        <v>2.6399999999999997</v>
      </c>
      <c r="O17" s="128">
        <f t="shared" si="11"/>
        <v>2.2000000000000002</v>
      </c>
      <c r="P17" s="128">
        <f t="shared" si="36"/>
        <v>1.3199999999999998</v>
      </c>
      <c r="Q17" s="128">
        <f t="shared" si="12"/>
        <v>2.6399999999999997</v>
      </c>
      <c r="R17" s="128">
        <f t="shared" si="13"/>
        <v>0</v>
      </c>
      <c r="S17" s="129">
        <f t="shared" si="14"/>
        <v>15.84</v>
      </c>
      <c r="T17" s="518">
        <v>0</v>
      </c>
      <c r="U17" s="130">
        <f t="shared" si="39"/>
        <v>0</v>
      </c>
      <c r="V17" s="518">
        <v>0</v>
      </c>
      <c r="W17" s="518">
        <v>0</v>
      </c>
      <c r="X17" s="120">
        <f t="shared" si="16"/>
        <v>0</v>
      </c>
      <c r="Y17" s="121">
        <f t="shared" si="17"/>
        <v>17.380000000000003</v>
      </c>
      <c r="Z17" s="1149">
        <f t="shared" si="18"/>
        <v>17.380000000000003</v>
      </c>
      <c r="AA17" s="122">
        <f t="shared" si="19"/>
        <v>50.6</v>
      </c>
      <c r="BG17" s="1246">
        <v>11</v>
      </c>
      <c r="BH17" s="1247">
        <f t="shared" si="37"/>
        <v>44876</v>
      </c>
      <c r="BI17" s="1248" t="str">
        <f>IF(BH17="","",INDEX({"रविवार";"सोमवार";"मंगळवार";"बुधवार";"गुरूवार";"शुक्रवार";"शनिवार"},WEEKDAY(BH17)))</f>
        <v>शुक्रवार</v>
      </c>
      <c r="BJ17" s="1249" t="str">
        <f>HLOOKUP(BH3,'दैनिक माहिती'!BF120:BQ151,12,0)</f>
        <v>वाटाणा</v>
      </c>
      <c r="BK17" s="1250"/>
      <c r="BL17" s="1251">
        <f t="shared" si="20"/>
        <v>0</v>
      </c>
      <c r="BM17" s="1250"/>
      <c r="BN17" s="1251">
        <f>HLOOKUP(BH3,'दैनिक माहिती'!BF83:BQ115,12,0)</f>
        <v>22</v>
      </c>
      <c r="BO17" s="1252">
        <f t="shared" si="21"/>
        <v>4.4000000000000004</v>
      </c>
      <c r="BP17" s="1253">
        <f t="shared" si="22"/>
        <v>0</v>
      </c>
      <c r="BQ17" s="1253">
        <f t="shared" si="23"/>
        <v>0</v>
      </c>
      <c r="BR17" s="1253">
        <f t="shared" si="24"/>
        <v>2.6399999999999997</v>
      </c>
      <c r="BS17" s="1253">
        <f t="shared" si="25"/>
        <v>2.6399999999999997</v>
      </c>
      <c r="BT17" s="1253">
        <f t="shared" si="26"/>
        <v>2.2000000000000002</v>
      </c>
      <c r="BU17" s="1253">
        <f t="shared" si="38"/>
        <v>1.3199999999999998</v>
      </c>
      <c r="BV17" s="1253">
        <f t="shared" si="27"/>
        <v>2.6399999999999997</v>
      </c>
      <c r="BW17" s="1253">
        <f t="shared" si="28"/>
        <v>0</v>
      </c>
      <c r="BX17" s="1253">
        <f t="shared" si="29"/>
        <v>15.84</v>
      </c>
      <c r="BY17" s="1254">
        <v>0</v>
      </c>
      <c r="BZ17" s="1253">
        <f t="shared" si="40"/>
        <v>0</v>
      </c>
      <c r="CA17" s="1254">
        <v>0</v>
      </c>
      <c r="CB17" s="1254">
        <v>0</v>
      </c>
      <c r="CC17" s="1253">
        <f t="shared" si="31"/>
        <v>0</v>
      </c>
      <c r="CD17" s="1253">
        <f t="shared" si="32"/>
        <v>17.380000000000003</v>
      </c>
      <c r="CE17" s="1257">
        <f t="shared" si="33"/>
        <v>17.380000000000003</v>
      </c>
      <c r="CF17" s="1253">
        <f t="shared" si="34"/>
        <v>33.22</v>
      </c>
      <c r="CG17" s="191"/>
      <c r="CH17" s="191">
        <f t="shared" si="0"/>
        <v>0</v>
      </c>
    </row>
    <row r="18" spans="2:86" ht="26.25" customHeight="1" x14ac:dyDescent="0.3">
      <c r="B18" s="517">
        <v>12</v>
      </c>
      <c r="C18" s="1233">
        <f t="shared" si="35"/>
        <v>44877</v>
      </c>
      <c r="D18" s="124" t="str">
        <f>IF(C18="","",INDEX({"रविवार";"सोमवार";"मंगळवार";"बुधवार";"गुरूवार";"शुक्रवार";"शनिवार"},WEEKDAY(C18)))</f>
        <v>शनिवार</v>
      </c>
      <c r="E18" s="125" t="str">
        <f>HLOOKUP(C3,'दैनिक माहिती'!BF120:BQ151,13,0)</f>
        <v>मुगडाळ</v>
      </c>
      <c r="F18" s="131" t="str">
        <f>HLOOKUP(C3,'दैनिक माहिती'!BF338:BQ369,13,0)</f>
        <v>खिचडी</v>
      </c>
      <c r="G18" s="126" t="str">
        <f t="shared" si="5"/>
        <v>वाटप</v>
      </c>
      <c r="H18" s="131">
        <f>HLOOKUP(C3,'दैनिक माहिती'!BF46:BQ78,13,0)</f>
        <v>22</v>
      </c>
      <c r="I18" s="131">
        <f>HLOOKUP(C3,'दैनिक माहिती'!BF83:BQ115,13,0)</f>
        <v>22</v>
      </c>
      <c r="J18" s="127">
        <f t="shared" si="6"/>
        <v>4.4000000000000004</v>
      </c>
      <c r="K18" s="128">
        <f t="shared" si="7"/>
        <v>0</v>
      </c>
      <c r="L18" s="128">
        <f t="shared" si="8"/>
        <v>0</v>
      </c>
      <c r="M18" s="128">
        <f t="shared" si="9"/>
        <v>2.6399999999999997</v>
      </c>
      <c r="N18" s="128">
        <f t="shared" si="10"/>
        <v>2.6399999999999997</v>
      </c>
      <c r="O18" s="128">
        <f t="shared" si="11"/>
        <v>2.2000000000000002</v>
      </c>
      <c r="P18" s="128">
        <f t="shared" si="36"/>
        <v>1.3199999999999998</v>
      </c>
      <c r="Q18" s="128">
        <f t="shared" si="12"/>
        <v>2.6399999999999997</v>
      </c>
      <c r="R18" s="128">
        <f t="shared" si="13"/>
        <v>0</v>
      </c>
      <c r="S18" s="129">
        <f t="shared" si="14"/>
        <v>15.84</v>
      </c>
      <c r="T18" s="518">
        <v>0</v>
      </c>
      <c r="U18" s="130">
        <f t="shared" si="39"/>
        <v>80.813333333333318</v>
      </c>
      <c r="V18" s="518">
        <v>0</v>
      </c>
      <c r="W18" s="518">
        <v>0</v>
      </c>
      <c r="X18" s="120">
        <f t="shared" si="16"/>
        <v>80.813333333333318</v>
      </c>
      <c r="Y18" s="121">
        <f t="shared" si="17"/>
        <v>17.380000000000003</v>
      </c>
      <c r="Z18" s="1149">
        <f t="shared" si="18"/>
        <v>17.380000000000003</v>
      </c>
      <c r="AA18" s="122">
        <f t="shared" si="19"/>
        <v>131.41333333333333</v>
      </c>
      <c r="BG18" s="1246">
        <v>12</v>
      </c>
      <c r="BH18" s="1247">
        <f t="shared" si="37"/>
        <v>44877</v>
      </c>
      <c r="BI18" s="1248" t="str">
        <f>IF(BH18="","",INDEX({"रविवार";"सोमवार";"मंगळवार";"बुधवार";"गुरूवार";"शुक्रवार";"शनिवार"},WEEKDAY(BH18)))</f>
        <v>शनिवार</v>
      </c>
      <c r="BJ18" s="1249" t="str">
        <f>HLOOKUP(BH3,'दैनिक माहिती'!BF120:BQ151,13,0)</f>
        <v>मुगडाळ</v>
      </c>
      <c r="BK18" s="1250"/>
      <c r="BL18" s="1251" t="str">
        <f t="shared" si="20"/>
        <v>वाटप</v>
      </c>
      <c r="BM18" s="1250"/>
      <c r="BN18" s="1251">
        <f>HLOOKUP(BH3,'दैनिक माहिती'!BF83:BQ115,13,0)</f>
        <v>22</v>
      </c>
      <c r="BO18" s="1252">
        <f t="shared" si="21"/>
        <v>4.4000000000000004</v>
      </c>
      <c r="BP18" s="1253">
        <f t="shared" si="22"/>
        <v>0</v>
      </c>
      <c r="BQ18" s="1253">
        <f t="shared" si="23"/>
        <v>0</v>
      </c>
      <c r="BR18" s="1253">
        <f t="shared" si="24"/>
        <v>2.6399999999999997</v>
      </c>
      <c r="BS18" s="1253">
        <f t="shared" si="25"/>
        <v>2.6399999999999997</v>
      </c>
      <c r="BT18" s="1253">
        <f t="shared" si="26"/>
        <v>2.2000000000000002</v>
      </c>
      <c r="BU18" s="1253">
        <f t="shared" si="38"/>
        <v>1.3199999999999998</v>
      </c>
      <c r="BV18" s="1253">
        <f t="shared" si="27"/>
        <v>2.6399999999999997</v>
      </c>
      <c r="BW18" s="1253">
        <f t="shared" si="28"/>
        <v>0</v>
      </c>
      <c r="BX18" s="1253">
        <f t="shared" si="29"/>
        <v>15.84</v>
      </c>
      <c r="BY18" s="1254">
        <v>0</v>
      </c>
      <c r="BZ18" s="1253">
        <f t="shared" si="40"/>
        <v>80.813333333333318</v>
      </c>
      <c r="CA18" s="1254">
        <v>0</v>
      </c>
      <c r="CB18" s="1254">
        <v>0</v>
      </c>
      <c r="CC18" s="1253">
        <f t="shared" si="31"/>
        <v>80.813333333333318</v>
      </c>
      <c r="CD18" s="1253">
        <f t="shared" si="32"/>
        <v>17.380000000000003</v>
      </c>
      <c r="CE18" s="1257">
        <f t="shared" si="33"/>
        <v>17.380000000000003</v>
      </c>
      <c r="CF18" s="1253">
        <f t="shared" si="34"/>
        <v>114.03333333333333</v>
      </c>
      <c r="CG18" s="191"/>
      <c r="CH18" s="191">
        <f t="shared" si="0"/>
        <v>0</v>
      </c>
    </row>
    <row r="19" spans="2:86" ht="26.25" customHeight="1" x14ac:dyDescent="0.3">
      <c r="B19" s="517">
        <v>13</v>
      </c>
      <c r="C19" s="1233">
        <f t="shared" si="35"/>
        <v>44878</v>
      </c>
      <c r="D19" s="124" t="str">
        <f>IF(C19="","",INDEX({"रविवार";"सोमवार";"मंगळवार";"बुधवार";"गुरूवार";"शुक्रवार";"शनिवार"},WEEKDAY(C19)))</f>
        <v>रविवार</v>
      </c>
      <c r="E19" s="125">
        <f>HLOOKUP(C3,'दैनिक माहिती'!BF120:BQ151,14,0)</f>
        <v>0</v>
      </c>
      <c r="F19" s="131">
        <f>HLOOKUP(C3,'दैनिक माहिती'!BF338:BQ369,14,0)</f>
        <v>0</v>
      </c>
      <c r="G19" s="126">
        <f t="shared" si="5"/>
        <v>0</v>
      </c>
      <c r="H19" s="131">
        <f>HLOOKUP(C3,'दैनिक माहिती'!BF46:BQ78,14,0)</f>
        <v>0</v>
      </c>
      <c r="I19" s="131">
        <f>HLOOKUP(C3,'दैनिक माहिती'!BF83:BQ115,14,0)</f>
        <v>0</v>
      </c>
      <c r="J19" s="127">
        <f t="shared" si="6"/>
        <v>0</v>
      </c>
      <c r="K19" s="128">
        <f t="shared" si="7"/>
        <v>0</v>
      </c>
      <c r="L19" s="128">
        <f t="shared" si="8"/>
        <v>0</v>
      </c>
      <c r="M19" s="128">
        <f t="shared" si="9"/>
        <v>0</v>
      </c>
      <c r="N19" s="128">
        <f t="shared" si="10"/>
        <v>0</v>
      </c>
      <c r="O19" s="128">
        <f t="shared" si="11"/>
        <v>0</v>
      </c>
      <c r="P19" s="128">
        <f t="shared" si="36"/>
        <v>0</v>
      </c>
      <c r="Q19" s="128">
        <f t="shared" si="12"/>
        <v>0</v>
      </c>
      <c r="R19" s="128">
        <f t="shared" si="13"/>
        <v>0</v>
      </c>
      <c r="S19" s="129">
        <f t="shared" si="14"/>
        <v>0</v>
      </c>
      <c r="T19" s="518">
        <v>0</v>
      </c>
      <c r="U19" s="130">
        <f t="shared" si="39"/>
        <v>0</v>
      </c>
      <c r="V19" s="518">
        <v>0</v>
      </c>
      <c r="W19" s="518">
        <v>0</v>
      </c>
      <c r="X19" s="120">
        <f t="shared" si="16"/>
        <v>0</v>
      </c>
      <c r="Y19" s="121">
        <f t="shared" si="17"/>
        <v>0</v>
      </c>
      <c r="Z19" s="1149">
        <f t="shared" si="18"/>
        <v>0</v>
      </c>
      <c r="AA19" s="122">
        <f t="shared" si="19"/>
        <v>0</v>
      </c>
      <c r="BG19" s="1246">
        <v>13</v>
      </c>
      <c r="BH19" s="1247">
        <f t="shared" si="37"/>
        <v>44878</v>
      </c>
      <c r="BI19" s="1248" t="str">
        <f>IF(BH19="","",INDEX({"रविवार";"सोमवार";"मंगळवार";"बुधवार";"गुरूवार";"शुक्रवार";"शनिवार"},WEEKDAY(BH19)))</f>
        <v>रविवार</v>
      </c>
      <c r="BJ19" s="1249">
        <f>HLOOKUP(BH3,'दैनिक माहिती'!BF120:BQ151,14,0)</f>
        <v>0</v>
      </c>
      <c r="BK19" s="1250"/>
      <c r="BL19" s="1251">
        <f t="shared" si="20"/>
        <v>0</v>
      </c>
      <c r="BM19" s="1250"/>
      <c r="BN19" s="1251">
        <f>HLOOKUP(BH3,'दैनिक माहिती'!BF83:BQ115,14,0)</f>
        <v>0</v>
      </c>
      <c r="BO19" s="1252">
        <f t="shared" si="21"/>
        <v>0</v>
      </c>
      <c r="BP19" s="1253">
        <f t="shared" si="22"/>
        <v>0</v>
      </c>
      <c r="BQ19" s="1253">
        <f t="shared" si="23"/>
        <v>0</v>
      </c>
      <c r="BR19" s="1253">
        <f t="shared" si="24"/>
        <v>0</v>
      </c>
      <c r="BS19" s="1253">
        <f t="shared" si="25"/>
        <v>0</v>
      </c>
      <c r="BT19" s="1253">
        <f t="shared" si="26"/>
        <v>0</v>
      </c>
      <c r="BU19" s="1253">
        <f t="shared" si="38"/>
        <v>0</v>
      </c>
      <c r="BV19" s="1253">
        <f t="shared" si="27"/>
        <v>0</v>
      </c>
      <c r="BW19" s="1253">
        <f t="shared" si="28"/>
        <v>0</v>
      </c>
      <c r="BX19" s="1253">
        <f t="shared" si="29"/>
        <v>0</v>
      </c>
      <c r="BY19" s="1254">
        <v>0</v>
      </c>
      <c r="BZ19" s="1253">
        <f t="shared" si="40"/>
        <v>0</v>
      </c>
      <c r="CA19" s="1254">
        <v>0</v>
      </c>
      <c r="CB19" s="1254">
        <v>0</v>
      </c>
      <c r="CC19" s="1253">
        <f t="shared" si="31"/>
        <v>0</v>
      </c>
      <c r="CD19" s="1253">
        <f t="shared" si="32"/>
        <v>0</v>
      </c>
      <c r="CE19" s="1257">
        <f t="shared" si="33"/>
        <v>0</v>
      </c>
      <c r="CF19" s="1253">
        <f t="shared" si="34"/>
        <v>0</v>
      </c>
      <c r="CG19" s="191"/>
      <c r="CH19" s="191">
        <f t="shared" si="0"/>
        <v>0</v>
      </c>
    </row>
    <row r="20" spans="2:86" ht="26.25" customHeight="1" x14ac:dyDescent="0.3">
      <c r="B20" s="517">
        <v>14</v>
      </c>
      <c r="C20" s="1233">
        <f t="shared" si="35"/>
        <v>44879</v>
      </c>
      <c r="D20" s="124" t="str">
        <f>IF(C20="","",INDEX({"रविवार";"सोमवार";"मंगळवार";"बुधवार";"गुरूवार";"शुक्रवार";"शनिवार"},WEEKDAY(C20)))</f>
        <v>सोमवार</v>
      </c>
      <c r="E20" s="125" t="str">
        <f>HLOOKUP(C3,'दैनिक माहिती'!BF120:BQ151,15,0)</f>
        <v>मुगडाळ</v>
      </c>
      <c r="F20" s="131" t="str">
        <f>HLOOKUP(C3,'दैनिक माहिती'!BF338:BQ369,15,0)</f>
        <v>खिचडी</v>
      </c>
      <c r="G20" s="126">
        <f t="shared" si="5"/>
        <v>0</v>
      </c>
      <c r="H20" s="131">
        <f>HLOOKUP(C3,'दैनिक माहिती'!BF46:BQ78,15,0)</f>
        <v>22</v>
      </c>
      <c r="I20" s="131">
        <f>HLOOKUP(C3,'दैनिक माहिती'!BF83:BQ115,15,0)</f>
        <v>22</v>
      </c>
      <c r="J20" s="127">
        <f t="shared" si="6"/>
        <v>4.4000000000000004</v>
      </c>
      <c r="K20" s="128">
        <f t="shared" si="7"/>
        <v>0</v>
      </c>
      <c r="L20" s="128">
        <f t="shared" si="8"/>
        <v>0</v>
      </c>
      <c r="M20" s="128">
        <f t="shared" si="9"/>
        <v>2.6399999999999997</v>
      </c>
      <c r="N20" s="128">
        <f t="shared" si="10"/>
        <v>2.6399999999999997</v>
      </c>
      <c r="O20" s="128">
        <f t="shared" si="11"/>
        <v>2.2000000000000002</v>
      </c>
      <c r="P20" s="128">
        <f t="shared" si="36"/>
        <v>1.3199999999999998</v>
      </c>
      <c r="Q20" s="128">
        <f t="shared" si="12"/>
        <v>2.6399999999999997</v>
      </c>
      <c r="R20" s="128">
        <f t="shared" si="13"/>
        <v>0</v>
      </c>
      <c r="S20" s="129">
        <f t="shared" si="14"/>
        <v>15.84</v>
      </c>
      <c r="T20" s="518">
        <v>0</v>
      </c>
      <c r="U20" s="130">
        <f t="shared" si="39"/>
        <v>0</v>
      </c>
      <c r="V20" s="518">
        <v>0</v>
      </c>
      <c r="W20" s="518">
        <v>0</v>
      </c>
      <c r="X20" s="120">
        <f t="shared" si="16"/>
        <v>0</v>
      </c>
      <c r="Y20" s="121">
        <f t="shared" si="17"/>
        <v>17.380000000000003</v>
      </c>
      <c r="Z20" s="1149">
        <f t="shared" si="18"/>
        <v>17.380000000000003</v>
      </c>
      <c r="AA20" s="122">
        <f t="shared" si="19"/>
        <v>50.6</v>
      </c>
      <c r="BG20" s="1246">
        <v>14</v>
      </c>
      <c r="BH20" s="1247">
        <f t="shared" si="37"/>
        <v>44879</v>
      </c>
      <c r="BI20" s="1248" t="str">
        <f>IF(BH20="","",INDEX({"रविवार";"सोमवार";"मंगळवार";"बुधवार";"गुरूवार";"शुक्रवार";"शनिवार"},WEEKDAY(BH20)))</f>
        <v>सोमवार</v>
      </c>
      <c r="BJ20" s="1249" t="str">
        <f>HLOOKUP(BH3,'दैनिक माहिती'!BF120:BQ151,15,0)</f>
        <v>मुगडाळ</v>
      </c>
      <c r="BK20" s="1250"/>
      <c r="BL20" s="1251">
        <f t="shared" si="20"/>
        <v>0</v>
      </c>
      <c r="BM20" s="1250"/>
      <c r="BN20" s="1251">
        <f>HLOOKUP(BH3,'दैनिक माहिती'!BF83:BQ115,15,0)</f>
        <v>22</v>
      </c>
      <c r="BO20" s="1252">
        <f t="shared" si="21"/>
        <v>4.4000000000000004</v>
      </c>
      <c r="BP20" s="1253">
        <f t="shared" si="22"/>
        <v>0</v>
      </c>
      <c r="BQ20" s="1253">
        <f t="shared" si="23"/>
        <v>0</v>
      </c>
      <c r="BR20" s="1253">
        <f t="shared" si="24"/>
        <v>2.6399999999999997</v>
      </c>
      <c r="BS20" s="1253">
        <f t="shared" si="25"/>
        <v>2.6399999999999997</v>
      </c>
      <c r="BT20" s="1253">
        <f t="shared" si="26"/>
        <v>2.2000000000000002</v>
      </c>
      <c r="BU20" s="1253">
        <f t="shared" si="38"/>
        <v>1.3199999999999998</v>
      </c>
      <c r="BV20" s="1253">
        <f t="shared" si="27"/>
        <v>2.6399999999999997</v>
      </c>
      <c r="BW20" s="1253">
        <f t="shared" si="28"/>
        <v>0</v>
      </c>
      <c r="BX20" s="1253">
        <f t="shared" si="29"/>
        <v>15.84</v>
      </c>
      <c r="BY20" s="1254">
        <v>0</v>
      </c>
      <c r="BZ20" s="1253">
        <f t="shared" si="40"/>
        <v>0</v>
      </c>
      <c r="CA20" s="1254">
        <v>0</v>
      </c>
      <c r="CB20" s="1254">
        <v>0</v>
      </c>
      <c r="CC20" s="1253">
        <f t="shared" si="31"/>
        <v>0</v>
      </c>
      <c r="CD20" s="1253">
        <f t="shared" si="32"/>
        <v>17.380000000000003</v>
      </c>
      <c r="CE20" s="1257">
        <f t="shared" si="33"/>
        <v>17.380000000000003</v>
      </c>
      <c r="CF20" s="1253">
        <f t="shared" si="34"/>
        <v>33.22</v>
      </c>
      <c r="CG20" s="191"/>
      <c r="CH20" s="191">
        <f t="shared" si="0"/>
        <v>0</v>
      </c>
    </row>
    <row r="21" spans="2:86" ht="26.25" customHeight="1" x14ac:dyDescent="0.3">
      <c r="B21" s="517">
        <v>15</v>
      </c>
      <c r="C21" s="1233">
        <f t="shared" si="35"/>
        <v>44880</v>
      </c>
      <c r="D21" s="124" t="str">
        <f>IF(C21="","",INDEX({"रविवार";"सोमवार";"मंगळवार";"बुधवार";"गुरूवार";"शुक्रवार";"शनिवार"},WEEKDAY(C21)))</f>
        <v>मंगळवार</v>
      </c>
      <c r="E21" s="125" t="str">
        <f>HLOOKUP(C3,'दैनिक माहिती'!BF120:BQ151,16,0)</f>
        <v>हरभरा</v>
      </c>
      <c r="F21" s="131" t="str">
        <f>HLOOKUP(C3,'दैनिक माहिती'!BF338:BQ369,16,0)</f>
        <v>उसळ</v>
      </c>
      <c r="G21" s="126">
        <f t="shared" si="5"/>
        <v>0</v>
      </c>
      <c r="H21" s="131">
        <f>HLOOKUP(C3,'दैनिक माहिती'!BF46:BQ78,16,0)</f>
        <v>22</v>
      </c>
      <c r="I21" s="131">
        <f>HLOOKUP(C3,'दैनिक माहिती'!BF83:BQ115,16,0)</f>
        <v>22</v>
      </c>
      <c r="J21" s="127">
        <f t="shared" si="6"/>
        <v>0</v>
      </c>
      <c r="K21" s="128">
        <f t="shared" si="7"/>
        <v>0</v>
      </c>
      <c r="L21" s="128">
        <f t="shared" si="8"/>
        <v>4.4000000000000004</v>
      </c>
      <c r="M21" s="128">
        <f t="shared" si="9"/>
        <v>2.6399999999999997</v>
      </c>
      <c r="N21" s="128">
        <f t="shared" si="10"/>
        <v>2.6399999999999997</v>
      </c>
      <c r="O21" s="128">
        <f t="shared" si="11"/>
        <v>2.2000000000000002</v>
      </c>
      <c r="P21" s="128">
        <f t="shared" si="36"/>
        <v>1.3199999999999998</v>
      </c>
      <c r="Q21" s="128">
        <f t="shared" si="12"/>
        <v>2.6399999999999997</v>
      </c>
      <c r="R21" s="128">
        <f t="shared" si="13"/>
        <v>0</v>
      </c>
      <c r="S21" s="129">
        <f t="shared" si="14"/>
        <v>15.84</v>
      </c>
      <c r="T21" s="518">
        <v>0</v>
      </c>
      <c r="U21" s="130">
        <f t="shared" si="39"/>
        <v>0</v>
      </c>
      <c r="V21" s="518">
        <v>0</v>
      </c>
      <c r="W21" s="518">
        <v>0</v>
      </c>
      <c r="X21" s="120">
        <f t="shared" si="16"/>
        <v>0</v>
      </c>
      <c r="Y21" s="121">
        <f t="shared" si="17"/>
        <v>17.380000000000003</v>
      </c>
      <c r="Z21" s="1149">
        <f t="shared" si="18"/>
        <v>17.380000000000003</v>
      </c>
      <c r="AA21" s="122">
        <f t="shared" si="19"/>
        <v>50.6</v>
      </c>
      <c r="BG21" s="1246">
        <v>15</v>
      </c>
      <c r="BH21" s="1247">
        <f t="shared" si="37"/>
        <v>44880</v>
      </c>
      <c r="BI21" s="1248" t="str">
        <f>IF(BH21="","",INDEX({"रविवार";"सोमवार";"मंगळवार";"बुधवार";"गुरूवार";"शुक्रवार";"शनिवार"},WEEKDAY(BH21)))</f>
        <v>मंगळवार</v>
      </c>
      <c r="BJ21" s="1249" t="str">
        <f>HLOOKUP(BH3,'दैनिक माहिती'!BF120:BQ151,16,0)</f>
        <v>हरभरा</v>
      </c>
      <c r="BK21" s="1250"/>
      <c r="BL21" s="1251">
        <f t="shared" si="20"/>
        <v>0</v>
      </c>
      <c r="BM21" s="1250"/>
      <c r="BN21" s="1251">
        <f>HLOOKUP(BH3,'दैनिक माहिती'!BF83:BQ115,16,0)</f>
        <v>22</v>
      </c>
      <c r="BO21" s="1252">
        <f t="shared" si="21"/>
        <v>0</v>
      </c>
      <c r="BP21" s="1253">
        <f t="shared" si="22"/>
        <v>0</v>
      </c>
      <c r="BQ21" s="1253">
        <f t="shared" si="23"/>
        <v>4.4000000000000004</v>
      </c>
      <c r="BR21" s="1253">
        <f t="shared" si="24"/>
        <v>2.6399999999999997</v>
      </c>
      <c r="BS21" s="1253">
        <f t="shared" si="25"/>
        <v>2.6399999999999997</v>
      </c>
      <c r="BT21" s="1253">
        <f t="shared" si="26"/>
        <v>2.2000000000000002</v>
      </c>
      <c r="BU21" s="1253">
        <f t="shared" si="38"/>
        <v>1.3199999999999998</v>
      </c>
      <c r="BV21" s="1253">
        <f t="shared" si="27"/>
        <v>2.6399999999999997</v>
      </c>
      <c r="BW21" s="1253">
        <f t="shared" si="28"/>
        <v>0</v>
      </c>
      <c r="BX21" s="1253">
        <f t="shared" si="29"/>
        <v>15.84</v>
      </c>
      <c r="BY21" s="1254">
        <v>0</v>
      </c>
      <c r="BZ21" s="1253">
        <f t="shared" si="40"/>
        <v>0</v>
      </c>
      <c r="CA21" s="1254">
        <v>0</v>
      </c>
      <c r="CB21" s="1254">
        <v>0</v>
      </c>
      <c r="CC21" s="1253">
        <f t="shared" si="31"/>
        <v>0</v>
      </c>
      <c r="CD21" s="1253">
        <f t="shared" si="32"/>
        <v>17.380000000000003</v>
      </c>
      <c r="CE21" s="1257">
        <f t="shared" si="33"/>
        <v>17.380000000000003</v>
      </c>
      <c r="CF21" s="1253">
        <f t="shared" si="34"/>
        <v>33.22</v>
      </c>
      <c r="CG21" s="191"/>
      <c r="CH21" s="191">
        <f t="shared" si="0"/>
        <v>0</v>
      </c>
    </row>
    <row r="22" spans="2:86" ht="26.25" customHeight="1" x14ac:dyDescent="0.3">
      <c r="B22" s="517">
        <v>16</v>
      </c>
      <c r="C22" s="1233">
        <f>C21+1</f>
        <v>44881</v>
      </c>
      <c r="D22" s="124" t="str">
        <f>IF(C22="","",INDEX({"रविवार";"सोमवार";"मंगळवार";"बुधवार";"गुरूवार";"शुक्रवार";"शनिवार"},WEEKDAY(C22)))</f>
        <v>बुधवार</v>
      </c>
      <c r="E22" s="125" t="str">
        <f>HLOOKUP(C3,'दैनिक माहिती'!BF120:BQ151,17,0)</f>
        <v>वाटाणा</v>
      </c>
      <c r="F22" s="131" t="str">
        <f>HLOOKUP(C3,'दैनिक माहिती'!BF338:BQ369,17,0)</f>
        <v>उसळ</v>
      </c>
      <c r="G22" s="126">
        <f t="shared" si="5"/>
        <v>0</v>
      </c>
      <c r="H22" s="131">
        <f>HLOOKUP(C3,'दैनिक माहिती'!BF46:BQ78,17,0)</f>
        <v>22</v>
      </c>
      <c r="I22" s="131">
        <f>HLOOKUP(C3,'दैनिक माहिती'!BF83:BQ115,17,0)</f>
        <v>22</v>
      </c>
      <c r="J22" s="127">
        <f t="shared" si="6"/>
        <v>4.4000000000000004</v>
      </c>
      <c r="K22" s="128">
        <f t="shared" si="7"/>
        <v>0</v>
      </c>
      <c r="L22" s="128">
        <f t="shared" si="8"/>
        <v>0</v>
      </c>
      <c r="M22" s="128">
        <f t="shared" si="9"/>
        <v>2.6399999999999997</v>
      </c>
      <c r="N22" s="128">
        <f t="shared" si="10"/>
        <v>2.6399999999999997</v>
      </c>
      <c r="O22" s="128">
        <f t="shared" si="11"/>
        <v>2.2000000000000002</v>
      </c>
      <c r="P22" s="128">
        <f t="shared" si="36"/>
        <v>1.3199999999999998</v>
      </c>
      <c r="Q22" s="128">
        <f t="shared" si="12"/>
        <v>2.6399999999999997</v>
      </c>
      <c r="R22" s="128">
        <f t="shared" si="13"/>
        <v>0</v>
      </c>
      <c r="S22" s="129">
        <f t="shared" si="14"/>
        <v>15.84</v>
      </c>
      <c r="T22" s="518">
        <v>0</v>
      </c>
      <c r="U22" s="130">
        <f t="shared" si="39"/>
        <v>0</v>
      </c>
      <c r="V22" s="518">
        <v>0</v>
      </c>
      <c r="W22" s="518">
        <v>0</v>
      </c>
      <c r="X22" s="120">
        <f t="shared" si="16"/>
        <v>0</v>
      </c>
      <c r="Y22" s="121">
        <f t="shared" si="17"/>
        <v>17.380000000000003</v>
      </c>
      <c r="Z22" s="1149">
        <f t="shared" si="18"/>
        <v>17.380000000000003</v>
      </c>
      <c r="AA22" s="122">
        <f t="shared" si="19"/>
        <v>50.6</v>
      </c>
      <c r="BG22" s="1246">
        <v>16</v>
      </c>
      <c r="BH22" s="1247">
        <f>BH21+1</f>
        <v>44881</v>
      </c>
      <c r="BI22" s="1248" t="str">
        <f>IF(BH22="","",INDEX({"रविवार";"सोमवार";"मंगळवार";"बुधवार";"गुरूवार";"शुक्रवार";"शनिवार"},WEEKDAY(BH22)))</f>
        <v>बुधवार</v>
      </c>
      <c r="BJ22" s="1249" t="str">
        <f>HLOOKUP(BH3,'दैनिक माहिती'!BF120:BQ151,17,0)</f>
        <v>वाटाणा</v>
      </c>
      <c r="BK22" s="1250"/>
      <c r="BL22" s="1251">
        <f t="shared" si="20"/>
        <v>0</v>
      </c>
      <c r="BM22" s="1250"/>
      <c r="BN22" s="1251">
        <f>HLOOKUP(BH3,'दैनिक माहिती'!BF83:BQ115,17,0)</f>
        <v>22</v>
      </c>
      <c r="BO22" s="1252">
        <f t="shared" si="21"/>
        <v>4.4000000000000004</v>
      </c>
      <c r="BP22" s="1253">
        <f t="shared" si="22"/>
        <v>0</v>
      </c>
      <c r="BQ22" s="1253">
        <f t="shared" si="23"/>
        <v>0</v>
      </c>
      <c r="BR22" s="1253">
        <f t="shared" si="24"/>
        <v>2.6399999999999997</v>
      </c>
      <c r="BS22" s="1253">
        <f t="shared" si="25"/>
        <v>2.6399999999999997</v>
      </c>
      <c r="BT22" s="1253">
        <f t="shared" si="26"/>
        <v>2.2000000000000002</v>
      </c>
      <c r="BU22" s="1253">
        <f t="shared" si="38"/>
        <v>1.3199999999999998</v>
      </c>
      <c r="BV22" s="1253">
        <f t="shared" si="27"/>
        <v>2.6399999999999997</v>
      </c>
      <c r="BW22" s="1253">
        <f t="shared" si="28"/>
        <v>0</v>
      </c>
      <c r="BX22" s="1253">
        <f t="shared" si="29"/>
        <v>15.84</v>
      </c>
      <c r="BY22" s="1254">
        <v>0</v>
      </c>
      <c r="BZ22" s="1253">
        <f t="shared" si="40"/>
        <v>0</v>
      </c>
      <c r="CA22" s="1254">
        <v>0</v>
      </c>
      <c r="CB22" s="1254">
        <v>0</v>
      </c>
      <c r="CC22" s="1253">
        <f t="shared" si="31"/>
        <v>0</v>
      </c>
      <c r="CD22" s="1253">
        <f t="shared" si="32"/>
        <v>17.380000000000003</v>
      </c>
      <c r="CE22" s="1257">
        <f t="shared" si="33"/>
        <v>17.380000000000003</v>
      </c>
      <c r="CF22" s="1253">
        <f t="shared" si="34"/>
        <v>33.22</v>
      </c>
      <c r="CG22" s="191"/>
      <c r="CH22" s="191">
        <f t="shared" si="0"/>
        <v>0</v>
      </c>
    </row>
    <row r="23" spans="2:86" ht="26.25" customHeight="1" x14ac:dyDescent="0.3">
      <c r="B23" s="517">
        <v>17</v>
      </c>
      <c r="C23" s="1233">
        <f t="shared" si="35"/>
        <v>44882</v>
      </c>
      <c r="D23" s="124" t="str">
        <f>IF(C23="","",INDEX({"रविवार";"सोमवार";"मंगळवार";"बुधवार";"गुरूवार";"शुक्रवार";"शनिवार"},WEEKDAY(C23)))</f>
        <v>गुरूवार</v>
      </c>
      <c r="E23" s="125" t="str">
        <f>HLOOKUP(C3,'दैनिक माहिती'!BF120:BQ151,18,0)</f>
        <v>हरभरा</v>
      </c>
      <c r="F23" s="131" t="str">
        <f>HLOOKUP(C3,'दैनिक माहिती'!BF338:BQ369,18,0)</f>
        <v>उसळ</v>
      </c>
      <c r="G23" s="126">
        <f t="shared" si="5"/>
        <v>0</v>
      </c>
      <c r="H23" s="131">
        <f>HLOOKUP(C3,'दैनिक माहिती'!BF46:BQ78,18,0)</f>
        <v>22</v>
      </c>
      <c r="I23" s="131">
        <f>HLOOKUP(C3,'दैनिक माहिती'!BF83:BQ115,18,0)</f>
        <v>22</v>
      </c>
      <c r="J23" s="127">
        <f t="shared" si="6"/>
        <v>0</v>
      </c>
      <c r="K23" s="128">
        <f t="shared" si="7"/>
        <v>0</v>
      </c>
      <c r="L23" s="128">
        <f t="shared" si="8"/>
        <v>4.4000000000000004</v>
      </c>
      <c r="M23" s="128">
        <f t="shared" si="9"/>
        <v>2.6399999999999997</v>
      </c>
      <c r="N23" s="128">
        <f t="shared" si="10"/>
        <v>2.6399999999999997</v>
      </c>
      <c r="O23" s="128">
        <f t="shared" si="11"/>
        <v>2.2000000000000002</v>
      </c>
      <c r="P23" s="128">
        <f t="shared" si="36"/>
        <v>1.3199999999999998</v>
      </c>
      <c r="Q23" s="128">
        <f t="shared" si="12"/>
        <v>2.6399999999999997</v>
      </c>
      <c r="R23" s="128">
        <f t="shared" si="13"/>
        <v>0</v>
      </c>
      <c r="S23" s="129">
        <f t="shared" si="14"/>
        <v>15.84</v>
      </c>
      <c r="T23" s="518">
        <v>0</v>
      </c>
      <c r="U23" s="518">
        <v>0</v>
      </c>
      <c r="V23" s="130">
        <f>IF(G23=$G$2,$X$43/$G$38,0)</f>
        <v>0</v>
      </c>
      <c r="W23" s="518">
        <v>0</v>
      </c>
      <c r="X23" s="120">
        <f t="shared" si="16"/>
        <v>0</v>
      </c>
      <c r="Y23" s="121">
        <f t="shared" si="17"/>
        <v>17.380000000000003</v>
      </c>
      <c r="Z23" s="1149">
        <f t="shared" si="18"/>
        <v>17.380000000000003</v>
      </c>
      <c r="AA23" s="122">
        <f t="shared" si="19"/>
        <v>50.6</v>
      </c>
      <c r="BG23" s="1246">
        <v>17</v>
      </c>
      <c r="BH23" s="1247">
        <f t="shared" si="37"/>
        <v>44882</v>
      </c>
      <c r="BI23" s="1248" t="str">
        <f>IF(BH23="","",INDEX({"रविवार";"सोमवार";"मंगळवार";"बुधवार";"गुरूवार";"शुक्रवार";"शनिवार"},WEEKDAY(BH23)))</f>
        <v>गुरूवार</v>
      </c>
      <c r="BJ23" s="1249" t="str">
        <f>HLOOKUP(BH3,'दैनिक माहिती'!BF120:BQ151,18,0)</f>
        <v>हरभरा</v>
      </c>
      <c r="BK23" s="1250"/>
      <c r="BL23" s="1251">
        <f t="shared" si="20"/>
        <v>0</v>
      </c>
      <c r="BM23" s="1250"/>
      <c r="BN23" s="1251">
        <f>HLOOKUP(BH3,'दैनिक माहिती'!BF83:BQ115,18,0)</f>
        <v>22</v>
      </c>
      <c r="BO23" s="1252">
        <f t="shared" si="21"/>
        <v>0</v>
      </c>
      <c r="BP23" s="1253">
        <f t="shared" si="22"/>
        <v>0</v>
      </c>
      <c r="BQ23" s="1253">
        <f t="shared" si="23"/>
        <v>4.4000000000000004</v>
      </c>
      <c r="BR23" s="1253">
        <f t="shared" si="24"/>
        <v>2.6399999999999997</v>
      </c>
      <c r="BS23" s="1253">
        <f t="shared" si="25"/>
        <v>2.6399999999999997</v>
      </c>
      <c r="BT23" s="1253">
        <f t="shared" si="26"/>
        <v>2.2000000000000002</v>
      </c>
      <c r="BU23" s="1253">
        <f t="shared" si="38"/>
        <v>1.3199999999999998</v>
      </c>
      <c r="BV23" s="1253">
        <f t="shared" si="27"/>
        <v>2.6399999999999997</v>
      </c>
      <c r="BW23" s="1253">
        <f t="shared" si="28"/>
        <v>0</v>
      </c>
      <c r="BX23" s="1253">
        <f t="shared" si="29"/>
        <v>15.84</v>
      </c>
      <c r="BY23" s="1254">
        <v>0</v>
      </c>
      <c r="BZ23" s="1254">
        <v>0</v>
      </c>
      <c r="CA23" s="1253">
        <f>IF(BL23=$G$2,$CC$39/$BL$38,0)</f>
        <v>0</v>
      </c>
      <c r="CB23" s="1254">
        <v>0</v>
      </c>
      <c r="CC23" s="1253">
        <f t="shared" si="31"/>
        <v>0</v>
      </c>
      <c r="CD23" s="1253">
        <f t="shared" si="32"/>
        <v>17.380000000000003</v>
      </c>
      <c r="CE23" s="1257">
        <f t="shared" si="33"/>
        <v>17.380000000000003</v>
      </c>
      <c r="CF23" s="1253">
        <f t="shared" si="34"/>
        <v>33.22</v>
      </c>
      <c r="CG23" s="191"/>
      <c r="CH23" s="191">
        <f t="shared" si="0"/>
        <v>0</v>
      </c>
    </row>
    <row r="24" spans="2:86" ht="26.25" customHeight="1" x14ac:dyDescent="0.3">
      <c r="B24" s="517">
        <v>18</v>
      </c>
      <c r="C24" s="1233">
        <f t="shared" si="35"/>
        <v>44883</v>
      </c>
      <c r="D24" s="124" t="str">
        <f>IF(C24="","",INDEX({"रविवार";"सोमवार";"मंगळवार";"बुधवार";"गुरूवार";"शुक्रवार";"शनिवार"},WEEKDAY(C24)))</f>
        <v>शुक्रवार</v>
      </c>
      <c r="E24" s="125" t="str">
        <f>HLOOKUP(C3,'दैनिक माहिती'!BF120:BQ151,19,0)</f>
        <v>वाटाणा</v>
      </c>
      <c r="F24" s="131" t="str">
        <f>HLOOKUP(C3,'दैनिक माहिती'!BF338:BQ369,19,0)</f>
        <v>उसळ</v>
      </c>
      <c r="G24" s="126">
        <f t="shared" si="5"/>
        <v>0</v>
      </c>
      <c r="H24" s="131">
        <f>HLOOKUP(C3,'दैनिक माहिती'!BF46:BQ78,19,0)</f>
        <v>22</v>
      </c>
      <c r="I24" s="131">
        <f>HLOOKUP(C3,'दैनिक माहिती'!BF83:BQ115,19,0)</f>
        <v>22</v>
      </c>
      <c r="J24" s="127">
        <f t="shared" si="6"/>
        <v>4.4000000000000004</v>
      </c>
      <c r="K24" s="128">
        <f t="shared" si="7"/>
        <v>0</v>
      </c>
      <c r="L24" s="128">
        <f t="shared" si="8"/>
        <v>0</v>
      </c>
      <c r="M24" s="128">
        <f t="shared" si="9"/>
        <v>2.6399999999999997</v>
      </c>
      <c r="N24" s="128">
        <f t="shared" si="10"/>
        <v>2.6399999999999997</v>
      </c>
      <c r="O24" s="128">
        <f t="shared" si="11"/>
        <v>2.2000000000000002</v>
      </c>
      <c r="P24" s="128">
        <f t="shared" si="36"/>
        <v>1.3199999999999998</v>
      </c>
      <c r="Q24" s="128">
        <f t="shared" si="12"/>
        <v>2.6399999999999997</v>
      </c>
      <c r="R24" s="128">
        <f t="shared" si="13"/>
        <v>0</v>
      </c>
      <c r="S24" s="129">
        <f t="shared" si="14"/>
        <v>15.84</v>
      </c>
      <c r="T24" s="518">
        <v>0</v>
      </c>
      <c r="U24" s="518">
        <v>0</v>
      </c>
      <c r="V24" s="130">
        <f t="shared" ref="V24:V30" si="41">IF(G24=$G$2,$X$43/$G$38,0)</f>
        <v>0</v>
      </c>
      <c r="W24" s="518">
        <v>0</v>
      </c>
      <c r="X24" s="120">
        <f t="shared" si="16"/>
        <v>0</v>
      </c>
      <c r="Y24" s="121">
        <f t="shared" si="17"/>
        <v>17.380000000000003</v>
      </c>
      <c r="Z24" s="1149">
        <f t="shared" si="18"/>
        <v>17.380000000000003</v>
      </c>
      <c r="AA24" s="122">
        <f t="shared" si="19"/>
        <v>50.6</v>
      </c>
      <c r="BG24" s="1246">
        <v>18</v>
      </c>
      <c r="BH24" s="1247">
        <f t="shared" si="37"/>
        <v>44883</v>
      </c>
      <c r="BI24" s="1248" t="str">
        <f>IF(BH24="","",INDEX({"रविवार";"सोमवार";"मंगळवार";"बुधवार";"गुरूवार";"शुक्रवार";"शनिवार"},WEEKDAY(BH24)))</f>
        <v>शुक्रवार</v>
      </c>
      <c r="BJ24" s="1249" t="str">
        <f>HLOOKUP(BH3,'दैनिक माहिती'!BF120:BQ151,19,0)</f>
        <v>वाटाणा</v>
      </c>
      <c r="BK24" s="1250"/>
      <c r="BL24" s="1251">
        <f t="shared" si="20"/>
        <v>0</v>
      </c>
      <c r="BM24" s="1250"/>
      <c r="BN24" s="1251">
        <f>HLOOKUP(BH3,'दैनिक माहिती'!BF83:BQ115,19,0)</f>
        <v>22</v>
      </c>
      <c r="BO24" s="1252">
        <f t="shared" si="21"/>
        <v>4.4000000000000004</v>
      </c>
      <c r="BP24" s="1253">
        <f t="shared" si="22"/>
        <v>0</v>
      </c>
      <c r="BQ24" s="1253">
        <f t="shared" si="23"/>
        <v>0</v>
      </c>
      <c r="BR24" s="1253">
        <f t="shared" si="24"/>
        <v>2.6399999999999997</v>
      </c>
      <c r="BS24" s="1253">
        <f t="shared" si="25"/>
        <v>2.6399999999999997</v>
      </c>
      <c r="BT24" s="1253">
        <f t="shared" si="26"/>
        <v>2.2000000000000002</v>
      </c>
      <c r="BU24" s="1253">
        <f t="shared" si="38"/>
        <v>1.3199999999999998</v>
      </c>
      <c r="BV24" s="1253">
        <f t="shared" si="27"/>
        <v>2.6399999999999997</v>
      </c>
      <c r="BW24" s="1253">
        <f t="shared" si="28"/>
        <v>0</v>
      </c>
      <c r="BX24" s="1253">
        <f t="shared" si="29"/>
        <v>15.84</v>
      </c>
      <c r="BY24" s="1254">
        <v>0</v>
      </c>
      <c r="BZ24" s="1254">
        <v>0</v>
      </c>
      <c r="CA24" s="1253">
        <f t="shared" ref="CA24:CA30" si="42">IF(BL24=$G$2,$CC$39/$BL$38,0)</f>
        <v>0</v>
      </c>
      <c r="CB24" s="1254">
        <v>0</v>
      </c>
      <c r="CC24" s="1253">
        <f t="shared" si="31"/>
        <v>0</v>
      </c>
      <c r="CD24" s="1253">
        <f t="shared" si="32"/>
        <v>17.380000000000003</v>
      </c>
      <c r="CE24" s="1257">
        <f t="shared" si="33"/>
        <v>17.380000000000003</v>
      </c>
      <c r="CF24" s="1253">
        <f t="shared" si="34"/>
        <v>33.22</v>
      </c>
      <c r="CG24" s="191"/>
      <c r="CH24" s="191">
        <f t="shared" si="0"/>
        <v>0</v>
      </c>
    </row>
    <row r="25" spans="2:86" ht="26.25" customHeight="1" x14ac:dyDescent="0.3">
      <c r="B25" s="517">
        <v>19</v>
      </c>
      <c r="C25" s="1233">
        <f t="shared" si="35"/>
        <v>44884</v>
      </c>
      <c r="D25" s="124" t="str">
        <f>IF(C25="","",INDEX({"रविवार";"सोमवार";"मंगळवार";"बुधवार";"गुरूवार";"शुक्रवार";"शनिवार"},WEEKDAY(C25)))</f>
        <v>शनिवार</v>
      </c>
      <c r="E25" s="125" t="str">
        <f>HLOOKUP(C3,'दैनिक माहिती'!BF120:BQ151,20,0)</f>
        <v>मुगडाळ</v>
      </c>
      <c r="F25" s="131" t="str">
        <f>HLOOKUP(C3,'दैनिक माहिती'!BF338:BQ369,20,0)</f>
        <v>खिचडी</v>
      </c>
      <c r="G25" s="126" t="str">
        <f t="shared" si="5"/>
        <v>वाटप</v>
      </c>
      <c r="H25" s="131">
        <f>HLOOKUP(C3,'दैनिक माहिती'!BF46:BQ78,20,0)</f>
        <v>22</v>
      </c>
      <c r="I25" s="131">
        <f>HLOOKUP(C3,'दैनिक माहिती'!BF83:BQ115,20,0)</f>
        <v>22</v>
      </c>
      <c r="J25" s="127">
        <f t="shared" si="6"/>
        <v>4.4000000000000004</v>
      </c>
      <c r="K25" s="128">
        <f t="shared" si="7"/>
        <v>0</v>
      </c>
      <c r="L25" s="128">
        <f t="shared" si="8"/>
        <v>0</v>
      </c>
      <c r="M25" s="128">
        <f t="shared" si="9"/>
        <v>2.6399999999999997</v>
      </c>
      <c r="N25" s="128">
        <f t="shared" si="10"/>
        <v>2.6399999999999997</v>
      </c>
      <c r="O25" s="128">
        <f t="shared" si="11"/>
        <v>2.2000000000000002</v>
      </c>
      <c r="P25" s="128">
        <f t="shared" si="36"/>
        <v>1.3199999999999998</v>
      </c>
      <c r="Q25" s="128">
        <f t="shared" si="12"/>
        <v>2.6399999999999997</v>
      </c>
      <c r="R25" s="128">
        <f t="shared" si="13"/>
        <v>0</v>
      </c>
      <c r="S25" s="129">
        <f t="shared" si="14"/>
        <v>15.84</v>
      </c>
      <c r="T25" s="518">
        <v>0</v>
      </c>
      <c r="U25" s="518">
        <v>0</v>
      </c>
      <c r="V25" s="130">
        <f t="shared" si="41"/>
        <v>80.813333333333318</v>
      </c>
      <c r="W25" s="518">
        <v>0</v>
      </c>
      <c r="X25" s="120">
        <f t="shared" si="16"/>
        <v>80.813333333333318</v>
      </c>
      <c r="Y25" s="121">
        <f t="shared" si="17"/>
        <v>17.380000000000003</v>
      </c>
      <c r="Z25" s="1149">
        <f t="shared" si="18"/>
        <v>17.380000000000003</v>
      </c>
      <c r="AA25" s="122">
        <f t="shared" si="19"/>
        <v>131.41333333333333</v>
      </c>
      <c r="BG25" s="1246">
        <v>19</v>
      </c>
      <c r="BH25" s="1247">
        <f t="shared" si="37"/>
        <v>44884</v>
      </c>
      <c r="BI25" s="1248" t="str">
        <f>IF(BH25="","",INDEX({"रविवार";"सोमवार";"मंगळवार";"बुधवार";"गुरूवार";"शुक्रवार";"शनिवार"},WEEKDAY(BH25)))</f>
        <v>शनिवार</v>
      </c>
      <c r="BJ25" s="1249" t="str">
        <f>HLOOKUP(BH3,'दैनिक माहिती'!BF120:BQ151,20,0)</f>
        <v>मुगडाळ</v>
      </c>
      <c r="BK25" s="1250"/>
      <c r="BL25" s="1251" t="str">
        <f t="shared" si="20"/>
        <v>वाटप</v>
      </c>
      <c r="BM25" s="1250"/>
      <c r="BN25" s="1251">
        <f>HLOOKUP(BH3,'दैनिक माहिती'!BF83:BQ115,20,0)</f>
        <v>22</v>
      </c>
      <c r="BO25" s="1252">
        <f t="shared" si="21"/>
        <v>4.4000000000000004</v>
      </c>
      <c r="BP25" s="1253">
        <f t="shared" si="22"/>
        <v>0</v>
      </c>
      <c r="BQ25" s="1253">
        <f t="shared" si="23"/>
        <v>0</v>
      </c>
      <c r="BR25" s="1253">
        <f t="shared" si="24"/>
        <v>2.6399999999999997</v>
      </c>
      <c r="BS25" s="1253">
        <f t="shared" si="25"/>
        <v>2.6399999999999997</v>
      </c>
      <c r="BT25" s="1253">
        <f t="shared" si="26"/>
        <v>2.2000000000000002</v>
      </c>
      <c r="BU25" s="1253">
        <f t="shared" si="38"/>
        <v>1.3199999999999998</v>
      </c>
      <c r="BV25" s="1253">
        <f t="shared" si="27"/>
        <v>2.6399999999999997</v>
      </c>
      <c r="BW25" s="1253">
        <f t="shared" si="28"/>
        <v>0</v>
      </c>
      <c r="BX25" s="1253">
        <f t="shared" si="29"/>
        <v>15.84</v>
      </c>
      <c r="BY25" s="1254">
        <v>0</v>
      </c>
      <c r="BZ25" s="1254">
        <v>0</v>
      </c>
      <c r="CA25" s="1253">
        <f t="shared" si="42"/>
        <v>80.813333333333318</v>
      </c>
      <c r="CB25" s="1254">
        <v>0</v>
      </c>
      <c r="CC25" s="1253">
        <f t="shared" si="31"/>
        <v>80.813333333333318</v>
      </c>
      <c r="CD25" s="1253">
        <f t="shared" si="32"/>
        <v>17.380000000000003</v>
      </c>
      <c r="CE25" s="1257">
        <f t="shared" si="33"/>
        <v>17.380000000000003</v>
      </c>
      <c r="CF25" s="1253">
        <f t="shared" si="34"/>
        <v>114.03333333333333</v>
      </c>
      <c r="CG25" s="191"/>
      <c r="CH25" s="191">
        <f t="shared" si="0"/>
        <v>0</v>
      </c>
    </row>
    <row r="26" spans="2:86" ht="26.25" customHeight="1" x14ac:dyDescent="0.3">
      <c r="B26" s="517">
        <v>20</v>
      </c>
      <c r="C26" s="1233">
        <f t="shared" si="35"/>
        <v>44885</v>
      </c>
      <c r="D26" s="124" t="str">
        <f>IF(C26="","",INDEX({"रविवार";"सोमवार";"मंगळवार";"बुधवार";"गुरूवार";"शुक्रवार";"शनिवार"},WEEKDAY(C26)))</f>
        <v>रविवार</v>
      </c>
      <c r="E26" s="125">
        <f>HLOOKUP(C3,'दैनिक माहिती'!BF120:BQ151,21,0)</f>
        <v>0</v>
      </c>
      <c r="F26" s="131">
        <f>HLOOKUP(C3,'दैनिक माहिती'!BF338:BQ369,21,0)</f>
        <v>0</v>
      </c>
      <c r="G26" s="126">
        <f t="shared" si="5"/>
        <v>0</v>
      </c>
      <c r="H26" s="131">
        <f>HLOOKUP(C3,'दैनिक माहिती'!BF46:BQ78,21,0)</f>
        <v>0</v>
      </c>
      <c r="I26" s="131">
        <f>HLOOKUP(C3,'दैनिक माहिती'!BF83:BQ115,21,0)</f>
        <v>0</v>
      </c>
      <c r="J26" s="127">
        <f t="shared" si="6"/>
        <v>0</v>
      </c>
      <c r="K26" s="128">
        <f t="shared" si="7"/>
        <v>0</v>
      </c>
      <c r="L26" s="128">
        <f t="shared" si="8"/>
        <v>0</v>
      </c>
      <c r="M26" s="128">
        <f t="shared" si="9"/>
        <v>0</v>
      </c>
      <c r="N26" s="128">
        <f t="shared" si="10"/>
        <v>0</v>
      </c>
      <c r="O26" s="128">
        <f t="shared" si="11"/>
        <v>0</v>
      </c>
      <c r="P26" s="128">
        <f t="shared" si="36"/>
        <v>0</v>
      </c>
      <c r="Q26" s="128">
        <f t="shared" si="12"/>
        <v>0</v>
      </c>
      <c r="R26" s="128">
        <f t="shared" si="13"/>
        <v>0</v>
      </c>
      <c r="S26" s="129">
        <f t="shared" si="14"/>
        <v>0</v>
      </c>
      <c r="T26" s="518">
        <v>0</v>
      </c>
      <c r="U26" s="518">
        <v>0</v>
      </c>
      <c r="V26" s="130">
        <f t="shared" si="41"/>
        <v>0</v>
      </c>
      <c r="W26" s="518">
        <v>0</v>
      </c>
      <c r="X26" s="120">
        <f t="shared" si="16"/>
        <v>0</v>
      </c>
      <c r="Y26" s="121">
        <f t="shared" si="17"/>
        <v>0</v>
      </c>
      <c r="Z26" s="1149">
        <f t="shared" si="18"/>
        <v>0</v>
      </c>
      <c r="AA26" s="122">
        <f t="shared" si="19"/>
        <v>0</v>
      </c>
      <c r="BG26" s="1246">
        <v>20</v>
      </c>
      <c r="BH26" s="1247">
        <f t="shared" si="37"/>
        <v>44885</v>
      </c>
      <c r="BI26" s="1248" t="str">
        <f>IF(BH26="","",INDEX({"रविवार";"सोमवार";"मंगळवार";"बुधवार";"गुरूवार";"शुक्रवार";"शनिवार"},WEEKDAY(BH26)))</f>
        <v>रविवार</v>
      </c>
      <c r="BJ26" s="1249">
        <f>HLOOKUP(BH3,'दैनिक माहिती'!BF120:BQ151,21,0)</f>
        <v>0</v>
      </c>
      <c r="BK26" s="1250"/>
      <c r="BL26" s="1251">
        <f t="shared" si="20"/>
        <v>0</v>
      </c>
      <c r="BM26" s="1250"/>
      <c r="BN26" s="1251">
        <f>HLOOKUP(BH3,'दैनिक माहिती'!BF83:BQ115,21,0)</f>
        <v>0</v>
      </c>
      <c r="BO26" s="1252">
        <f t="shared" si="21"/>
        <v>0</v>
      </c>
      <c r="BP26" s="1253">
        <f t="shared" si="22"/>
        <v>0</v>
      </c>
      <c r="BQ26" s="1253">
        <f t="shared" si="23"/>
        <v>0</v>
      </c>
      <c r="BR26" s="1253">
        <f t="shared" si="24"/>
        <v>0</v>
      </c>
      <c r="BS26" s="1253">
        <f t="shared" si="25"/>
        <v>0</v>
      </c>
      <c r="BT26" s="1253">
        <f t="shared" si="26"/>
        <v>0</v>
      </c>
      <c r="BU26" s="1253">
        <f t="shared" si="38"/>
        <v>0</v>
      </c>
      <c r="BV26" s="1253">
        <f t="shared" si="27"/>
        <v>0</v>
      </c>
      <c r="BW26" s="1253">
        <f t="shared" si="28"/>
        <v>0</v>
      </c>
      <c r="BX26" s="1253">
        <f t="shared" si="29"/>
        <v>0</v>
      </c>
      <c r="BY26" s="1254">
        <v>0</v>
      </c>
      <c r="BZ26" s="1254">
        <v>0</v>
      </c>
      <c r="CA26" s="1253">
        <f t="shared" si="42"/>
        <v>0</v>
      </c>
      <c r="CB26" s="1254">
        <v>0</v>
      </c>
      <c r="CC26" s="1253">
        <f t="shared" si="31"/>
        <v>0</v>
      </c>
      <c r="CD26" s="1253">
        <f t="shared" si="32"/>
        <v>0</v>
      </c>
      <c r="CE26" s="1257">
        <f t="shared" si="33"/>
        <v>0</v>
      </c>
      <c r="CF26" s="1253">
        <f t="shared" si="34"/>
        <v>0</v>
      </c>
      <c r="CG26" s="191"/>
      <c r="CH26" s="191">
        <f t="shared" si="0"/>
        <v>0</v>
      </c>
    </row>
    <row r="27" spans="2:86" ht="26.25" customHeight="1" x14ac:dyDescent="0.3">
      <c r="B27" s="517">
        <v>21</v>
      </c>
      <c r="C27" s="1233">
        <f t="shared" si="35"/>
        <v>44886</v>
      </c>
      <c r="D27" s="124" t="str">
        <f>IF(C27="","",INDEX({"रविवार";"सोमवार";"मंगळवार";"बुधवार";"गुरूवार";"शुक्रवार";"शनिवार"},WEEKDAY(C27)))</f>
        <v>सोमवार</v>
      </c>
      <c r="E27" s="125" t="str">
        <f>HLOOKUP(C3,'दैनिक माहिती'!BF120:BQ151,22,0)</f>
        <v>मुगडाळ</v>
      </c>
      <c r="F27" s="131" t="str">
        <f>HLOOKUP(C3,'दैनिक माहिती'!BF338:BQ369,22,0)</f>
        <v>खिचडी</v>
      </c>
      <c r="G27" s="126">
        <f t="shared" si="5"/>
        <v>0</v>
      </c>
      <c r="H27" s="131">
        <f>HLOOKUP(C3,'दैनिक माहिती'!BF46:BQ78,22,0)</f>
        <v>22</v>
      </c>
      <c r="I27" s="131">
        <f>HLOOKUP(C3,'दैनिक माहिती'!BF83:BQ115,22,0)</f>
        <v>22</v>
      </c>
      <c r="J27" s="127">
        <f t="shared" si="6"/>
        <v>4.4000000000000004</v>
      </c>
      <c r="K27" s="128">
        <f t="shared" si="7"/>
        <v>0</v>
      </c>
      <c r="L27" s="128">
        <f t="shared" si="8"/>
        <v>0</v>
      </c>
      <c r="M27" s="128">
        <f t="shared" si="9"/>
        <v>2.6399999999999997</v>
      </c>
      <c r="N27" s="128">
        <f t="shared" si="10"/>
        <v>2.6399999999999997</v>
      </c>
      <c r="O27" s="128">
        <f t="shared" si="11"/>
        <v>2.2000000000000002</v>
      </c>
      <c r="P27" s="128">
        <f t="shared" si="36"/>
        <v>1.3199999999999998</v>
      </c>
      <c r="Q27" s="128">
        <f t="shared" si="12"/>
        <v>2.6399999999999997</v>
      </c>
      <c r="R27" s="128">
        <f t="shared" si="13"/>
        <v>0</v>
      </c>
      <c r="S27" s="129">
        <f t="shared" si="14"/>
        <v>15.84</v>
      </c>
      <c r="T27" s="518">
        <v>0</v>
      </c>
      <c r="U27" s="518">
        <v>0</v>
      </c>
      <c r="V27" s="130">
        <f t="shared" si="41"/>
        <v>0</v>
      </c>
      <c r="W27" s="518">
        <v>0</v>
      </c>
      <c r="X27" s="120">
        <f t="shared" si="16"/>
        <v>0</v>
      </c>
      <c r="Y27" s="121">
        <f t="shared" si="17"/>
        <v>17.380000000000003</v>
      </c>
      <c r="Z27" s="1149">
        <f t="shared" si="18"/>
        <v>17.380000000000003</v>
      </c>
      <c r="AA27" s="122">
        <f t="shared" si="19"/>
        <v>50.6</v>
      </c>
      <c r="BG27" s="1246">
        <v>21</v>
      </c>
      <c r="BH27" s="1247">
        <f t="shared" si="37"/>
        <v>44886</v>
      </c>
      <c r="BI27" s="1248" t="str">
        <f>IF(BH27="","",INDEX({"रविवार";"सोमवार";"मंगळवार";"बुधवार";"गुरूवार";"शुक्रवार";"शनिवार"},WEEKDAY(BH27)))</f>
        <v>सोमवार</v>
      </c>
      <c r="BJ27" s="1249" t="str">
        <f>HLOOKUP(BH3,'दैनिक माहिती'!BF120:BQ151,22,0)</f>
        <v>मुगडाळ</v>
      </c>
      <c r="BK27" s="1250"/>
      <c r="BL27" s="1251">
        <f t="shared" si="20"/>
        <v>0</v>
      </c>
      <c r="BM27" s="1250"/>
      <c r="BN27" s="1251">
        <f>HLOOKUP(BH3,'दैनिक माहिती'!BF83:BQ115,22,0)</f>
        <v>22</v>
      </c>
      <c r="BO27" s="1252">
        <f t="shared" si="21"/>
        <v>4.4000000000000004</v>
      </c>
      <c r="BP27" s="1253">
        <f t="shared" si="22"/>
        <v>0</v>
      </c>
      <c r="BQ27" s="1253">
        <f t="shared" si="23"/>
        <v>0</v>
      </c>
      <c r="BR27" s="1253">
        <f t="shared" si="24"/>
        <v>2.6399999999999997</v>
      </c>
      <c r="BS27" s="1253">
        <f t="shared" si="25"/>
        <v>2.6399999999999997</v>
      </c>
      <c r="BT27" s="1253">
        <f t="shared" si="26"/>
        <v>2.2000000000000002</v>
      </c>
      <c r="BU27" s="1253">
        <f t="shared" si="38"/>
        <v>1.3199999999999998</v>
      </c>
      <c r="BV27" s="1253">
        <f t="shared" si="27"/>
        <v>2.6399999999999997</v>
      </c>
      <c r="BW27" s="1253">
        <f t="shared" si="28"/>
        <v>0</v>
      </c>
      <c r="BX27" s="1253">
        <f t="shared" si="29"/>
        <v>15.84</v>
      </c>
      <c r="BY27" s="1254">
        <v>0</v>
      </c>
      <c r="BZ27" s="1254">
        <v>0</v>
      </c>
      <c r="CA27" s="1253">
        <f t="shared" si="42"/>
        <v>0</v>
      </c>
      <c r="CB27" s="1254">
        <v>0</v>
      </c>
      <c r="CC27" s="1253">
        <f t="shared" si="31"/>
        <v>0</v>
      </c>
      <c r="CD27" s="1253">
        <f t="shared" si="32"/>
        <v>17.380000000000003</v>
      </c>
      <c r="CE27" s="1257">
        <f t="shared" si="33"/>
        <v>17.380000000000003</v>
      </c>
      <c r="CF27" s="1253">
        <f t="shared" si="34"/>
        <v>33.22</v>
      </c>
      <c r="CG27" s="191"/>
      <c r="CH27" s="191">
        <f t="shared" si="0"/>
        <v>0</v>
      </c>
    </row>
    <row r="28" spans="2:86" ht="26.25" customHeight="1" x14ac:dyDescent="0.3">
      <c r="B28" s="517">
        <v>22</v>
      </c>
      <c r="C28" s="1233">
        <f t="shared" si="35"/>
        <v>44887</v>
      </c>
      <c r="D28" s="124" t="str">
        <f>IF(C28="","",INDEX({"रविवार";"सोमवार";"मंगळवार";"बुधवार";"गुरूवार";"शुक्रवार";"शनिवार"},WEEKDAY(C28)))</f>
        <v>मंगळवार</v>
      </c>
      <c r="E28" s="125" t="str">
        <f>HLOOKUP(C3,'दैनिक माहिती'!BF120:BQ151,23,0)</f>
        <v>हरभरा</v>
      </c>
      <c r="F28" s="131" t="str">
        <f>HLOOKUP(C3,'दैनिक माहिती'!BF338:BQ369,23,0)</f>
        <v>उसळ</v>
      </c>
      <c r="G28" s="126">
        <f t="shared" si="5"/>
        <v>0</v>
      </c>
      <c r="H28" s="131">
        <f>HLOOKUP(C3,'दैनिक माहिती'!BF46:BQ78,23,0)</f>
        <v>22</v>
      </c>
      <c r="I28" s="131">
        <f>HLOOKUP(C3,'दैनिक माहिती'!BF83:BQ115,23,0)</f>
        <v>22</v>
      </c>
      <c r="J28" s="127">
        <f t="shared" si="6"/>
        <v>0</v>
      </c>
      <c r="K28" s="128">
        <f t="shared" si="7"/>
        <v>0</v>
      </c>
      <c r="L28" s="128">
        <f t="shared" si="8"/>
        <v>4.4000000000000004</v>
      </c>
      <c r="M28" s="128">
        <f t="shared" si="9"/>
        <v>2.6399999999999997</v>
      </c>
      <c r="N28" s="128">
        <f t="shared" si="10"/>
        <v>2.6399999999999997</v>
      </c>
      <c r="O28" s="128">
        <f t="shared" si="11"/>
        <v>2.2000000000000002</v>
      </c>
      <c r="P28" s="128">
        <f t="shared" si="36"/>
        <v>1.3199999999999998</v>
      </c>
      <c r="Q28" s="128">
        <f t="shared" si="12"/>
        <v>2.6399999999999997</v>
      </c>
      <c r="R28" s="128">
        <f t="shared" si="13"/>
        <v>0</v>
      </c>
      <c r="S28" s="129">
        <f t="shared" si="14"/>
        <v>15.84</v>
      </c>
      <c r="T28" s="518">
        <v>0</v>
      </c>
      <c r="U28" s="518">
        <v>0</v>
      </c>
      <c r="V28" s="130">
        <f t="shared" si="41"/>
        <v>0</v>
      </c>
      <c r="W28" s="518">
        <v>0</v>
      </c>
      <c r="X28" s="120">
        <f t="shared" si="16"/>
        <v>0</v>
      </c>
      <c r="Y28" s="121">
        <f t="shared" si="17"/>
        <v>17.380000000000003</v>
      </c>
      <c r="Z28" s="1149">
        <f t="shared" si="18"/>
        <v>17.380000000000003</v>
      </c>
      <c r="AA28" s="122">
        <f t="shared" si="19"/>
        <v>50.6</v>
      </c>
      <c r="BG28" s="1246">
        <v>22</v>
      </c>
      <c r="BH28" s="1247">
        <f t="shared" si="37"/>
        <v>44887</v>
      </c>
      <c r="BI28" s="1248" t="str">
        <f>IF(BH28="","",INDEX({"रविवार";"सोमवार";"मंगळवार";"बुधवार";"गुरूवार";"शुक्रवार";"शनिवार"},WEEKDAY(BH28)))</f>
        <v>मंगळवार</v>
      </c>
      <c r="BJ28" s="1249" t="str">
        <f>HLOOKUP(BH3,'दैनिक माहिती'!BF120:BQ151,23,0)</f>
        <v>हरभरा</v>
      </c>
      <c r="BK28" s="1250"/>
      <c r="BL28" s="1251">
        <f t="shared" si="20"/>
        <v>0</v>
      </c>
      <c r="BM28" s="1250"/>
      <c r="BN28" s="1251">
        <f>HLOOKUP(BH3,'दैनिक माहिती'!BF83:BQ115,23,0)</f>
        <v>22</v>
      </c>
      <c r="BO28" s="1252">
        <f t="shared" si="21"/>
        <v>0</v>
      </c>
      <c r="BP28" s="1253">
        <f t="shared" si="22"/>
        <v>0</v>
      </c>
      <c r="BQ28" s="1253">
        <f t="shared" si="23"/>
        <v>4.4000000000000004</v>
      </c>
      <c r="BR28" s="1253">
        <f t="shared" si="24"/>
        <v>2.6399999999999997</v>
      </c>
      <c r="BS28" s="1253">
        <f t="shared" si="25"/>
        <v>2.6399999999999997</v>
      </c>
      <c r="BT28" s="1253">
        <f t="shared" si="26"/>
        <v>2.2000000000000002</v>
      </c>
      <c r="BU28" s="1253">
        <f t="shared" si="38"/>
        <v>1.3199999999999998</v>
      </c>
      <c r="BV28" s="1253">
        <f t="shared" si="27"/>
        <v>2.6399999999999997</v>
      </c>
      <c r="BW28" s="1253">
        <f t="shared" si="28"/>
        <v>0</v>
      </c>
      <c r="BX28" s="1253">
        <f t="shared" si="29"/>
        <v>15.84</v>
      </c>
      <c r="BY28" s="1254">
        <v>0</v>
      </c>
      <c r="BZ28" s="1254">
        <v>0</v>
      </c>
      <c r="CA28" s="1253">
        <f t="shared" si="42"/>
        <v>0</v>
      </c>
      <c r="CB28" s="1254">
        <v>0</v>
      </c>
      <c r="CC28" s="1253">
        <f t="shared" si="31"/>
        <v>0</v>
      </c>
      <c r="CD28" s="1253">
        <f t="shared" si="32"/>
        <v>17.380000000000003</v>
      </c>
      <c r="CE28" s="1257">
        <f t="shared" si="33"/>
        <v>17.380000000000003</v>
      </c>
      <c r="CF28" s="1253">
        <f t="shared" si="34"/>
        <v>33.22</v>
      </c>
      <c r="CG28" s="191"/>
      <c r="CH28" s="191">
        <f t="shared" si="0"/>
        <v>0</v>
      </c>
    </row>
    <row r="29" spans="2:86" ht="26.25" customHeight="1" x14ac:dyDescent="0.3">
      <c r="B29" s="517">
        <v>23</v>
      </c>
      <c r="C29" s="1233">
        <f t="shared" si="35"/>
        <v>44888</v>
      </c>
      <c r="D29" s="124" t="str">
        <f>IF(C29="","",INDEX({"रविवार";"सोमवार";"मंगळवार";"बुधवार";"गुरूवार";"शुक्रवार";"शनिवार"},WEEKDAY(C29)))</f>
        <v>बुधवार</v>
      </c>
      <c r="E29" s="125" t="str">
        <f>HLOOKUP(C3,'दैनिक माहिती'!BF120:BQ151,24,0)</f>
        <v>वाटाणा</v>
      </c>
      <c r="F29" s="131" t="str">
        <f>HLOOKUP(C3,'दैनिक माहिती'!BF338:BQ369,24,0)</f>
        <v>उसळ</v>
      </c>
      <c r="G29" s="126">
        <f t="shared" si="5"/>
        <v>0</v>
      </c>
      <c r="H29" s="131">
        <f>HLOOKUP(C3,'दैनिक माहिती'!BF46:BQ78,24,0)</f>
        <v>22</v>
      </c>
      <c r="I29" s="131">
        <f>HLOOKUP(C3,'दैनिक माहिती'!BF83:BQ115,24,0)</f>
        <v>22</v>
      </c>
      <c r="J29" s="127">
        <f t="shared" si="6"/>
        <v>4.4000000000000004</v>
      </c>
      <c r="K29" s="128">
        <f t="shared" si="7"/>
        <v>0</v>
      </c>
      <c r="L29" s="128">
        <f t="shared" si="8"/>
        <v>0</v>
      </c>
      <c r="M29" s="128">
        <f t="shared" si="9"/>
        <v>2.6399999999999997</v>
      </c>
      <c r="N29" s="128">
        <f t="shared" si="10"/>
        <v>2.6399999999999997</v>
      </c>
      <c r="O29" s="128">
        <f t="shared" si="11"/>
        <v>2.2000000000000002</v>
      </c>
      <c r="P29" s="128">
        <f t="shared" si="36"/>
        <v>1.3199999999999998</v>
      </c>
      <c r="Q29" s="128">
        <f t="shared" si="12"/>
        <v>2.6399999999999997</v>
      </c>
      <c r="R29" s="128">
        <f t="shared" si="13"/>
        <v>0</v>
      </c>
      <c r="S29" s="129">
        <f t="shared" si="14"/>
        <v>15.84</v>
      </c>
      <c r="T29" s="518">
        <v>0</v>
      </c>
      <c r="U29" s="518">
        <v>0</v>
      </c>
      <c r="V29" s="130">
        <f t="shared" si="41"/>
        <v>0</v>
      </c>
      <c r="W29" s="518">
        <v>0</v>
      </c>
      <c r="X29" s="120">
        <f t="shared" si="16"/>
        <v>0</v>
      </c>
      <c r="Y29" s="121">
        <f t="shared" si="17"/>
        <v>17.380000000000003</v>
      </c>
      <c r="Z29" s="1149">
        <f t="shared" si="18"/>
        <v>17.380000000000003</v>
      </c>
      <c r="AA29" s="122">
        <f t="shared" si="19"/>
        <v>50.6</v>
      </c>
      <c r="BG29" s="1246">
        <v>23</v>
      </c>
      <c r="BH29" s="1247">
        <f t="shared" si="37"/>
        <v>44888</v>
      </c>
      <c r="BI29" s="1248" t="str">
        <f>IF(BH29="","",INDEX({"रविवार";"सोमवार";"मंगळवार";"बुधवार";"गुरूवार";"शुक्रवार";"शनिवार"},WEEKDAY(BH29)))</f>
        <v>बुधवार</v>
      </c>
      <c r="BJ29" s="1249" t="str">
        <f>HLOOKUP(BH3,'दैनिक माहिती'!BF120:BQ151,24,0)</f>
        <v>वाटाणा</v>
      </c>
      <c r="BK29" s="1250"/>
      <c r="BL29" s="1251">
        <f t="shared" si="20"/>
        <v>0</v>
      </c>
      <c r="BM29" s="1250"/>
      <c r="BN29" s="1251">
        <f>HLOOKUP(BH3,'दैनिक माहिती'!BF83:BQ115,24,0)</f>
        <v>22</v>
      </c>
      <c r="BO29" s="1252">
        <f t="shared" si="21"/>
        <v>4.4000000000000004</v>
      </c>
      <c r="BP29" s="1253">
        <f t="shared" si="22"/>
        <v>0</v>
      </c>
      <c r="BQ29" s="1253">
        <f t="shared" si="23"/>
        <v>0</v>
      </c>
      <c r="BR29" s="1253">
        <f t="shared" si="24"/>
        <v>2.6399999999999997</v>
      </c>
      <c r="BS29" s="1253">
        <f t="shared" si="25"/>
        <v>2.6399999999999997</v>
      </c>
      <c r="BT29" s="1253">
        <f t="shared" si="26"/>
        <v>2.2000000000000002</v>
      </c>
      <c r="BU29" s="1253">
        <f t="shared" si="38"/>
        <v>1.3199999999999998</v>
      </c>
      <c r="BV29" s="1253">
        <f t="shared" si="27"/>
        <v>2.6399999999999997</v>
      </c>
      <c r="BW29" s="1253">
        <f t="shared" si="28"/>
        <v>0</v>
      </c>
      <c r="BX29" s="1253">
        <f t="shared" si="29"/>
        <v>15.84</v>
      </c>
      <c r="BY29" s="1254">
        <v>0</v>
      </c>
      <c r="BZ29" s="1254">
        <v>0</v>
      </c>
      <c r="CA29" s="1253">
        <f t="shared" si="42"/>
        <v>0</v>
      </c>
      <c r="CB29" s="1254">
        <v>0</v>
      </c>
      <c r="CC29" s="1253">
        <f t="shared" si="31"/>
        <v>0</v>
      </c>
      <c r="CD29" s="1253">
        <f t="shared" si="32"/>
        <v>17.380000000000003</v>
      </c>
      <c r="CE29" s="1257">
        <f t="shared" si="33"/>
        <v>17.380000000000003</v>
      </c>
      <c r="CF29" s="1253">
        <f t="shared" si="34"/>
        <v>33.22</v>
      </c>
      <c r="CG29" s="191"/>
      <c r="CH29" s="191">
        <f t="shared" si="0"/>
        <v>0</v>
      </c>
    </row>
    <row r="30" spans="2:86" ht="26.25" customHeight="1" x14ac:dyDescent="0.3">
      <c r="B30" s="517">
        <v>24</v>
      </c>
      <c r="C30" s="1233">
        <f t="shared" si="35"/>
        <v>44889</v>
      </c>
      <c r="D30" s="124" t="str">
        <f>IF(C30="","",INDEX({"रविवार";"सोमवार";"मंगळवार";"बुधवार";"गुरूवार";"शुक्रवार";"शनिवार"},WEEKDAY(C30)))</f>
        <v>गुरूवार</v>
      </c>
      <c r="E30" s="125" t="str">
        <f>HLOOKUP(C3,'दैनिक माहिती'!BF120:BQ151,25,0)</f>
        <v>हरभरा</v>
      </c>
      <c r="F30" s="131" t="str">
        <f>HLOOKUP(C3,'दैनिक माहिती'!BF338:BQ369,25,0)</f>
        <v>उसळ</v>
      </c>
      <c r="G30" s="126">
        <f t="shared" si="5"/>
        <v>0</v>
      </c>
      <c r="H30" s="131">
        <f>HLOOKUP(C3,'दैनिक माहिती'!BF46:BQ78,25,0)</f>
        <v>22</v>
      </c>
      <c r="I30" s="131">
        <f>HLOOKUP(C3,'दैनिक माहिती'!BF83:BQ115,25,0)</f>
        <v>22</v>
      </c>
      <c r="J30" s="127">
        <f t="shared" si="6"/>
        <v>0</v>
      </c>
      <c r="K30" s="128">
        <f t="shared" si="7"/>
        <v>0</v>
      </c>
      <c r="L30" s="128">
        <f t="shared" si="8"/>
        <v>4.4000000000000004</v>
      </c>
      <c r="M30" s="128">
        <f t="shared" si="9"/>
        <v>2.6399999999999997</v>
      </c>
      <c r="N30" s="128">
        <f t="shared" si="10"/>
        <v>2.6399999999999997</v>
      </c>
      <c r="O30" s="128">
        <f t="shared" si="11"/>
        <v>2.2000000000000002</v>
      </c>
      <c r="P30" s="128">
        <f t="shared" si="36"/>
        <v>1.3199999999999998</v>
      </c>
      <c r="Q30" s="128">
        <f t="shared" si="12"/>
        <v>2.6399999999999997</v>
      </c>
      <c r="R30" s="128">
        <f t="shared" si="13"/>
        <v>0</v>
      </c>
      <c r="S30" s="129">
        <f t="shared" si="14"/>
        <v>15.84</v>
      </c>
      <c r="T30" s="518">
        <v>0</v>
      </c>
      <c r="U30" s="518">
        <v>0</v>
      </c>
      <c r="V30" s="130">
        <f t="shared" si="41"/>
        <v>0</v>
      </c>
      <c r="W30" s="518">
        <v>0</v>
      </c>
      <c r="X30" s="120">
        <f t="shared" si="16"/>
        <v>0</v>
      </c>
      <c r="Y30" s="121">
        <f t="shared" si="17"/>
        <v>17.380000000000003</v>
      </c>
      <c r="Z30" s="1149">
        <f t="shared" si="18"/>
        <v>17.380000000000003</v>
      </c>
      <c r="AA30" s="122">
        <f t="shared" si="19"/>
        <v>50.6</v>
      </c>
      <c r="BG30" s="1246">
        <v>24</v>
      </c>
      <c r="BH30" s="1247">
        <f t="shared" si="37"/>
        <v>44889</v>
      </c>
      <c r="BI30" s="1248" t="str">
        <f>IF(BH30="","",INDEX({"रविवार";"सोमवार";"मंगळवार";"बुधवार";"गुरूवार";"शुक्रवार";"शनिवार"},WEEKDAY(BH30)))</f>
        <v>गुरूवार</v>
      </c>
      <c r="BJ30" s="1249" t="str">
        <f>HLOOKUP(BH3,'दैनिक माहिती'!BF120:BQ151,25,0)</f>
        <v>हरभरा</v>
      </c>
      <c r="BK30" s="1250"/>
      <c r="BL30" s="1251">
        <f t="shared" si="20"/>
        <v>0</v>
      </c>
      <c r="BM30" s="1250"/>
      <c r="BN30" s="1251">
        <f>HLOOKUP(BH3,'दैनिक माहिती'!BF83:BQ115,25,0)</f>
        <v>22</v>
      </c>
      <c r="BO30" s="1252">
        <f t="shared" si="21"/>
        <v>0</v>
      </c>
      <c r="BP30" s="1253">
        <f t="shared" si="22"/>
        <v>0</v>
      </c>
      <c r="BQ30" s="1253">
        <f t="shared" si="23"/>
        <v>4.4000000000000004</v>
      </c>
      <c r="BR30" s="1253">
        <f t="shared" si="24"/>
        <v>2.6399999999999997</v>
      </c>
      <c r="BS30" s="1253">
        <f t="shared" si="25"/>
        <v>2.6399999999999997</v>
      </c>
      <c r="BT30" s="1253">
        <f t="shared" si="26"/>
        <v>2.2000000000000002</v>
      </c>
      <c r="BU30" s="1253">
        <f t="shared" si="38"/>
        <v>1.3199999999999998</v>
      </c>
      <c r="BV30" s="1253">
        <f t="shared" si="27"/>
        <v>2.6399999999999997</v>
      </c>
      <c r="BW30" s="1253">
        <f t="shared" si="28"/>
        <v>0</v>
      </c>
      <c r="BX30" s="1253">
        <f t="shared" si="29"/>
        <v>15.84</v>
      </c>
      <c r="BY30" s="1254">
        <v>0</v>
      </c>
      <c r="BZ30" s="1254">
        <v>0</v>
      </c>
      <c r="CA30" s="1253">
        <f t="shared" si="42"/>
        <v>0</v>
      </c>
      <c r="CB30" s="1254">
        <v>0</v>
      </c>
      <c r="CC30" s="1253">
        <f t="shared" si="31"/>
        <v>0</v>
      </c>
      <c r="CD30" s="1253">
        <f t="shared" si="32"/>
        <v>17.380000000000003</v>
      </c>
      <c r="CE30" s="1257">
        <f t="shared" si="33"/>
        <v>17.380000000000003</v>
      </c>
      <c r="CF30" s="1253">
        <f t="shared" si="34"/>
        <v>33.22</v>
      </c>
      <c r="CG30" s="191"/>
      <c r="CH30" s="191">
        <f t="shared" si="0"/>
        <v>0</v>
      </c>
    </row>
    <row r="31" spans="2:86" ht="26.25" customHeight="1" x14ac:dyDescent="0.3">
      <c r="B31" s="517">
        <v>25</v>
      </c>
      <c r="C31" s="1233">
        <f t="shared" si="35"/>
        <v>44890</v>
      </c>
      <c r="D31" s="124" t="str">
        <f>IF(C31="","",INDEX({"रविवार";"सोमवार";"मंगळवार";"बुधवार";"गुरूवार";"शुक्रवार";"शनिवार"},WEEKDAY(C31)))</f>
        <v>शुक्रवार</v>
      </c>
      <c r="E31" s="125" t="str">
        <f>HLOOKUP(C3,'दैनिक माहिती'!BF120:BQ151,26,0)</f>
        <v>वाटाणा</v>
      </c>
      <c r="F31" s="131" t="str">
        <f>HLOOKUP(C3,'दैनिक माहिती'!BF338:BQ369,26,0)</f>
        <v>उसळ</v>
      </c>
      <c r="G31" s="126">
        <f t="shared" si="5"/>
        <v>0</v>
      </c>
      <c r="H31" s="131">
        <f>HLOOKUP(C3,'दैनिक माहिती'!BF46:BQ78,26,0)</f>
        <v>22</v>
      </c>
      <c r="I31" s="131">
        <f>HLOOKUP(C3,'दैनिक माहिती'!BF83:BQ115,26,0)</f>
        <v>22</v>
      </c>
      <c r="J31" s="127">
        <f t="shared" si="6"/>
        <v>4.4000000000000004</v>
      </c>
      <c r="K31" s="128">
        <f t="shared" si="7"/>
        <v>0</v>
      </c>
      <c r="L31" s="128">
        <f t="shared" si="8"/>
        <v>0</v>
      </c>
      <c r="M31" s="128">
        <f t="shared" si="9"/>
        <v>2.6399999999999997</v>
      </c>
      <c r="N31" s="128">
        <f t="shared" si="10"/>
        <v>2.6399999999999997</v>
      </c>
      <c r="O31" s="128">
        <f t="shared" si="11"/>
        <v>2.2000000000000002</v>
      </c>
      <c r="P31" s="128">
        <f t="shared" si="36"/>
        <v>1.3199999999999998</v>
      </c>
      <c r="Q31" s="128">
        <f t="shared" si="12"/>
        <v>2.6399999999999997</v>
      </c>
      <c r="R31" s="128">
        <f t="shared" si="13"/>
        <v>0</v>
      </c>
      <c r="S31" s="129">
        <f t="shared" si="14"/>
        <v>15.84</v>
      </c>
      <c r="T31" s="518">
        <v>0</v>
      </c>
      <c r="U31" s="518">
        <v>0</v>
      </c>
      <c r="V31" s="518">
        <v>0</v>
      </c>
      <c r="W31" s="130">
        <f>IF(G31=$G$2,$X$43/$G$38,0)</f>
        <v>0</v>
      </c>
      <c r="X31" s="120">
        <f t="shared" si="16"/>
        <v>0</v>
      </c>
      <c r="Y31" s="121">
        <f t="shared" si="17"/>
        <v>17.380000000000003</v>
      </c>
      <c r="Z31" s="1149">
        <f t="shared" si="18"/>
        <v>17.380000000000003</v>
      </c>
      <c r="AA31" s="122">
        <f t="shared" si="19"/>
        <v>50.6</v>
      </c>
      <c r="BG31" s="1246">
        <v>25</v>
      </c>
      <c r="BH31" s="1247">
        <f t="shared" si="37"/>
        <v>44890</v>
      </c>
      <c r="BI31" s="1248" t="str">
        <f>IF(BH31="","",INDEX({"रविवार";"सोमवार";"मंगळवार";"बुधवार";"गुरूवार";"शुक्रवार";"शनिवार"},WEEKDAY(BH31)))</f>
        <v>शुक्रवार</v>
      </c>
      <c r="BJ31" s="1249" t="str">
        <f>HLOOKUP(BH3,'दैनिक माहिती'!BF120:BQ151,26,0)</f>
        <v>वाटाणा</v>
      </c>
      <c r="BK31" s="1250"/>
      <c r="BL31" s="1251">
        <f t="shared" si="20"/>
        <v>0</v>
      </c>
      <c r="BM31" s="1250"/>
      <c r="BN31" s="1251">
        <f>HLOOKUP(BH3,'दैनिक माहिती'!BF83:BQ115,26,0)</f>
        <v>22</v>
      </c>
      <c r="BO31" s="1252">
        <f t="shared" si="21"/>
        <v>4.4000000000000004</v>
      </c>
      <c r="BP31" s="1253">
        <f t="shared" si="22"/>
        <v>0</v>
      </c>
      <c r="BQ31" s="1253">
        <f t="shared" si="23"/>
        <v>0</v>
      </c>
      <c r="BR31" s="1253">
        <f t="shared" si="24"/>
        <v>2.6399999999999997</v>
      </c>
      <c r="BS31" s="1253">
        <f t="shared" si="25"/>
        <v>2.6399999999999997</v>
      </c>
      <c r="BT31" s="1253">
        <f t="shared" si="26"/>
        <v>2.2000000000000002</v>
      </c>
      <c r="BU31" s="1253">
        <f t="shared" si="38"/>
        <v>1.3199999999999998</v>
      </c>
      <c r="BV31" s="1253">
        <f t="shared" si="27"/>
        <v>2.6399999999999997</v>
      </c>
      <c r="BW31" s="1253">
        <f t="shared" si="28"/>
        <v>0</v>
      </c>
      <c r="BX31" s="1253">
        <f t="shared" si="29"/>
        <v>15.84</v>
      </c>
      <c r="BY31" s="1254">
        <v>0</v>
      </c>
      <c r="BZ31" s="1254">
        <v>0</v>
      </c>
      <c r="CA31" s="1254">
        <v>0</v>
      </c>
      <c r="CB31" s="1253">
        <f>IF(BL31=$G$2,$CC$39/$BL$38,0)</f>
        <v>0</v>
      </c>
      <c r="CC31" s="1253">
        <f t="shared" si="31"/>
        <v>0</v>
      </c>
      <c r="CD31" s="1253">
        <f t="shared" si="32"/>
        <v>17.380000000000003</v>
      </c>
      <c r="CE31" s="1257">
        <f t="shared" si="33"/>
        <v>17.380000000000003</v>
      </c>
      <c r="CF31" s="1253">
        <f t="shared" si="34"/>
        <v>33.22</v>
      </c>
      <c r="CG31" s="191"/>
      <c r="CH31" s="191">
        <f t="shared" si="0"/>
        <v>0</v>
      </c>
    </row>
    <row r="32" spans="2:86" ht="26.25" customHeight="1" x14ac:dyDescent="0.3">
      <c r="B32" s="517">
        <v>26</v>
      </c>
      <c r="C32" s="1233">
        <f t="shared" si="35"/>
        <v>44891</v>
      </c>
      <c r="D32" s="124" t="str">
        <f>IF(C32="","",INDEX({"रविवार";"सोमवार";"मंगळवार";"बुधवार";"गुरूवार";"शुक्रवार";"शनिवार"},WEEKDAY(C32)))</f>
        <v>शनिवार</v>
      </c>
      <c r="E32" s="125" t="str">
        <f>HLOOKUP(C3,'दैनिक माहिती'!BF120:BQ151,27,0)</f>
        <v>मुगडाळ</v>
      </c>
      <c r="F32" s="131" t="str">
        <f>HLOOKUP(C3,'दैनिक माहिती'!BF338:BQ369,27,0)</f>
        <v>खिचडी</v>
      </c>
      <c r="G32" s="126" t="str">
        <f t="shared" si="5"/>
        <v>वाटप</v>
      </c>
      <c r="H32" s="131">
        <f>HLOOKUP(C3,'दैनिक माहिती'!BF46:BQ78,27,0)</f>
        <v>22</v>
      </c>
      <c r="I32" s="131">
        <f>HLOOKUP(C3,'दैनिक माहिती'!BF83:BQ115,27,0)</f>
        <v>22</v>
      </c>
      <c r="J32" s="127">
        <f t="shared" si="6"/>
        <v>4.4000000000000004</v>
      </c>
      <c r="K32" s="128">
        <f t="shared" si="7"/>
        <v>0</v>
      </c>
      <c r="L32" s="128">
        <f t="shared" si="8"/>
        <v>0</v>
      </c>
      <c r="M32" s="128">
        <f t="shared" si="9"/>
        <v>2.6399999999999997</v>
      </c>
      <c r="N32" s="128">
        <f t="shared" si="10"/>
        <v>2.6399999999999997</v>
      </c>
      <c r="O32" s="128">
        <f t="shared" si="11"/>
        <v>2.2000000000000002</v>
      </c>
      <c r="P32" s="128">
        <f t="shared" si="36"/>
        <v>1.3199999999999998</v>
      </c>
      <c r="Q32" s="128">
        <f t="shared" si="12"/>
        <v>2.6399999999999997</v>
      </c>
      <c r="R32" s="128">
        <f t="shared" si="13"/>
        <v>0</v>
      </c>
      <c r="S32" s="129">
        <f t="shared" si="14"/>
        <v>15.84</v>
      </c>
      <c r="T32" s="518">
        <v>0</v>
      </c>
      <c r="U32" s="518">
        <v>0</v>
      </c>
      <c r="V32" s="518">
        <v>0</v>
      </c>
      <c r="W32" s="130">
        <f t="shared" ref="W32:W37" si="43">IF(G32=$G$2,$X$43/$G$38,0)</f>
        <v>80.813333333333318</v>
      </c>
      <c r="X32" s="120">
        <f t="shared" si="16"/>
        <v>80.813333333333318</v>
      </c>
      <c r="Y32" s="121">
        <f t="shared" si="17"/>
        <v>17.380000000000003</v>
      </c>
      <c r="Z32" s="1149">
        <f t="shared" si="18"/>
        <v>17.380000000000003</v>
      </c>
      <c r="AA32" s="122">
        <f t="shared" si="19"/>
        <v>131.41333333333333</v>
      </c>
      <c r="BG32" s="1246">
        <v>26</v>
      </c>
      <c r="BH32" s="1247">
        <f t="shared" si="37"/>
        <v>44891</v>
      </c>
      <c r="BI32" s="1248" t="str">
        <f>IF(BH32="","",INDEX({"रविवार";"सोमवार";"मंगळवार";"बुधवार";"गुरूवार";"शुक्रवार";"शनिवार"},WEEKDAY(BH32)))</f>
        <v>शनिवार</v>
      </c>
      <c r="BJ32" s="1249" t="str">
        <f>HLOOKUP(BH3,'दैनिक माहिती'!BF120:BQ151,27,0)</f>
        <v>मुगडाळ</v>
      </c>
      <c r="BK32" s="1250"/>
      <c r="BL32" s="1251" t="str">
        <f t="shared" si="20"/>
        <v>वाटप</v>
      </c>
      <c r="BM32" s="1250"/>
      <c r="BN32" s="1251">
        <f>HLOOKUP(BH3,'दैनिक माहिती'!BF83:BQ115,27,0)</f>
        <v>22</v>
      </c>
      <c r="BO32" s="1252">
        <f t="shared" si="21"/>
        <v>4.4000000000000004</v>
      </c>
      <c r="BP32" s="1253">
        <f t="shared" si="22"/>
        <v>0</v>
      </c>
      <c r="BQ32" s="1253">
        <f t="shared" si="23"/>
        <v>0</v>
      </c>
      <c r="BR32" s="1253">
        <f t="shared" si="24"/>
        <v>2.6399999999999997</v>
      </c>
      <c r="BS32" s="1253">
        <f t="shared" si="25"/>
        <v>2.6399999999999997</v>
      </c>
      <c r="BT32" s="1253">
        <f t="shared" si="26"/>
        <v>2.2000000000000002</v>
      </c>
      <c r="BU32" s="1253">
        <f t="shared" si="38"/>
        <v>1.3199999999999998</v>
      </c>
      <c r="BV32" s="1253">
        <f t="shared" si="27"/>
        <v>2.6399999999999997</v>
      </c>
      <c r="BW32" s="1253">
        <f t="shared" si="28"/>
        <v>0</v>
      </c>
      <c r="BX32" s="1253">
        <f t="shared" si="29"/>
        <v>15.84</v>
      </c>
      <c r="BY32" s="1254">
        <v>0</v>
      </c>
      <c r="BZ32" s="1254">
        <v>0</v>
      </c>
      <c r="CA32" s="1254">
        <v>0</v>
      </c>
      <c r="CB32" s="1253">
        <f t="shared" ref="CB32:CB37" si="44">IF(BL32=$G$2,$CC$39/$BL$38,0)</f>
        <v>80.813333333333318</v>
      </c>
      <c r="CC32" s="1253">
        <f t="shared" si="31"/>
        <v>80.813333333333318</v>
      </c>
      <c r="CD32" s="1253">
        <f t="shared" si="32"/>
        <v>17.380000000000003</v>
      </c>
      <c r="CE32" s="1257">
        <f t="shared" si="33"/>
        <v>17.380000000000003</v>
      </c>
      <c r="CF32" s="1253">
        <f t="shared" si="34"/>
        <v>114.03333333333333</v>
      </c>
      <c r="CG32" s="191"/>
      <c r="CH32" s="191">
        <f t="shared" si="0"/>
        <v>0</v>
      </c>
    </row>
    <row r="33" spans="2:86" ht="26.25" customHeight="1" x14ac:dyDescent="0.3">
      <c r="B33" s="517">
        <v>27</v>
      </c>
      <c r="C33" s="1233">
        <f t="shared" si="35"/>
        <v>44892</v>
      </c>
      <c r="D33" s="124" t="str">
        <f>IF(C33="","",INDEX({"रविवार";"सोमवार";"मंगळवार";"बुधवार";"गुरूवार";"शुक्रवार";"शनिवार"},WEEKDAY(C33)))</f>
        <v>रविवार</v>
      </c>
      <c r="E33" s="125">
        <f>HLOOKUP(C3,'दैनिक माहिती'!BF120:BQ151,28,0)</f>
        <v>0</v>
      </c>
      <c r="F33" s="131">
        <f>HLOOKUP(C3,'दैनिक माहिती'!BF338:BQ369,28,0)</f>
        <v>0</v>
      </c>
      <c r="G33" s="126">
        <f t="shared" si="5"/>
        <v>0</v>
      </c>
      <c r="H33" s="131">
        <f>HLOOKUP(C3,'दैनिक माहिती'!BF46:BQ78,28,0)</f>
        <v>0</v>
      </c>
      <c r="I33" s="131">
        <f>HLOOKUP(C3,'दैनिक माहिती'!BF83:BQ115,28,0)</f>
        <v>0</v>
      </c>
      <c r="J33" s="127">
        <f t="shared" si="6"/>
        <v>0</v>
      </c>
      <c r="K33" s="128">
        <f t="shared" si="7"/>
        <v>0</v>
      </c>
      <c r="L33" s="128">
        <f t="shared" si="8"/>
        <v>0</v>
      </c>
      <c r="M33" s="128">
        <f t="shared" si="9"/>
        <v>0</v>
      </c>
      <c r="N33" s="128">
        <f t="shared" si="10"/>
        <v>0</v>
      </c>
      <c r="O33" s="128">
        <f t="shared" si="11"/>
        <v>0</v>
      </c>
      <c r="P33" s="128">
        <f t="shared" si="36"/>
        <v>0</v>
      </c>
      <c r="Q33" s="128">
        <f t="shared" si="12"/>
        <v>0</v>
      </c>
      <c r="R33" s="128">
        <f t="shared" si="13"/>
        <v>0</v>
      </c>
      <c r="S33" s="129">
        <f t="shared" si="14"/>
        <v>0</v>
      </c>
      <c r="T33" s="518">
        <v>0</v>
      </c>
      <c r="U33" s="518">
        <v>0</v>
      </c>
      <c r="V33" s="518">
        <v>0</v>
      </c>
      <c r="W33" s="130">
        <f t="shared" si="43"/>
        <v>0</v>
      </c>
      <c r="X33" s="120">
        <f t="shared" si="16"/>
        <v>0</v>
      </c>
      <c r="Y33" s="121">
        <f t="shared" si="17"/>
        <v>0</v>
      </c>
      <c r="Z33" s="1149">
        <f t="shared" si="18"/>
        <v>0</v>
      </c>
      <c r="AA33" s="122">
        <f t="shared" si="19"/>
        <v>0</v>
      </c>
      <c r="BG33" s="1246">
        <v>27</v>
      </c>
      <c r="BH33" s="1247">
        <f t="shared" si="37"/>
        <v>44892</v>
      </c>
      <c r="BI33" s="1248" t="str">
        <f>IF(BH33="","",INDEX({"रविवार";"सोमवार";"मंगळवार";"बुधवार";"गुरूवार";"शुक्रवार";"शनिवार"},WEEKDAY(BH33)))</f>
        <v>रविवार</v>
      </c>
      <c r="BJ33" s="1249">
        <f>HLOOKUP(BH3,'दैनिक माहिती'!BF120:BQ151,28,0)</f>
        <v>0</v>
      </c>
      <c r="BK33" s="1250"/>
      <c r="BL33" s="1251">
        <f t="shared" si="20"/>
        <v>0</v>
      </c>
      <c r="BM33" s="1250"/>
      <c r="BN33" s="1251">
        <f>HLOOKUP(BH3,'दैनिक माहिती'!BF83:BQ115,28,0)</f>
        <v>0</v>
      </c>
      <c r="BO33" s="1252">
        <f t="shared" si="21"/>
        <v>0</v>
      </c>
      <c r="BP33" s="1253">
        <f t="shared" si="22"/>
        <v>0</v>
      </c>
      <c r="BQ33" s="1253">
        <f t="shared" si="23"/>
        <v>0</v>
      </c>
      <c r="BR33" s="1253">
        <f t="shared" si="24"/>
        <v>0</v>
      </c>
      <c r="BS33" s="1253">
        <f t="shared" si="25"/>
        <v>0</v>
      </c>
      <c r="BT33" s="1253">
        <f t="shared" si="26"/>
        <v>0</v>
      </c>
      <c r="BU33" s="1253">
        <f t="shared" si="38"/>
        <v>0</v>
      </c>
      <c r="BV33" s="1253">
        <f t="shared" si="27"/>
        <v>0</v>
      </c>
      <c r="BW33" s="1253">
        <f t="shared" si="28"/>
        <v>0</v>
      </c>
      <c r="BX33" s="1253">
        <f t="shared" si="29"/>
        <v>0</v>
      </c>
      <c r="BY33" s="1254">
        <v>0</v>
      </c>
      <c r="BZ33" s="1254">
        <v>0</v>
      </c>
      <c r="CA33" s="1254">
        <v>0</v>
      </c>
      <c r="CB33" s="1253">
        <f t="shared" si="44"/>
        <v>0</v>
      </c>
      <c r="CC33" s="1253">
        <f t="shared" si="31"/>
        <v>0</v>
      </c>
      <c r="CD33" s="1253">
        <f t="shared" si="32"/>
        <v>0</v>
      </c>
      <c r="CE33" s="1257">
        <f t="shared" si="33"/>
        <v>0</v>
      </c>
      <c r="CF33" s="1253">
        <f t="shared" si="34"/>
        <v>0</v>
      </c>
      <c r="CG33" s="191"/>
      <c r="CH33" s="191">
        <f t="shared" si="0"/>
        <v>0</v>
      </c>
    </row>
    <row r="34" spans="2:86" ht="26.25" customHeight="1" x14ac:dyDescent="0.3">
      <c r="B34" s="517">
        <v>28</v>
      </c>
      <c r="C34" s="1233">
        <f t="shared" si="35"/>
        <v>44893</v>
      </c>
      <c r="D34" s="124" t="str">
        <f>IF(C34="","",INDEX({"रविवार";"सोमवार";"मंगळवार";"बुधवार";"गुरूवार";"शुक्रवार";"शनिवार"},WEEKDAY(C34)))</f>
        <v>सोमवार</v>
      </c>
      <c r="E34" s="125" t="str">
        <f>HLOOKUP(C3,'दैनिक माहिती'!BF120:BQ151,29,0)</f>
        <v>मुगडाळ</v>
      </c>
      <c r="F34" s="131" t="str">
        <f>HLOOKUP(C3,'दैनिक माहिती'!BF338:BQ369,29,0)</f>
        <v>खिचडी</v>
      </c>
      <c r="G34" s="126">
        <f t="shared" si="5"/>
        <v>0</v>
      </c>
      <c r="H34" s="131">
        <f>HLOOKUP(C3,'दैनिक माहिती'!BF46:BQ78,29,0)</f>
        <v>22</v>
      </c>
      <c r="I34" s="131">
        <f>HLOOKUP(C3,'दैनिक माहिती'!BF83:BQ115,29,0)</f>
        <v>22</v>
      </c>
      <c r="J34" s="127">
        <f t="shared" si="6"/>
        <v>4.4000000000000004</v>
      </c>
      <c r="K34" s="128">
        <f t="shared" si="7"/>
        <v>0</v>
      </c>
      <c r="L34" s="128">
        <f t="shared" si="8"/>
        <v>0</v>
      </c>
      <c r="M34" s="128">
        <f t="shared" si="9"/>
        <v>2.6399999999999997</v>
      </c>
      <c r="N34" s="128">
        <f t="shared" si="10"/>
        <v>2.6399999999999997</v>
      </c>
      <c r="O34" s="128">
        <f t="shared" si="11"/>
        <v>2.2000000000000002</v>
      </c>
      <c r="P34" s="128">
        <f t="shared" si="36"/>
        <v>1.3199999999999998</v>
      </c>
      <c r="Q34" s="128">
        <f t="shared" si="12"/>
        <v>2.6399999999999997</v>
      </c>
      <c r="R34" s="128">
        <f t="shared" si="13"/>
        <v>0</v>
      </c>
      <c r="S34" s="129">
        <f t="shared" si="14"/>
        <v>15.84</v>
      </c>
      <c r="T34" s="518">
        <v>0</v>
      </c>
      <c r="U34" s="518">
        <v>0</v>
      </c>
      <c r="V34" s="518">
        <v>0</v>
      </c>
      <c r="W34" s="130">
        <f t="shared" si="43"/>
        <v>0</v>
      </c>
      <c r="X34" s="120">
        <f t="shared" si="16"/>
        <v>0</v>
      </c>
      <c r="Y34" s="121">
        <f t="shared" si="17"/>
        <v>17.380000000000003</v>
      </c>
      <c r="Z34" s="1149">
        <f t="shared" si="18"/>
        <v>17.380000000000003</v>
      </c>
      <c r="AA34" s="122">
        <f t="shared" si="19"/>
        <v>50.6</v>
      </c>
      <c r="BG34" s="1246">
        <v>28</v>
      </c>
      <c r="BH34" s="1247">
        <f t="shared" si="37"/>
        <v>44893</v>
      </c>
      <c r="BI34" s="1248" t="str">
        <f>IF(BH34="","",INDEX({"रविवार";"सोमवार";"मंगळवार";"बुधवार";"गुरूवार";"शुक्रवार";"शनिवार"},WEEKDAY(BH34)))</f>
        <v>सोमवार</v>
      </c>
      <c r="BJ34" s="1249" t="str">
        <f>HLOOKUP(BH3,'दैनिक माहिती'!BF120:BQ151,29,0)</f>
        <v>मुगडाळ</v>
      </c>
      <c r="BK34" s="1250"/>
      <c r="BL34" s="1265">
        <f t="shared" si="20"/>
        <v>0</v>
      </c>
      <c r="BM34" s="1250"/>
      <c r="BN34" s="1251">
        <f>HLOOKUP(BH3,'दैनिक माहिती'!BF83:BQ115,29,0)</f>
        <v>22</v>
      </c>
      <c r="BO34" s="1252">
        <f t="shared" si="21"/>
        <v>4.4000000000000004</v>
      </c>
      <c r="BP34" s="1253">
        <f t="shared" si="22"/>
        <v>0</v>
      </c>
      <c r="BQ34" s="1253">
        <f t="shared" si="23"/>
        <v>0</v>
      </c>
      <c r="BR34" s="1253">
        <f t="shared" si="24"/>
        <v>2.6399999999999997</v>
      </c>
      <c r="BS34" s="1253">
        <f t="shared" si="25"/>
        <v>2.6399999999999997</v>
      </c>
      <c r="BT34" s="1253">
        <f t="shared" si="26"/>
        <v>2.2000000000000002</v>
      </c>
      <c r="BU34" s="1253">
        <f t="shared" si="38"/>
        <v>1.3199999999999998</v>
      </c>
      <c r="BV34" s="1253">
        <f t="shared" si="27"/>
        <v>2.6399999999999997</v>
      </c>
      <c r="BW34" s="1253">
        <f t="shared" si="28"/>
        <v>0</v>
      </c>
      <c r="BX34" s="1253">
        <f t="shared" si="29"/>
        <v>15.84</v>
      </c>
      <c r="BY34" s="1254">
        <v>0</v>
      </c>
      <c r="BZ34" s="1254">
        <v>0</v>
      </c>
      <c r="CA34" s="1254">
        <v>0</v>
      </c>
      <c r="CB34" s="1253">
        <f t="shared" si="44"/>
        <v>0</v>
      </c>
      <c r="CC34" s="1253">
        <f t="shared" si="31"/>
        <v>0</v>
      </c>
      <c r="CD34" s="1253">
        <f t="shared" si="32"/>
        <v>17.380000000000003</v>
      </c>
      <c r="CE34" s="1257">
        <f t="shared" si="33"/>
        <v>17.380000000000003</v>
      </c>
      <c r="CF34" s="1253">
        <f t="shared" si="34"/>
        <v>33.22</v>
      </c>
      <c r="CG34" s="191"/>
      <c r="CH34" s="191">
        <f t="shared" si="0"/>
        <v>0</v>
      </c>
    </row>
    <row r="35" spans="2:86" ht="26.25" customHeight="1" x14ac:dyDescent="0.3">
      <c r="B35" s="517">
        <v>29</v>
      </c>
      <c r="C35" s="1233">
        <f t="shared" si="35"/>
        <v>44894</v>
      </c>
      <c r="D35" s="124" t="str">
        <f>IF(C35="","",INDEX({"रविवार";"सोमवार";"मंगळवार";"बुधवार";"गुरूवार";"शुक्रवार";"शनिवार"},WEEKDAY(C35)))</f>
        <v>मंगळवार</v>
      </c>
      <c r="E35" s="125" t="str">
        <f>HLOOKUP(C3,'दैनिक माहिती'!BF120:BQ151,30,0)</f>
        <v>हरभरा</v>
      </c>
      <c r="F35" s="131" t="str">
        <f>HLOOKUP(C3,'दैनिक माहिती'!BF338:BQ369,30,0)</f>
        <v>उसळ</v>
      </c>
      <c r="G35" s="126">
        <f t="shared" si="5"/>
        <v>0</v>
      </c>
      <c r="H35" s="131">
        <f>HLOOKUP(C3,'दैनिक माहिती'!BF46:BQ78,30,0)</f>
        <v>22</v>
      </c>
      <c r="I35" s="131">
        <f>HLOOKUP(C3,'दैनिक माहिती'!BF83:BQ115,30,0)</f>
        <v>22</v>
      </c>
      <c r="J35" s="127">
        <f t="shared" si="6"/>
        <v>0</v>
      </c>
      <c r="K35" s="128">
        <f t="shared" si="7"/>
        <v>0</v>
      </c>
      <c r="L35" s="128">
        <f t="shared" si="8"/>
        <v>4.4000000000000004</v>
      </c>
      <c r="M35" s="128">
        <f t="shared" si="9"/>
        <v>2.6399999999999997</v>
      </c>
      <c r="N35" s="128">
        <f t="shared" si="10"/>
        <v>2.6399999999999997</v>
      </c>
      <c r="O35" s="128">
        <f t="shared" si="11"/>
        <v>2.2000000000000002</v>
      </c>
      <c r="P35" s="128">
        <f t="shared" si="36"/>
        <v>1.3199999999999998</v>
      </c>
      <c r="Q35" s="128">
        <f t="shared" si="12"/>
        <v>2.6399999999999997</v>
      </c>
      <c r="R35" s="128">
        <f t="shared" si="13"/>
        <v>0</v>
      </c>
      <c r="S35" s="129">
        <f t="shared" si="14"/>
        <v>15.84</v>
      </c>
      <c r="T35" s="518">
        <v>0</v>
      </c>
      <c r="U35" s="518">
        <v>0</v>
      </c>
      <c r="V35" s="518">
        <v>0</v>
      </c>
      <c r="W35" s="130">
        <f t="shared" si="43"/>
        <v>0</v>
      </c>
      <c r="X35" s="120">
        <f t="shared" si="16"/>
        <v>0</v>
      </c>
      <c r="Y35" s="121">
        <f t="shared" si="17"/>
        <v>17.380000000000003</v>
      </c>
      <c r="Z35" s="1149">
        <f t="shared" si="18"/>
        <v>17.380000000000003</v>
      </c>
      <c r="AA35" s="122">
        <f t="shared" si="19"/>
        <v>50.6</v>
      </c>
      <c r="BG35" s="1246">
        <v>29</v>
      </c>
      <c r="BH35" s="1247">
        <f t="shared" si="37"/>
        <v>44894</v>
      </c>
      <c r="BI35" s="1248" t="str">
        <f>IF(BH35="","",INDEX({"रविवार";"सोमवार";"मंगळवार";"बुधवार";"गुरूवार";"शुक्रवार";"शनिवार"},WEEKDAY(BH35)))</f>
        <v>मंगळवार</v>
      </c>
      <c r="BJ35" s="1249" t="str">
        <f>HLOOKUP(BH3,'दैनिक माहिती'!BF120:BQ151,30,0)</f>
        <v>हरभरा</v>
      </c>
      <c r="BK35" s="1250"/>
      <c r="BL35" s="1251">
        <f t="shared" si="20"/>
        <v>0</v>
      </c>
      <c r="BM35" s="1250"/>
      <c r="BN35" s="1251">
        <f>HLOOKUP(BH3,'दैनिक माहिती'!BF83:BQ115,30,0)</f>
        <v>22</v>
      </c>
      <c r="BO35" s="1252">
        <f t="shared" si="21"/>
        <v>0</v>
      </c>
      <c r="BP35" s="1253">
        <f t="shared" si="22"/>
        <v>0</v>
      </c>
      <c r="BQ35" s="1253">
        <f t="shared" si="23"/>
        <v>4.4000000000000004</v>
      </c>
      <c r="BR35" s="1253">
        <f t="shared" si="24"/>
        <v>2.6399999999999997</v>
      </c>
      <c r="BS35" s="1253">
        <f t="shared" si="25"/>
        <v>2.6399999999999997</v>
      </c>
      <c r="BT35" s="1253">
        <f t="shared" si="26"/>
        <v>2.2000000000000002</v>
      </c>
      <c r="BU35" s="1253">
        <f t="shared" si="38"/>
        <v>1.3199999999999998</v>
      </c>
      <c r="BV35" s="1253">
        <f t="shared" si="27"/>
        <v>2.6399999999999997</v>
      </c>
      <c r="BW35" s="1253">
        <f t="shared" si="28"/>
        <v>0</v>
      </c>
      <c r="BX35" s="1253">
        <f t="shared" si="29"/>
        <v>15.84</v>
      </c>
      <c r="BY35" s="1254">
        <v>0</v>
      </c>
      <c r="BZ35" s="1254">
        <v>0</v>
      </c>
      <c r="CA35" s="1254">
        <v>0</v>
      </c>
      <c r="CB35" s="1253">
        <f t="shared" si="44"/>
        <v>0</v>
      </c>
      <c r="CC35" s="1253">
        <f t="shared" si="31"/>
        <v>0</v>
      </c>
      <c r="CD35" s="1253">
        <f t="shared" si="32"/>
        <v>17.380000000000003</v>
      </c>
      <c r="CE35" s="1257">
        <f t="shared" si="33"/>
        <v>17.380000000000003</v>
      </c>
      <c r="CF35" s="1253">
        <f t="shared" si="34"/>
        <v>33.22</v>
      </c>
      <c r="CG35" s="191"/>
      <c r="CH35" s="191">
        <f t="shared" si="0"/>
        <v>0</v>
      </c>
    </row>
    <row r="36" spans="2:86" ht="26.25" customHeight="1" x14ac:dyDescent="0.3">
      <c r="B36" s="517">
        <v>30</v>
      </c>
      <c r="C36" s="1233">
        <f t="shared" si="35"/>
        <v>44895</v>
      </c>
      <c r="D36" s="124" t="str">
        <f>IF(C36="","",INDEX({"रविवार";"सोमवार";"मंगळवार";"बुधवार";"गुरूवार";"शुक्रवार";"शनिवार"},WEEKDAY(C36)))</f>
        <v>बुधवार</v>
      </c>
      <c r="E36" s="125" t="str">
        <f>HLOOKUP(C3,'दैनिक माहिती'!BF120:BQ151,31,0)</f>
        <v>वाटाणा</v>
      </c>
      <c r="F36" s="131" t="str">
        <f>HLOOKUP(C3,'दैनिक माहिती'!BF338:BQ369,31,0)</f>
        <v>उसळ</v>
      </c>
      <c r="G36" s="126">
        <f t="shared" si="5"/>
        <v>0</v>
      </c>
      <c r="H36" s="131">
        <f>HLOOKUP(C3,'दैनिक माहिती'!BF46:BQ78,31,0)</f>
        <v>22</v>
      </c>
      <c r="I36" s="131">
        <f>HLOOKUP(C3,'दैनिक माहिती'!BF83:BQ115,31,0)</f>
        <v>22</v>
      </c>
      <c r="J36" s="127">
        <f t="shared" si="6"/>
        <v>4.4000000000000004</v>
      </c>
      <c r="K36" s="128">
        <f t="shared" si="7"/>
        <v>0</v>
      </c>
      <c r="L36" s="128">
        <f t="shared" si="8"/>
        <v>0</v>
      </c>
      <c r="M36" s="128">
        <f t="shared" si="9"/>
        <v>2.6399999999999997</v>
      </c>
      <c r="N36" s="128">
        <f t="shared" si="10"/>
        <v>2.6399999999999997</v>
      </c>
      <c r="O36" s="128">
        <f t="shared" si="11"/>
        <v>2.2000000000000002</v>
      </c>
      <c r="P36" s="128">
        <f t="shared" si="36"/>
        <v>1.3199999999999998</v>
      </c>
      <c r="Q36" s="128">
        <f t="shared" si="12"/>
        <v>2.6399999999999997</v>
      </c>
      <c r="R36" s="128">
        <f t="shared" si="13"/>
        <v>0</v>
      </c>
      <c r="S36" s="129">
        <f t="shared" si="14"/>
        <v>15.84</v>
      </c>
      <c r="T36" s="518">
        <v>0</v>
      </c>
      <c r="U36" s="518">
        <v>0</v>
      </c>
      <c r="V36" s="518">
        <v>0</v>
      </c>
      <c r="W36" s="130">
        <f t="shared" si="43"/>
        <v>0</v>
      </c>
      <c r="X36" s="120">
        <f t="shared" si="16"/>
        <v>0</v>
      </c>
      <c r="Y36" s="121">
        <f t="shared" si="17"/>
        <v>17.380000000000003</v>
      </c>
      <c r="Z36" s="1149">
        <f t="shared" si="18"/>
        <v>17.380000000000003</v>
      </c>
      <c r="AA36" s="122">
        <f t="shared" si="19"/>
        <v>50.6</v>
      </c>
      <c r="BG36" s="1246">
        <v>30</v>
      </c>
      <c r="BH36" s="1247">
        <f t="shared" si="37"/>
        <v>44895</v>
      </c>
      <c r="BI36" s="1248" t="str">
        <f>IF(BH36="","",INDEX({"रविवार";"सोमवार";"मंगळवार";"बुधवार";"गुरूवार";"शुक्रवार";"शनिवार"},WEEKDAY(BH36)))</f>
        <v>बुधवार</v>
      </c>
      <c r="BJ36" s="1249" t="str">
        <f>HLOOKUP(BH3,'दैनिक माहिती'!BF120:BQ151,31,0)</f>
        <v>वाटाणा</v>
      </c>
      <c r="BK36" s="1250"/>
      <c r="BL36" s="1251">
        <f t="shared" si="20"/>
        <v>0</v>
      </c>
      <c r="BM36" s="1250"/>
      <c r="BN36" s="1251">
        <f>HLOOKUP(BH3,'दैनिक माहिती'!BF83:BQ115,31,0)</f>
        <v>22</v>
      </c>
      <c r="BO36" s="1252">
        <f t="shared" si="21"/>
        <v>4.4000000000000004</v>
      </c>
      <c r="BP36" s="1253">
        <f t="shared" si="22"/>
        <v>0</v>
      </c>
      <c r="BQ36" s="1253">
        <f t="shared" si="23"/>
        <v>0</v>
      </c>
      <c r="BR36" s="1253">
        <f t="shared" si="24"/>
        <v>2.6399999999999997</v>
      </c>
      <c r="BS36" s="1253">
        <f t="shared" si="25"/>
        <v>2.6399999999999997</v>
      </c>
      <c r="BT36" s="1253">
        <f t="shared" si="26"/>
        <v>2.2000000000000002</v>
      </c>
      <c r="BU36" s="1253">
        <f t="shared" si="38"/>
        <v>1.3199999999999998</v>
      </c>
      <c r="BV36" s="1253">
        <f t="shared" si="27"/>
        <v>2.6399999999999997</v>
      </c>
      <c r="BW36" s="1253">
        <f t="shared" si="28"/>
        <v>0</v>
      </c>
      <c r="BX36" s="1253">
        <f t="shared" si="29"/>
        <v>15.84</v>
      </c>
      <c r="BY36" s="1254">
        <v>0</v>
      </c>
      <c r="BZ36" s="1254">
        <v>0</v>
      </c>
      <c r="CA36" s="1254">
        <v>0</v>
      </c>
      <c r="CB36" s="1253">
        <f t="shared" si="44"/>
        <v>0</v>
      </c>
      <c r="CC36" s="1253">
        <f t="shared" si="31"/>
        <v>0</v>
      </c>
      <c r="CD36" s="1253">
        <f t="shared" si="32"/>
        <v>17.380000000000003</v>
      </c>
      <c r="CE36" s="1257">
        <f t="shared" si="33"/>
        <v>17.380000000000003</v>
      </c>
      <c r="CF36" s="1253">
        <f t="shared" si="34"/>
        <v>33.22</v>
      </c>
      <c r="CG36" s="191"/>
      <c r="CH36" s="191">
        <f t="shared" si="0"/>
        <v>0</v>
      </c>
    </row>
    <row r="37" spans="2:86" ht="26.25" customHeight="1" x14ac:dyDescent="0.3">
      <c r="B37" s="517">
        <v>31</v>
      </c>
      <c r="C37" s="1233">
        <f t="shared" si="35"/>
        <v>44896</v>
      </c>
      <c r="D37" s="124" t="str">
        <f>IF(C37="","",INDEX({"रविवार";"सोमवार";"मंगळवार";"बुधवार";"गुरूवार";"शुक्रवार";"शनिवार"},WEEKDAY(C37)))</f>
        <v>गुरूवार</v>
      </c>
      <c r="E37" s="125">
        <f>HLOOKUP(C3,'दैनिक माहिती'!BF120:BQ151,32,0)</f>
        <v>0</v>
      </c>
      <c r="F37" s="131">
        <f>HLOOKUP(C3,'दैनिक माहिती'!BF338:BQ369,32,0)</f>
        <v>0</v>
      </c>
      <c r="G37" s="126">
        <f t="shared" si="5"/>
        <v>0</v>
      </c>
      <c r="H37" s="131">
        <f>HLOOKUP(C3,'दैनिक माहिती'!BF46:BQ78,32,0)</f>
        <v>0</v>
      </c>
      <c r="I37" s="131">
        <f>HLOOKUP(C3,'दैनिक माहिती'!BF83:BQ115,32,0)</f>
        <v>0</v>
      </c>
      <c r="J37" s="127">
        <f t="shared" si="6"/>
        <v>0</v>
      </c>
      <c r="K37" s="128">
        <f t="shared" si="7"/>
        <v>0</v>
      </c>
      <c r="L37" s="128">
        <f t="shared" si="8"/>
        <v>0</v>
      </c>
      <c r="M37" s="128">
        <f t="shared" si="9"/>
        <v>0</v>
      </c>
      <c r="N37" s="128">
        <f t="shared" si="10"/>
        <v>0</v>
      </c>
      <c r="O37" s="128">
        <f t="shared" si="11"/>
        <v>0</v>
      </c>
      <c r="P37" s="128">
        <f t="shared" si="36"/>
        <v>0</v>
      </c>
      <c r="Q37" s="128">
        <f t="shared" si="12"/>
        <v>0</v>
      </c>
      <c r="R37" s="128">
        <f t="shared" si="13"/>
        <v>0</v>
      </c>
      <c r="S37" s="129">
        <f t="shared" si="14"/>
        <v>0</v>
      </c>
      <c r="T37" s="518">
        <v>0</v>
      </c>
      <c r="U37" s="518">
        <v>0</v>
      </c>
      <c r="V37" s="518">
        <v>0</v>
      </c>
      <c r="W37" s="130">
        <f t="shared" si="43"/>
        <v>0</v>
      </c>
      <c r="X37" s="120">
        <f t="shared" si="16"/>
        <v>0</v>
      </c>
      <c r="Y37" s="121">
        <f>(I37*$Y$6)</f>
        <v>0</v>
      </c>
      <c r="Z37" s="1149">
        <f t="shared" si="18"/>
        <v>0</v>
      </c>
      <c r="AA37" s="122">
        <f t="shared" si="19"/>
        <v>0</v>
      </c>
      <c r="BG37" s="1246">
        <v>31</v>
      </c>
      <c r="BH37" s="1247">
        <f t="shared" si="37"/>
        <v>44896</v>
      </c>
      <c r="BI37" s="1248" t="str">
        <f>IF(BH37="","",INDEX({"रविवार";"सोमवार";"मंगळवार";"बुधवार";"गुरूवार";"शुक्रवार";"शनिवार"},WEEKDAY(BH37)))</f>
        <v>गुरूवार</v>
      </c>
      <c r="BJ37" s="1249">
        <f>HLOOKUP(BH3,'दैनिक माहिती'!BF120:BQ151,32,0)</f>
        <v>0</v>
      </c>
      <c r="BK37" s="1250"/>
      <c r="BL37" s="1251">
        <f t="shared" si="20"/>
        <v>0</v>
      </c>
      <c r="BM37" s="1250"/>
      <c r="BN37" s="1251">
        <f>HLOOKUP(BH3,'दैनिक माहिती'!BF83:BQ115,32,0)</f>
        <v>0</v>
      </c>
      <c r="BO37" s="1252">
        <f t="shared" si="21"/>
        <v>0</v>
      </c>
      <c r="BP37" s="1253">
        <f t="shared" si="22"/>
        <v>0</v>
      </c>
      <c r="BQ37" s="1253">
        <f t="shared" si="23"/>
        <v>0</v>
      </c>
      <c r="BR37" s="1253">
        <f t="shared" si="24"/>
        <v>0</v>
      </c>
      <c r="BS37" s="1253">
        <f t="shared" si="25"/>
        <v>0</v>
      </c>
      <c r="BT37" s="1253">
        <f t="shared" si="26"/>
        <v>0</v>
      </c>
      <c r="BU37" s="1253">
        <f t="shared" si="38"/>
        <v>0</v>
      </c>
      <c r="BV37" s="1253">
        <f t="shared" si="27"/>
        <v>0</v>
      </c>
      <c r="BW37" s="1253">
        <f t="shared" si="28"/>
        <v>0</v>
      </c>
      <c r="BX37" s="1253">
        <f t="shared" si="29"/>
        <v>0</v>
      </c>
      <c r="BY37" s="1254">
        <v>0</v>
      </c>
      <c r="BZ37" s="1254">
        <v>0</v>
      </c>
      <c r="CA37" s="1254">
        <v>0</v>
      </c>
      <c r="CB37" s="1253">
        <f t="shared" si="44"/>
        <v>0</v>
      </c>
      <c r="CC37" s="1253">
        <f t="shared" si="31"/>
        <v>0</v>
      </c>
      <c r="CD37" s="1253">
        <f t="shared" si="32"/>
        <v>0</v>
      </c>
      <c r="CE37" s="1257">
        <f t="shared" si="33"/>
        <v>0</v>
      </c>
      <c r="CF37" s="1253">
        <f t="shared" si="34"/>
        <v>0</v>
      </c>
      <c r="CG37" s="191"/>
      <c r="CH37" s="191">
        <f t="shared" si="0"/>
        <v>0</v>
      </c>
    </row>
    <row r="38" spans="2:86" ht="26.25" customHeight="1" thickBot="1" x14ac:dyDescent="0.4">
      <c r="B38" s="1708" t="s">
        <v>35</v>
      </c>
      <c r="C38" s="1709"/>
      <c r="D38" s="1709"/>
      <c r="E38" s="519"/>
      <c r="F38" s="520"/>
      <c r="G38" s="132">
        <f>COUNTIF(G7:G37,"=वाटप")</f>
        <v>3</v>
      </c>
      <c r="H38" s="133">
        <f>SUM(H7:H37)</f>
        <v>418</v>
      </c>
      <c r="I38" s="132">
        <f t="shared" ref="I38:R38" si="45">SUM(I7:I37)</f>
        <v>418</v>
      </c>
      <c r="J38" s="134">
        <f t="shared" si="45"/>
        <v>57.199999999999989</v>
      </c>
      <c r="K38" s="134">
        <f t="shared" si="45"/>
        <v>0</v>
      </c>
      <c r="L38" s="134">
        <f t="shared" si="45"/>
        <v>26.4</v>
      </c>
      <c r="M38" s="134">
        <f t="shared" si="45"/>
        <v>50.160000000000004</v>
      </c>
      <c r="N38" s="134">
        <f t="shared" si="45"/>
        <v>50.160000000000004</v>
      </c>
      <c r="O38" s="134">
        <f t="shared" si="45"/>
        <v>41.800000000000004</v>
      </c>
      <c r="P38" s="134">
        <f t="shared" si="45"/>
        <v>25.080000000000002</v>
      </c>
      <c r="Q38" s="134">
        <f t="shared" si="45"/>
        <v>50.160000000000004</v>
      </c>
      <c r="R38" s="134">
        <f t="shared" si="45"/>
        <v>0</v>
      </c>
      <c r="S38" s="135">
        <f t="shared" ref="S38:X38" si="46">SUM(S7:S37)</f>
        <v>300.95999999999998</v>
      </c>
      <c r="T38" s="134">
        <f t="shared" si="46"/>
        <v>0</v>
      </c>
      <c r="U38" s="134">
        <f t="shared" si="46"/>
        <v>80.813333333333318</v>
      </c>
      <c r="V38" s="134">
        <f t="shared" si="46"/>
        <v>80.813333333333318</v>
      </c>
      <c r="W38" s="134">
        <f t="shared" si="46"/>
        <v>80.813333333333318</v>
      </c>
      <c r="X38" s="136">
        <f t="shared" si="46"/>
        <v>242.43999999999994</v>
      </c>
      <c r="Y38" s="137">
        <f>(I38*Y6)</f>
        <v>330.22</v>
      </c>
      <c r="Z38" s="1151">
        <f t="shared" si="18"/>
        <v>330.22</v>
      </c>
      <c r="AA38" s="138">
        <f>(I38*AA6)</f>
        <v>1199.6600000000001</v>
      </c>
      <c r="BG38" s="1728" t="s">
        <v>35</v>
      </c>
      <c r="BH38" s="1728"/>
      <c r="BI38" s="1728"/>
      <c r="BJ38" s="1255"/>
      <c r="BK38" s="1256"/>
      <c r="BL38" s="1251">
        <f>COUNTIF(BL7:BL37,"=वाटप")</f>
        <v>3</v>
      </c>
      <c r="BM38" s="1250"/>
      <c r="BN38" s="1251">
        <f>SUM(BN7:BN37)</f>
        <v>418</v>
      </c>
      <c r="BO38" s="1257">
        <f t="shared" ref="BO38:BW38" si="47">SUM(BO7:BO37)</f>
        <v>57.199999999999989</v>
      </c>
      <c r="BP38" s="1257">
        <f t="shared" si="47"/>
        <v>0</v>
      </c>
      <c r="BQ38" s="1257">
        <f t="shared" si="47"/>
        <v>26.4</v>
      </c>
      <c r="BR38" s="1257">
        <f t="shared" si="47"/>
        <v>50.160000000000004</v>
      </c>
      <c r="BS38" s="1257">
        <f t="shared" si="47"/>
        <v>50.160000000000004</v>
      </c>
      <c r="BT38" s="1257">
        <f t="shared" si="47"/>
        <v>41.800000000000004</v>
      </c>
      <c r="BU38" s="1257">
        <f t="shared" si="47"/>
        <v>25.080000000000002</v>
      </c>
      <c r="BV38" s="1257">
        <f t="shared" si="47"/>
        <v>50.160000000000004</v>
      </c>
      <c r="BW38" s="1257">
        <f t="shared" si="47"/>
        <v>0</v>
      </c>
      <c r="BX38" s="1257">
        <f>SUM(BO38:BW38)</f>
        <v>300.96000000000004</v>
      </c>
      <c r="BY38" s="1257">
        <f>SUM(BY7:BY37)</f>
        <v>0</v>
      </c>
      <c r="BZ38" s="1257">
        <f>SUM(BZ7:BZ37)</f>
        <v>80.813333333333318</v>
      </c>
      <c r="CA38" s="1257">
        <f>SUM(CA7:CA37)</f>
        <v>80.813333333333318</v>
      </c>
      <c r="CB38" s="1257">
        <f>SUM(CB7:CB37)</f>
        <v>80.813333333333318</v>
      </c>
      <c r="CC38" s="1253">
        <f>SUM(CC7:CC37)</f>
        <v>242.43999999999994</v>
      </c>
      <c r="CD38" s="1252">
        <f>(BN38*CD6)</f>
        <v>330.22</v>
      </c>
      <c r="CE38" s="1257">
        <f t="shared" si="33"/>
        <v>330.22</v>
      </c>
      <c r="CF38" s="1252">
        <f>(BN38*CF6)</f>
        <v>1199.6600000000001</v>
      </c>
      <c r="CG38" s="191"/>
      <c r="CH38" s="191">
        <f t="shared" si="0"/>
        <v>0</v>
      </c>
    </row>
    <row r="39" spans="2:86" ht="26.25" customHeight="1" x14ac:dyDescent="0.3">
      <c r="B39" s="521"/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368"/>
      <c r="X39" s="522"/>
      <c r="Y39" s="368"/>
      <c r="Z39" s="1152"/>
      <c r="AA39" s="368"/>
      <c r="BG39" s="1227"/>
      <c r="BH39" s="1227"/>
      <c r="BI39" s="1227"/>
      <c r="BJ39" s="1227"/>
      <c r="BK39" s="1227"/>
      <c r="BL39" s="1227"/>
      <c r="BM39" s="1227"/>
      <c r="BN39" s="1227"/>
      <c r="BO39" s="1227"/>
      <c r="BP39" s="1227"/>
      <c r="BQ39" s="1227"/>
      <c r="BR39" s="1227"/>
      <c r="BS39" s="1227"/>
      <c r="BT39" s="1227"/>
      <c r="BU39" s="1227"/>
      <c r="BV39" s="1227"/>
      <c r="BW39" s="1227"/>
      <c r="BX39" s="1226"/>
      <c r="BY39" s="191"/>
      <c r="BZ39" s="191"/>
      <c r="CA39" s="191"/>
      <c r="CB39" s="191"/>
      <c r="CC39" s="1228">
        <f>$BN$38*$CC$6</f>
        <v>242.43999999999997</v>
      </c>
      <c r="CD39" s="1226"/>
      <c r="CE39" s="1226"/>
      <c r="CF39" s="1226"/>
      <c r="CG39" s="191"/>
      <c r="CH39" s="191">
        <f t="shared" si="0"/>
        <v>0</v>
      </c>
    </row>
    <row r="40" spans="2:86" ht="26.25" customHeight="1" x14ac:dyDescent="0.3"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BG40" s="1227"/>
      <c r="BH40" s="1227"/>
      <c r="BI40" s="1227"/>
      <c r="BJ40" s="1227"/>
      <c r="BK40" s="1227"/>
      <c r="BL40" s="1227"/>
      <c r="BM40" s="1227"/>
      <c r="BN40" s="1227"/>
      <c r="BO40" s="1227"/>
      <c r="BP40" s="1227"/>
      <c r="BQ40" s="1227"/>
      <c r="BR40" s="1227"/>
      <c r="BS40" s="1227"/>
      <c r="BT40" s="1227"/>
      <c r="BU40" s="1227"/>
      <c r="BV40" s="1227"/>
      <c r="BW40" s="1227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</row>
    <row r="41" spans="2:86" ht="26.25" customHeight="1" x14ac:dyDescent="0.3"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BG41" s="1227"/>
      <c r="BH41" s="1227"/>
      <c r="BI41" s="1227"/>
      <c r="BJ41" s="1227"/>
      <c r="BK41" s="1227"/>
      <c r="BL41" s="1227"/>
      <c r="BM41" s="1227"/>
      <c r="BN41" s="1227"/>
      <c r="BO41" s="1227"/>
      <c r="BP41" s="1227"/>
      <c r="BQ41" s="1227"/>
      <c r="BR41" s="1227"/>
      <c r="BS41" s="1227"/>
      <c r="BT41" s="1227"/>
      <c r="BU41" s="1227"/>
      <c r="BV41" s="1227"/>
      <c r="BW41" s="1227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</row>
    <row r="42" spans="2:86" ht="26.25" customHeight="1" x14ac:dyDescent="0.3"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BG42" s="1258"/>
      <c r="BH42" s="1258"/>
      <c r="BI42" s="1258"/>
      <c r="BJ42" s="1258"/>
      <c r="BK42" s="1258"/>
      <c r="BL42" s="1258">
        <f>G42</f>
        <v>0</v>
      </c>
      <c r="BM42" s="1258"/>
      <c r="BN42" s="1258"/>
      <c r="BO42" s="1258">
        <f t="shared" ref="BO42" si="48">J42</f>
        <v>0</v>
      </c>
      <c r="BP42" s="1258">
        <f t="shared" ref="BP42" si="49">K42</f>
        <v>0</v>
      </c>
      <c r="BQ42" s="1258">
        <f t="shared" ref="BQ42" si="50">L42</f>
        <v>0</v>
      </c>
      <c r="BR42" s="1258">
        <f t="shared" ref="BR42" si="51">M42</f>
        <v>0</v>
      </c>
      <c r="BS42" s="1258">
        <f t="shared" ref="BS42" si="52">N42</f>
        <v>0</v>
      </c>
      <c r="BT42" s="1258">
        <f t="shared" ref="BT42" si="53">O42</f>
        <v>0</v>
      </c>
      <c r="BU42" s="1258">
        <f t="shared" ref="BU42" si="54">P42</f>
        <v>0</v>
      </c>
      <c r="BV42" s="1258">
        <f t="shared" ref="BV42" si="55">Q42</f>
        <v>0</v>
      </c>
      <c r="BW42" s="1258"/>
      <c r="BX42" s="1259"/>
      <c r="BY42" s="1259">
        <f>T42</f>
        <v>0</v>
      </c>
      <c r="BZ42" s="1259">
        <f>U42</f>
        <v>0</v>
      </c>
      <c r="CA42" s="1259"/>
      <c r="CB42" s="1259"/>
      <c r="CC42" s="1259"/>
      <c r="CD42" s="1259"/>
      <c r="CE42" s="1259"/>
      <c r="CF42" s="1259"/>
      <c r="CG42" s="191"/>
      <c r="CH42" s="191"/>
    </row>
    <row r="43" spans="2:86" ht="21" customHeight="1" x14ac:dyDescent="0.3">
      <c r="X43" s="139">
        <f>$I$38*$X$6</f>
        <v>242.43999999999997</v>
      </c>
      <c r="BG43" s="1259" t="s">
        <v>307</v>
      </c>
      <c r="BH43" s="1259" t="str">
        <f>'इंधन,भाजी.पावती 1 ते 5'!L2</f>
        <v>नोव्हेंबर</v>
      </c>
      <c r="BI43" s="1259">
        <f>'इंधन,भाजी.पावती 1 ते 5'!N2</f>
        <v>2022</v>
      </c>
      <c r="BJ43" s="1259">
        <f>'शाळा माहिती'!C57</f>
        <v>0</v>
      </c>
      <c r="BK43" s="1259" t="s">
        <v>302</v>
      </c>
      <c r="BL43" s="1259"/>
      <c r="BM43" s="1259"/>
      <c r="BN43" s="1259"/>
      <c r="BO43" s="1259"/>
      <c r="BP43" s="1259"/>
      <c r="BQ43" s="1259"/>
      <c r="BR43" s="1259"/>
      <c r="BS43" s="1259"/>
      <c r="BT43" s="1259"/>
      <c r="BU43" s="1259"/>
      <c r="BV43" s="1259"/>
      <c r="BW43" s="1259"/>
      <c r="BX43" s="1259"/>
      <c r="BY43" s="1259"/>
      <c r="BZ43" s="1259"/>
      <c r="CA43" s="1259"/>
      <c r="CB43" s="1259"/>
      <c r="CC43" s="1260" t="s">
        <v>362</v>
      </c>
      <c r="CD43" s="1259">
        <f>Y43</f>
        <v>0</v>
      </c>
      <c r="CE43" s="1259"/>
      <c r="CF43" s="1259"/>
      <c r="CG43" s="191"/>
      <c r="CH43" s="191"/>
    </row>
    <row r="44" spans="2:86" ht="26.25" customHeight="1" x14ac:dyDescent="0.3">
      <c r="BG44" s="1259" t="s">
        <v>303</v>
      </c>
      <c r="BH44" s="1259"/>
      <c r="BI44" s="1259"/>
      <c r="BJ44" s="1259"/>
      <c r="BK44" s="1259"/>
      <c r="BL44" s="1259"/>
      <c r="BM44" s="1259"/>
      <c r="BN44" s="1259"/>
      <c r="BO44" s="1259" t="s">
        <v>61</v>
      </c>
      <c r="BP44" s="1259"/>
      <c r="BQ44" s="1259"/>
      <c r="BR44" s="1259"/>
      <c r="BS44" s="1259"/>
      <c r="BT44" s="1259"/>
      <c r="BU44" s="1259"/>
      <c r="BV44" s="1259"/>
      <c r="BW44" s="1259"/>
      <c r="BX44" s="1696" t="s">
        <v>341</v>
      </c>
      <c r="BY44" s="1736" t="s">
        <v>304</v>
      </c>
      <c r="BZ44" s="1737"/>
      <c r="CA44" s="1737"/>
      <c r="CB44" s="1738"/>
      <c r="CC44" s="1696" t="s">
        <v>306</v>
      </c>
      <c r="CD44" s="1696" t="s">
        <v>343</v>
      </c>
      <c r="CE44" s="1696" t="s">
        <v>731</v>
      </c>
      <c r="CF44" s="1725" t="s">
        <v>342</v>
      </c>
      <c r="CG44" s="191"/>
      <c r="CH44" s="191"/>
    </row>
    <row r="45" spans="2:86" ht="26.25" customHeight="1" x14ac:dyDescent="0.3">
      <c r="BG45" s="1259" t="s">
        <v>86</v>
      </c>
      <c r="BH45" s="1259" t="s">
        <v>305</v>
      </c>
      <c r="BI45" s="1259" t="s">
        <v>18</v>
      </c>
      <c r="BJ45" s="1259" t="s">
        <v>32</v>
      </c>
      <c r="BK45" s="1259" t="s">
        <v>360</v>
      </c>
      <c r="BL45" s="1259" t="s">
        <v>99</v>
      </c>
      <c r="BM45" s="1259" t="s">
        <v>19</v>
      </c>
      <c r="BN45" s="1259" t="s">
        <v>338</v>
      </c>
      <c r="BO45" s="1259" t="s">
        <v>49</v>
      </c>
      <c r="BP45" s="1259" t="s">
        <v>53</v>
      </c>
      <c r="BQ45" s="1259" t="s">
        <v>340</v>
      </c>
      <c r="BR45" s="1259" t="s">
        <v>52</v>
      </c>
      <c r="BS45" s="1259" t="s">
        <v>50</v>
      </c>
      <c r="BT45" s="1259" t="s">
        <v>51</v>
      </c>
      <c r="BU45" s="1259" t="s">
        <v>54</v>
      </c>
      <c r="BV45" s="1259" t="s">
        <v>55</v>
      </c>
      <c r="BW45" s="1259" t="s">
        <v>339</v>
      </c>
      <c r="BX45" s="1697"/>
      <c r="BY45" s="1259" t="s">
        <v>56</v>
      </c>
      <c r="BZ45" s="1259" t="s">
        <v>57</v>
      </c>
      <c r="CA45" s="1259" t="s">
        <v>58</v>
      </c>
      <c r="CB45" s="1263" t="s">
        <v>59</v>
      </c>
      <c r="CC45" s="1697"/>
      <c r="CD45" s="1697"/>
      <c r="CE45" s="1697"/>
      <c r="CF45" s="1726"/>
      <c r="CG45" s="191"/>
      <c r="CH45" s="191"/>
    </row>
    <row r="46" spans="2:86" ht="26.25" customHeight="1" x14ac:dyDescent="0.3">
      <c r="BG46" s="1259"/>
      <c r="BH46" s="1259"/>
      <c r="BI46" s="1259"/>
      <c r="BJ46" s="1259" t="s">
        <v>344</v>
      </c>
      <c r="BK46" s="1259"/>
      <c r="BL46" s="1259"/>
      <c r="BM46" s="1259"/>
      <c r="BN46" s="1259"/>
      <c r="BO46" s="1264">
        <f>J6</f>
        <v>0.2</v>
      </c>
      <c r="BP46" s="1264">
        <f t="shared" ref="BP46:CF46" si="56">K6</f>
        <v>0.2</v>
      </c>
      <c r="BQ46" s="1264">
        <f t="shared" si="56"/>
        <v>0.2</v>
      </c>
      <c r="BR46" s="1264">
        <f t="shared" si="56"/>
        <v>0.12</v>
      </c>
      <c r="BS46" s="1264">
        <f t="shared" si="56"/>
        <v>0.12</v>
      </c>
      <c r="BT46" s="1264">
        <f t="shared" si="56"/>
        <v>0.1</v>
      </c>
      <c r="BU46" s="1264">
        <f t="shared" si="56"/>
        <v>0.06</v>
      </c>
      <c r="BV46" s="1264">
        <f t="shared" si="56"/>
        <v>0.12</v>
      </c>
      <c r="BW46" s="1264">
        <f t="shared" si="56"/>
        <v>0</v>
      </c>
      <c r="BX46" s="1264">
        <f t="shared" si="56"/>
        <v>0.71</v>
      </c>
      <c r="BY46" s="1264">
        <f t="shared" si="56"/>
        <v>0</v>
      </c>
      <c r="BZ46" s="1264">
        <f t="shared" si="56"/>
        <v>0</v>
      </c>
      <c r="CA46" s="1264">
        <f t="shared" si="56"/>
        <v>0</v>
      </c>
      <c r="CB46" s="1264">
        <f t="shared" si="56"/>
        <v>0</v>
      </c>
      <c r="CC46" s="1264">
        <f t="shared" si="56"/>
        <v>0.57999999999999996</v>
      </c>
      <c r="CD46" s="1264">
        <f t="shared" si="56"/>
        <v>0.79</v>
      </c>
      <c r="CE46" s="1264">
        <f t="shared" si="56"/>
        <v>0.79</v>
      </c>
      <c r="CF46" s="1264">
        <f t="shared" si="56"/>
        <v>2.87</v>
      </c>
      <c r="CG46" s="191"/>
      <c r="CH46" s="191"/>
    </row>
    <row r="47" spans="2:86" ht="26.25" customHeight="1" x14ac:dyDescent="0.3">
      <c r="BG47" s="1261">
        <v>1</v>
      </c>
      <c r="BH47" s="1262">
        <f>DATE(BI43,INDEX({4,5,6,7,8,9,10,11,12,1,2,3},MATCH(BH43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BI47" s="1261" t="str">
        <f>IF(BH47="","",INDEX({"रविवार";"सोमवार";"मंगळवार";"बुधवार";"गुरूवार";"शुक्रवार";"शनिवार"},WEEKDAY(BH47)))</f>
        <v>मंगळवार</v>
      </c>
      <c r="BJ47" s="1261">
        <f>HLOOKUP(BH43,'दैनिक माहिती'!BF120:BQ151,2,0)</f>
        <v>0</v>
      </c>
      <c r="BK47" s="1261"/>
      <c r="BL47" s="1261">
        <f>IF(AND(BI47=$BY$2,BN47&gt;0),$BL$2,0)</f>
        <v>0</v>
      </c>
      <c r="BM47" s="1261"/>
      <c r="BN47" s="1261">
        <f>HLOOKUP(BH43,'दैनिक माहिती'!BF83:BQ115,2,0)</f>
        <v>0</v>
      </c>
      <c r="BO47" s="1261">
        <f>IF(BJ47=$J$2,$J$6*BN47,IF(BJ47=$K$2,$J$6*BN47,IF(BJ47=$Q$2,$J$6*BN47,0)))</f>
        <v>0</v>
      </c>
      <c r="BP47" s="1261">
        <f>IF(BJ47=$L$2,$K$6*BN47,IF(BJ47=$M$2,$K$6*BN47,IF(BJ47=$N$2,$K$6*BN47,0)))</f>
        <v>0</v>
      </c>
      <c r="BQ47" s="1261">
        <f>IF(BJ47=$O$2,$L$6*BN47,IF(BJ47=$P$2,$L$6*BN47,0))</f>
        <v>0</v>
      </c>
      <c r="BR47" s="1261">
        <f>$M$6*BN47</f>
        <v>0</v>
      </c>
      <c r="BS47" s="1261">
        <f>$N$6*BN47</f>
        <v>0</v>
      </c>
      <c r="BT47" s="1261">
        <f>$O$6*BN47</f>
        <v>0</v>
      </c>
      <c r="BU47" s="1261">
        <f>$P$6*BN47</f>
        <v>0</v>
      </c>
      <c r="BV47" s="1261">
        <f>$Q$6*BN47</f>
        <v>0</v>
      </c>
      <c r="BW47" s="1261">
        <f>$R$6*BN47</f>
        <v>0</v>
      </c>
      <c r="BX47" s="1261">
        <f>SUM(BO47:BW47)</f>
        <v>0</v>
      </c>
      <c r="BY47" s="1261">
        <f>IF(BL47=$G$2,$CC$79/$BL$78,0)</f>
        <v>0</v>
      </c>
      <c r="BZ47" s="1261">
        <v>0</v>
      </c>
      <c r="CA47" s="1261">
        <v>0</v>
      </c>
      <c r="CB47" s="1261">
        <v>0</v>
      </c>
      <c r="CC47" s="1261">
        <f>SUM(BY47:CB47)</f>
        <v>0</v>
      </c>
      <c r="CD47" s="1261">
        <f>(BN47*$Y$6)</f>
        <v>0</v>
      </c>
      <c r="CE47" s="1261">
        <f>BN47*$CE$6</f>
        <v>0</v>
      </c>
      <c r="CF47" s="1261">
        <f>(BX47+CC47+CD47)</f>
        <v>0</v>
      </c>
    </row>
    <row r="48" spans="2:86" ht="26.25" customHeight="1" x14ac:dyDescent="0.3">
      <c r="BG48" s="1261">
        <v>2</v>
      </c>
      <c r="BH48" s="1262">
        <f>BH47+1</f>
        <v>44867</v>
      </c>
      <c r="BI48" s="1261" t="str">
        <f>IF(BH48="","",INDEX({"रविवार";"सोमवार";"मंगळवार";"बुधवार";"गुरूवार";"शुक्रवार";"शनिवार"},WEEKDAY(BH48)))</f>
        <v>बुधवार</v>
      </c>
      <c r="BJ48" s="1261">
        <f>HLOOKUP(BH43,'दैनिक माहिती'!BF120:BQ151,3,0)</f>
        <v>0</v>
      </c>
      <c r="BK48" s="1261"/>
      <c r="BL48" s="1261">
        <f t="shared" ref="BL48:BL77" si="57">IF(AND(BI48=$BY$2,BN48&gt;0),$BL$2,0)</f>
        <v>0</v>
      </c>
      <c r="BM48" s="1261"/>
      <c r="BN48" s="1261">
        <f>HLOOKUP(BH43,'दैनिक माहिती'!BF83:BQ115,3,0)</f>
        <v>0</v>
      </c>
      <c r="BO48" s="1261">
        <f t="shared" ref="BO48:BO77" si="58">IF(BJ48=$J$2,$J$6*BN48,IF(BJ48=$K$2,$J$6*BN48,IF(BJ48=$Q$2,$J$6*BN48,0)))</f>
        <v>0</v>
      </c>
      <c r="BP48" s="1261">
        <f t="shared" ref="BP48:BP77" si="59">IF(BJ48=$L$2,$K$6*BN48,IF(BJ48=$M$2,$K$6*BN48,IF(BJ48=$N$2,$K$6*BN48,0)))</f>
        <v>0</v>
      </c>
      <c r="BQ48" s="1261">
        <f t="shared" ref="BQ48:BQ77" si="60">IF(BJ48=$O$2,$L$6*BN48,IF(BJ48=$P$2,$L$6*BN48,0))</f>
        <v>0</v>
      </c>
      <c r="BR48" s="1261">
        <f t="shared" ref="BR48:BR77" si="61">$M$6*BN48</f>
        <v>0</v>
      </c>
      <c r="BS48" s="1261">
        <f t="shared" ref="BS48:BS77" si="62">$N$6*BN48</f>
        <v>0</v>
      </c>
      <c r="BT48" s="1261">
        <f t="shared" ref="BT48:BT77" si="63">$O$6*BN48</f>
        <v>0</v>
      </c>
      <c r="BU48" s="1261">
        <f>$P$6*BN48</f>
        <v>0</v>
      </c>
      <c r="BV48" s="1261">
        <f t="shared" ref="BV48:BV77" si="64">$Q$6*BN48</f>
        <v>0</v>
      </c>
      <c r="BW48" s="1261">
        <f t="shared" ref="BW48:BW77" si="65">$R$6*BN48</f>
        <v>0</v>
      </c>
      <c r="BX48" s="1261">
        <f t="shared" ref="BX48:BX77" si="66">SUM(BO48:BW48)</f>
        <v>0</v>
      </c>
      <c r="BY48" s="1261">
        <f t="shared" ref="BY48:BY54" si="67">IF(BL48=$G$2,$CC$79/$BL$78,0)</f>
        <v>0</v>
      </c>
      <c r="BZ48" s="1261">
        <v>0</v>
      </c>
      <c r="CA48" s="1261">
        <v>0</v>
      </c>
      <c r="CB48" s="1261">
        <v>0</v>
      </c>
      <c r="CC48" s="1261">
        <f t="shared" ref="CC48:CC77" si="68">SUM(BY48:CB48)</f>
        <v>0</v>
      </c>
      <c r="CD48" s="1261">
        <f t="shared" ref="CD48:CD77" si="69">(BN48*$Y$6)</f>
        <v>0</v>
      </c>
      <c r="CE48" s="1261">
        <f t="shared" ref="CE48:CE78" si="70">BN48*$CE$6</f>
        <v>0</v>
      </c>
      <c r="CF48" s="1261">
        <f t="shared" ref="CF48:CF77" si="71">(BX48+CC48+CD48)</f>
        <v>0</v>
      </c>
    </row>
    <row r="49" spans="59:84" ht="26.25" customHeight="1" x14ac:dyDescent="0.3">
      <c r="BG49" s="1261">
        <v>3</v>
      </c>
      <c r="BH49" s="1262">
        <f t="shared" ref="BH49:BH77" si="72">BH48+1</f>
        <v>44868</v>
      </c>
      <c r="BI49" s="1261" t="str">
        <f>IF(BH49="","",INDEX({"रविवार";"सोमवार";"मंगळवार";"बुधवार";"गुरूवार";"शुक्रवार";"शनिवार"},WEEKDAY(BH49)))</f>
        <v>गुरूवार</v>
      </c>
      <c r="BJ49" s="1261">
        <f>HLOOKUP(BH43,'दैनिक माहिती'!BF120:BQ151,4,0)</f>
        <v>0</v>
      </c>
      <c r="BK49" s="1261"/>
      <c r="BL49" s="1261">
        <f t="shared" si="57"/>
        <v>0</v>
      </c>
      <c r="BM49" s="1261"/>
      <c r="BN49" s="1261">
        <f>HLOOKUP(BH43,'दैनिक माहिती'!BF83:BQ115,4,0)</f>
        <v>0</v>
      </c>
      <c r="BO49" s="1261">
        <f t="shared" si="58"/>
        <v>0</v>
      </c>
      <c r="BP49" s="1261">
        <f t="shared" si="59"/>
        <v>0</v>
      </c>
      <c r="BQ49" s="1261">
        <f t="shared" si="60"/>
        <v>0</v>
      </c>
      <c r="BR49" s="1261">
        <f t="shared" si="61"/>
        <v>0</v>
      </c>
      <c r="BS49" s="1261">
        <f t="shared" si="62"/>
        <v>0</v>
      </c>
      <c r="BT49" s="1261">
        <f t="shared" si="63"/>
        <v>0</v>
      </c>
      <c r="BU49" s="1261">
        <f t="shared" ref="BU49:BU77" si="73">$P$6*BN49</f>
        <v>0</v>
      </c>
      <c r="BV49" s="1261">
        <f t="shared" si="64"/>
        <v>0</v>
      </c>
      <c r="BW49" s="1261">
        <f t="shared" si="65"/>
        <v>0</v>
      </c>
      <c r="BX49" s="1261">
        <f t="shared" si="66"/>
        <v>0</v>
      </c>
      <c r="BY49" s="1261">
        <f t="shared" si="67"/>
        <v>0</v>
      </c>
      <c r="BZ49" s="1261">
        <v>0</v>
      </c>
      <c r="CA49" s="1261">
        <v>0</v>
      </c>
      <c r="CB49" s="1261">
        <v>0</v>
      </c>
      <c r="CC49" s="1261">
        <f t="shared" si="68"/>
        <v>0</v>
      </c>
      <c r="CD49" s="1261">
        <f t="shared" si="69"/>
        <v>0</v>
      </c>
      <c r="CE49" s="1261">
        <f t="shared" si="70"/>
        <v>0</v>
      </c>
      <c r="CF49" s="1261">
        <f t="shared" si="71"/>
        <v>0</v>
      </c>
    </row>
    <row r="50" spans="59:84" ht="26.25" customHeight="1" x14ac:dyDescent="0.3">
      <c r="BG50" s="1261">
        <v>4</v>
      </c>
      <c r="BH50" s="1262">
        <f t="shared" si="72"/>
        <v>44869</v>
      </c>
      <c r="BI50" s="1261" t="str">
        <f>IF(BH50="","",INDEX({"रविवार";"सोमवार";"मंगळवार";"बुधवार";"गुरूवार";"शुक्रवार";"शनिवार"},WEEKDAY(BH50)))</f>
        <v>शुक्रवार</v>
      </c>
      <c r="BJ50" s="1261">
        <f>HLOOKUP(BH43,'दैनिक माहिती'!BF120:BQ151,5,0)</f>
        <v>0</v>
      </c>
      <c r="BK50" s="1261"/>
      <c r="BL50" s="1261">
        <f t="shared" si="57"/>
        <v>0</v>
      </c>
      <c r="BM50" s="1261"/>
      <c r="BN50" s="1261">
        <f>HLOOKUP(BH43,'दैनिक माहिती'!BF83:BQ115,5,0)</f>
        <v>0</v>
      </c>
      <c r="BO50" s="1261">
        <f t="shared" si="58"/>
        <v>0</v>
      </c>
      <c r="BP50" s="1261">
        <f t="shared" si="59"/>
        <v>0</v>
      </c>
      <c r="BQ50" s="1261">
        <f t="shared" si="60"/>
        <v>0</v>
      </c>
      <c r="BR50" s="1261">
        <f t="shared" si="61"/>
        <v>0</v>
      </c>
      <c r="BS50" s="1261">
        <f t="shared" si="62"/>
        <v>0</v>
      </c>
      <c r="BT50" s="1261">
        <f t="shared" si="63"/>
        <v>0</v>
      </c>
      <c r="BU50" s="1261">
        <f t="shared" si="73"/>
        <v>0</v>
      </c>
      <c r="BV50" s="1261">
        <f t="shared" si="64"/>
        <v>0</v>
      </c>
      <c r="BW50" s="1261">
        <f t="shared" si="65"/>
        <v>0</v>
      </c>
      <c r="BX50" s="1261">
        <f t="shared" si="66"/>
        <v>0</v>
      </c>
      <c r="BY50" s="1261">
        <f t="shared" si="67"/>
        <v>0</v>
      </c>
      <c r="BZ50" s="1261">
        <v>0</v>
      </c>
      <c r="CA50" s="1261">
        <v>0</v>
      </c>
      <c r="CB50" s="1261">
        <v>0</v>
      </c>
      <c r="CC50" s="1261">
        <f t="shared" si="68"/>
        <v>0</v>
      </c>
      <c r="CD50" s="1261">
        <f t="shared" si="69"/>
        <v>0</v>
      </c>
      <c r="CE50" s="1261">
        <f t="shared" si="70"/>
        <v>0</v>
      </c>
      <c r="CF50" s="1261">
        <f t="shared" si="71"/>
        <v>0</v>
      </c>
    </row>
    <row r="51" spans="59:84" ht="26.25" customHeight="1" x14ac:dyDescent="0.3">
      <c r="BG51" s="1261">
        <v>5</v>
      </c>
      <c r="BH51" s="1262">
        <f t="shared" si="72"/>
        <v>44870</v>
      </c>
      <c r="BI51" s="1261" t="str">
        <f>IF(BH51="","",INDEX({"रविवार";"सोमवार";"मंगळवार";"बुधवार";"गुरूवार";"शुक्रवार";"शनिवार"},WEEKDAY(BH51)))</f>
        <v>शनिवार</v>
      </c>
      <c r="BJ51" s="1261">
        <f>HLOOKUP(BH43,'दैनिक माहिती'!BF120:BQ151,6,0)</f>
        <v>0</v>
      </c>
      <c r="BK51" s="1261"/>
      <c r="BL51" s="1261">
        <f t="shared" si="57"/>
        <v>0</v>
      </c>
      <c r="BM51" s="1261"/>
      <c r="BN51" s="1261">
        <f>HLOOKUP(BH43,'दैनिक माहिती'!BF83:BQ115,6,0)</f>
        <v>0</v>
      </c>
      <c r="BO51" s="1261">
        <f t="shared" si="58"/>
        <v>0</v>
      </c>
      <c r="BP51" s="1261">
        <f t="shared" si="59"/>
        <v>0</v>
      </c>
      <c r="BQ51" s="1261">
        <f t="shared" si="60"/>
        <v>0</v>
      </c>
      <c r="BR51" s="1261">
        <f t="shared" si="61"/>
        <v>0</v>
      </c>
      <c r="BS51" s="1261">
        <f t="shared" si="62"/>
        <v>0</v>
      </c>
      <c r="BT51" s="1261">
        <f t="shared" si="63"/>
        <v>0</v>
      </c>
      <c r="BU51" s="1261">
        <f t="shared" si="73"/>
        <v>0</v>
      </c>
      <c r="BV51" s="1261">
        <f t="shared" si="64"/>
        <v>0</v>
      </c>
      <c r="BW51" s="1261">
        <f t="shared" si="65"/>
        <v>0</v>
      </c>
      <c r="BX51" s="1261">
        <f t="shared" si="66"/>
        <v>0</v>
      </c>
      <c r="BY51" s="1261">
        <f t="shared" si="67"/>
        <v>0</v>
      </c>
      <c r="BZ51" s="1261">
        <v>0</v>
      </c>
      <c r="CA51" s="1261">
        <v>0</v>
      </c>
      <c r="CB51" s="1261">
        <v>0</v>
      </c>
      <c r="CC51" s="1261">
        <f t="shared" si="68"/>
        <v>0</v>
      </c>
      <c r="CD51" s="1261">
        <f t="shared" si="69"/>
        <v>0</v>
      </c>
      <c r="CE51" s="1261">
        <f t="shared" si="70"/>
        <v>0</v>
      </c>
      <c r="CF51" s="1261">
        <f t="shared" si="71"/>
        <v>0</v>
      </c>
    </row>
    <row r="52" spans="59:84" ht="26.25" customHeight="1" x14ac:dyDescent="0.3">
      <c r="BG52" s="1261">
        <v>6</v>
      </c>
      <c r="BH52" s="1262">
        <f t="shared" si="72"/>
        <v>44871</v>
      </c>
      <c r="BI52" s="1261" t="str">
        <f>IF(BH52="","",INDEX({"रविवार";"सोमवार";"मंगळवार";"बुधवार";"गुरूवार";"शुक्रवार";"शनिवार"},WEEKDAY(BH52)))</f>
        <v>रविवार</v>
      </c>
      <c r="BJ52" s="1261">
        <f>HLOOKUP(BH43,'दैनिक माहिती'!BF120:BQ151,7,0)</f>
        <v>0</v>
      </c>
      <c r="BK52" s="1261"/>
      <c r="BL52" s="1261">
        <f t="shared" si="57"/>
        <v>0</v>
      </c>
      <c r="BM52" s="1261"/>
      <c r="BN52" s="1261">
        <f>HLOOKUP(BH43,'दैनिक माहिती'!BF83:BQ115,7,0)</f>
        <v>0</v>
      </c>
      <c r="BO52" s="1261">
        <f t="shared" si="58"/>
        <v>0</v>
      </c>
      <c r="BP52" s="1261">
        <f t="shared" si="59"/>
        <v>0</v>
      </c>
      <c r="BQ52" s="1261">
        <f t="shared" si="60"/>
        <v>0</v>
      </c>
      <c r="BR52" s="1261">
        <f t="shared" si="61"/>
        <v>0</v>
      </c>
      <c r="BS52" s="1261">
        <f t="shared" si="62"/>
        <v>0</v>
      </c>
      <c r="BT52" s="1261">
        <f t="shared" si="63"/>
        <v>0</v>
      </c>
      <c r="BU52" s="1261">
        <f t="shared" si="73"/>
        <v>0</v>
      </c>
      <c r="BV52" s="1261">
        <f t="shared" si="64"/>
        <v>0</v>
      </c>
      <c r="BW52" s="1261">
        <f t="shared" si="65"/>
        <v>0</v>
      </c>
      <c r="BX52" s="1261">
        <f t="shared" si="66"/>
        <v>0</v>
      </c>
      <c r="BY52" s="1261">
        <f t="shared" si="67"/>
        <v>0</v>
      </c>
      <c r="BZ52" s="1261">
        <v>0</v>
      </c>
      <c r="CA52" s="1261">
        <v>0</v>
      </c>
      <c r="CB52" s="1261">
        <v>0</v>
      </c>
      <c r="CC52" s="1261">
        <f t="shared" si="68"/>
        <v>0</v>
      </c>
      <c r="CD52" s="1261">
        <f t="shared" si="69"/>
        <v>0</v>
      </c>
      <c r="CE52" s="1261">
        <f t="shared" si="70"/>
        <v>0</v>
      </c>
      <c r="CF52" s="1261">
        <f t="shared" si="71"/>
        <v>0</v>
      </c>
    </row>
    <row r="53" spans="59:84" ht="26.25" customHeight="1" x14ac:dyDescent="0.3">
      <c r="BG53" s="1261">
        <v>7</v>
      </c>
      <c r="BH53" s="1262">
        <f t="shared" si="72"/>
        <v>44872</v>
      </c>
      <c r="BI53" s="1261" t="str">
        <f>IF(BH53="","",INDEX({"रविवार";"सोमवार";"मंगळवार";"बुधवार";"गुरूवार";"शुक्रवार";"शनिवार"},WEEKDAY(BH53)))</f>
        <v>सोमवार</v>
      </c>
      <c r="BJ53" s="1261">
        <f>HLOOKUP(BH43,'दैनिक माहिती'!BF120:BQ151,8,0)</f>
        <v>0</v>
      </c>
      <c r="BK53" s="1261"/>
      <c r="BL53" s="1261">
        <f t="shared" si="57"/>
        <v>0</v>
      </c>
      <c r="BM53" s="1261"/>
      <c r="BN53" s="1261">
        <f>HLOOKUP(BH43,'दैनिक माहिती'!BF83:BQ115,8,0)</f>
        <v>0</v>
      </c>
      <c r="BO53" s="1261">
        <f t="shared" si="58"/>
        <v>0</v>
      </c>
      <c r="BP53" s="1261">
        <f t="shared" si="59"/>
        <v>0</v>
      </c>
      <c r="BQ53" s="1261">
        <f t="shared" si="60"/>
        <v>0</v>
      </c>
      <c r="BR53" s="1261">
        <f t="shared" si="61"/>
        <v>0</v>
      </c>
      <c r="BS53" s="1261">
        <f t="shared" si="62"/>
        <v>0</v>
      </c>
      <c r="BT53" s="1261">
        <f t="shared" si="63"/>
        <v>0</v>
      </c>
      <c r="BU53" s="1261">
        <f t="shared" si="73"/>
        <v>0</v>
      </c>
      <c r="BV53" s="1261">
        <f t="shared" si="64"/>
        <v>0</v>
      </c>
      <c r="BW53" s="1261">
        <f t="shared" si="65"/>
        <v>0</v>
      </c>
      <c r="BX53" s="1261">
        <f t="shared" si="66"/>
        <v>0</v>
      </c>
      <c r="BY53" s="1261">
        <f t="shared" si="67"/>
        <v>0</v>
      </c>
      <c r="BZ53" s="1261">
        <v>0</v>
      </c>
      <c r="CA53" s="1261">
        <v>0</v>
      </c>
      <c r="CB53" s="1261">
        <v>0</v>
      </c>
      <c r="CC53" s="1261">
        <f t="shared" si="68"/>
        <v>0</v>
      </c>
      <c r="CD53" s="1261">
        <f t="shared" si="69"/>
        <v>0</v>
      </c>
      <c r="CE53" s="1261">
        <f t="shared" si="70"/>
        <v>0</v>
      </c>
      <c r="CF53" s="1261">
        <f t="shared" si="71"/>
        <v>0</v>
      </c>
    </row>
    <row r="54" spans="59:84" ht="26.25" customHeight="1" x14ac:dyDescent="0.3">
      <c r="BG54" s="1261">
        <v>8</v>
      </c>
      <c r="BH54" s="1262">
        <f t="shared" si="72"/>
        <v>44873</v>
      </c>
      <c r="BI54" s="1261" t="str">
        <f>IF(BH54="","",INDEX({"रविवार";"सोमवार";"मंगळवार";"बुधवार";"गुरूवार";"शुक्रवार";"शनिवार"},WEEKDAY(BH54)))</f>
        <v>मंगळवार</v>
      </c>
      <c r="BJ54" s="1261">
        <f>HLOOKUP(BH43,'दैनिक माहिती'!BF120:BQ151,9,0)</f>
        <v>0</v>
      </c>
      <c r="BK54" s="1261"/>
      <c r="BL54" s="1261">
        <f t="shared" si="57"/>
        <v>0</v>
      </c>
      <c r="BM54" s="1261"/>
      <c r="BN54" s="1261">
        <f>HLOOKUP(BH43,'दैनिक माहिती'!BF83:BQ115,9,0)</f>
        <v>0</v>
      </c>
      <c r="BO54" s="1261">
        <f t="shared" si="58"/>
        <v>0</v>
      </c>
      <c r="BP54" s="1261">
        <f t="shared" si="59"/>
        <v>0</v>
      </c>
      <c r="BQ54" s="1261">
        <f t="shared" si="60"/>
        <v>0</v>
      </c>
      <c r="BR54" s="1261">
        <f t="shared" si="61"/>
        <v>0</v>
      </c>
      <c r="BS54" s="1261">
        <f t="shared" si="62"/>
        <v>0</v>
      </c>
      <c r="BT54" s="1261">
        <f t="shared" si="63"/>
        <v>0</v>
      </c>
      <c r="BU54" s="1261">
        <f t="shared" si="73"/>
        <v>0</v>
      </c>
      <c r="BV54" s="1261">
        <f t="shared" si="64"/>
        <v>0</v>
      </c>
      <c r="BW54" s="1261">
        <f t="shared" si="65"/>
        <v>0</v>
      </c>
      <c r="BX54" s="1261">
        <f t="shared" si="66"/>
        <v>0</v>
      </c>
      <c r="BY54" s="1261">
        <f t="shared" si="67"/>
        <v>0</v>
      </c>
      <c r="BZ54" s="1261">
        <v>0</v>
      </c>
      <c r="CA54" s="1261">
        <v>0</v>
      </c>
      <c r="CB54" s="1261">
        <v>0</v>
      </c>
      <c r="CC54" s="1261">
        <f t="shared" si="68"/>
        <v>0</v>
      </c>
      <c r="CD54" s="1261">
        <f t="shared" si="69"/>
        <v>0</v>
      </c>
      <c r="CE54" s="1261">
        <f t="shared" si="70"/>
        <v>0</v>
      </c>
      <c r="CF54" s="1261">
        <f t="shared" si="71"/>
        <v>0</v>
      </c>
    </row>
    <row r="55" spans="59:84" ht="26.25" customHeight="1" x14ac:dyDescent="0.3">
      <c r="BG55" s="1261">
        <v>9</v>
      </c>
      <c r="BH55" s="1262">
        <f t="shared" si="72"/>
        <v>44874</v>
      </c>
      <c r="BI55" s="1261" t="str">
        <f>IF(BH55="","",INDEX({"रविवार";"सोमवार";"मंगळवार";"बुधवार";"गुरूवार";"शुक्रवार";"शनिवार"},WEEKDAY(BH55)))</f>
        <v>बुधवार</v>
      </c>
      <c r="BJ55" s="1261" t="str">
        <f>HLOOKUP(BH43,'दैनिक माहिती'!BF120:BQ151,10,0)</f>
        <v>वाटाणा</v>
      </c>
      <c r="BK55" s="1261"/>
      <c r="BL55" s="1261">
        <f t="shared" si="57"/>
        <v>0</v>
      </c>
      <c r="BM55" s="1261"/>
      <c r="BN55" s="1261">
        <f>HLOOKUP(BH43,'दैनिक माहिती'!BF83:BQ115,10,0)</f>
        <v>22</v>
      </c>
      <c r="BO55" s="1261">
        <f t="shared" si="58"/>
        <v>4.4000000000000004</v>
      </c>
      <c r="BP55" s="1261">
        <f t="shared" si="59"/>
        <v>0</v>
      </c>
      <c r="BQ55" s="1261">
        <f t="shared" si="60"/>
        <v>0</v>
      </c>
      <c r="BR55" s="1261">
        <f t="shared" si="61"/>
        <v>2.6399999999999997</v>
      </c>
      <c r="BS55" s="1261">
        <f t="shared" si="62"/>
        <v>2.6399999999999997</v>
      </c>
      <c r="BT55" s="1261">
        <f t="shared" si="63"/>
        <v>2.2000000000000002</v>
      </c>
      <c r="BU55" s="1261">
        <f t="shared" si="73"/>
        <v>1.3199999999999998</v>
      </c>
      <c r="BV55" s="1261">
        <f t="shared" si="64"/>
        <v>2.6399999999999997</v>
      </c>
      <c r="BW55" s="1261">
        <f t="shared" si="65"/>
        <v>0</v>
      </c>
      <c r="BX55" s="1261">
        <f t="shared" si="66"/>
        <v>15.84</v>
      </c>
      <c r="BY55" s="1261">
        <v>0</v>
      </c>
      <c r="BZ55" s="1261">
        <f>IF(BL55=$G$2,$CC$79/$BL$78,0)</f>
        <v>0</v>
      </c>
      <c r="CA55" s="1261">
        <v>0</v>
      </c>
      <c r="CB55" s="1261">
        <v>0</v>
      </c>
      <c r="CC55" s="1261">
        <f t="shared" si="68"/>
        <v>0</v>
      </c>
      <c r="CD55" s="1261">
        <f t="shared" si="69"/>
        <v>17.380000000000003</v>
      </c>
      <c r="CE55" s="1261">
        <f t="shared" si="70"/>
        <v>17.380000000000003</v>
      </c>
      <c r="CF55" s="1261">
        <f t="shared" si="71"/>
        <v>33.22</v>
      </c>
    </row>
    <row r="56" spans="59:84" ht="26.25" customHeight="1" x14ac:dyDescent="0.3">
      <c r="BG56" s="1261">
        <v>10</v>
      </c>
      <c r="BH56" s="1262">
        <f t="shared" si="72"/>
        <v>44875</v>
      </c>
      <c r="BI56" s="1261" t="str">
        <f>IF(BH56="","",INDEX({"रविवार";"सोमवार";"मंगळवार";"बुधवार";"गुरूवार";"शुक्रवार";"शनिवार"},WEEKDAY(BH56)))</f>
        <v>गुरूवार</v>
      </c>
      <c r="BJ56" s="1261" t="str">
        <f>HLOOKUP(BH43,'दैनिक माहिती'!BF120:BQ151,11,0)</f>
        <v>हरभरा</v>
      </c>
      <c r="BK56" s="1261"/>
      <c r="BL56" s="1261">
        <f t="shared" si="57"/>
        <v>0</v>
      </c>
      <c r="BM56" s="1261"/>
      <c r="BN56" s="1261">
        <f>HLOOKUP(BH43,'दैनिक माहिती'!BF83:BQ115,11,0)</f>
        <v>22</v>
      </c>
      <c r="BO56" s="1261">
        <f t="shared" si="58"/>
        <v>0</v>
      </c>
      <c r="BP56" s="1261">
        <f t="shared" si="59"/>
        <v>0</v>
      </c>
      <c r="BQ56" s="1261">
        <f t="shared" si="60"/>
        <v>4.4000000000000004</v>
      </c>
      <c r="BR56" s="1261">
        <f t="shared" si="61"/>
        <v>2.6399999999999997</v>
      </c>
      <c r="BS56" s="1261">
        <f t="shared" si="62"/>
        <v>2.6399999999999997</v>
      </c>
      <c r="BT56" s="1261">
        <f t="shared" si="63"/>
        <v>2.2000000000000002</v>
      </c>
      <c r="BU56" s="1261">
        <f t="shared" si="73"/>
        <v>1.3199999999999998</v>
      </c>
      <c r="BV56" s="1261">
        <f t="shared" si="64"/>
        <v>2.6399999999999997</v>
      </c>
      <c r="BW56" s="1261">
        <f t="shared" si="65"/>
        <v>0</v>
      </c>
      <c r="BX56" s="1261">
        <f t="shared" si="66"/>
        <v>15.84</v>
      </c>
      <c r="BY56" s="1261">
        <v>0</v>
      </c>
      <c r="BZ56" s="1261">
        <f t="shared" ref="BZ56:BZ62" si="74">IF(BL56=$G$2,$CC$79/$BL$78,0)</f>
        <v>0</v>
      </c>
      <c r="CA56" s="1261">
        <v>0</v>
      </c>
      <c r="CB56" s="1261">
        <v>0</v>
      </c>
      <c r="CC56" s="1261">
        <f t="shared" si="68"/>
        <v>0</v>
      </c>
      <c r="CD56" s="1261">
        <f t="shared" si="69"/>
        <v>17.380000000000003</v>
      </c>
      <c r="CE56" s="1261">
        <f t="shared" si="70"/>
        <v>17.380000000000003</v>
      </c>
      <c r="CF56" s="1261">
        <f t="shared" si="71"/>
        <v>33.22</v>
      </c>
    </row>
    <row r="57" spans="59:84" ht="26.25" customHeight="1" x14ac:dyDescent="0.3">
      <c r="BG57" s="1261">
        <v>11</v>
      </c>
      <c r="BH57" s="1262">
        <f t="shared" si="72"/>
        <v>44876</v>
      </c>
      <c r="BI57" s="1261" t="str">
        <f>IF(BH57="","",INDEX({"रविवार";"सोमवार";"मंगळवार";"बुधवार";"गुरूवार";"शुक्रवार";"शनिवार"},WEEKDAY(BH57)))</f>
        <v>शुक्रवार</v>
      </c>
      <c r="BJ57" s="1261" t="str">
        <f>HLOOKUP(BH43,'दैनिक माहिती'!BF120:BQ151,12,0)</f>
        <v>वाटाणा</v>
      </c>
      <c r="BK57" s="1261"/>
      <c r="BL57" s="1261">
        <f t="shared" si="57"/>
        <v>0</v>
      </c>
      <c r="BM57" s="1261"/>
      <c r="BN57" s="1261">
        <f>HLOOKUP(BH43,'दैनिक माहिती'!BF83:BQ115,12,0)</f>
        <v>22</v>
      </c>
      <c r="BO57" s="1261">
        <f t="shared" si="58"/>
        <v>4.4000000000000004</v>
      </c>
      <c r="BP57" s="1261">
        <f t="shared" si="59"/>
        <v>0</v>
      </c>
      <c r="BQ57" s="1261">
        <f t="shared" si="60"/>
        <v>0</v>
      </c>
      <c r="BR57" s="1261">
        <f t="shared" si="61"/>
        <v>2.6399999999999997</v>
      </c>
      <c r="BS57" s="1261">
        <f t="shared" si="62"/>
        <v>2.6399999999999997</v>
      </c>
      <c r="BT57" s="1261">
        <f t="shared" si="63"/>
        <v>2.2000000000000002</v>
      </c>
      <c r="BU57" s="1261">
        <f t="shared" si="73"/>
        <v>1.3199999999999998</v>
      </c>
      <c r="BV57" s="1261">
        <f t="shared" si="64"/>
        <v>2.6399999999999997</v>
      </c>
      <c r="BW57" s="1261">
        <f t="shared" si="65"/>
        <v>0</v>
      </c>
      <c r="BX57" s="1261">
        <f t="shared" si="66"/>
        <v>15.84</v>
      </c>
      <c r="BY57" s="1261">
        <v>0</v>
      </c>
      <c r="BZ57" s="1261">
        <f t="shared" si="74"/>
        <v>0</v>
      </c>
      <c r="CA57" s="1261">
        <v>0</v>
      </c>
      <c r="CB57" s="1261">
        <v>0</v>
      </c>
      <c r="CC57" s="1261">
        <f t="shared" si="68"/>
        <v>0</v>
      </c>
      <c r="CD57" s="1261">
        <f t="shared" si="69"/>
        <v>17.380000000000003</v>
      </c>
      <c r="CE57" s="1261">
        <f t="shared" si="70"/>
        <v>17.380000000000003</v>
      </c>
      <c r="CF57" s="1261">
        <f t="shared" si="71"/>
        <v>33.22</v>
      </c>
    </row>
    <row r="58" spans="59:84" ht="26.25" customHeight="1" x14ac:dyDescent="0.3">
      <c r="BG58" s="1261">
        <v>12</v>
      </c>
      <c r="BH58" s="1262">
        <f t="shared" si="72"/>
        <v>44877</v>
      </c>
      <c r="BI58" s="1261" t="str">
        <f>IF(BH58="","",INDEX({"रविवार";"सोमवार";"मंगळवार";"बुधवार";"गुरूवार";"शुक्रवार";"शनिवार"},WEEKDAY(BH58)))</f>
        <v>शनिवार</v>
      </c>
      <c r="BJ58" s="1261" t="str">
        <f>HLOOKUP(BH43,'दैनिक माहिती'!BF120:BQ151,13,0)</f>
        <v>मुगडाळ</v>
      </c>
      <c r="BK58" s="1261"/>
      <c r="BL58" s="1261" t="str">
        <f t="shared" si="57"/>
        <v>वाटप</v>
      </c>
      <c r="BM58" s="1261"/>
      <c r="BN58" s="1261">
        <f>HLOOKUP(BH43,'दैनिक माहिती'!BF83:BQ115,13,0)</f>
        <v>22</v>
      </c>
      <c r="BO58" s="1261">
        <f t="shared" si="58"/>
        <v>4.4000000000000004</v>
      </c>
      <c r="BP58" s="1261">
        <f t="shared" si="59"/>
        <v>0</v>
      </c>
      <c r="BQ58" s="1261">
        <f t="shared" si="60"/>
        <v>0</v>
      </c>
      <c r="BR58" s="1261">
        <f t="shared" si="61"/>
        <v>2.6399999999999997</v>
      </c>
      <c r="BS58" s="1261">
        <f t="shared" si="62"/>
        <v>2.6399999999999997</v>
      </c>
      <c r="BT58" s="1261">
        <f t="shared" si="63"/>
        <v>2.2000000000000002</v>
      </c>
      <c r="BU58" s="1261">
        <f t="shared" si="73"/>
        <v>1.3199999999999998</v>
      </c>
      <c r="BV58" s="1261">
        <f t="shared" si="64"/>
        <v>2.6399999999999997</v>
      </c>
      <c r="BW58" s="1261">
        <f t="shared" si="65"/>
        <v>0</v>
      </c>
      <c r="BX58" s="1261">
        <f t="shared" si="66"/>
        <v>15.84</v>
      </c>
      <c r="BY58" s="1261">
        <v>0</v>
      </c>
      <c r="BZ58" s="1261">
        <f t="shared" si="74"/>
        <v>80.813333333333318</v>
      </c>
      <c r="CA58" s="1261">
        <v>0</v>
      </c>
      <c r="CB58" s="1261">
        <v>0</v>
      </c>
      <c r="CC58" s="1261">
        <f t="shared" si="68"/>
        <v>80.813333333333318</v>
      </c>
      <c r="CD58" s="1261">
        <f t="shared" si="69"/>
        <v>17.380000000000003</v>
      </c>
      <c r="CE58" s="1261">
        <f t="shared" si="70"/>
        <v>17.380000000000003</v>
      </c>
      <c r="CF58" s="1261">
        <f t="shared" si="71"/>
        <v>114.03333333333333</v>
      </c>
    </row>
    <row r="59" spans="59:84" ht="26.25" customHeight="1" x14ac:dyDescent="0.3">
      <c r="BG59" s="1261">
        <v>13</v>
      </c>
      <c r="BH59" s="1262">
        <f t="shared" si="72"/>
        <v>44878</v>
      </c>
      <c r="BI59" s="1261" t="str">
        <f>IF(BH59="","",INDEX({"रविवार";"सोमवार";"मंगळवार";"बुधवार";"गुरूवार";"शुक्रवार";"शनिवार"},WEEKDAY(BH59)))</f>
        <v>रविवार</v>
      </c>
      <c r="BJ59" s="1261">
        <f>HLOOKUP(BH43,'दैनिक माहिती'!BF120:BQ151,14,0)</f>
        <v>0</v>
      </c>
      <c r="BK59" s="1261"/>
      <c r="BL59" s="1261">
        <f t="shared" si="57"/>
        <v>0</v>
      </c>
      <c r="BM59" s="1261"/>
      <c r="BN59" s="1261">
        <f>HLOOKUP(BH43,'दैनिक माहिती'!BF83:BQ115,14,0)</f>
        <v>0</v>
      </c>
      <c r="BO59" s="1261">
        <f t="shared" si="58"/>
        <v>0</v>
      </c>
      <c r="BP59" s="1261">
        <f t="shared" si="59"/>
        <v>0</v>
      </c>
      <c r="BQ59" s="1261">
        <f t="shared" si="60"/>
        <v>0</v>
      </c>
      <c r="BR59" s="1261">
        <f t="shared" si="61"/>
        <v>0</v>
      </c>
      <c r="BS59" s="1261">
        <f t="shared" si="62"/>
        <v>0</v>
      </c>
      <c r="BT59" s="1261">
        <f t="shared" si="63"/>
        <v>0</v>
      </c>
      <c r="BU59" s="1261">
        <f t="shared" si="73"/>
        <v>0</v>
      </c>
      <c r="BV59" s="1261">
        <f t="shared" si="64"/>
        <v>0</v>
      </c>
      <c r="BW59" s="1261">
        <f t="shared" si="65"/>
        <v>0</v>
      </c>
      <c r="BX59" s="1261">
        <f t="shared" si="66"/>
        <v>0</v>
      </c>
      <c r="BY59" s="1261">
        <v>0</v>
      </c>
      <c r="BZ59" s="1261">
        <f t="shared" si="74"/>
        <v>0</v>
      </c>
      <c r="CA59" s="1261">
        <v>0</v>
      </c>
      <c r="CB59" s="1261">
        <v>0</v>
      </c>
      <c r="CC59" s="1261">
        <f t="shared" si="68"/>
        <v>0</v>
      </c>
      <c r="CD59" s="1261">
        <f t="shared" si="69"/>
        <v>0</v>
      </c>
      <c r="CE59" s="1261">
        <f t="shared" si="70"/>
        <v>0</v>
      </c>
      <c r="CF59" s="1261">
        <f t="shared" si="71"/>
        <v>0</v>
      </c>
    </row>
    <row r="60" spans="59:84" ht="26.25" customHeight="1" x14ac:dyDescent="0.3">
      <c r="BG60" s="1261">
        <v>14</v>
      </c>
      <c r="BH60" s="1262">
        <f t="shared" si="72"/>
        <v>44879</v>
      </c>
      <c r="BI60" s="1261" t="str">
        <f>IF(BH60="","",INDEX({"रविवार";"सोमवार";"मंगळवार";"बुधवार";"गुरूवार";"शुक्रवार";"शनिवार"},WEEKDAY(BH60)))</f>
        <v>सोमवार</v>
      </c>
      <c r="BJ60" s="1261" t="str">
        <f>HLOOKUP(BH43,'दैनिक माहिती'!BF120:BQ151,15,0)</f>
        <v>मुगडाळ</v>
      </c>
      <c r="BK60" s="1261"/>
      <c r="BL60" s="1261">
        <f t="shared" si="57"/>
        <v>0</v>
      </c>
      <c r="BM60" s="1261"/>
      <c r="BN60" s="1261">
        <f>HLOOKUP(BH43,'दैनिक माहिती'!BF83:BQ115,15,0)</f>
        <v>22</v>
      </c>
      <c r="BO60" s="1261">
        <f t="shared" si="58"/>
        <v>4.4000000000000004</v>
      </c>
      <c r="BP60" s="1261">
        <f t="shared" si="59"/>
        <v>0</v>
      </c>
      <c r="BQ60" s="1261">
        <f t="shared" si="60"/>
        <v>0</v>
      </c>
      <c r="BR60" s="1261">
        <f t="shared" si="61"/>
        <v>2.6399999999999997</v>
      </c>
      <c r="BS60" s="1261">
        <f t="shared" si="62"/>
        <v>2.6399999999999997</v>
      </c>
      <c r="BT60" s="1261">
        <f t="shared" si="63"/>
        <v>2.2000000000000002</v>
      </c>
      <c r="BU60" s="1261">
        <f t="shared" si="73"/>
        <v>1.3199999999999998</v>
      </c>
      <c r="BV60" s="1261">
        <f t="shared" si="64"/>
        <v>2.6399999999999997</v>
      </c>
      <c r="BW60" s="1261">
        <f t="shared" si="65"/>
        <v>0</v>
      </c>
      <c r="BX60" s="1261">
        <f t="shared" si="66"/>
        <v>15.84</v>
      </c>
      <c r="BY60" s="1261">
        <v>0</v>
      </c>
      <c r="BZ60" s="1261">
        <f t="shared" si="74"/>
        <v>0</v>
      </c>
      <c r="CA60" s="1261">
        <v>0</v>
      </c>
      <c r="CB60" s="1261">
        <v>0</v>
      </c>
      <c r="CC60" s="1261">
        <f t="shared" si="68"/>
        <v>0</v>
      </c>
      <c r="CD60" s="1261">
        <f t="shared" si="69"/>
        <v>17.380000000000003</v>
      </c>
      <c r="CE60" s="1261">
        <f t="shared" si="70"/>
        <v>17.380000000000003</v>
      </c>
      <c r="CF60" s="1261">
        <f t="shared" si="71"/>
        <v>33.22</v>
      </c>
    </row>
    <row r="61" spans="59:84" ht="26.25" customHeight="1" x14ac:dyDescent="0.3">
      <c r="BG61" s="1261">
        <v>15</v>
      </c>
      <c r="BH61" s="1262">
        <f t="shared" si="72"/>
        <v>44880</v>
      </c>
      <c r="BI61" s="1261" t="str">
        <f>IF(BH61="","",INDEX({"रविवार";"सोमवार";"मंगळवार";"बुधवार";"गुरूवार";"शुक्रवार";"शनिवार"},WEEKDAY(BH61)))</f>
        <v>मंगळवार</v>
      </c>
      <c r="BJ61" s="1261" t="str">
        <f>HLOOKUP(BH43,'दैनिक माहिती'!BF120:BQ151,16,0)</f>
        <v>हरभरा</v>
      </c>
      <c r="BK61" s="1261"/>
      <c r="BL61" s="1261">
        <f t="shared" si="57"/>
        <v>0</v>
      </c>
      <c r="BM61" s="1261"/>
      <c r="BN61" s="1261">
        <f>HLOOKUP(BH43,'दैनिक माहिती'!BF83:BQ115,16,0)</f>
        <v>22</v>
      </c>
      <c r="BO61" s="1261">
        <f t="shared" si="58"/>
        <v>0</v>
      </c>
      <c r="BP61" s="1261">
        <f t="shared" si="59"/>
        <v>0</v>
      </c>
      <c r="BQ61" s="1261">
        <f t="shared" si="60"/>
        <v>4.4000000000000004</v>
      </c>
      <c r="BR61" s="1261">
        <f t="shared" si="61"/>
        <v>2.6399999999999997</v>
      </c>
      <c r="BS61" s="1261">
        <f t="shared" si="62"/>
        <v>2.6399999999999997</v>
      </c>
      <c r="BT61" s="1261">
        <f t="shared" si="63"/>
        <v>2.2000000000000002</v>
      </c>
      <c r="BU61" s="1261">
        <f t="shared" si="73"/>
        <v>1.3199999999999998</v>
      </c>
      <c r="BV61" s="1261">
        <f t="shared" si="64"/>
        <v>2.6399999999999997</v>
      </c>
      <c r="BW61" s="1261">
        <f t="shared" si="65"/>
        <v>0</v>
      </c>
      <c r="BX61" s="1261">
        <f t="shared" si="66"/>
        <v>15.84</v>
      </c>
      <c r="BY61" s="1261">
        <v>0</v>
      </c>
      <c r="BZ61" s="1261">
        <f t="shared" si="74"/>
        <v>0</v>
      </c>
      <c r="CA61" s="1261">
        <v>0</v>
      </c>
      <c r="CB61" s="1261">
        <v>0</v>
      </c>
      <c r="CC61" s="1261">
        <f t="shared" si="68"/>
        <v>0</v>
      </c>
      <c r="CD61" s="1261">
        <f t="shared" si="69"/>
        <v>17.380000000000003</v>
      </c>
      <c r="CE61" s="1261">
        <f t="shared" si="70"/>
        <v>17.380000000000003</v>
      </c>
      <c r="CF61" s="1261">
        <f t="shared" si="71"/>
        <v>33.22</v>
      </c>
    </row>
    <row r="62" spans="59:84" ht="26.25" customHeight="1" x14ac:dyDescent="0.3">
      <c r="BG62" s="1261">
        <v>16</v>
      </c>
      <c r="BH62" s="1262">
        <f>BH61+1</f>
        <v>44881</v>
      </c>
      <c r="BI62" s="1261" t="str">
        <f>IF(BH62="","",INDEX({"रविवार";"सोमवार";"मंगळवार";"बुधवार";"गुरूवार";"शुक्रवार";"शनिवार"},WEEKDAY(BH62)))</f>
        <v>बुधवार</v>
      </c>
      <c r="BJ62" s="1261" t="str">
        <f>HLOOKUP(BH43,'दैनिक माहिती'!BF120:BQ151,17,0)</f>
        <v>वाटाणा</v>
      </c>
      <c r="BK62" s="1261"/>
      <c r="BL62" s="1261">
        <f t="shared" si="57"/>
        <v>0</v>
      </c>
      <c r="BM62" s="1261"/>
      <c r="BN62" s="1261">
        <f>HLOOKUP(BH43,'दैनिक माहिती'!BF83:BQ115,17,0)</f>
        <v>22</v>
      </c>
      <c r="BO62" s="1261">
        <f t="shared" si="58"/>
        <v>4.4000000000000004</v>
      </c>
      <c r="BP62" s="1261">
        <f t="shared" si="59"/>
        <v>0</v>
      </c>
      <c r="BQ62" s="1261">
        <f t="shared" si="60"/>
        <v>0</v>
      </c>
      <c r="BR62" s="1261">
        <f t="shared" si="61"/>
        <v>2.6399999999999997</v>
      </c>
      <c r="BS62" s="1261">
        <f t="shared" si="62"/>
        <v>2.6399999999999997</v>
      </c>
      <c r="BT62" s="1261">
        <f t="shared" si="63"/>
        <v>2.2000000000000002</v>
      </c>
      <c r="BU62" s="1261">
        <f t="shared" si="73"/>
        <v>1.3199999999999998</v>
      </c>
      <c r="BV62" s="1261">
        <f t="shared" si="64"/>
        <v>2.6399999999999997</v>
      </c>
      <c r="BW62" s="1261">
        <f t="shared" si="65"/>
        <v>0</v>
      </c>
      <c r="BX62" s="1261">
        <f t="shared" si="66"/>
        <v>15.84</v>
      </c>
      <c r="BY62" s="1261">
        <v>0</v>
      </c>
      <c r="BZ62" s="1261">
        <f t="shared" si="74"/>
        <v>0</v>
      </c>
      <c r="CA62" s="1261">
        <v>0</v>
      </c>
      <c r="CB62" s="1261">
        <v>0</v>
      </c>
      <c r="CC62" s="1261">
        <f t="shared" si="68"/>
        <v>0</v>
      </c>
      <c r="CD62" s="1261">
        <f t="shared" si="69"/>
        <v>17.380000000000003</v>
      </c>
      <c r="CE62" s="1261">
        <f t="shared" si="70"/>
        <v>17.380000000000003</v>
      </c>
      <c r="CF62" s="1261">
        <f t="shared" si="71"/>
        <v>33.22</v>
      </c>
    </row>
    <row r="63" spans="59:84" ht="26.25" customHeight="1" x14ac:dyDescent="0.3">
      <c r="BG63" s="1261">
        <v>17</v>
      </c>
      <c r="BH63" s="1262">
        <f t="shared" si="72"/>
        <v>44882</v>
      </c>
      <c r="BI63" s="1261" t="str">
        <f>IF(BH63="","",INDEX({"रविवार";"सोमवार";"मंगळवार";"बुधवार";"गुरूवार";"शुक्रवार";"शनिवार"},WEEKDAY(BH63)))</f>
        <v>गुरूवार</v>
      </c>
      <c r="BJ63" s="1261" t="str">
        <f>HLOOKUP(BH43,'दैनिक माहिती'!BF120:BQ151,18,0)</f>
        <v>हरभरा</v>
      </c>
      <c r="BK63" s="1261"/>
      <c r="BL63" s="1261">
        <f t="shared" si="57"/>
        <v>0</v>
      </c>
      <c r="BM63" s="1261"/>
      <c r="BN63" s="1261">
        <f>HLOOKUP(BH43,'दैनिक माहिती'!BF83:BQ115,18,0)</f>
        <v>22</v>
      </c>
      <c r="BO63" s="1261">
        <f t="shared" si="58"/>
        <v>0</v>
      </c>
      <c r="BP63" s="1261">
        <f t="shared" si="59"/>
        <v>0</v>
      </c>
      <c r="BQ63" s="1261">
        <f t="shared" si="60"/>
        <v>4.4000000000000004</v>
      </c>
      <c r="BR63" s="1261">
        <f t="shared" si="61"/>
        <v>2.6399999999999997</v>
      </c>
      <c r="BS63" s="1261">
        <f t="shared" si="62"/>
        <v>2.6399999999999997</v>
      </c>
      <c r="BT63" s="1261">
        <f t="shared" si="63"/>
        <v>2.2000000000000002</v>
      </c>
      <c r="BU63" s="1261">
        <f t="shared" si="73"/>
        <v>1.3199999999999998</v>
      </c>
      <c r="BV63" s="1261">
        <f t="shared" si="64"/>
        <v>2.6399999999999997</v>
      </c>
      <c r="BW63" s="1261">
        <f t="shared" si="65"/>
        <v>0</v>
      </c>
      <c r="BX63" s="1261">
        <f t="shared" si="66"/>
        <v>15.84</v>
      </c>
      <c r="BY63" s="1261">
        <v>0</v>
      </c>
      <c r="BZ63" s="1261">
        <v>0</v>
      </c>
      <c r="CA63" s="1261">
        <f>IF(BL63=$G$2,$CC$79/$BL$78,0)</f>
        <v>0</v>
      </c>
      <c r="CB63" s="1261">
        <v>0</v>
      </c>
      <c r="CC63" s="1261">
        <f t="shared" si="68"/>
        <v>0</v>
      </c>
      <c r="CD63" s="1261">
        <f t="shared" si="69"/>
        <v>17.380000000000003</v>
      </c>
      <c r="CE63" s="1261">
        <f t="shared" si="70"/>
        <v>17.380000000000003</v>
      </c>
      <c r="CF63" s="1261">
        <f t="shared" si="71"/>
        <v>33.22</v>
      </c>
    </row>
    <row r="64" spans="59:84" ht="26.25" customHeight="1" x14ac:dyDescent="0.3">
      <c r="BG64" s="1261">
        <v>18</v>
      </c>
      <c r="BH64" s="1262">
        <f t="shared" si="72"/>
        <v>44883</v>
      </c>
      <c r="BI64" s="1261" t="str">
        <f>IF(BH64="","",INDEX({"रविवार";"सोमवार";"मंगळवार";"बुधवार";"गुरूवार";"शुक्रवार";"शनिवार"},WEEKDAY(BH64)))</f>
        <v>शुक्रवार</v>
      </c>
      <c r="BJ64" s="1261" t="str">
        <f>HLOOKUP(BH43,'दैनिक माहिती'!BF120:BQ151,19,0)</f>
        <v>वाटाणा</v>
      </c>
      <c r="BK64" s="1261"/>
      <c r="BL64" s="1261">
        <f t="shared" si="57"/>
        <v>0</v>
      </c>
      <c r="BM64" s="1261"/>
      <c r="BN64" s="1261">
        <f>HLOOKUP(BH43,'दैनिक माहिती'!BF83:BQ115,19,0)</f>
        <v>22</v>
      </c>
      <c r="BO64" s="1261">
        <f t="shared" si="58"/>
        <v>4.4000000000000004</v>
      </c>
      <c r="BP64" s="1261">
        <f t="shared" si="59"/>
        <v>0</v>
      </c>
      <c r="BQ64" s="1261">
        <f t="shared" si="60"/>
        <v>0</v>
      </c>
      <c r="BR64" s="1261">
        <f t="shared" si="61"/>
        <v>2.6399999999999997</v>
      </c>
      <c r="BS64" s="1261">
        <f t="shared" si="62"/>
        <v>2.6399999999999997</v>
      </c>
      <c r="BT64" s="1261">
        <f t="shared" si="63"/>
        <v>2.2000000000000002</v>
      </c>
      <c r="BU64" s="1261">
        <f t="shared" si="73"/>
        <v>1.3199999999999998</v>
      </c>
      <c r="BV64" s="1261">
        <f t="shared" si="64"/>
        <v>2.6399999999999997</v>
      </c>
      <c r="BW64" s="1261">
        <f t="shared" si="65"/>
        <v>0</v>
      </c>
      <c r="BX64" s="1261">
        <f t="shared" si="66"/>
        <v>15.84</v>
      </c>
      <c r="BY64" s="1261">
        <v>0</v>
      </c>
      <c r="BZ64" s="1261">
        <v>0</v>
      </c>
      <c r="CA64" s="1261">
        <f t="shared" ref="CA64:CA70" si="75">IF(BL64=$G$2,$CC$79/$BL$78,0)</f>
        <v>0</v>
      </c>
      <c r="CB64" s="1261">
        <v>0</v>
      </c>
      <c r="CC64" s="1261">
        <f t="shared" si="68"/>
        <v>0</v>
      </c>
      <c r="CD64" s="1261">
        <f t="shared" si="69"/>
        <v>17.380000000000003</v>
      </c>
      <c r="CE64" s="1261">
        <f t="shared" si="70"/>
        <v>17.380000000000003</v>
      </c>
      <c r="CF64" s="1261">
        <f t="shared" si="71"/>
        <v>33.22</v>
      </c>
    </row>
    <row r="65" spans="59:84" ht="26.25" customHeight="1" x14ac:dyDescent="0.3">
      <c r="BG65" s="1261">
        <v>19</v>
      </c>
      <c r="BH65" s="1262">
        <f t="shared" si="72"/>
        <v>44884</v>
      </c>
      <c r="BI65" s="1261" t="str">
        <f>IF(BH65="","",INDEX({"रविवार";"सोमवार";"मंगळवार";"बुधवार";"गुरूवार";"शुक्रवार";"शनिवार"},WEEKDAY(BH65)))</f>
        <v>शनिवार</v>
      </c>
      <c r="BJ65" s="1261" t="str">
        <f>HLOOKUP(BH43,'दैनिक माहिती'!BF120:BQ151,20,0)</f>
        <v>मुगडाळ</v>
      </c>
      <c r="BK65" s="1261"/>
      <c r="BL65" s="1261" t="str">
        <f t="shared" si="57"/>
        <v>वाटप</v>
      </c>
      <c r="BM65" s="1261"/>
      <c r="BN65" s="1261">
        <f>HLOOKUP(BH43,'दैनिक माहिती'!BF83:BQ115,20,0)</f>
        <v>22</v>
      </c>
      <c r="BO65" s="1261">
        <f t="shared" si="58"/>
        <v>4.4000000000000004</v>
      </c>
      <c r="BP65" s="1261">
        <f t="shared" si="59"/>
        <v>0</v>
      </c>
      <c r="BQ65" s="1261">
        <f t="shared" si="60"/>
        <v>0</v>
      </c>
      <c r="BR65" s="1261">
        <f t="shared" si="61"/>
        <v>2.6399999999999997</v>
      </c>
      <c r="BS65" s="1261">
        <f t="shared" si="62"/>
        <v>2.6399999999999997</v>
      </c>
      <c r="BT65" s="1261">
        <f t="shared" si="63"/>
        <v>2.2000000000000002</v>
      </c>
      <c r="BU65" s="1261">
        <f t="shared" si="73"/>
        <v>1.3199999999999998</v>
      </c>
      <c r="BV65" s="1261">
        <f t="shared" si="64"/>
        <v>2.6399999999999997</v>
      </c>
      <c r="BW65" s="1261">
        <f t="shared" si="65"/>
        <v>0</v>
      </c>
      <c r="BX65" s="1261">
        <f t="shared" si="66"/>
        <v>15.84</v>
      </c>
      <c r="BY65" s="1261">
        <v>0</v>
      </c>
      <c r="BZ65" s="1261">
        <v>0</v>
      </c>
      <c r="CA65" s="1261">
        <f t="shared" si="75"/>
        <v>80.813333333333318</v>
      </c>
      <c r="CB65" s="1261">
        <v>0</v>
      </c>
      <c r="CC65" s="1261">
        <f t="shared" si="68"/>
        <v>80.813333333333318</v>
      </c>
      <c r="CD65" s="1261">
        <f t="shared" si="69"/>
        <v>17.380000000000003</v>
      </c>
      <c r="CE65" s="1261">
        <f t="shared" si="70"/>
        <v>17.380000000000003</v>
      </c>
      <c r="CF65" s="1261">
        <f t="shared" si="71"/>
        <v>114.03333333333333</v>
      </c>
    </row>
    <row r="66" spans="59:84" ht="26.25" customHeight="1" x14ac:dyDescent="0.3">
      <c r="BG66" s="1261">
        <v>20</v>
      </c>
      <c r="BH66" s="1262">
        <f t="shared" si="72"/>
        <v>44885</v>
      </c>
      <c r="BI66" s="1261" t="str">
        <f>IF(BH66="","",INDEX({"रविवार";"सोमवार";"मंगळवार";"बुधवार";"गुरूवार";"शुक्रवार";"शनिवार"},WEEKDAY(BH66)))</f>
        <v>रविवार</v>
      </c>
      <c r="BJ66" s="1261">
        <f>HLOOKUP(BH43,'दैनिक माहिती'!BF120:BQ151,21,0)</f>
        <v>0</v>
      </c>
      <c r="BK66" s="1261"/>
      <c r="BL66" s="1261">
        <f t="shared" si="57"/>
        <v>0</v>
      </c>
      <c r="BM66" s="1261"/>
      <c r="BN66" s="1261">
        <f>HLOOKUP(BH43,'दैनिक माहिती'!BF83:BQ115,21,0)</f>
        <v>0</v>
      </c>
      <c r="BO66" s="1261">
        <f t="shared" si="58"/>
        <v>0</v>
      </c>
      <c r="BP66" s="1261">
        <f t="shared" si="59"/>
        <v>0</v>
      </c>
      <c r="BQ66" s="1261">
        <f t="shared" si="60"/>
        <v>0</v>
      </c>
      <c r="BR66" s="1261">
        <f t="shared" si="61"/>
        <v>0</v>
      </c>
      <c r="BS66" s="1261">
        <f t="shared" si="62"/>
        <v>0</v>
      </c>
      <c r="BT66" s="1261">
        <f t="shared" si="63"/>
        <v>0</v>
      </c>
      <c r="BU66" s="1261">
        <f t="shared" si="73"/>
        <v>0</v>
      </c>
      <c r="BV66" s="1261">
        <f t="shared" si="64"/>
        <v>0</v>
      </c>
      <c r="BW66" s="1261">
        <f t="shared" si="65"/>
        <v>0</v>
      </c>
      <c r="BX66" s="1261">
        <f t="shared" si="66"/>
        <v>0</v>
      </c>
      <c r="BY66" s="1261">
        <v>0</v>
      </c>
      <c r="BZ66" s="1261">
        <v>0</v>
      </c>
      <c r="CA66" s="1261">
        <f t="shared" si="75"/>
        <v>0</v>
      </c>
      <c r="CB66" s="1261">
        <v>0</v>
      </c>
      <c r="CC66" s="1261">
        <f t="shared" si="68"/>
        <v>0</v>
      </c>
      <c r="CD66" s="1261">
        <f t="shared" si="69"/>
        <v>0</v>
      </c>
      <c r="CE66" s="1261">
        <f t="shared" si="70"/>
        <v>0</v>
      </c>
      <c r="CF66" s="1261">
        <f t="shared" si="71"/>
        <v>0</v>
      </c>
    </row>
    <row r="67" spans="59:84" ht="26.25" customHeight="1" x14ac:dyDescent="0.3">
      <c r="BG67" s="1261">
        <v>21</v>
      </c>
      <c r="BH67" s="1262">
        <f t="shared" si="72"/>
        <v>44886</v>
      </c>
      <c r="BI67" s="1261" t="str">
        <f>IF(BH67="","",INDEX({"रविवार";"सोमवार";"मंगळवार";"बुधवार";"गुरूवार";"शुक्रवार";"शनिवार"},WEEKDAY(BH67)))</f>
        <v>सोमवार</v>
      </c>
      <c r="BJ67" s="1261" t="str">
        <f>HLOOKUP(BH43,'दैनिक माहिती'!BF120:BQ151,22,0)</f>
        <v>मुगडाळ</v>
      </c>
      <c r="BK67" s="1261"/>
      <c r="BL67" s="1261">
        <f t="shared" si="57"/>
        <v>0</v>
      </c>
      <c r="BM67" s="1261"/>
      <c r="BN67" s="1261">
        <f>HLOOKUP(BH43,'दैनिक माहिती'!BF83:BQ115,22,0)</f>
        <v>22</v>
      </c>
      <c r="BO67" s="1261">
        <f t="shared" si="58"/>
        <v>4.4000000000000004</v>
      </c>
      <c r="BP67" s="1261">
        <f t="shared" si="59"/>
        <v>0</v>
      </c>
      <c r="BQ67" s="1261">
        <f t="shared" si="60"/>
        <v>0</v>
      </c>
      <c r="BR67" s="1261">
        <f t="shared" si="61"/>
        <v>2.6399999999999997</v>
      </c>
      <c r="BS67" s="1261">
        <f t="shared" si="62"/>
        <v>2.6399999999999997</v>
      </c>
      <c r="BT67" s="1261">
        <f t="shared" si="63"/>
        <v>2.2000000000000002</v>
      </c>
      <c r="BU67" s="1261">
        <f t="shared" si="73"/>
        <v>1.3199999999999998</v>
      </c>
      <c r="BV67" s="1261">
        <f t="shared" si="64"/>
        <v>2.6399999999999997</v>
      </c>
      <c r="BW67" s="1261">
        <f t="shared" si="65"/>
        <v>0</v>
      </c>
      <c r="BX67" s="1261">
        <f t="shared" si="66"/>
        <v>15.84</v>
      </c>
      <c r="BY67" s="1261">
        <v>0</v>
      </c>
      <c r="BZ67" s="1261">
        <v>0</v>
      </c>
      <c r="CA67" s="1261">
        <f t="shared" si="75"/>
        <v>0</v>
      </c>
      <c r="CB67" s="1261">
        <v>0</v>
      </c>
      <c r="CC67" s="1261">
        <f t="shared" si="68"/>
        <v>0</v>
      </c>
      <c r="CD67" s="1261">
        <f t="shared" si="69"/>
        <v>17.380000000000003</v>
      </c>
      <c r="CE67" s="1261">
        <f t="shared" si="70"/>
        <v>17.380000000000003</v>
      </c>
      <c r="CF67" s="1261">
        <f t="shared" si="71"/>
        <v>33.22</v>
      </c>
    </row>
    <row r="68" spans="59:84" ht="26.25" customHeight="1" x14ac:dyDescent="0.3">
      <c r="BG68" s="1261">
        <v>22</v>
      </c>
      <c r="BH68" s="1262">
        <f t="shared" si="72"/>
        <v>44887</v>
      </c>
      <c r="BI68" s="1261" t="str">
        <f>IF(BH68="","",INDEX({"रविवार";"सोमवार";"मंगळवार";"बुधवार";"गुरूवार";"शुक्रवार";"शनिवार"},WEEKDAY(BH68)))</f>
        <v>मंगळवार</v>
      </c>
      <c r="BJ68" s="1261" t="str">
        <f>HLOOKUP(BH43,'दैनिक माहिती'!BF120:BQ151,23,0)</f>
        <v>हरभरा</v>
      </c>
      <c r="BK68" s="1261"/>
      <c r="BL68" s="1261">
        <f t="shared" si="57"/>
        <v>0</v>
      </c>
      <c r="BM68" s="1261"/>
      <c r="BN68" s="1261">
        <f>HLOOKUP(BH43,'दैनिक माहिती'!BF83:BQ115,23,0)</f>
        <v>22</v>
      </c>
      <c r="BO68" s="1261">
        <f t="shared" si="58"/>
        <v>0</v>
      </c>
      <c r="BP68" s="1261">
        <f t="shared" si="59"/>
        <v>0</v>
      </c>
      <c r="BQ68" s="1261">
        <f t="shared" si="60"/>
        <v>4.4000000000000004</v>
      </c>
      <c r="BR68" s="1261">
        <f t="shared" si="61"/>
        <v>2.6399999999999997</v>
      </c>
      <c r="BS68" s="1261">
        <f t="shared" si="62"/>
        <v>2.6399999999999997</v>
      </c>
      <c r="BT68" s="1261">
        <f t="shared" si="63"/>
        <v>2.2000000000000002</v>
      </c>
      <c r="BU68" s="1261">
        <f t="shared" si="73"/>
        <v>1.3199999999999998</v>
      </c>
      <c r="BV68" s="1261">
        <f t="shared" si="64"/>
        <v>2.6399999999999997</v>
      </c>
      <c r="BW68" s="1261">
        <f t="shared" si="65"/>
        <v>0</v>
      </c>
      <c r="BX68" s="1261">
        <f t="shared" si="66"/>
        <v>15.84</v>
      </c>
      <c r="BY68" s="1261">
        <v>0</v>
      </c>
      <c r="BZ68" s="1261">
        <v>0</v>
      </c>
      <c r="CA68" s="1261">
        <f t="shared" si="75"/>
        <v>0</v>
      </c>
      <c r="CB68" s="1261">
        <v>0</v>
      </c>
      <c r="CC68" s="1261">
        <f t="shared" si="68"/>
        <v>0</v>
      </c>
      <c r="CD68" s="1261">
        <f t="shared" si="69"/>
        <v>17.380000000000003</v>
      </c>
      <c r="CE68" s="1261">
        <f t="shared" si="70"/>
        <v>17.380000000000003</v>
      </c>
      <c r="CF68" s="1261">
        <f t="shared" si="71"/>
        <v>33.22</v>
      </c>
    </row>
    <row r="69" spans="59:84" ht="26.25" customHeight="1" x14ac:dyDescent="0.3">
      <c r="BG69" s="1261">
        <v>23</v>
      </c>
      <c r="BH69" s="1262">
        <f t="shared" si="72"/>
        <v>44888</v>
      </c>
      <c r="BI69" s="1261" t="str">
        <f>IF(BH69="","",INDEX({"रविवार";"सोमवार";"मंगळवार";"बुधवार";"गुरूवार";"शुक्रवार";"शनिवार"},WEEKDAY(BH69)))</f>
        <v>बुधवार</v>
      </c>
      <c r="BJ69" s="1261" t="str">
        <f>HLOOKUP(BH43,'दैनिक माहिती'!BF120:BQ151,24,0)</f>
        <v>वाटाणा</v>
      </c>
      <c r="BK69" s="1261"/>
      <c r="BL69" s="1261">
        <f t="shared" si="57"/>
        <v>0</v>
      </c>
      <c r="BM69" s="1261"/>
      <c r="BN69" s="1261">
        <f>HLOOKUP(BH43,'दैनिक माहिती'!BF83:BQ115,24,0)</f>
        <v>22</v>
      </c>
      <c r="BO69" s="1261">
        <f t="shared" si="58"/>
        <v>4.4000000000000004</v>
      </c>
      <c r="BP69" s="1261">
        <f t="shared" si="59"/>
        <v>0</v>
      </c>
      <c r="BQ69" s="1261">
        <f t="shared" si="60"/>
        <v>0</v>
      </c>
      <c r="BR69" s="1261">
        <f t="shared" si="61"/>
        <v>2.6399999999999997</v>
      </c>
      <c r="BS69" s="1261">
        <f t="shared" si="62"/>
        <v>2.6399999999999997</v>
      </c>
      <c r="BT69" s="1261">
        <f t="shared" si="63"/>
        <v>2.2000000000000002</v>
      </c>
      <c r="BU69" s="1261">
        <f t="shared" si="73"/>
        <v>1.3199999999999998</v>
      </c>
      <c r="BV69" s="1261">
        <f t="shared" si="64"/>
        <v>2.6399999999999997</v>
      </c>
      <c r="BW69" s="1261">
        <f t="shared" si="65"/>
        <v>0</v>
      </c>
      <c r="BX69" s="1261">
        <f t="shared" si="66"/>
        <v>15.84</v>
      </c>
      <c r="BY69" s="1261">
        <v>0</v>
      </c>
      <c r="BZ69" s="1261">
        <v>0</v>
      </c>
      <c r="CA69" s="1261">
        <f t="shared" si="75"/>
        <v>0</v>
      </c>
      <c r="CB69" s="1261">
        <v>0</v>
      </c>
      <c r="CC69" s="1261">
        <f t="shared" si="68"/>
        <v>0</v>
      </c>
      <c r="CD69" s="1261">
        <f t="shared" si="69"/>
        <v>17.380000000000003</v>
      </c>
      <c r="CE69" s="1261">
        <f t="shared" si="70"/>
        <v>17.380000000000003</v>
      </c>
      <c r="CF69" s="1261">
        <f t="shared" si="71"/>
        <v>33.22</v>
      </c>
    </row>
    <row r="70" spans="59:84" ht="26.25" customHeight="1" x14ac:dyDescent="0.3">
      <c r="BG70" s="1261">
        <v>24</v>
      </c>
      <c r="BH70" s="1262">
        <f t="shared" si="72"/>
        <v>44889</v>
      </c>
      <c r="BI70" s="1261" t="str">
        <f>IF(BH70="","",INDEX({"रविवार";"सोमवार";"मंगळवार";"बुधवार";"गुरूवार";"शुक्रवार";"शनिवार"},WEEKDAY(BH70)))</f>
        <v>गुरूवार</v>
      </c>
      <c r="BJ70" s="1261" t="str">
        <f>HLOOKUP(BH43,'दैनिक माहिती'!BF120:BQ151,25,0)</f>
        <v>हरभरा</v>
      </c>
      <c r="BK70" s="1261"/>
      <c r="BL70" s="1261">
        <f t="shared" si="57"/>
        <v>0</v>
      </c>
      <c r="BM70" s="1261"/>
      <c r="BN70" s="1261">
        <f>HLOOKUP(BH43,'दैनिक माहिती'!BF83:BQ115,25,0)</f>
        <v>22</v>
      </c>
      <c r="BO70" s="1261">
        <f t="shared" si="58"/>
        <v>0</v>
      </c>
      <c r="BP70" s="1261">
        <f t="shared" si="59"/>
        <v>0</v>
      </c>
      <c r="BQ70" s="1261">
        <f t="shared" si="60"/>
        <v>4.4000000000000004</v>
      </c>
      <c r="BR70" s="1261">
        <f t="shared" si="61"/>
        <v>2.6399999999999997</v>
      </c>
      <c r="BS70" s="1261">
        <f t="shared" si="62"/>
        <v>2.6399999999999997</v>
      </c>
      <c r="BT70" s="1261">
        <f t="shared" si="63"/>
        <v>2.2000000000000002</v>
      </c>
      <c r="BU70" s="1261">
        <f t="shared" si="73"/>
        <v>1.3199999999999998</v>
      </c>
      <c r="BV70" s="1261">
        <f t="shared" si="64"/>
        <v>2.6399999999999997</v>
      </c>
      <c r="BW70" s="1261">
        <f t="shared" si="65"/>
        <v>0</v>
      </c>
      <c r="BX70" s="1261">
        <f t="shared" si="66"/>
        <v>15.84</v>
      </c>
      <c r="BY70" s="1261">
        <v>0</v>
      </c>
      <c r="BZ70" s="1261">
        <v>0</v>
      </c>
      <c r="CA70" s="1261">
        <f t="shared" si="75"/>
        <v>0</v>
      </c>
      <c r="CB70" s="1261">
        <v>0</v>
      </c>
      <c r="CC70" s="1261">
        <f t="shared" si="68"/>
        <v>0</v>
      </c>
      <c r="CD70" s="1261">
        <f t="shared" si="69"/>
        <v>17.380000000000003</v>
      </c>
      <c r="CE70" s="1261">
        <f t="shared" si="70"/>
        <v>17.380000000000003</v>
      </c>
      <c r="CF70" s="1261">
        <f t="shared" si="71"/>
        <v>33.22</v>
      </c>
    </row>
    <row r="71" spans="59:84" ht="26.25" customHeight="1" x14ac:dyDescent="0.3">
      <c r="BG71" s="1261">
        <v>25</v>
      </c>
      <c r="BH71" s="1262">
        <f t="shared" si="72"/>
        <v>44890</v>
      </c>
      <c r="BI71" s="1261" t="str">
        <f>IF(BH71="","",INDEX({"रविवार";"सोमवार";"मंगळवार";"बुधवार";"गुरूवार";"शुक्रवार";"शनिवार"},WEEKDAY(BH71)))</f>
        <v>शुक्रवार</v>
      </c>
      <c r="BJ71" s="1261" t="str">
        <f>HLOOKUP(BH43,'दैनिक माहिती'!BF120:BQ151,26,0)</f>
        <v>वाटाणा</v>
      </c>
      <c r="BK71" s="1261"/>
      <c r="BL71" s="1261">
        <f t="shared" si="57"/>
        <v>0</v>
      </c>
      <c r="BM71" s="1261"/>
      <c r="BN71" s="1261">
        <f>HLOOKUP(BH43,'दैनिक माहिती'!BF83:BQ115,26,0)</f>
        <v>22</v>
      </c>
      <c r="BO71" s="1261">
        <f t="shared" si="58"/>
        <v>4.4000000000000004</v>
      </c>
      <c r="BP71" s="1261">
        <f t="shared" si="59"/>
        <v>0</v>
      </c>
      <c r="BQ71" s="1261">
        <f t="shared" si="60"/>
        <v>0</v>
      </c>
      <c r="BR71" s="1261">
        <f t="shared" si="61"/>
        <v>2.6399999999999997</v>
      </c>
      <c r="BS71" s="1261">
        <f t="shared" si="62"/>
        <v>2.6399999999999997</v>
      </c>
      <c r="BT71" s="1261">
        <f t="shared" si="63"/>
        <v>2.2000000000000002</v>
      </c>
      <c r="BU71" s="1261">
        <f t="shared" si="73"/>
        <v>1.3199999999999998</v>
      </c>
      <c r="BV71" s="1261">
        <f t="shared" si="64"/>
        <v>2.6399999999999997</v>
      </c>
      <c r="BW71" s="1261">
        <f t="shared" si="65"/>
        <v>0</v>
      </c>
      <c r="BX71" s="1261">
        <f t="shared" si="66"/>
        <v>15.84</v>
      </c>
      <c r="BY71" s="1261">
        <v>0</v>
      </c>
      <c r="BZ71" s="1261">
        <v>0</v>
      </c>
      <c r="CA71" s="1261">
        <v>0</v>
      </c>
      <c r="CB71" s="1261">
        <f>IF(BL71=$G$2,$CC$79/$BL$78,0)</f>
        <v>0</v>
      </c>
      <c r="CC71" s="1261">
        <f t="shared" si="68"/>
        <v>0</v>
      </c>
      <c r="CD71" s="1261">
        <f t="shared" si="69"/>
        <v>17.380000000000003</v>
      </c>
      <c r="CE71" s="1261">
        <f t="shared" si="70"/>
        <v>17.380000000000003</v>
      </c>
      <c r="CF71" s="1261">
        <f t="shared" si="71"/>
        <v>33.22</v>
      </c>
    </row>
    <row r="72" spans="59:84" ht="26.25" customHeight="1" x14ac:dyDescent="0.3">
      <c r="BG72" s="1261">
        <v>26</v>
      </c>
      <c r="BH72" s="1262">
        <f t="shared" si="72"/>
        <v>44891</v>
      </c>
      <c r="BI72" s="1261" t="str">
        <f>IF(BH72="","",INDEX({"रविवार";"सोमवार";"मंगळवार";"बुधवार";"गुरूवार";"शुक्रवार";"शनिवार"},WEEKDAY(BH72)))</f>
        <v>शनिवार</v>
      </c>
      <c r="BJ72" s="1261" t="str">
        <f>HLOOKUP(BH43,'दैनिक माहिती'!BF120:BQ151,27,0)</f>
        <v>मुगडाळ</v>
      </c>
      <c r="BK72" s="1261"/>
      <c r="BL72" s="1261" t="str">
        <f t="shared" si="57"/>
        <v>वाटप</v>
      </c>
      <c r="BM72" s="1261"/>
      <c r="BN72" s="1261">
        <f>HLOOKUP(BH43,'दैनिक माहिती'!BF83:BQ115,27,0)</f>
        <v>22</v>
      </c>
      <c r="BO72" s="1261">
        <f t="shared" si="58"/>
        <v>4.4000000000000004</v>
      </c>
      <c r="BP72" s="1261">
        <f t="shared" si="59"/>
        <v>0</v>
      </c>
      <c r="BQ72" s="1261">
        <f t="shared" si="60"/>
        <v>0</v>
      </c>
      <c r="BR72" s="1261">
        <f t="shared" si="61"/>
        <v>2.6399999999999997</v>
      </c>
      <c r="BS72" s="1261">
        <f t="shared" si="62"/>
        <v>2.6399999999999997</v>
      </c>
      <c r="BT72" s="1261">
        <f t="shared" si="63"/>
        <v>2.2000000000000002</v>
      </c>
      <c r="BU72" s="1261">
        <f t="shared" si="73"/>
        <v>1.3199999999999998</v>
      </c>
      <c r="BV72" s="1261">
        <f t="shared" si="64"/>
        <v>2.6399999999999997</v>
      </c>
      <c r="BW72" s="1261">
        <f t="shared" si="65"/>
        <v>0</v>
      </c>
      <c r="BX72" s="1261">
        <f t="shared" si="66"/>
        <v>15.84</v>
      </c>
      <c r="BY72" s="1261">
        <v>0</v>
      </c>
      <c r="BZ72" s="1261">
        <v>0</v>
      </c>
      <c r="CA72" s="1261">
        <v>0</v>
      </c>
      <c r="CB72" s="1261">
        <f t="shared" ref="CB72:CB77" si="76">IF(BL72=$G$2,$CC$79/$BL$78,0)</f>
        <v>80.813333333333318</v>
      </c>
      <c r="CC72" s="1261">
        <f t="shared" si="68"/>
        <v>80.813333333333318</v>
      </c>
      <c r="CD72" s="1261">
        <f t="shared" si="69"/>
        <v>17.380000000000003</v>
      </c>
      <c r="CE72" s="1261">
        <f t="shared" si="70"/>
        <v>17.380000000000003</v>
      </c>
      <c r="CF72" s="1261">
        <f t="shared" si="71"/>
        <v>114.03333333333333</v>
      </c>
    </row>
    <row r="73" spans="59:84" ht="26.25" customHeight="1" x14ac:dyDescent="0.3">
      <c r="BG73" s="1261">
        <v>27</v>
      </c>
      <c r="BH73" s="1262">
        <f t="shared" si="72"/>
        <v>44892</v>
      </c>
      <c r="BI73" s="1261" t="str">
        <f>IF(BH73="","",INDEX({"रविवार";"सोमवार";"मंगळवार";"बुधवार";"गुरूवार";"शुक्रवार";"शनिवार"},WEEKDAY(BH73)))</f>
        <v>रविवार</v>
      </c>
      <c r="BJ73" s="1261">
        <f>HLOOKUP(BH43,'दैनिक माहिती'!BF120:BQ151,28,0)</f>
        <v>0</v>
      </c>
      <c r="BK73" s="1261"/>
      <c r="BL73" s="1261">
        <f t="shared" si="57"/>
        <v>0</v>
      </c>
      <c r="BM73" s="1261"/>
      <c r="BN73" s="1261">
        <f>HLOOKUP(BH43,'दैनिक माहिती'!BF83:BQ115,28,0)</f>
        <v>0</v>
      </c>
      <c r="BO73" s="1261">
        <f t="shared" si="58"/>
        <v>0</v>
      </c>
      <c r="BP73" s="1261">
        <f t="shared" si="59"/>
        <v>0</v>
      </c>
      <c r="BQ73" s="1261">
        <f t="shared" si="60"/>
        <v>0</v>
      </c>
      <c r="BR73" s="1261">
        <f t="shared" si="61"/>
        <v>0</v>
      </c>
      <c r="BS73" s="1261">
        <f t="shared" si="62"/>
        <v>0</v>
      </c>
      <c r="BT73" s="1261">
        <f t="shared" si="63"/>
        <v>0</v>
      </c>
      <c r="BU73" s="1261">
        <f t="shared" si="73"/>
        <v>0</v>
      </c>
      <c r="BV73" s="1261">
        <f t="shared" si="64"/>
        <v>0</v>
      </c>
      <c r="BW73" s="1261">
        <f t="shared" si="65"/>
        <v>0</v>
      </c>
      <c r="BX73" s="1261">
        <f t="shared" si="66"/>
        <v>0</v>
      </c>
      <c r="BY73" s="1261">
        <v>0</v>
      </c>
      <c r="BZ73" s="1261">
        <v>0</v>
      </c>
      <c r="CA73" s="1261">
        <v>0</v>
      </c>
      <c r="CB73" s="1261">
        <f t="shared" si="76"/>
        <v>0</v>
      </c>
      <c r="CC73" s="1261">
        <f t="shared" si="68"/>
        <v>0</v>
      </c>
      <c r="CD73" s="1261">
        <f t="shared" si="69"/>
        <v>0</v>
      </c>
      <c r="CE73" s="1261">
        <f t="shared" si="70"/>
        <v>0</v>
      </c>
      <c r="CF73" s="1261">
        <f t="shared" si="71"/>
        <v>0</v>
      </c>
    </row>
    <row r="74" spans="59:84" ht="26.25" customHeight="1" x14ac:dyDescent="0.3">
      <c r="BG74" s="1261">
        <v>28</v>
      </c>
      <c r="BH74" s="1262">
        <f t="shared" si="72"/>
        <v>44893</v>
      </c>
      <c r="BI74" s="1261" t="str">
        <f>IF(BH74="","",INDEX({"रविवार";"सोमवार";"मंगळवार";"बुधवार";"गुरूवार";"शुक्रवार";"शनिवार"},WEEKDAY(BH74)))</f>
        <v>सोमवार</v>
      </c>
      <c r="BJ74" s="1261" t="str">
        <f>HLOOKUP(BH43,'दैनिक माहिती'!BF120:BQ151,29,0)</f>
        <v>मुगडाळ</v>
      </c>
      <c r="BK74" s="1261"/>
      <c r="BL74" s="1261">
        <f t="shared" si="57"/>
        <v>0</v>
      </c>
      <c r="BM74" s="1261"/>
      <c r="BN74" s="1261">
        <f>HLOOKUP(BH43,'दैनिक माहिती'!BF83:BQ115,29,0)</f>
        <v>22</v>
      </c>
      <c r="BO74" s="1261">
        <f t="shared" si="58"/>
        <v>4.4000000000000004</v>
      </c>
      <c r="BP74" s="1261">
        <f t="shared" si="59"/>
        <v>0</v>
      </c>
      <c r="BQ74" s="1261">
        <f t="shared" si="60"/>
        <v>0</v>
      </c>
      <c r="BR74" s="1261">
        <f t="shared" si="61"/>
        <v>2.6399999999999997</v>
      </c>
      <c r="BS74" s="1261">
        <f t="shared" si="62"/>
        <v>2.6399999999999997</v>
      </c>
      <c r="BT74" s="1261">
        <f t="shared" si="63"/>
        <v>2.2000000000000002</v>
      </c>
      <c r="BU74" s="1261">
        <f t="shared" si="73"/>
        <v>1.3199999999999998</v>
      </c>
      <c r="BV74" s="1261">
        <f t="shared" si="64"/>
        <v>2.6399999999999997</v>
      </c>
      <c r="BW74" s="1261">
        <f t="shared" si="65"/>
        <v>0</v>
      </c>
      <c r="BX74" s="1261">
        <f t="shared" si="66"/>
        <v>15.84</v>
      </c>
      <c r="BY74" s="1261">
        <v>0</v>
      </c>
      <c r="BZ74" s="1261">
        <v>0</v>
      </c>
      <c r="CA74" s="1261">
        <v>0</v>
      </c>
      <c r="CB74" s="1261">
        <f t="shared" si="76"/>
        <v>0</v>
      </c>
      <c r="CC74" s="1261">
        <f t="shared" si="68"/>
        <v>0</v>
      </c>
      <c r="CD74" s="1261">
        <f t="shared" si="69"/>
        <v>17.380000000000003</v>
      </c>
      <c r="CE74" s="1261">
        <f t="shared" si="70"/>
        <v>17.380000000000003</v>
      </c>
      <c r="CF74" s="1261">
        <f t="shared" si="71"/>
        <v>33.22</v>
      </c>
    </row>
    <row r="75" spans="59:84" ht="26.25" customHeight="1" x14ac:dyDescent="0.3">
      <c r="BG75" s="1261">
        <v>29</v>
      </c>
      <c r="BH75" s="1262">
        <f t="shared" si="72"/>
        <v>44894</v>
      </c>
      <c r="BI75" s="1261" t="str">
        <f>IF(BH75="","",INDEX({"रविवार";"सोमवार";"मंगळवार";"बुधवार";"गुरूवार";"शुक्रवार";"शनिवार"},WEEKDAY(BH75)))</f>
        <v>मंगळवार</v>
      </c>
      <c r="BJ75" s="1261" t="str">
        <f>HLOOKUP(BH43,'दैनिक माहिती'!BF120:BQ151,30,0)</f>
        <v>हरभरा</v>
      </c>
      <c r="BK75" s="1261"/>
      <c r="BL75" s="1261">
        <f t="shared" si="57"/>
        <v>0</v>
      </c>
      <c r="BM75" s="1261"/>
      <c r="BN75" s="1261">
        <f>HLOOKUP(BH43,'दैनिक माहिती'!BF83:BQ115,30,0)</f>
        <v>22</v>
      </c>
      <c r="BO75" s="1261">
        <f t="shared" si="58"/>
        <v>0</v>
      </c>
      <c r="BP75" s="1261">
        <f t="shared" si="59"/>
        <v>0</v>
      </c>
      <c r="BQ75" s="1261">
        <f t="shared" si="60"/>
        <v>4.4000000000000004</v>
      </c>
      <c r="BR75" s="1261">
        <f t="shared" si="61"/>
        <v>2.6399999999999997</v>
      </c>
      <c r="BS75" s="1261">
        <f t="shared" si="62"/>
        <v>2.6399999999999997</v>
      </c>
      <c r="BT75" s="1261">
        <f t="shared" si="63"/>
        <v>2.2000000000000002</v>
      </c>
      <c r="BU75" s="1261">
        <f t="shared" si="73"/>
        <v>1.3199999999999998</v>
      </c>
      <c r="BV75" s="1261">
        <f t="shared" si="64"/>
        <v>2.6399999999999997</v>
      </c>
      <c r="BW75" s="1261">
        <f t="shared" si="65"/>
        <v>0</v>
      </c>
      <c r="BX75" s="1261">
        <f t="shared" si="66"/>
        <v>15.84</v>
      </c>
      <c r="BY75" s="1261">
        <v>0</v>
      </c>
      <c r="BZ75" s="1261">
        <v>0</v>
      </c>
      <c r="CA75" s="1261">
        <v>0</v>
      </c>
      <c r="CB75" s="1261">
        <f t="shared" si="76"/>
        <v>0</v>
      </c>
      <c r="CC75" s="1261">
        <f t="shared" si="68"/>
        <v>0</v>
      </c>
      <c r="CD75" s="1261">
        <f t="shared" si="69"/>
        <v>17.380000000000003</v>
      </c>
      <c r="CE75" s="1261">
        <f t="shared" si="70"/>
        <v>17.380000000000003</v>
      </c>
      <c r="CF75" s="1261">
        <f t="shared" si="71"/>
        <v>33.22</v>
      </c>
    </row>
    <row r="76" spans="59:84" ht="26.25" customHeight="1" x14ac:dyDescent="0.3">
      <c r="BG76" s="1261">
        <v>30</v>
      </c>
      <c r="BH76" s="1262">
        <f t="shared" si="72"/>
        <v>44895</v>
      </c>
      <c r="BI76" s="1261" t="str">
        <f>IF(BH76="","",INDEX({"रविवार";"सोमवार";"मंगळवार";"बुधवार";"गुरूवार";"शुक्रवार";"शनिवार"},WEEKDAY(BH76)))</f>
        <v>बुधवार</v>
      </c>
      <c r="BJ76" s="1261" t="str">
        <f>HLOOKUP(BH43,'दैनिक माहिती'!BF120:BQ151,31,0)</f>
        <v>वाटाणा</v>
      </c>
      <c r="BK76" s="1261"/>
      <c r="BL76" s="1261">
        <f t="shared" si="57"/>
        <v>0</v>
      </c>
      <c r="BM76" s="1261"/>
      <c r="BN76" s="1261">
        <f>HLOOKUP(BH43,'दैनिक माहिती'!BF83:BQ115,31,0)</f>
        <v>22</v>
      </c>
      <c r="BO76" s="1261">
        <f t="shared" si="58"/>
        <v>4.4000000000000004</v>
      </c>
      <c r="BP76" s="1261">
        <f t="shared" si="59"/>
        <v>0</v>
      </c>
      <c r="BQ76" s="1261">
        <f t="shared" si="60"/>
        <v>0</v>
      </c>
      <c r="BR76" s="1261">
        <f t="shared" si="61"/>
        <v>2.6399999999999997</v>
      </c>
      <c r="BS76" s="1261">
        <f t="shared" si="62"/>
        <v>2.6399999999999997</v>
      </c>
      <c r="BT76" s="1261">
        <f t="shared" si="63"/>
        <v>2.2000000000000002</v>
      </c>
      <c r="BU76" s="1261">
        <f t="shared" si="73"/>
        <v>1.3199999999999998</v>
      </c>
      <c r="BV76" s="1261">
        <f t="shared" si="64"/>
        <v>2.6399999999999997</v>
      </c>
      <c r="BW76" s="1261">
        <f t="shared" si="65"/>
        <v>0</v>
      </c>
      <c r="BX76" s="1261">
        <f t="shared" si="66"/>
        <v>15.84</v>
      </c>
      <c r="BY76" s="1261">
        <v>0</v>
      </c>
      <c r="BZ76" s="1261">
        <v>0</v>
      </c>
      <c r="CA76" s="1261">
        <v>0</v>
      </c>
      <c r="CB76" s="1261">
        <f t="shared" si="76"/>
        <v>0</v>
      </c>
      <c r="CC76" s="1261">
        <f t="shared" si="68"/>
        <v>0</v>
      </c>
      <c r="CD76" s="1261">
        <f t="shared" si="69"/>
        <v>17.380000000000003</v>
      </c>
      <c r="CE76" s="1261">
        <f t="shared" si="70"/>
        <v>17.380000000000003</v>
      </c>
      <c r="CF76" s="1261">
        <f t="shared" si="71"/>
        <v>33.22</v>
      </c>
    </row>
    <row r="77" spans="59:84" ht="26.25" customHeight="1" x14ac:dyDescent="0.3">
      <c r="BG77" s="1261">
        <v>31</v>
      </c>
      <c r="BH77" s="1262">
        <f t="shared" si="72"/>
        <v>44896</v>
      </c>
      <c r="BI77" s="1261" t="str">
        <f>IF(BH77="","",INDEX({"रविवार";"सोमवार";"मंगळवार";"बुधवार";"गुरूवार";"शुक्रवार";"शनिवार"},WEEKDAY(BH77)))</f>
        <v>गुरूवार</v>
      </c>
      <c r="BJ77" s="1261">
        <f>HLOOKUP(BH43,'दैनिक माहिती'!BF120:BQ151,32,0)</f>
        <v>0</v>
      </c>
      <c r="BK77" s="1261"/>
      <c r="BL77" s="1261">
        <f t="shared" si="57"/>
        <v>0</v>
      </c>
      <c r="BM77" s="1261"/>
      <c r="BN77" s="1261">
        <f>HLOOKUP(BH43,'दैनिक माहिती'!BF83:BQ115,32,0)</f>
        <v>0</v>
      </c>
      <c r="BO77" s="1261">
        <f t="shared" si="58"/>
        <v>0</v>
      </c>
      <c r="BP77" s="1261">
        <f t="shared" si="59"/>
        <v>0</v>
      </c>
      <c r="BQ77" s="1261">
        <f t="shared" si="60"/>
        <v>0</v>
      </c>
      <c r="BR77" s="1261">
        <f t="shared" si="61"/>
        <v>0</v>
      </c>
      <c r="BS77" s="1261">
        <f t="shared" si="62"/>
        <v>0</v>
      </c>
      <c r="BT77" s="1261">
        <f t="shared" si="63"/>
        <v>0</v>
      </c>
      <c r="BU77" s="1261">
        <f t="shared" si="73"/>
        <v>0</v>
      </c>
      <c r="BV77" s="1261">
        <f t="shared" si="64"/>
        <v>0</v>
      </c>
      <c r="BW77" s="1261">
        <f t="shared" si="65"/>
        <v>0</v>
      </c>
      <c r="BX77" s="1261">
        <f t="shared" si="66"/>
        <v>0</v>
      </c>
      <c r="BY77" s="1261">
        <v>0</v>
      </c>
      <c r="BZ77" s="1261">
        <v>0</v>
      </c>
      <c r="CA77" s="1261">
        <v>0</v>
      </c>
      <c r="CB77" s="1261">
        <f t="shared" si="76"/>
        <v>0</v>
      </c>
      <c r="CC77" s="1261">
        <f t="shared" si="68"/>
        <v>0</v>
      </c>
      <c r="CD77" s="1261">
        <f t="shared" si="69"/>
        <v>0</v>
      </c>
      <c r="CE77" s="1261">
        <f t="shared" si="70"/>
        <v>0</v>
      </c>
      <c r="CF77" s="1261">
        <f t="shared" si="71"/>
        <v>0</v>
      </c>
    </row>
    <row r="78" spans="59:84" ht="26.25" customHeight="1" x14ac:dyDescent="0.3">
      <c r="BG78" s="1261" t="s">
        <v>35</v>
      </c>
      <c r="BH78" s="1262"/>
      <c r="BI78" s="1261"/>
      <c r="BJ78" s="1261"/>
      <c r="BK78" s="1261"/>
      <c r="BL78" s="1261">
        <f>COUNTIF(BL47:BL77,"=वाटप")</f>
        <v>3</v>
      </c>
      <c r="BM78" s="1261"/>
      <c r="BN78" s="1261">
        <f>SUM(BN47:BN77)</f>
        <v>418</v>
      </c>
      <c r="BO78" s="1266">
        <f t="shared" ref="BO78:BX78" si="77">SUM(BO47:BO77)</f>
        <v>57.199999999999989</v>
      </c>
      <c r="BP78" s="1266">
        <f t="shared" si="77"/>
        <v>0</v>
      </c>
      <c r="BQ78" s="1266">
        <f t="shared" si="77"/>
        <v>26.4</v>
      </c>
      <c r="BR78" s="1266">
        <f t="shared" si="77"/>
        <v>50.160000000000004</v>
      </c>
      <c r="BS78" s="1266">
        <f t="shared" si="77"/>
        <v>50.160000000000004</v>
      </c>
      <c r="BT78" s="1266">
        <f t="shared" si="77"/>
        <v>41.800000000000004</v>
      </c>
      <c r="BU78" s="1266">
        <f t="shared" si="77"/>
        <v>25.080000000000002</v>
      </c>
      <c r="BV78" s="1266">
        <f t="shared" si="77"/>
        <v>50.160000000000004</v>
      </c>
      <c r="BW78" s="1266">
        <f t="shared" si="77"/>
        <v>0</v>
      </c>
      <c r="BX78" s="1266">
        <f t="shared" si="77"/>
        <v>300.95999999999998</v>
      </c>
      <c r="BY78" s="1261">
        <f>SUM(BY47:BY77)</f>
        <v>0</v>
      </c>
      <c r="BZ78" s="1261">
        <f>SUM(BZ47:BZ77)</f>
        <v>80.813333333333318</v>
      </c>
      <c r="CA78" s="1261">
        <f>SUM(CA47:CA77)</f>
        <v>80.813333333333318</v>
      </c>
      <c r="CB78" s="1261">
        <f>SUM(CB47:CB77)</f>
        <v>80.813333333333318</v>
      </c>
      <c r="CC78" s="1261">
        <f>SUM(CC47:CC77)</f>
        <v>242.43999999999994</v>
      </c>
      <c r="CD78" s="1261">
        <f>(BN78*CD46)</f>
        <v>330.22</v>
      </c>
      <c r="CE78" s="1261">
        <f t="shared" si="70"/>
        <v>330.22</v>
      </c>
      <c r="CF78" s="1261">
        <f>(BN78*CF46)</f>
        <v>1199.6600000000001</v>
      </c>
    </row>
    <row r="79" spans="59:84" ht="26.25" customHeight="1" x14ac:dyDescent="0.3">
      <c r="CC79" s="15">
        <f>$BN$78*$CC$46</f>
        <v>242.43999999999997</v>
      </c>
    </row>
  </sheetData>
  <sheetProtection algorithmName="SHA-512" hashValue="+3yLQ0ayoIYa2xbV2xqKgBadOmahGE+4w34WeJGn4Do2aMFYyC6RP79M30iedewL16m2P/KoRXvivt49M8ZXAw==" saltValue="u0J1KRNXZepnLeq66tuaAA==" spinCount="100000" sheet="1" objects="1" scenarios="1" selectLockedCells="1"/>
  <protectedRanges>
    <protectedRange sqref="BG3:BJ3" name="Range3"/>
    <protectedRange sqref="C3:D3" name="Range1"/>
    <protectedRange sqref="BH3:BI3" name="Range2"/>
  </protectedRanges>
  <mergeCells count="28">
    <mergeCell ref="CE44:CE45"/>
    <mergeCell ref="CF44:CF45"/>
    <mergeCell ref="BJ6:BN6"/>
    <mergeCell ref="BG38:BI38"/>
    <mergeCell ref="BK3:CB3"/>
    <mergeCell ref="CD3:CF3"/>
    <mergeCell ref="BG4:BH4"/>
    <mergeCell ref="BI4:BN4"/>
    <mergeCell ref="BO4:BX4"/>
    <mergeCell ref="BY4:CC4"/>
    <mergeCell ref="CD4:CD5"/>
    <mergeCell ref="CF4:CF5"/>
    <mergeCell ref="CE4:CE5"/>
    <mergeCell ref="CC44:CC45"/>
    <mergeCell ref="BX44:BX45"/>
    <mergeCell ref="BY44:CB44"/>
    <mergeCell ref="CD44:CD45"/>
    <mergeCell ref="AA4:AA5"/>
    <mergeCell ref="D4:I4"/>
    <mergeCell ref="F3:W3"/>
    <mergeCell ref="Y3:AA3"/>
    <mergeCell ref="B38:D38"/>
    <mergeCell ref="B4:C4"/>
    <mergeCell ref="T4:X4"/>
    <mergeCell ref="J4:S4"/>
    <mergeCell ref="Y4:Y5"/>
    <mergeCell ref="E6:I6"/>
    <mergeCell ref="Z4:Z5"/>
  </mergeCells>
  <dataValidations count="1">
    <dataValidation type="list" allowBlank="1" showInputMessage="1" showErrorMessage="1" sqref="C3">
      <formula1>month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5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D3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S28"/>
  <sheetViews>
    <sheetView showRowColHeaders="0" showZeros="0" zoomScaleNormal="100" workbookViewId="0">
      <selection activeCell="D5" sqref="D5:J5"/>
    </sheetView>
  </sheetViews>
  <sheetFormatPr defaultRowHeight="30.75" customHeight="1" x14ac:dyDescent="0.3"/>
  <cols>
    <col min="1" max="1" width="5.140625" style="15" customWidth="1"/>
    <col min="2" max="3" width="10.42578125" style="15" customWidth="1"/>
    <col min="4" max="4" width="9.140625" style="15"/>
    <col min="5" max="5" width="7.85546875" style="15" customWidth="1"/>
    <col min="6" max="6" width="7.28515625" style="15" customWidth="1"/>
    <col min="7" max="7" width="10.28515625" style="15" customWidth="1"/>
    <col min="8" max="8" width="9.85546875" style="15" customWidth="1"/>
    <col min="9" max="9" width="9.42578125" style="15" customWidth="1"/>
    <col min="10" max="10" width="9.28515625" style="15" customWidth="1"/>
    <col min="11" max="11" width="8.5703125" style="15" customWidth="1"/>
    <col min="12" max="12" width="10.140625" style="15" customWidth="1"/>
    <col min="13" max="13" width="5.7109375" style="15" customWidth="1"/>
    <col min="14" max="14" width="10.140625" style="15" customWidth="1"/>
    <col min="15" max="15" width="8.7109375" style="15" customWidth="1"/>
    <col min="16" max="16" width="7.28515625" style="15" customWidth="1"/>
    <col min="17" max="20" width="9.140625" style="15"/>
    <col min="21" max="21" width="4.42578125" style="15" customWidth="1"/>
    <col min="22" max="31" width="9.140625" style="15"/>
    <col min="32" max="35" width="9.140625" style="15" hidden="1" customWidth="1"/>
    <col min="36" max="36" width="12.140625" style="15" customWidth="1"/>
    <col min="37" max="38" width="12.5703125" style="15" customWidth="1"/>
    <col min="39" max="16384" width="9.140625" style="15"/>
  </cols>
  <sheetData>
    <row r="1" spans="2:45" ht="30.75" customHeight="1" thickBot="1" x14ac:dyDescent="0.35">
      <c r="I1" s="15" t="str">
        <f>'इंधन,भाजी.पावती 1 ते 5'!L2</f>
        <v>नोव्हेंबर</v>
      </c>
    </row>
    <row r="2" spans="2:45" ht="30.75" customHeight="1" thickBot="1" x14ac:dyDescent="0.35">
      <c r="L2" s="1746" t="s">
        <v>38</v>
      </c>
      <c r="M2" s="1747"/>
      <c r="N2" s="1748">
        <v>2022</v>
      </c>
      <c r="O2" s="1749"/>
    </row>
    <row r="3" spans="2:45" ht="30.75" customHeight="1" thickBot="1" x14ac:dyDescent="0.35"/>
    <row r="4" spans="2:45" ht="26.25" customHeight="1" thickBot="1" x14ac:dyDescent="0.55000000000000004">
      <c r="B4" s="1750" t="s">
        <v>390</v>
      </c>
      <c r="C4" s="1751"/>
      <c r="D4" s="1751"/>
      <c r="E4" s="1751"/>
      <c r="F4" s="1751"/>
      <c r="G4" s="1751"/>
      <c r="H4" s="1751"/>
      <c r="I4" s="1751"/>
      <c r="J4" s="1752"/>
      <c r="L4" s="1750" t="s">
        <v>391</v>
      </c>
      <c r="M4" s="1751"/>
      <c r="N4" s="1751"/>
      <c r="O4" s="1751"/>
      <c r="P4" s="1751"/>
      <c r="Q4" s="1751"/>
      <c r="R4" s="1751"/>
      <c r="S4" s="1751"/>
      <c r="T4" s="1752"/>
    </row>
    <row r="5" spans="2:45" ht="27" customHeight="1" x14ac:dyDescent="0.5">
      <c r="B5" s="1753" t="str">
        <f>'शाळा माहिती'!D4</f>
        <v>जि.प.प्रा.शा.बोरजाई वस्ती</v>
      </c>
      <c r="C5" s="1754"/>
      <c r="D5" s="1754"/>
      <c r="E5" s="1754"/>
      <c r="F5" s="1754"/>
      <c r="G5" s="1754"/>
      <c r="H5" s="1754"/>
      <c r="I5" s="1754"/>
      <c r="J5" s="1755"/>
      <c r="L5" s="1756" t="str">
        <f>'शाळा माहिती'!D4</f>
        <v>जि.प.प्रा.शा.बोरजाई वस्ती</v>
      </c>
      <c r="M5" s="1757"/>
      <c r="N5" s="1757"/>
      <c r="O5" s="1757"/>
      <c r="P5" s="1757"/>
      <c r="Q5" s="1757"/>
      <c r="R5" s="1757"/>
      <c r="S5" s="1757"/>
      <c r="T5" s="1758"/>
    </row>
    <row r="6" spans="2:45" ht="30.75" customHeight="1" x14ac:dyDescent="0.45">
      <c r="B6" s="524" t="s">
        <v>183</v>
      </c>
      <c r="C6" s="525"/>
      <c r="D6" s="1739"/>
      <c r="E6" s="1432"/>
      <c r="F6" s="1225" t="s">
        <v>362</v>
      </c>
      <c r="G6" s="1224" t="str">
        <f>'शाळा माहिती'!C17</f>
        <v>1 ते 5</v>
      </c>
      <c r="H6" s="527" t="s">
        <v>116</v>
      </c>
      <c r="I6" s="143" t="str">
        <f>L2</f>
        <v>नोव्हेंबर</v>
      </c>
      <c r="J6" s="144">
        <f>N2</f>
        <v>2022</v>
      </c>
      <c r="L6" s="524" t="s">
        <v>183</v>
      </c>
      <c r="M6" s="525"/>
      <c r="N6" s="1739"/>
      <c r="O6" s="1432"/>
      <c r="P6" s="1223" t="s">
        <v>362</v>
      </c>
      <c r="Q6" s="1224" t="str">
        <f>'शाळा माहिती'!C17</f>
        <v>1 ते 5</v>
      </c>
      <c r="R6" s="527" t="s">
        <v>116</v>
      </c>
      <c r="S6" s="143" t="str">
        <f>L2</f>
        <v>नोव्हेंबर</v>
      </c>
      <c r="T6" s="144">
        <f>N2</f>
        <v>2022</v>
      </c>
      <c r="AG6" s="45" t="s">
        <v>42</v>
      </c>
      <c r="AH6" s="40" t="s">
        <v>42</v>
      </c>
      <c r="AI6" s="350">
        <f>HOME!$E$2</f>
        <v>2022</v>
      </c>
      <c r="AJ6" s="388"/>
      <c r="AK6" s="21"/>
      <c r="AL6" s="388"/>
      <c r="AM6" s="21"/>
      <c r="AN6" s="21"/>
      <c r="AO6" s="21"/>
      <c r="AP6" s="21"/>
      <c r="AQ6" s="21"/>
      <c r="AR6" s="21"/>
      <c r="AS6" s="21"/>
    </row>
    <row r="7" spans="2:45" ht="28.5" customHeight="1" x14ac:dyDescent="0.45">
      <c r="B7" s="1740" t="s">
        <v>748</v>
      </c>
      <c r="C7" s="1741"/>
      <c r="D7" s="1741"/>
      <c r="E7" s="1741"/>
      <c r="F7" s="1741"/>
      <c r="G7" s="1741"/>
      <c r="H7" s="1741"/>
      <c r="I7" s="1741"/>
      <c r="J7" s="1742"/>
      <c r="L7" s="1743" t="s">
        <v>747</v>
      </c>
      <c r="M7" s="1744"/>
      <c r="N7" s="1744"/>
      <c r="O7" s="1744"/>
      <c r="P7" s="1744"/>
      <c r="Q7" s="1744"/>
      <c r="R7" s="1744"/>
      <c r="S7" s="1744"/>
      <c r="T7" s="1745"/>
      <c r="AG7" s="45" t="s">
        <v>44</v>
      </c>
      <c r="AH7" s="40" t="s">
        <v>44</v>
      </c>
      <c r="AI7" s="350">
        <f>HOME!$E$2</f>
        <v>2022</v>
      </c>
      <c r="AJ7" s="21"/>
      <c r="AK7" s="21"/>
      <c r="AL7" s="21"/>
      <c r="AM7" s="21"/>
      <c r="AN7" s="21"/>
      <c r="AO7" s="21"/>
      <c r="AP7" s="21"/>
      <c r="AQ7" s="21"/>
      <c r="AR7" s="21"/>
      <c r="AS7" s="21"/>
    </row>
    <row r="8" spans="2:45" ht="29.25" customHeight="1" x14ac:dyDescent="0.45">
      <c r="B8" s="529" t="s">
        <v>185</v>
      </c>
      <c r="C8" s="1380" t="str">
        <f>'शाळा माहिती'!D30</f>
        <v>SANIKA INDANE GAS GANGAPUR</v>
      </c>
      <c r="D8" s="1380"/>
      <c r="E8" s="1380"/>
      <c r="F8" s="1380"/>
      <c r="G8" s="1380"/>
      <c r="H8" s="21" t="s">
        <v>297</v>
      </c>
      <c r="I8" s="1759" t="s">
        <v>298</v>
      </c>
      <c r="J8" s="1760"/>
      <c r="L8" s="529" t="s">
        <v>185</v>
      </c>
      <c r="M8" s="1454" t="str">
        <f>'शाळा माहिती'!D31</f>
        <v>संत सावता माळी भाजीपाला सप्लायर्स</v>
      </c>
      <c r="N8" s="1454"/>
      <c r="O8" s="1454"/>
      <c r="P8" s="1454"/>
      <c r="Q8" s="1454"/>
      <c r="R8" s="21" t="s">
        <v>310</v>
      </c>
      <c r="S8" s="1759" t="s">
        <v>309</v>
      </c>
      <c r="T8" s="1760"/>
      <c r="AG8" s="45" t="s">
        <v>94</v>
      </c>
      <c r="AH8" s="40" t="s">
        <v>94</v>
      </c>
      <c r="AI8" s="350">
        <f>HOME!$E$2</f>
        <v>2022</v>
      </c>
      <c r="AJ8" s="21"/>
      <c r="AK8" s="21"/>
      <c r="AL8" s="21"/>
      <c r="AM8" s="21"/>
      <c r="AN8" s="21"/>
      <c r="AO8" s="21"/>
      <c r="AP8" s="21"/>
      <c r="AQ8" s="21"/>
      <c r="AR8" s="21"/>
      <c r="AS8" s="21"/>
    </row>
    <row r="9" spans="2:45" ht="27.75" customHeight="1" x14ac:dyDescent="0.45">
      <c r="B9" s="530" t="s">
        <v>1</v>
      </c>
      <c r="C9" s="1437" t="str">
        <f>'शाळा माहिती'!D5</f>
        <v>जामगाव</v>
      </c>
      <c r="D9" s="1437"/>
      <c r="E9" s="531" t="s">
        <v>186</v>
      </c>
      <c r="F9" s="1437" t="str">
        <f>'शाळा माहिती'!D7</f>
        <v>गंगापूर</v>
      </c>
      <c r="G9" s="1437"/>
      <c r="H9" s="531" t="s">
        <v>121</v>
      </c>
      <c r="I9" s="1437" t="str">
        <f>'शाळा माहिती'!D8</f>
        <v>औरंगाबाद</v>
      </c>
      <c r="J9" s="1438"/>
      <c r="L9" s="530" t="s">
        <v>1</v>
      </c>
      <c r="M9" s="1437" t="str">
        <f>'शाळा माहिती'!D5</f>
        <v>जामगाव</v>
      </c>
      <c r="N9" s="1437"/>
      <c r="O9" s="532" t="s">
        <v>186</v>
      </c>
      <c r="P9" s="1437" t="str">
        <f>'शाळा माहिती'!D7</f>
        <v>गंगापूर</v>
      </c>
      <c r="Q9" s="1437"/>
      <c r="R9" s="532" t="s">
        <v>121</v>
      </c>
      <c r="S9" s="1437" t="str">
        <f>'शाळा माहिती'!D8</f>
        <v>औरंगाबाद</v>
      </c>
      <c r="T9" s="1438"/>
      <c r="AG9" s="45" t="s">
        <v>46</v>
      </c>
      <c r="AH9" s="40" t="s">
        <v>46</v>
      </c>
      <c r="AI9" s="350">
        <f>HOME!$E$2</f>
        <v>2022</v>
      </c>
      <c r="AJ9" s="21"/>
      <c r="AK9" s="21"/>
      <c r="AL9" s="21"/>
      <c r="AM9" s="21"/>
      <c r="AN9" s="21"/>
      <c r="AO9" s="21"/>
      <c r="AP9" s="21"/>
      <c r="AQ9" s="21"/>
      <c r="AR9" s="21"/>
      <c r="AS9" s="21"/>
    </row>
    <row r="10" spans="2:45" ht="30.75" customHeight="1" x14ac:dyDescent="0.45">
      <c r="B10" s="1771" t="s">
        <v>387</v>
      </c>
      <c r="C10" s="1772"/>
      <c r="D10" s="1772"/>
      <c r="E10" s="1772"/>
      <c r="F10" s="1772"/>
      <c r="G10" s="1772"/>
      <c r="H10" s="1772"/>
      <c r="I10" s="1772"/>
      <c r="J10" s="1773"/>
      <c r="L10" s="1771" t="s">
        <v>388</v>
      </c>
      <c r="M10" s="1772"/>
      <c r="N10" s="1772"/>
      <c r="O10" s="1772"/>
      <c r="P10" s="1772"/>
      <c r="Q10" s="1772"/>
      <c r="R10" s="1772"/>
      <c r="S10" s="1772"/>
      <c r="T10" s="1773"/>
      <c r="AG10" s="45" t="s">
        <v>37</v>
      </c>
      <c r="AH10" s="40" t="s">
        <v>37</v>
      </c>
      <c r="AI10" s="350">
        <f>HOME!$E$2</f>
        <v>2022</v>
      </c>
      <c r="AJ10" s="21"/>
      <c r="AK10" s="21"/>
      <c r="AL10" s="21"/>
      <c r="AM10" s="21"/>
      <c r="AN10" s="21"/>
      <c r="AO10" s="21"/>
      <c r="AP10" s="21"/>
      <c r="AQ10" s="21"/>
      <c r="AR10" s="21"/>
      <c r="AS10" s="21"/>
    </row>
    <row r="11" spans="2:45" ht="30.75" customHeight="1" x14ac:dyDescent="0.45">
      <c r="B11" s="1764" t="s">
        <v>176</v>
      </c>
      <c r="C11" s="1765"/>
      <c r="D11" s="1766" t="s">
        <v>126</v>
      </c>
      <c r="E11" s="1765"/>
      <c r="F11" s="1765"/>
      <c r="G11" s="1765" t="s">
        <v>188</v>
      </c>
      <c r="H11" s="1765"/>
      <c r="I11" s="1765" t="s">
        <v>162</v>
      </c>
      <c r="J11" s="1767"/>
      <c r="K11" s="470"/>
      <c r="L11" s="1768" t="s">
        <v>176</v>
      </c>
      <c r="M11" s="1769"/>
      <c r="N11" s="1761" t="s">
        <v>126</v>
      </c>
      <c r="O11" s="1770"/>
      <c r="P11" s="1762"/>
      <c r="Q11" s="1761" t="s">
        <v>188</v>
      </c>
      <c r="R11" s="1762"/>
      <c r="S11" s="1761" t="s">
        <v>162</v>
      </c>
      <c r="T11" s="1763"/>
      <c r="U11" s="470"/>
      <c r="AG11" s="45" t="s">
        <v>38</v>
      </c>
      <c r="AH11" s="40" t="s">
        <v>38</v>
      </c>
      <c r="AI11" s="350">
        <f>HOME!$E$2</f>
        <v>2022</v>
      </c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2:45" ht="24.95" customHeight="1" x14ac:dyDescent="0.45">
      <c r="B12" s="1789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C12" s="1790"/>
      <c r="D12" s="1791" t="s">
        <v>393</v>
      </c>
      <c r="E12" s="1759"/>
      <c r="F12" s="1792"/>
      <c r="G12" s="1793">
        <f>IF('दैनिक भाजीपाला,पूरक आहार 1 ते 5'!CD78&gt;0,'दैनिक भाजीपाला,पूरक आहार 1 ते 5'!CD78,"--")</f>
        <v>330.22</v>
      </c>
      <c r="H12" s="1380"/>
      <c r="I12" s="1794"/>
      <c r="J12" s="1795"/>
      <c r="L12" s="1796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M12" s="1797"/>
      <c r="N12" s="1787" t="str">
        <f>' प्रमाण निश्चिती '!AC7</f>
        <v xml:space="preserve">बटाटा </v>
      </c>
      <c r="O12" s="1798"/>
      <c r="P12" s="1788"/>
      <c r="Q12" s="1787">
        <f>IF('दैनिक भाजीपाला,पूरक आहार 1 ते 5'!BO78&gt;0,'दैनिक भाजीपाला,पूरक आहार 1 ते 5'!BO78,"--")</f>
        <v>57.199999999999989</v>
      </c>
      <c r="R12" s="1788"/>
      <c r="S12" s="1776"/>
      <c r="T12" s="1777"/>
      <c r="W12" s="522"/>
      <c r="X12" s="368"/>
      <c r="AG12" s="45" t="s">
        <v>39</v>
      </c>
      <c r="AH12" s="40" t="s">
        <v>39</v>
      </c>
      <c r="AI12" s="350">
        <f>HOME!$E$2</f>
        <v>2022</v>
      </c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2:45" ht="24.95" customHeight="1" x14ac:dyDescent="0.45">
      <c r="B13" s="1778" t="s">
        <v>394</v>
      </c>
      <c r="C13" s="1779"/>
      <c r="D13" s="1780"/>
      <c r="E13" s="1776"/>
      <c r="F13" s="1781"/>
      <c r="G13" s="1782"/>
      <c r="H13" s="1776"/>
      <c r="I13" s="1783"/>
      <c r="J13" s="1784"/>
      <c r="L13" s="1785" t="s">
        <v>394</v>
      </c>
      <c r="M13" s="1781"/>
      <c r="N13" s="1774" t="str">
        <f>' प्रमाण निश्चिती '!AD7</f>
        <v xml:space="preserve">फ्लावर </v>
      </c>
      <c r="O13" s="1380"/>
      <c r="P13" s="1786"/>
      <c r="Q13" s="1774" t="str">
        <f>IF('दैनिक भाजीपाला,पूरक आहार 1 ते 5'!BP78&gt;0,'दैनिक भाजीपाला,पूरक आहार 1 ते 5'!BP78,"--")</f>
        <v>--</v>
      </c>
      <c r="R13" s="1775"/>
      <c r="S13" s="1776"/>
      <c r="T13" s="1777"/>
      <c r="W13" s="522"/>
      <c r="X13" s="368"/>
      <c r="AG13" s="45" t="s">
        <v>33</v>
      </c>
      <c r="AH13" s="40" t="s">
        <v>33</v>
      </c>
      <c r="AI13" s="350">
        <f>HOME!$F$2</f>
        <v>2023</v>
      </c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2:45" ht="24.95" customHeight="1" x14ac:dyDescent="0.45">
      <c r="B14" s="1800">
        <f>EOMONTH(B12,0)</f>
        <v>44895</v>
      </c>
      <c r="C14" s="1801"/>
      <c r="D14" s="1783"/>
      <c r="E14" s="1799"/>
      <c r="F14" s="1779"/>
      <c r="G14" s="1799"/>
      <c r="H14" s="1799"/>
      <c r="I14" s="1783"/>
      <c r="J14" s="1784"/>
      <c r="L14" s="1800">
        <f>EOMONTH(B12,0)</f>
        <v>44895</v>
      </c>
      <c r="M14" s="1801"/>
      <c r="N14" s="1774" t="str">
        <f>' प्रमाण निश्चिती '!AE7</f>
        <v>गाजर</v>
      </c>
      <c r="O14" s="1380"/>
      <c r="P14" s="1786"/>
      <c r="Q14" s="1774">
        <f>IF('दैनिक भाजीपाला,पूरक आहार 1 ते 5'!BQ78&gt;0,'दैनिक भाजीपाला,पूरक आहार 1 ते 5'!BQ78,"--")</f>
        <v>26.4</v>
      </c>
      <c r="R14" s="1775"/>
      <c r="S14" s="1780"/>
      <c r="T14" s="1777"/>
      <c r="W14" s="522"/>
      <c r="X14" s="368"/>
      <c r="AG14" s="45" t="s">
        <v>40</v>
      </c>
      <c r="AH14" s="40" t="s">
        <v>40</v>
      </c>
      <c r="AI14" s="350">
        <f>HOME!$F$2</f>
        <v>2023</v>
      </c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2:45" ht="24.95" customHeight="1" x14ac:dyDescent="0.45">
      <c r="B15" s="1778"/>
      <c r="C15" s="1779"/>
      <c r="D15" s="1783"/>
      <c r="E15" s="1799"/>
      <c r="F15" s="1779"/>
      <c r="G15" s="1799"/>
      <c r="H15" s="1799"/>
      <c r="I15" s="1783"/>
      <c r="J15" s="1784"/>
      <c r="L15" s="1785"/>
      <c r="M15" s="1781"/>
      <c r="N15" s="1774" t="str">
        <f>' प्रमाण निश्चिती '!AF7</f>
        <v xml:space="preserve">हिरवी मिरची </v>
      </c>
      <c r="O15" s="1380"/>
      <c r="P15" s="1786"/>
      <c r="Q15" s="1774">
        <f>IF('दैनिक भाजीपाला,पूरक आहार 1 ते 5'!BR78&gt;0,'दैनिक भाजीपाला,पूरक आहार 1 ते 5'!BR78,"--")</f>
        <v>50.160000000000004</v>
      </c>
      <c r="R15" s="1775"/>
      <c r="S15" s="1780"/>
      <c r="T15" s="1777"/>
      <c r="W15" s="522"/>
      <c r="X15" s="368"/>
      <c r="AG15" s="45" t="s">
        <v>41</v>
      </c>
      <c r="AH15" s="40" t="s">
        <v>41</v>
      </c>
      <c r="AI15" s="350">
        <f>HOME!$F$2</f>
        <v>2023</v>
      </c>
      <c r="AJ15" s="21"/>
      <c r="AK15" s="21"/>
      <c r="AL15" s="21"/>
      <c r="AM15" s="21"/>
      <c r="AN15" s="21"/>
      <c r="AO15" s="21"/>
      <c r="AP15" s="21"/>
      <c r="AQ15" s="21"/>
      <c r="AR15" s="21"/>
      <c r="AS15" s="21"/>
    </row>
    <row r="16" spans="2:45" ht="24.95" customHeight="1" x14ac:dyDescent="0.4">
      <c r="B16" s="1778"/>
      <c r="C16" s="1779"/>
      <c r="D16" s="1783"/>
      <c r="E16" s="1799"/>
      <c r="F16" s="1779"/>
      <c r="G16" s="1799"/>
      <c r="H16" s="1799"/>
      <c r="I16" s="1783"/>
      <c r="J16" s="1784"/>
      <c r="L16" s="1785"/>
      <c r="M16" s="1781"/>
      <c r="N16" s="1774" t="str">
        <f>' प्रमाण निश्चिती '!AG7</f>
        <v xml:space="preserve">टमाटर </v>
      </c>
      <c r="O16" s="1380"/>
      <c r="P16" s="1786"/>
      <c r="Q16" s="1774">
        <f>IF('दैनिक भाजीपाला,पूरक आहार 1 ते 5'!BS78&gt;0,'दैनिक भाजीपाला,पूरक आहार 1 ते 5'!BS78,"--")</f>
        <v>50.160000000000004</v>
      </c>
      <c r="R16" s="1775"/>
      <c r="S16" s="1780"/>
      <c r="T16" s="1777"/>
      <c r="W16" s="522"/>
      <c r="X16" s="368"/>
    </row>
    <row r="17" spans="2:24" ht="24.95" customHeight="1" x14ac:dyDescent="0.4">
      <c r="B17" s="1778"/>
      <c r="C17" s="1779"/>
      <c r="D17" s="1783"/>
      <c r="E17" s="1799"/>
      <c r="F17" s="1779"/>
      <c r="G17" s="1799"/>
      <c r="H17" s="1799"/>
      <c r="I17" s="1783"/>
      <c r="J17" s="1784"/>
      <c r="L17" s="1785"/>
      <c r="M17" s="1781"/>
      <c r="N17" s="1774" t="str">
        <f>' प्रमाण निश्चिती '!AH7</f>
        <v xml:space="preserve">कोथिंबीर </v>
      </c>
      <c r="O17" s="1380"/>
      <c r="P17" s="1786"/>
      <c r="Q17" s="1774">
        <f>IF('दैनिक भाजीपाला,पूरक आहार 1 ते 5'!BT78&gt;0,'दैनिक भाजीपाला,पूरक आहार 1 ते 5'!BT78,"--")</f>
        <v>41.800000000000004</v>
      </c>
      <c r="R17" s="1775"/>
      <c r="S17" s="1780"/>
      <c r="T17" s="1777"/>
      <c r="W17" s="522"/>
      <c r="X17" s="368"/>
    </row>
    <row r="18" spans="2:24" ht="24.95" customHeight="1" x14ac:dyDescent="0.4">
      <c r="B18" s="1778"/>
      <c r="C18" s="1779"/>
      <c r="D18" s="1783"/>
      <c r="E18" s="1799"/>
      <c r="F18" s="1779"/>
      <c r="G18" s="1799"/>
      <c r="H18" s="1799"/>
      <c r="I18" s="1783"/>
      <c r="J18" s="1784"/>
      <c r="L18" s="1785"/>
      <c r="M18" s="1781"/>
      <c r="N18" s="1774" t="str">
        <f>' प्रमाण निश्चिती '!AI7</f>
        <v xml:space="preserve">कढीपत्ता </v>
      </c>
      <c r="O18" s="1380"/>
      <c r="P18" s="1786"/>
      <c r="Q18" s="1774">
        <f>IF('दैनिक भाजीपाला,पूरक आहार 1 ते 5'!BU78&gt;0,'दैनिक भाजीपाला,पूरक आहार 1 ते 5'!BU78,"--")</f>
        <v>25.080000000000002</v>
      </c>
      <c r="R18" s="1775"/>
      <c r="S18" s="1780"/>
      <c r="T18" s="1777"/>
      <c r="W18" s="522"/>
      <c r="X18" s="368"/>
    </row>
    <row r="19" spans="2:24" ht="24.95" customHeight="1" x14ac:dyDescent="0.4">
      <c r="B19" s="1778"/>
      <c r="C19" s="1779"/>
      <c r="D19" s="1783"/>
      <c r="E19" s="1799"/>
      <c r="F19" s="1779"/>
      <c r="G19" s="1799"/>
      <c r="H19" s="1799"/>
      <c r="I19" s="1783"/>
      <c r="J19" s="1784"/>
      <c r="L19" s="1785"/>
      <c r="M19" s="1781"/>
      <c r="N19" s="1774" t="str">
        <f>' प्रमाण निश्चिती '!AJ7</f>
        <v xml:space="preserve">कांदा </v>
      </c>
      <c r="O19" s="1380"/>
      <c r="P19" s="1786"/>
      <c r="Q19" s="1774">
        <f>IF('दैनिक भाजीपाला,पूरक आहार 1 ते 5'!BV78&gt;0,'दैनिक भाजीपाला,पूरक आहार 1 ते 5'!BV78,"--")</f>
        <v>50.160000000000004</v>
      </c>
      <c r="R19" s="1775"/>
      <c r="S19" s="1780"/>
      <c r="T19" s="1777"/>
      <c r="W19" s="522"/>
      <c r="X19" s="368"/>
    </row>
    <row r="20" spans="2:24" ht="24.95" customHeight="1" x14ac:dyDescent="0.4">
      <c r="B20" s="1778"/>
      <c r="C20" s="1779"/>
      <c r="D20" s="1783"/>
      <c r="E20" s="1799"/>
      <c r="F20" s="1779"/>
      <c r="G20" s="1799"/>
      <c r="H20" s="1799"/>
      <c r="I20" s="1783"/>
      <c r="J20" s="1784"/>
      <c r="L20" s="1785"/>
      <c r="M20" s="1781"/>
      <c r="N20" s="1774" t="str">
        <f>' प्रमाण निश्चिती '!AK7</f>
        <v>इतर</v>
      </c>
      <c r="O20" s="1380"/>
      <c r="P20" s="1786"/>
      <c r="Q20" s="1774" t="str">
        <f>IF('दैनिक भाजीपाला,पूरक आहार 1 ते 5'!BW78&gt;0,'दैनिक भाजीपाला,पूरक आहार 1 ते 5'!BW78,"--")</f>
        <v>--</v>
      </c>
      <c r="R20" s="1775"/>
      <c r="S20" s="1780"/>
      <c r="T20" s="1777"/>
      <c r="W20" s="522">
        <f>VLOOKUP(L2,' प्रमाण निश्चिती '!B9:AK20,36,0)</f>
        <v>0</v>
      </c>
      <c r="X20" s="368"/>
    </row>
    <row r="21" spans="2:24" ht="30.75" customHeight="1" x14ac:dyDescent="0.3">
      <c r="B21" s="1802" t="s">
        <v>29</v>
      </c>
      <c r="C21" s="1410"/>
      <c r="D21" s="1410"/>
      <c r="E21" s="1410"/>
      <c r="F21" s="1410"/>
      <c r="G21" s="1803">
        <f>IF(SUM(G12:G20)&gt;0,SUM(G12:G20),"--")</f>
        <v>330.22</v>
      </c>
      <c r="H21" s="1804"/>
      <c r="I21" s="1805">
        <f>IFERROR(ROUND(G21,0),"--")</f>
        <v>330</v>
      </c>
      <c r="J21" s="1806"/>
      <c r="L21" s="1807" t="s">
        <v>29</v>
      </c>
      <c r="M21" s="1808"/>
      <c r="N21" s="1808"/>
      <c r="O21" s="1808"/>
      <c r="P21" s="1808"/>
      <c r="Q21" s="1803">
        <f>IF(SUM(Q12:Q20)&gt;0,SUM(Q12:Q20),"--")</f>
        <v>300.96000000000004</v>
      </c>
      <c r="R21" s="1803"/>
      <c r="S21" s="1809">
        <f>IFERROR(ROUND(Q21,0),"--")</f>
        <v>301</v>
      </c>
      <c r="T21" s="1810"/>
      <c r="W21" s="522"/>
      <c r="X21" s="368"/>
    </row>
    <row r="22" spans="2:24" ht="30" customHeight="1" x14ac:dyDescent="0.4">
      <c r="B22" s="535" t="s">
        <v>189</v>
      </c>
      <c r="C22" s="1454" t="str">
        <f>IFERROR(IF(I21=0,"शून्य",IF(VALUE(RIGHT(INT(I21/1000),2))=0,"",INDEX(MA_Sankhya,RIGHT(INT(I21/1000),2))&amp;" हजार ")&amp;IF(RIGHT(I21,3)="100","शंभर",IF(VALUE(RIGHT(INT(I21/100),1))=0,"",INDEX(MA_Sankhya,RIGHT(INT(I21/100),1))&amp;"शे "))&amp;IF(VALUE(RIGHT(I21,2))=0,"",INDEX(MA_Sankhya,RIGHT(I21,2))))," ")&amp;" रुपये"&amp;" फक्त/-"</f>
        <v>तीनशे तीस रुपये फक्त/-</v>
      </c>
      <c r="D22" s="1454"/>
      <c r="E22" s="1454"/>
      <c r="F22" s="1454"/>
      <c r="G22" s="1454"/>
      <c r="H22" s="528" t="s">
        <v>190</v>
      </c>
      <c r="I22" s="528"/>
      <c r="J22" s="533"/>
      <c r="L22" s="535" t="s">
        <v>189</v>
      </c>
      <c r="M22" s="1454" t="str">
        <f>IFERROR(IF(S21=0,"शून्य",IF(VALUE(RIGHT(INT(S21/10^3),2))=0,"",INDEX(MA_Sankhya,RIGHT(INT(S21/10^3),2))&amp;" हजार ")&amp;IF(RIGHT(S21,3)="100","शंभर",IF(VALUE(RIGHT(INT(S21/10^2),1))=0,"",INDEX(MA_Sankhya,RIGHT(INT(S21/10^2),1))&amp;"शे "))&amp;IF(VALUE(RIGHT(S21,2))=0,"",INDEX(MA_Sankhya,RIGHT(S21,2))))," ")&amp;" रुपये"&amp;" फक्त/-"</f>
        <v>तीनशे एक रुपये फक्त/-</v>
      </c>
      <c r="N22" s="1454"/>
      <c r="O22" s="1454"/>
      <c r="P22" s="1454"/>
      <c r="Q22" s="1380"/>
      <c r="R22" s="1776" t="s">
        <v>190</v>
      </c>
      <c r="S22" s="1776"/>
      <c r="T22" s="533"/>
    </row>
    <row r="23" spans="2:24" ht="30.75" customHeight="1" x14ac:dyDescent="0.4">
      <c r="B23" s="1785" t="s">
        <v>192</v>
      </c>
      <c r="C23" s="1776"/>
      <c r="D23" s="1776"/>
      <c r="E23" s="1"/>
      <c r="F23" s="1776" t="s">
        <v>191</v>
      </c>
      <c r="G23" s="1776"/>
      <c r="H23" s="1776"/>
      <c r="I23" s="1"/>
      <c r="J23" s="533"/>
      <c r="L23" s="1785" t="s">
        <v>192</v>
      </c>
      <c r="M23" s="1776"/>
      <c r="N23" s="1776"/>
      <c r="O23" s="1"/>
      <c r="P23" s="1776" t="s">
        <v>191</v>
      </c>
      <c r="Q23" s="1776"/>
      <c r="R23" s="1776"/>
      <c r="S23" s="1"/>
      <c r="T23" s="533"/>
    </row>
    <row r="24" spans="2:24" ht="27.75" customHeight="1" x14ac:dyDescent="0.4">
      <c r="B24" s="534"/>
      <c r="C24" s="1"/>
      <c r="D24" s="1"/>
      <c r="E24" s="1"/>
      <c r="F24" s="1"/>
      <c r="G24" s="1"/>
      <c r="H24" s="1"/>
      <c r="I24" s="1"/>
      <c r="J24" s="533"/>
      <c r="L24" s="534"/>
      <c r="M24" s="1"/>
      <c r="N24" s="1"/>
      <c r="O24" s="1"/>
      <c r="P24" s="1"/>
      <c r="Q24" s="1"/>
      <c r="R24" s="1"/>
      <c r="S24" s="1"/>
      <c r="T24" s="533"/>
    </row>
    <row r="25" spans="2:24" ht="30.75" customHeight="1" x14ac:dyDescent="0.3">
      <c r="B25" s="1234" t="s">
        <v>193</v>
      </c>
      <c r="C25" s="461"/>
      <c r="D25" s="461"/>
      <c r="E25" s="1772" t="s">
        <v>194</v>
      </c>
      <c r="F25" s="1772"/>
      <c r="G25" s="1811" t="s">
        <v>195</v>
      </c>
      <c r="H25" s="1811"/>
      <c r="I25" s="1811"/>
      <c r="J25" s="1812"/>
      <c r="L25" s="459" t="s">
        <v>193</v>
      </c>
      <c r="M25" s="460"/>
      <c r="N25" s="460"/>
      <c r="O25" s="461" t="s">
        <v>194</v>
      </c>
      <c r="P25" s="1811" t="s">
        <v>195</v>
      </c>
      <c r="Q25" s="1811"/>
      <c r="R25" s="1811"/>
      <c r="S25" s="1811"/>
      <c r="T25" s="1812"/>
    </row>
    <row r="26" spans="2:24" ht="30" customHeight="1" x14ac:dyDescent="0.3">
      <c r="B26" s="1771" t="s">
        <v>196</v>
      </c>
      <c r="C26" s="1772"/>
      <c r="D26" s="1772"/>
      <c r="E26" s="1772"/>
      <c r="F26" s="1772"/>
      <c r="G26" s="1380" t="str">
        <f>C8</f>
        <v>SANIKA INDANE GAS GANGAPUR</v>
      </c>
      <c r="H26" s="1380"/>
      <c r="I26" s="1380"/>
      <c r="J26" s="1813"/>
      <c r="L26" s="1771" t="s">
        <v>196</v>
      </c>
      <c r="M26" s="1772"/>
      <c r="N26" s="1772"/>
      <c r="O26" s="1772"/>
      <c r="P26" s="1380" t="str">
        <f>M8</f>
        <v>संत सावता माळी भाजीपाला सप्लायर्स</v>
      </c>
      <c r="Q26" s="1380"/>
      <c r="R26" s="1380"/>
      <c r="S26" s="1380"/>
      <c r="T26" s="1813"/>
    </row>
    <row r="27" spans="2:24" ht="24.75" customHeight="1" thickBot="1" x14ac:dyDescent="0.45">
      <c r="B27" s="1814" t="s">
        <v>197</v>
      </c>
      <c r="C27" s="1815"/>
      <c r="D27" s="537"/>
      <c r="E27" s="537"/>
      <c r="F27" s="537"/>
      <c r="G27" s="537"/>
      <c r="H27" s="537"/>
      <c r="I27" s="537"/>
      <c r="J27" s="538"/>
      <c r="L27" s="1814" t="s">
        <v>197</v>
      </c>
      <c r="M27" s="1815"/>
      <c r="N27" s="537"/>
      <c r="O27" s="537"/>
      <c r="P27" s="537"/>
      <c r="Q27" s="537"/>
      <c r="R27" s="537"/>
      <c r="S27" s="537"/>
      <c r="T27" s="538"/>
    </row>
    <row r="28" spans="2:24" ht="15.75" customHeight="1" thickBot="1" x14ac:dyDescent="0.35">
      <c r="B28" s="539"/>
      <c r="C28" s="540"/>
      <c r="D28" s="540"/>
      <c r="E28" s="540"/>
      <c r="F28" s="540"/>
      <c r="G28" s="540"/>
      <c r="H28" s="540"/>
      <c r="I28" s="540"/>
      <c r="J28" s="541"/>
      <c r="L28" s="539"/>
      <c r="M28" s="540"/>
      <c r="N28" s="540"/>
      <c r="O28" s="540"/>
      <c r="P28" s="540"/>
      <c r="Q28" s="540"/>
      <c r="R28" s="540"/>
      <c r="S28" s="540"/>
      <c r="T28" s="541"/>
    </row>
  </sheetData>
  <sheetProtection algorithmName="SHA-512" hashValue="thVkilDKoBK/hpC+kzNmpfWI52b+0ezGGvyJZqCmNTSztg03LwgSGIekd+QL/0Bf7usx7WjQR3afi3cZqgddRQ==" saltValue="JXulUpVN4EHrbZ3P/NWd7A==" spinCount="100000" sheet="1" objects="1" scenarios="1" selectLockedCells="1"/>
  <protectedRanges>
    <protectedRange sqref="L2:O2" name="Range1"/>
  </protectedRanges>
  <mergeCells count="124">
    <mergeCell ref="R22:S22"/>
    <mergeCell ref="P25:T25"/>
    <mergeCell ref="P26:T26"/>
    <mergeCell ref="B27:C27"/>
    <mergeCell ref="L27:M27"/>
    <mergeCell ref="F23:H23"/>
    <mergeCell ref="P23:R23"/>
    <mergeCell ref="B26:F26"/>
    <mergeCell ref="G26:J26"/>
    <mergeCell ref="L26:O26"/>
    <mergeCell ref="B23:D23"/>
    <mergeCell ref="L23:N23"/>
    <mergeCell ref="E25:F25"/>
    <mergeCell ref="G25:J25"/>
    <mergeCell ref="C22:G22"/>
    <mergeCell ref="M22:Q22"/>
    <mergeCell ref="B21:F21"/>
    <mergeCell ref="G21:H21"/>
    <mergeCell ref="I21:J21"/>
    <mergeCell ref="L21:P21"/>
    <mergeCell ref="Q21:R21"/>
    <mergeCell ref="S21:T21"/>
    <mergeCell ref="Q20:R20"/>
    <mergeCell ref="S20:T20"/>
    <mergeCell ref="B20:C20"/>
    <mergeCell ref="D20:F20"/>
    <mergeCell ref="G20:H20"/>
    <mergeCell ref="I20:J20"/>
    <mergeCell ref="L20:M20"/>
    <mergeCell ref="N20:P20"/>
    <mergeCell ref="Q19:R19"/>
    <mergeCell ref="S19:T19"/>
    <mergeCell ref="B19:C19"/>
    <mergeCell ref="D19:F19"/>
    <mergeCell ref="G19:H19"/>
    <mergeCell ref="I19:J19"/>
    <mergeCell ref="L19:M19"/>
    <mergeCell ref="N19:P19"/>
    <mergeCell ref="Q18:R18"/>
    <mergeCell ref="S18:T18"/>
    <mergeCell ref="B18:C18"/>
    <mergeCell ref="D18:F18"/>
    <mergeCell ref="G18:H18"/>
    <mergeCell ref="I18:J18"/>
    <mergeCell ref="L18:M18"/>
    <mergeCell ref="N18:P18"/>
    <mergeCell ref="Q17:R17"/>
    <mergeCell ref="S17:T17"/>
    <mergeCell ref="B17:C17"/>
    <mergeCell ref="D17:F17"/>
    <mergeCell ref="G17:H17"/>
    <mergeCell ref="I17:J17"/>
    <mergeCell ref="L17:M17"/>
    <mergeCell ref="N17:P17"/>
    <mergeCell ref="Q16:R16"/>
    <mergeCell ref="S16:T16"/>
    <mergeCell ref="B16:C16"/>
    <mergeCell ref="D16:F16"/>
    <mergeCell ref="G16:H16"/>
    <mergeCell ref="I16:J16"/>
    <mergeCell ref="L16:M16"/>
    <mergeCell ref="N16:P16"/>
    <mergeCell ref="Q15:R15"/>
    <mergeCell ref="S15:T15"/>
    <mergeCell ref="B15:C15"/>
    <mergeCell ref="D15:F15"/>
    <mergeCell ref="G15:H15"/>
    <mergeCell ref="I15:J15"/>
    <mergeCell ref="L15:M15"/>
    <mergeCell ref="N15:P15"/>
    <mergeCell ref="Q14:R14"/>
    <mergeCell ref="S14:T14"/>
    <mergeCell ref="B14:C14"/>
    <mergeCell ref="D14:F14"/>
    <mergeCell ref="G14:H14"/>
    <mergeCell ref="I14:J14"/>
    <mergeCell ref="L14:M14"/>
    <mergeCell ref="N14:P14"/>
    <mergeCell ref="Q13:R13"/>
    <mergeCell ref="S13:T13"/>
    <mergeCell ref="B13:C13"/>
    <mergeCell ref="D13:F13"/>
    <mergeCell ref="G13:H13"/>
    <mergeCell ref="I13:J13"/>
    <mergeCell ref="L13:M13"/>
    <mergeCell ref="N13:P13"/>
    <mergeCell ref="Q12:R12"/>
    <mergeCell ref="S12:T12"/>
    <mergeCell ref="B12:C12"/>
    <mergeCell ref="D12:F12"/>
    <mergeCell ref="G12:H12"/>
    <mergeCell ref="I12:J12"/>
    <mergeCell ref="L12:M12"/>
    <mergeCell ref="N12:P12"/>
    <mergeCell ref="Q11:R11"/>
    <mergeCell ref="S11:T11"/>
    <mergeCell ref="B11:C11"/>
    <mergeCell ref="D11:F11"/>
    <mergeCell ref="G11:H11"/>
    <mergeCell ref="I11:J11"/>
    <mergeCell ref="L11:M11"/>
    <mergeCell ref="N11:P11"/>
    <mergeCell ref="B10:J10"/>
    <mergeCell ref="L10:T10"/>
    <mergeCell ref="C9:D9"/>
    <mergeCell ref="F9:G9"/>
    <mergeCell ref="I9:J9"/>
    <mergeCell ref="M9:N9"/>
    <mergeCell ref="P9:Q9"/>
    <mergeCell ref="S9:T9"/>
    <mergeCell ref="C8:G8"/>
    <mergeCell ref="I8:J8"/>
    <mergeCell ref="M8:Q8"/>
    <mergeCell ref="S8:T8"/>
    <mergeCell ref="D6:E6"/>
    <mergeCell ref="N6:O6"/>
    <mergeCell ref="B7:J7"/>
    <mergeCell ref="L7:T7"/>
    <mergeCell ref="L2:M2"/>
    <mergeCell ref="N2:O2"/>
    <mergeCell ref="B4:J4"/>
    <mergeCell ref="L4:T4"/>
    <mergeCell ref="B5:J5"/>
    <mergeCell ref="L5:T5"/>
  </mergeCells>
  <conditionalFormatting sqref="D6">
    <cfRule type="cellIs" dxfId="51" priority="3" operator="equal">
      <formula>0</formula>
    </cfRule>
  </conditionalFormatting>
  <conditionalFormatting sqref="N6">
    <cfRule type="cellIs" dxfId="50" priority="2" operator="equal">
      <formula>0</formula>
    </cfRule>
  </conditionalFormatting>
  <dataValidations count="1">
    <dataValidation type="list" allowBlank="1" showInputMessage="1" showErrorMessage="1" sqref="L2">
      <formula1>month</formula1>
    </dataValidation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8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N2:O2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  <pageSetUpPr fitToPage="1"/>
  </sheetPr>
  <dimension ref="B1:AM28"/>
  <sheetViews>
    <sheetView showRowColHeaders="0" showZeros="0" zoomScaleNormal="100" workbookViewId="0">
      <selection activeCell="D5" sqref="D5:J5"/>
    </sheetView>
  </sheetViews>
  <sheetFormatPr defaultRowHeight="30.75" customHeight="1" x14ac:dyDescent="0.3"/>
  <cols>
    <col min="1" max="1" width="5.140625" style="15" customWidth="1"/>
    <col min="2" max="2" width="10.140625" style="15" customWidth="1"/>
    <col min="3" max="3" width="10.42578125" style="15" customWidth="1"/>
    <col min="4" max="4" width="9.140625" style="15"/>
    <col min="5" max="5" width="8.85546875" style="15" customWidth="1"/>
    <col min="6" max="6" width="6.42578125" style="15" customWidth="1"/>
    <col min="7" max="7" width="10.28515625" style="15" customWidth="1"/>
    <col min="8" max="8" width="9.85546875" style="15" customWidth="1"/>
    <col min="9" max="9" width="9.7109375" style="15" customWidth="1"/>
    <col min="10" max="10" width="14.28515625" style="15" customWidth="1"/>
    <col min="11" max="11" width="4.140625" style="15" customWidth="1"/>
    <col min="12" max="12" width="12.85546875" style="15" customWidth="1"/>
    <col min="13" max="13" width="5.7109375" style="15" customWidth="1"/>
    <col min="14" max="14" width="8.42578125" style="15" customWidth="1"/>
    <col min="15" max="15" width="7.85546875" style="15" customWidth="1"/>
    <col min="16" max="16" width="7.28515625" style="15" customWidth="1"/>
    <col min="17" max="20" width="9.140625" style="15"/>
    <col min="21" max="21" width="4.42578125" style="15" customWidth="1"/>
    <col min="22" max="30" width="9.140625" style="15"/>
    <col min="31" max="32" width="12.5703125" style="15" customWidth="1"/>
    <col min="33" max="16384" width="9.140625" style="15"/>
  </cols>
  <sheetData>
    <row r="1" spans="2:39" ht="30.75" customHeight="1" thickBot="1" x14ac:dyDescent="0.35"/>
    <row r="2" spans="2:39" ht="30.75" customHeight="1" thickBot="1" x14ac:dyDescent="0.35">
      <c r="L2" s="1746" t="s">
        <v>38</v>
      </c>
      <c r="M2" s="1747"/>
      <c r="N2" s="1748">
        <v>2022</v>
      </c>
      <c r="O2" s="1749"/>
    </row>
    <row r="3" spans="2:39" ht="30.75" customHeight="1" thickBot="1" x14ac:dyDescent="0.35"/>
    <row r="4" spans="2:39" ht="27" customHeight="1" thickBot="1" x14ac:dyDescent="0.55000000000000004">
      <c r="B4" s="1750" t="s">
        <v>739</v>
      </c>
      <c r="C4" s="1751"/>
      <c r="D4" s="1751"/>
      <c r="E4" s="1751"/>
      <c r="F4" s="1751"/>
      <c r="G4" s="1751"/>
      <c r="H4" s="1751"/>
      <c r="I4" s="1751"/>
      <c r="J4" s="1752"/>
      <c r="L4" s="1750" t="s">
        <v>741</v>
      </c>
      <c r="M4" s="1751"/>
      <c r="N4" s="1751"/>
      <c r="O4" s="1751"/>
      <c r="P4" s="1751"/>
      <c r="Q4" s="1751"/>
      <c r="R4" s="1751"/>
      <c r="S4" s="1751"/>
      <c r="T4" s="1752"/>
    </row>
    <row r="5" spans="2:39" ht="30" customHeight="1" x14ac:dyDescent="0.5">
      <c r="B5" s="1753" t="str">
        <f>'शाळा माहिती'!D4</f>
        <v>जि.प.प्रा.शा.बोरजाई वस्ती</v>
      </c>
      <c r="C5" s="1754"/>
      <c r="D5" s="1754"/>
      <c r="E5" s="1754"/>
      <c r="F5" s="1754"/>
      <c r="G5" s="1754"/>
      <c r="H5" s="1754"/>
      <c r="I5" s="1754"/>
      <c r="J5" s="1755"/>
      <c r="L5" s="1756" t="str">
        <f>'शाळा माहिती'!D4</f>
        <v>जि.प.प्रा.शा.बोरजाई वस्ती</v>
      </c>
      <c r="M5" s="1757"/>
      <c r="N5" s="1757"/>
      <c r="O5" s="1757"/>
      <c r="P5" s="1757"/>
      <c r="Q5" s="1757"/>
      <c r="R5" s="1757"/>
      <c r="S5" s="1757"/>
      <c r="T5" s="1758"/>
    </row>
    <row r="6" spans="2:39" ht="30.75" customHeight="1" x14ac:dyDescent="0.4">
      <c r="B6" s="1235" t="s">
        <v>183</v>
      </c>
      <c r="C6" s="525"/>
      <c r="D6" s="1739"/>
      <c r="E6" s="1432"/>
      <c r="F6" s="526" t="s">
        <v>284</v>
      </c>
      <c r="G6" s="142" t="str">
        <f>'शाळा माहिती'!C17</f>
        <v>1 ते 5</v>
      </c>
      <c r="H6" s="527" t="s">
        <v>116</v>
      </c>
      <c r="I6" s="143" t="str">
        <f>L2</f>
        <v>नोव्हेंबर</v>
      </c>
      <c r="J6" s="144">
        <f>N2</f>
        <v>2022</v>
      </c>
      <c r="L6" s="1235" t="s">
        <v>183</v>
      </c>
      <c r="M6" s="525"/>
      <c r="N6" s="1739"/>
      <c r="O6" s="1432"/>
      <c r="P6" s="526" t="s">
        <v>284</v>
      </c>
      <c r="Q6" s="142" t="str">
        <f>'शाळा माहिती'!C17</f>
        <v>1 ते 5</v>
      </c>
      <c r="R6" s="527" t="s">
        <v>116</v>
      </c>
      <c r="S6" s="143" t="str">
        <f>L2</f>
        <v>नोव्हेंबर</v>
      </c>
      <c r="T6" s="144">
        <f>N2</f>
        <v>2022</v>
      </c>
      <c r="AE6" s="21"/>
      <c r="AF6" s="388"/>
      <c r="AG6" s="21"/>
      <c r="AH6" s="21"/>
      <c r="AI6" s="21"/>
      <c r="AJ6" s="21"/>
      <c r="AK6" s="21"/>
      <c r="AL6" s="21"/>
      <c r="AM6" s="21"/>
    </row>
    <row r="7" spans="2:39" ht="28.5" customHeight="1" x14ac:dyDescent="0.3">
      <c r="B7" s="1740" t="s">
        <v>745</v>
      </c>
      <c r="C7" s="1741"/>
      <c r="D7" s="1741"/>
      <c r="E7" s="1741"/>
      <c r="F7" s="1741"/>
      <c r="G7" s="1741"/>
      <c r="H7" s="1741"/>
      <c r="I7" s="1741"/>
      <c r="J7" s="1742"/>
      <c r="L7" s="1743" t="s">
        <v>198</v>
      </c>
      <c r="M7" s="1744"/>
      <c r="N7" s="1744"/>
      <c r="O7" s="1744"/>
      <c r="P7" s="1744"/>
      <c r="Q7" s="1744"/>
      <c r="R7" s="1744"/>
      <c r="S7" s="1744"/>
      <c r="T7" s="1745"/>
      <c r="AE7" s="21"/>
      <c r="AF7" s="21"/>
      <c r="AG7" s="21"/>
      <c r="AH7" s="21"/>
      <c r="AI7" s="21"/>
      <c r="AJ7" s="21"/>
      <c r="AK7" s="21"/>
      <c r="AL7" s="21"/>
      <c r="AM7" s="21"/>
    </row>
    <row r="8" spans="2:39" ht="28.5" customHeight="1" x14ac:dyDescent="0.3">
      <c r="B8" s="529" t="s">
        <v>185</v>
      </c>
      <c r="C8" s="1380" t="str">
        <f>'शाळा माहिती'!D30</f>
        <v>SANIKA INDANE GAS GANGAPUR</v>
      </c>
      <c r="D8" s="1380"/>
      <c r="E8" s="1380"/>
      <c r="F8" s="1380"/>
      <c r="G8" s="1380"/>
      <c r="H8" s="21" t="s">
        <v>297</v>
      </c>
      <c r="I8" s="1759" t="s">
        <v>298</v>
      </c>
      <c r="J8" s="1760"/>
      <c r="L8" s="529" t="s">
        <v>185</v>
      </c>
      <c r="M8" s="1454" t="str">
        <f>'शाळा माहिती'!D31</f>
        <v>संत सावता माळी भाजीपाला सप्लायर्स</v>
      </c>
      <c r="N8" s="1454"/>
      <c r="O8" s="1454"/>
      <c r="P8" s="1454"/>
      <c r="Q8" s="1454"/>
      <c r="R8" s="21" t="s">
        <v>310</v>
      </c>
      <c r="S8" s="1759" t="s">
        <v>309</v>
      </c>
      <c r="T8" s="1760"/>
      <c r="AE8" s="21"/>
      <c r="AF8" s="21"/>
      <c r="AG8" s="21"/>
      <c r="AH8" s="21"/>
      <c r="AI8" s="21"/>
      <c r="AJ8" s="21"/>
      <c r="AK8" s="21"/>
      <c r="AL8" s="21"/>
      <c r="AM8" s="21"/>
    </row>
    <row r="9" spans="2:39" ht="29.25" customHeight="1" x14ac:dyDescent="0.3">
      <c r="B9" s="530" t="s">
        <v>1</v>
      </c>
      <c r="C9" s="1437" t="str">
        <f>'शाळा माहिती'!D5</f>
        <v>जामगाव</v>
      </c>
      <c r="D9" s="1437"/>
      <c r="E9" s="531" t="s">
        <v>186</v>
      </c>
      <c r="F9" s="1437" t="str">
        <f>'शाळा माहिती'!D7</f>
        <v>गंगापूर</v>
      </c>
      <c r="G9" s="1437"/>
      <c r="H9" s="531" t="s">
        <v>121</v>
      </c>
      <c r="I9" s="1437" t="str">
        <f>'शाळा माहिती'!D8</f>
        <v>औरंगाबाद</v>
      </c>
      <c r="J9" s="1438"/>
      <c r="L9" s="530" t="s">
        <v>1</v>
      </c>
      <c r="M9" s="1437" t="str">
        <f>'शाळा माहिती'!D5</f>
        <v>जामगाव</v>
      </c>
      <c r="N9" s="1437"/>
      <c r="O9" s="532" t="s">
        <v>186</v>
      </c>
      <c r="P9" s="1437" t="str">
        <f>'शाळा माहिती'!D7</f>
        <v>गंगापूर</v>
      </c>
      <c r="Q9" s="1437"/>
      <c r="R9" s="532" t="s">
        <v>121</v>
      </c>
      <c r="S9" s="1437" t="str">
        <f>'शाळा माहिती'!D8</f>
        <v>औरंगाबाद</v>
      </c>
      <c r="T9" s="1438"/>
      <c r="AE9" s="21"/>
      <c r="AF9" s="21"/>
      <c r="AG9" s="21"/>
      <c r="AH9" s="21"/>
      <c r="AI9" s="21"/>
      <c r="AJ9" s="21"/>
      <c r="AK9" s="21"/>
      <c r="AL9" s="21"/>
      <c r="AM9" s="21"/>
    </row>
    <row r="10" spans="2:39" ht="30.75" customHeight="1" x14ac:dyDescent="0.3">
      <c r="B10" s="1771" t="s">
        <v>742</v>
      </c>
      <c r="C10" s="1772"/>
      <c r="D10" s="1772"/>
      <c r="E10" s="1772"/>
      <c r="F10" s="1772"/>
      <c r="G10" s="1772"/>
      <c r="H10" s="1772"/>
      <c r="I10" s="1772"/>
      <c r="J10" s="1773"/>
      <c r="L10" s="1771" t="s">
        <v>389</v>
      </c>
      <c r="M10" s="1772"/>
      <c r="N10" s="1772"/>
      <c r="O10" s="1772"/>
      <c r="P10" s="1772"/>
      <c r="Q10" s="1772"/>
      <c r="R10" s="1772"/>
      <c r="S10" s="1772"/>
      <c r="T10" s="1773"/>
      <c r="AE10" s="21"/>
      <c r="AF10" s="21"/>
      <c r="AG10" s="21"/>
      <c r="AH10" s="21"/>
      <c r="AI10" s="21"/>
      <c r="AJ10" s="21"/>
      <c r="AK10" s="21"/>
      <c r="AL10" s="21"/>
      <c r="AM10" s="21"/>
    </row>
    <row r="11" spans="2:39" ht="30.75" customHeight="1" x14ac:dyDescent="0.45">
      <c r="B11" s="1764" t="s">
        <v>176</v>
      </c>
      <c r="C11" s="1765"/>
      <c r="D11" s="1766" t="s">
        <v>126</v>
      </c>
      <c r="E11" s="1765"/>
      <c r="F11" s="1765"/>
      <c r="G11" s="1765" t="s">
        <v>188</v>
      </c>
      <c r="H11" s="1765"/>
      <c r="I11" s="1765" t="s">
        <v>162</v>
      </c>
      <c r="J11" s="1767"/>
      <c r="K11" s="470"/>
      <c r="L11" s="1768" t="s">
        <v>176</v>
      </c>
      <c r="M11" s="1769"/>
      <c r="N11" s="1761" t="s">
        <v>126</v>
      </c>
      <c r="O11" s="1770"/>
      <c r="P11" s="1762"/>
      <c r="Q11" s="1761" t="s">
        <v>188</v>
      </c>
      <c r="R11" s="1762"/>
      <c r="S11" s="1761" t="s">
        <v>162</v>
      </c>
      <c r="T11" s="1763"/>
      <c r="U11" s="470"/>
      <c r="AE11" s="21"/>
      <c r="AF11" s="21"/>
      <c r="AG11" s="21"/>
      <c r="AH11" s="21"/>
      <c r="AI11" s="21"/>
      <c r="AJ11" s="21"/>
      <c r="AK11" s="21"/>
      <c r="AL11" s="21"/>
      <c r="AM11" s="21"/>
    </row>
    <row r="12" spans="2:39" ht="24.95" customHeight="1" x14ac:dyDescent="0.4">
      <c r="B12" s="1789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C12" s="1790"/>
      <c r="D12" s="1791" t="s">
        <v>740</v>
      </c>
      <c r="E12" s="1759"/>
      <c r="F12" s="1792"/>
      <c r="G12" s="1793">
        <f>IF('दैनिक भाजीपाला,पूरक आहार 1 ते 5'!CE38&gt;0,'दैनिक भाजीपाला,पूरक आहार 1 ते 5'!CE38,"--")</f>
        <v>330.22</v>
      </c>
      <c r="H12" s="1380"/>
      <c r="I12" s="1794"/>
      <c r="J12" s="1795"/>
      <c r="L12" s="1796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M12" s="1797"/>
      <c r="N12" s="1787" t="str">
        <f>' प्रमाण निश्चिती '!AL7</f>
        <v>केळी</v>
      </c>
      <c r="O12" s="1798"/>
      <c r="P12" s="1788"/>
      <c r="Q12" s="1787" t="str">
        <f>IF('दैनिक भाजीपाला,पूरक आहार 1 ते 5'!BY38&gt;0,'दैनिक भाजीपाला,पूरक आहार 1 ते 5'!BY38,"--")</f>
        <v>--</v>
      </c>
      <c r="R12" s="1788"/>
      <c r="S12" s="1776"/>
      <c r="T12" s="1777"/>
      <c r="AE12" s="21"/>
      <c r="AF12" s="21"/>
      <c r="AG12" s="21"/>
      <c r="AH12" s="21"/>
      <c r="AI12" s="21"/>
      <c r="AJ12" s="21"/>
      <c r="AK12" s="21"/>
      <c r="AL12" s="21"/>
      <c r="AM12" s="21"/>
    </row>
    <row r="13" spans="2:39" ht="24.95" customHeight="1" x14ac:dyDescent="0.4">
      <c r="B13" s="1778" t="s">
        <v>394</v>
      </c>
      <c r="C13" s="1779"/>
      <c r="D13" s="1780"/>
      <c r="E13" s="1776"/>
      <c r="F13" s="1781"/>
      <c r="G13" s="1782"/>
      <c r="H13" s="1776"/>
      <c r="I13" s="1783"/>
      <c r="J13" s="1784"/>
      <c r="L13" s="1785" t="s">
        <v>394</v>
      </c>
      <c r="M13" s="1781"/>
      <c r="N13" s="1774" t="str">
        <f>' प्रमाण निश्चिती '!AM7</f>
        <v>खारीक</v>
      </c>
      <c r="O13" s="1793"/>
      <c r="P13" s="1775"/>
      <c r="Q13" s="1774">
        <f>IF('दैनिक भाजीपाला,पूरक आहार 1 ते 5'!BZ38&gt;0,'दैनिक भाजीपाला,पूरक आहार 1 ते 5'!BZ38,"--")</f>
        <v>80.813333333333318</v>
      </c>
      <c r="R13" s="1775"/>
      <c r="S13" s="1776"/>
      <c r="T13" s="1777"/>
      <c r="AE13" s="21"/>
      <c r="AF13" s="21"/>
      <c r="AG13" s="21"/>
      <c r="AH13" s="21"/>
      <c r="AI13" s="21"/>
      <c r="AJ13" s="21"/>
      <c r="AK13" s="21"/>
      <c r="AL13" s="21"/>
      <c r="AM13" s="21"/>
    </row>
    <row r="14" spans="2:39" ht="24.95" customHeight="1" x14ac:dyDescent="0.4">
      <c r="B14" s="1800">
        <f>EOMONTH(B12,0)</f>
        <v>44895</v>
      </c>
      <c r="C14" s="1801"/>
      <c r="D14" s="1783"/>
      <c r="E14" s="1799"/>
      <c r="F14" s="1779"/>
      <c r="G14" s="1799"/>
      <c r="H14" s="1799"/>
      <c r="I14" s="1783"/>
      <c r="J14" s="1784"/>
      <c r="L14" s="1800">
        <f>EOMONTH(B12,0)</f>
        <v>44895</v>
      </c>
      <c r="M14" s="1801"/>
      <c r="N14" s="1774" t="str">
        <f>' प्रमाण निश्चिती '!AN7</f>
        <v>गूळ शेंगदाणे</v>
      </c>
      <c r="O14" s="1793"/>
      <c r="P14" s="1775"/>
      <c r="Q14" s="1774">
        <f>IF('दैनिक भाजीपाला,पूरक आहार 1 ते 5'!CA38&gt;0,'दैनिक भाजीपाला,पूरक आहार 1 ते 5'!CA38,"--")</f>
        <v>80.813333333333318</v>
      </c>
      <c r="R14" s="1775"/>
      <c r="S14" s="1780"/>
      <c r="T14" s="1777"/>
      <c r="AE14" s="21"/>
      <c r="AF14" s="21"/>
      <c r="AG14" s="21"/>
      <c r="AH14" s="21"/>
      <c r="AI14" s="21"/>
      <c r="AJ14" s="21"/>
      <c r="AK14" s="21"/>
      <c r="AL14" s="21"/>
      <c r="AM14" s="21"/>
    </row>
    <row r="15" spans="2:39" ht="24.95" customHeight="1" x14ac:dyDescent="0.4">
      <c r="B15" s="1778"/>
      <c r="C15" s="1779"/>
      <c r="D15" s="1783"/>
      <c r="E15" s="1799"/>
      <c r="F15" s="1779"/>
      <c r="G15" s="1799"/>
      <c r="H15" s="1799"/>
      <c r="I15" s="1783"/>
      <c r="J15" s="1784"/>
      <c r="L15" s="1785"/>
      <c r="M15" s="1781"/>
      <c r="N15" s="1774" t="str">
        <f>' प्रमाण निश्चिती '!AO7</f>
        <v>राजगिरा लाडू</v>
      </c>
      <c r="O15" s="1793"/>
      <c r="P15" s="1775"/>
      <c r="Q15" s="1774">
        <f>IF('दैनिक भाजीपाला,पूरक आहार 1 ते 5'!CB38&gt;0,'दैनिक भाजीपाला,पूरक आहार 1 ते 5'!CB38,"--")</f>
        <v>80.813333333333318</v>
      </c>
      <c r="R15" s="1775"/>
      <c r="S15" s="1780"/>
      <c r="T15" s="1777"/>
      <c r="AE15" s="21"/>
      <c r="AF15" s="21"/>
      <c r="AG15" s="21"/>
      <c r="AH15" s="21"/>
      <c r="AI15" s="21"/>
      <c r="AJ15" s="21"/>
      <c r="AK15" s="21"/>
      <c r="AL15" s="21"/>
      <c r="AM15" s="21"/>
    </row>
    <row r="16" spans="2:39" ht="24.95" customHeight="1" x14ac:dyDescent="0.4">
      <c r="B16" s="1778"/>
      <c r="C16" s="1779"/>
      <c r="D16" s="1783"/>
      <c r="E16" s="1799"/>
      <c r="F16" s="1779"/>
      <c r="G16" s="1799"/>
      <c r="H16" s="1799"/>
      <c r="I16" s="1783"/>
      <c r="J16" s="1784"/>
      <c r="L16" s="1785"/>
      <c r="M16" s="1781"/>
      <c r="N16" s="1774"/>
      <c r="O16" s="1380"/>
      <c r="P16" s="1786"/>
      <c r="Q16" s="1774"/>
      <c r="R16" s="1775"/>
      <c r="S16" s="1780"/>
      <c r="T16" s="1777"/>
    </row>
    <row r="17" spans="2:20" ht="24.95" customHeight="1" x14ac:dyDescent="0.4">
      <c r="B17" s="1778"/>
      <c r="C17" s="1779"/>
      <c r="D17" s="1783"/>
      <c r="E17" s="1799"/>
      <c r="F17" s="1779"/>
      <c r="G17" s="1799"/>
      <c r="H17" s="1799"/>
      <c r="I17" s="1783"/>
      <c r="J17" s="1784"/>
      <c r="L17" s="1785"/>
      <c r="M17" s="1781"/>
      <c r="N17" s="1774"/>
      <c r="O17" s="1380"/>
      <c r="P17" s="1786"/>
      <c r="Q17" s="1774"/>
      <c r="R17" s="1775"/>
      <c r="S17" s="1780"/>
      <c r="T17" s="1777"/>
    </row>
    <row r="18" spans="2:20" ht="24.95" customHeight="1" x14ac:dyDescent="0.4">
      <c r="B18" s="1778"/>
      <c r="C18" s="1779"/>
      <c r="D18" s="1783"/>
      <c r="E18" s="1799"/>
      <c r="F18" s="1779"/>
      <c r="G18" s="1799"/>
      <c r="H18" s="1799"/>
      <c r="I18" s="1783"/>
      <c r="J18" s="1784"/>
      <c r="L18" s="1785"/>
      <c r="M18" s="1781"/>
      <c r="N18" s="1774"/>
      <c r="O18" s="1380"/>
      <c r="P18" s="1786"/>
      <c r="Q18" s="1774"/>
      <c r="R18" s="1775"/>
      <c r="S18" s="1780"/>
      <c r="T18" s="1777"/>
    </row>
    <row r="19" spans="2:20" ht="24.95" customHeight="1" x14ac:dyDescent="0.4">
      <c r="B19" s="1778"/>
      <c r="C19" s="1779"/>
      <c r="D19" s="1783"/>
      <c r="E19" s="1799"/>
      <c r="F19" s="1779"/>
      <c r="G19" s="1799"/>
      <c r="H19" s="1799"/>
      <c r="I19" s="1783"/>
      <c r="J19" s="1784"/>
      <c r="L19" s="1785"/>
      <c r="M19" s="1781"/>
      <c r="N19" s="1774"/>
      <c r="O19" s="1380"/>
      <c r="P19" s="1786"/>
      <c r="Q19" s="1774"/>
      <c r="R19" s="1775"/>
      <c r="S19" s="1780"/>
      <c r="T19" s="1777"/>
    </row>
    <row r="20" spans="2:20" ht="24.95" customHeight="1" x14ac:dyDescent="0.4">
      <c r="B20" s="1778"/>
      <c r="C20" s="1779"/>
      <c r="D20" s="1783"/>
      <c r="E20" s="1799"/>
      <c r="F20" s="1779"/>
      <c r="G20" s="1799"/>
      <c r="H20" s="1799"/>
      <c r="I20" s="1783"/>
      <c r="J20" s="1784"/>
      <c r="L20" s="1785"/>
      <c r="M20" s="1781"/>
      <c r="N20" s="1774"/>
      <c r="O20" s="1380"/>
      <c r="P20" s="1786"/>
      <c r="Q20" s="1774">
        <f>'दैनिक भाजीपाला,पूरक आहार 1 ते 5'!BW38</f>
        <v>0</v>
      </c>
      <c r="R20" s="1775"/>
      <c r="S20" s="1780"/>
      <c r="T20" s="1777"/>
    </row>
    <row r="21" spans="2:20" ht="31.5" customHeight="1" x14ac:dyDescent="0.3">
      <c r="B21" s="1816" t="s">
        <v>29</v>
      </c>
      <c r="C21" s="1817"/>
      <c r="D21" s="1817"/>
      <c r="E21" s="1817"/>
      <c r="F21" s="1817"/>
      <c r="G21" s="1468">
        <f>IF(SUM(G12:G20)&gt;0,SUM(G12:G20),"--")</f>
        <v>330.22</v>
      </c>
      <c r="H21" s="1469"/>
      <c r="I21" s="1805">
        <f>IFERROR(ROUND(G21,0),"--")</f>
        <v>330</v>
      </c>
      <c r="J21" s="1806"/>
      <c r="L21" s="1818" t="s">
        <v>29</v>
      </c>
      <c r="M21" s="1819"/>
      <c r="N21" s="1819"/>
      <c r="O21" s="1819"/>
      <c r="P21" s="1819"/>
      <c r="Q21" s="1820">
        <f>IF(SUM(Q12:Q20)&gt;0,SUM(Q12:Q20),"--")</f>
        <v>242.43999999999994</v>
      </c>
      <c r="R21" s="1820"/>
      <c r="S21" s="1809">
        <f>IFERROR(ROUND(Q21,0),"--")</f>
        <v>242</v>
      </c>
      <c r="T21" s="1810"/>
    </row>
    <row r="22" spans="2:20" ht="30" customHeight="1" x14ac:dyDescent="0.4">
      <c r="B22" s="535" t="s">
        <v>189</v>
      </c>
      <c r="C22" s="1454" t="str">
        <f>IFERROR(IF(I21=0,"शून्य",IF(VALUE(RIGHT(INT(I21/1000),2))=0,"",INDEX(MA_Sankhya,RIGHT(INT(I21/1000),2))&amp;" हजार ")&amp;IF(RIGHT(I21,3)="100","शंभर",IF(VALUE(RIGHT(INT(I21/100),1))=0,"",INDEX(MA_Sankhya,RIGHT(INT(I21/100),1))&amp;"शे "))&amp;IF(VALUE(RIGHT(I21,2))=0,"",INDEX(MA_Sankhya,RIGHT(I21,2))))," ")&amp;" रुपये"&amp;" फक्त/-"</f>
        <v>तीनशे तीस रुपये फक्त/-</v>
      </c>
      <c r="D22" s="1454"/>
      <c r="E22" s="1454"/>
      <c r="F22" s="1454"/>
      <c r="G22" s="1454"/>
      <c r="H22" s="528" t="s">
        <v>190</v>
      </c>
      <c r="I22" s="528"/>
      <c r="J22" s="533"/>
      <c r="L22" s="535" t="s">
        <v>189</v>
      </c>
      <c r="M22" s="1454" t="str">
        <f>IFERROR(IF(S21=0,"शून्य",IF(VALUE(RIGHT(INT(S21/10^3),2))=0,"",INDEX(MA_Sankhya,RIGHT(INT(S21/10^3),2))&amp;" हजार ")&amp;IF(RIGHT(S21,3)="100","शंभर",IF(VALUE(RIGHT(INT(S21/10^2),1))=0,"",INDEX(MA_Sankhya,RIGHT(INT(S21/10^2),1))&amp;"शे "))&amp;IF(VALUE(RIGHT(S21,2))=0,"",INDEX(MA_Sankhya,RIGHT(S21,2))))," ")&amp;" रुपये"&amp;" फक्त/-"</f>
        <v>दोनशे बेचाळीस रुपये फक्त/-</v>
      </c>
      <c r="N22" s="1454"/>
      <c r="O22" s="1454"/>
      <c r="P22" s="1454"/>
      <c r="Q22" s="1380"/>
      <c r="R22" s="1776" t="s">
        <v>190</v>
      </c>
      <c r="S22" s="1776"/>
      <c r="T22" s="533"/>
    </row>
    <row r="23" spans="2:20" ht="30.75" customHeight="1" x14ac:dyDescent="0.4">
      <c r="B23" s="1785" t="s">
        <v>192</v>
      </c>
      <c r="C23" s="1776"/>
      <c r="D23" s="1776"/>
      <c r="E23" s="1"/>
      <c r="F23" s="1776" t="s">
        <v>191</v>
      </c>
      <c r="G23" s="1776"/>
      <c r="H23" s="1776"/>
      <c r="I23" s="1"/>
      <c r="J23" s="533"/>
      <c r="L23" s="1785" t="s">
        <v>192</v>
      </c>
      <c r="M23" s="1776"/>
      <c r="N23" s="1776"/>
      <c r="O23" s="1"/>
      <c r="P23" s="1776" t="s">
        <v>191</v>
      </c>
      <c r="Q23" s="1776"/>
      <c r="R23" s="1776"/>
      <c r="S23" s="1"/>
      <c r="T23" s="533"/>
    </row>
    <row r="24" spans="2:20" ht="26.25" customHeight="1" x14ac:dyDescent="0.4">
      <c r="B24" s="534"/>
      <c r="C24" s="1"/>
      <c r="D24" s="1"/>
      <c r="E24" s="1"/>
      <c r="F24" s="1"/>
      <c r="G24" s="1"/>
      <c r="H24" s="1"/>
      <c r="I24" s="1"/>
      <c r="J24" s="533"/>
      <c r="L24" s="534"/>
      <c r="M24" s="1"/>
      <c r="N24" s="1"/>
      <c r="O24" s="1"/>
      <c r="P24" s="1"/>
      <c r="Q24" s="1"/>
      <c r="R24" s="1"/>
      <c r="S24" s="1"/>
      <c r="T24" s="533"/>
    </row>
    <row r="25" spans="2:20" ht="30.75" customHeight="1" x14ac:dyDescent="0.4">
      <c r="B25" s="1234" t="s">
        <v>193</v>
      </c>
      <c r="C25" s="461"/>
      <c r="D25" s="461"/>
      <c r="E25" s="1772" t="s">
        <v>194</v>
      </c>
      <c r="F25" s="1772"/>
      <c r="G25" s="1772" t="s">
        <v>195</v>
      </c>
      <c r="H25" s="1772"/>
      <c r="I25" s="1772"/>
      <c r="J25" s="1773"/>
      <c r="L25" s="459" t="s">
        <v>193</v>
      </c>
      <c r="M25" s="465"/>
      <c r="N25" s="465"/>
      <c r="O25" s="461" t="s">
        <v>194</v>
      </c>
      <c r="P25" s="1811" t="s">
        <v>195</v>
      </c>
      <c r="Q25" s="1811"/>
      <c r="R25" s="1811"/>
      <c r="S25" s="1811"/>
      <c r="T25" s="1812"/>
    </row>
    <row r="26" spans="2:20" ht="33" customHeight="1" x14ac:dyDescent="0.3">
      <c r="B26" s="1771" t="s">
        <v>196</v>
      </c>
      <c r="C26" s="1772"/>
      <c r="D26" s="1772"/>
      <c r="E26" s="1772"/>
      <c r="F26" s="1772"/>
      <c r="G26" s="1380" t="str">
        <f>C8</f>
        <v>SANIKA INDANE GAS GANGAPUR</v>
      </c>
      <c r="H26" s="1380"/>
      <c r="I26" s="1380"/>
      <c r="J26" s="1813"/>
      <c r="L26" s="1771" t="s">
        <v>196</v>
      </c>
      <c r="M26" s="1772"/>
      <c r="N26" s="1772"/>
      <c r="O26" s="1772"/>
      <c r="P26" s="1380" t="str">
        <f>M8</f>
        <v>संत सावता माळी भाजीपाला सप्लायर्स</v>
      </c>
      <c r="Q26" s="1380"/>
      <c r="R26" s="1380"/>
      <c r="S26" s="1380"/>
      <c r="T26" s="1813"/>
    </row>
    <row r="27" spans="2:20" ht="27.75" customHeight="1" thickBot="1" x14ac:dyDescent="0.45">
      <c r="B27" s="1814" t="s">
        <v>197</v>
      </c>
      <c r="C27" s="1815"/>
      <c r="D27" s="537"/>
      <c r="E27" s="537"/>
      <c r="F27" s="537"/>
      <c r="G27" s="537"/>
      <c r="H27" s="537"/>
      <c r="I27" s="537"/>
      <c r="J27" s="538"/>
      <c r="L27" s="1814" t="s">
        <v>197</v>
      </c>
      <c r="M27" s="1815"/>
      <c r="N27" s="537"/>
      <c r="O27" s="537"/>
      <c r="P27" s="537"/>
      <c r="Q27" s="537"/>
      <c r="R27" s="537"/>
      <c r="S27" s="537"/>
      <c r="T27" s="538"/>
    </row>
    <row r="28" spans="2:20" ht="15" customHeight="1" thickBot="1" x14ac:dyDescent="0.35">
      <c r="B28" s="539"/>
      <c r="C28" s="540"/>
      <c r="D28" s="540"/>
      <c r="E28" s="540"/>
      <c r="F28" s="540"/>
      <c r="G28" s="540"/>
      <c r="H28" s="540"/>
      <c r="I28" s="540"/>
      <c r="J28" s="541"/>
      <c r="L28" s="539"/>
      <c r="M28" s="540"/>
      <c r="N28" s="540"/>
      <c r="O28" s="540"/>
      <c r="P28" s="540"/>
      <c r="Q28" s="540"/>
      <c r="R28" s="540"/>
      <c r="S28" s="540"/>
      <c r="T28" s="541"/>
    </row>
  </sheetData>
  <sheetProtection algorithmName="SHA-512" hashValue="FsNHFrsyraA1PSkWdji+e3WDQ4NYYIQNPJkt75jM8DBhpUbVgxDyaGHI18cAc2A1FSC9uXrX/ej5414mm1Nl0g==" saltValue="Aaw3ULr1ONzrij9P2Dw40g==" spinCount="100000" sheet="1" objects="1" scenarios="1" selectLockedCells="1"/>
  <protectedRanges>
    <protectedRange sqref="L2:O2" name="Range1"/>
  </protectedRanges>
  <mergeCells count="124">
    <mergeCell ref="N15:P15"/>
    <mergeCell ref="N16:P16"/>
    <mergeCell ref="I14:J14"/>
    <mergeCell ref="B27:C27"/>
    <mergeCell ref="L27:M27"/>
    <mergeCell ref="F23:H23"/>
    <mergeCell ref="P23:R23"/>
    <mergeCell ref="L17:M17"/>
    <mergeCell ref="L18:M18"/>
    <mergeCell ref="I19:J19"/>
    <mergeCell ref="Q21:R21"/>
    <mergeCell ref="S21:T21"/>
    <mergeCell ref="B17:C17"/>
    <mergeCell ref="B18:C18"/>
    <mergeCell ref="B19:C19"/>
    <mergeCell ref="B20:C20"/>
    <mergeCell ref="B12:C12"/>
    <mergeCell ref="B13:C13"/>
    <mergeCell ref="B14:C14"/>
    <mergeCell ref="B15:C15"/>
    <mergeCell ref="B16:C16"/>
    <mergeCell ref="G14:H14"/>
    <mergeCell ref="D18:F18"/>
    <mergeCell ref="D19:F19"/>
    <mergeCell ref="G18:H18"/>
    <mergeCell ref="L19:M19"/>
    <mergeCell ref="L20:M20"/>
    <mergeCell ref="L14:M14"/>
    <mergeCell ref="L15:M15"/>
    <mergeCell ref="L16:M16"/>
    <mergeCell ref="N17:P17"/>
    <mergeCell ref="N20:P20"/>
    <mergeCell ref="N18:P18"/>
    <mergeCell ref="N19:P19"/>
    <mergeCell ref="N14:P14"/>
    <mergeCell ref="S11:T11"/>
    <mergeCell ref="S14:T14"/>
    <mergeCell ref="S15:T15"/>
    <mergeCell ref="S16:T16"/>
    <mergeCell ref="S17:T17"/>
    <mergeCell ref="S18:T18"/>
    <mergeCell ref="S19:T19"/>
    <mergeCell ref="S20:T20"/>
    <mergeCell ref="Q16:R16"/>
    <mergeCell ref="Q17:R17"/>
    <mergeCell ref="Q18:R18"/>
    <mergeCell ref="Q19:R19"/>
    <mergeCell ref="Q20:R20"/>
    <mergeCell ref="Q12:R12"/>
    <mergeCell ref="Q13:R13"/>
    <mergeCell ref="Q11:R11"/>
    <mergeCell ref="S12:T12"/>
    <mergeCell ref="S13:T13"/>
    <mergeCell ref="Q14:R14"/>
    <mergeCell ref="Q15:R15"/>
    <mergeCell ref="D6:E6"/>
    <mergeCell ref="N6:O6"/>
    <mergeCell ref="L11:M11"/>
    <mergeCell ref="L12:M12"/>
    <mergeCell ref="L13:M13"/>
    <mergeCell ref="C9:D9"/>
    <mergeCell ref="C8:G8"/>
    <mergeCell ref="I9:J9"/>
    <mergeCell ref="F9:G9"/>
    <mergeCell ref="N12:P12"/>
    <mergeCell ref="N13:P13"/>
    <mergeCell ref="N11:P11"/>
    <mergeCell ref="D12:F12"/>
    <mergeCell ref="G12:H12"/>
    <mergeCell ref="I12:J12"/>
    <mergeCell ref="D13:F13"/>
    <mergeCell ref="G13:H13"/>
    <mergeCell ref="I13:J13"/>
    <mergeCell ref="D11:F11"/>
    <mergeCell ref="G11:H11"/>
    <mergeCell ref="I11:J11"/>
    <mergeCell ref="N2:O2"/>
    <mergeCell ref="M22:Q22"/>
    <mergeCell ref="C22:G22"/>
    <mergeCell ref="B23:D23"/>
    <mergeCell ref="L23:N23"/>
    <mergeCell ref="L2:M2"/>
    <mergeCell ref="L26:O26"/>
    <mergeCell ref="B21:F21"/>
    <mergeCell ref="G21:H21"/>
    <mergeCell ref="I21:J21"/>
    <mergeCell ref="E25:F25"/>
    <mergeCell ref="G25:J25"/>
    <mergeCell ref="B26:F26"/>
    <mergeCell ref="G26:J26"/>
    <mergeCell ref="D20:F20"/>
    <mergeCell ref="G20:H20"/>
    <mergeCell ref="I20:J20"/>
    <mergeCell ref="I8:J8"/>
    <mergeCell ref="B7:J7"/>
    <mergeCell ref="B10:J10"/>
    <mergeCell ref="B11:C11"/>
    <mergeCell ref="D14:F14"/>
    <mergeCell ref="P9:Q9"/>
    <mergeCell ref="L21:P21"/>
    <mergeCell ref="S8:T8"/>
    <mergeCell ref="M8:Q8"/>
    <mergeCell ref="M9:N9"/>
    <mergeCell ref="G19:H19"/>
    <mergeCell ref="I18:J18"/>
    <mergeCell ref="B4:J4"/>
    <mergeCell ref="B5:J5"/>
    <mergeCell ref="P25:T25"/>
    <mergeCell ref="P26:T26"/>
    <mergeCell ref="R22:S22"/>
    <mergeCell ref="L4:T4"/>
    <mergeCell ref="L7:T7"/>
    <mergeCell ref="L10:T10"/>
    <mergeCell ref="L5:T5"/>
    <mergeCell ref="S9:T9"/>
    <mergeCell ref="D15:F15"/>
    <mergeCell ref="G15:H15"/>
    <mergeCell ref="I15:J15"/>
    <mergeCell ref="D16:F16"/>
    <mergeCell ref="G16:H16"/>
    <mergeCell ref="I16:J16"/>
    <mergeCell ref="D17:F17"/>
    <mergeCell ref="G17:H17"/>
    <mergeCell ref="I17:J17"/>
  </mergeCells>
  <conditionalFormatting sqref="D6">
    <cfRule type="cellIs" dxfId="49" priority="3" operator="equal">
      <formula>0</formula>
    </cfRule>
  </conditionalFormatting>
  <conditionalFormatting sqref="N6">
    <cfRule type="cellIs" dxfId="48" priority="2" operator="equal">
      <formula>0</formula>
    </cfRule>
  </conditionalFormatting>
  <dataValidations count="1">
    <dataValidation type="list" allowBlank="1" showInputMessage="1" showErrorMessage="1" sqref="L2">
      <formula1>month</formula1>
    </dataValidation>
  </dataValidations>
  <printOptions horizontalCentered="1" verticalCentered="1"/>
  <pageMargins left="0.39370078740157483" right="0.19685039370078741" top="0.19685039370078741" bottom="0.19685039370078741" header="0.19685039370078741" footer="0.19685039370078741"/>
  <pageSetup paperSize="9" scale="8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N2:O2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B1:O60"/>
  <sheetViews>
    <sheetView showZeros="0" view="pageBreakPreview" zoomScaleNormal="100" zoomScaleSheetLayoutView="100" workbookViewId="0">
      <selection activeCell="D5" sqref="D5:J5"/>
    </sheetView>
  </sheetViews>
  <sheetFormatPr defaultRowHeight="15" x14ac:dyDescent="0.25"/>
  <cols>
    <col min="1" max="1" width="4.28515625" customWidth="1"/>
    <col min="2" max="2" width="6.140625" customWidth="1"/>
    <col min="3" max="3" width="16.7109375" customWidth="1"/>
    <col min="4" max="4" width="16.42578125" customWidth="1"/>
    <col min="5" max="5" width="16.28515625" customWidth="1"/>
    <col min="6" max="6" width="14.42578125" customWidth="1"/>
    <col min="7" max="7" width="13.7109375" customWidth="1"/>
    <col min="8" max="8" width="15.85546875" customWidth="1"/>
    <col min="9" max="9" width="14.28515625" customWidth="1"/>
    <col min="10" max="10" width="15.42578125" customWidth="1"/>
    <col min="11" max="11" width="10.140625" customWidth="1"/>
    <col min="12" max="12" width="5" customWidth="1"/>
  </cols>
  <sheetData>
    <row r="1" spans="2:15" ht="15.75" thickBot="1" x14ac:dyDescent="0.3"/>
    <row r="2" spans="2:15" ht="34.5" customHeight="1" thickBot="1" x14ac:dyDescent="0.3">
      <c r="B2" s="1823" t="str">
        <f>'शाळा माहिती'!D4</f>
        <v>जि.प.प्रा.शा.बोरजाई वस्ती</v>
      </c>
      <c r="C2" s="1824"/>
      <c r="D2" s="1824"/>
      <c r="E2" s="1824"/>
      <c r="F2" s="1824"/>
      <c r="G2" s="1824"/>
      <c r="H2" s="1824"/>
      <c r="I2" s="1824"/>
      <c r="J2" s="1824"/>
      <c r="K2" s="1825"/>
    </row>
    <row r="3" spans="2:15" ht="21.75" x14ac:dyDescent="0.25">
      <c r="B3" s="1826" t="s">
        <v>144</v>
      </c>
      <c r="C3" s="1827"/>
      <c r="D3" s="1827"/>
      <c r="E3" s="1827"/>
      <c r="F3" s="1827"/>
      <c r="G3" s="1827"/>
      <c r="H3" s="1827"/>
      <c r="I3" s="1827"/>
      <c r="J3" s="1827"/>
      <c r="K3" s="1828"/>
    </row>
    <row r="4" spans="2:15" ht="21.75" x14ac:dyDescent="0.25">
      <c r="B4" s="459" t="s">
        <v>145</v>
      </c>
      <c r="C4" s="460"/>
      <c r="D4" s="460"/>
      <c r="E4" s="460"/>
      <c r="F4" s="460"/>
      <c r="G4" s="461"/>
      <c r="H4" s="461"/>
      <c r="I4" s="461"/>
      <c r="J4" s="461"/>
      <c r="K4" s="462"/>
    </row>
    <row r="5" spans="2:15" ht="27.75" x14ac:dyDescent="0.5">
      <c r="B5" s="463" t="s">
        <v>146</v>
      </c>
      <c r="C5" s="1831" t="str">
        <f>'शाळा माहिती'!C17</f>
        <v>1 ते 5</v>
      </c>
      <c r="D5" s="1831"/>
      <c r="E5" s="464" t="s">
        <v>147</v>
      </c>
      <c r="F5" s="108" t="str">
        <f>'शाळा माहिती'!D6</f>
        <v>जामगाव</v>
      </c>
      <c r="G5" s="464" t="s">
        <v>148</v>
      </c>
      <c r="H5" s="108" t="str">
        <f>'शाळा माहिती'!D7</f>
        <v>गंगापूर</v>
      </c>
      <c r="I5" s="454"/>
      <c r="J5" s="464" t="s">
        <v>149</v>
      </c>
      <c r="K5" s="141" t="str">
        <f>'शाळा माहिती'!D8</f>
        <v>औरंगाबाद</v>
      </c>
    </row>
    <row r="6" spans="2:15" ht="21.75" x14ac:dyDescent="0.4">
      <c r="B6" s="1840" t="s">
        <v>281</v>
      </c>
      <c r="C6" s="1841"/>
      <c r="D6" s="1841"/>
      <c r="E6" s="465"/>
      <c r="F6" s="352">
        <f>IFERROR(VLOOKUP(E10,'शिक्षक मानधन पावती'!CR51:CW63,2,0),"")</f>
        <v>21</v>
      </c>
      <c r="G6" s="465"/>
      <c r="I6" s="465"/>
      <c r="J6" s="465"/>
      <c r="K6" s="466"/>
    </row>
    <row r="7" spans="2:15" ht="21.75" x14ac:dyDescent="0.4">
      <c r="B7" s="467" t="s">
        <v>280</v>
      </c>
      <c r="C7" s="465"/>
      <c r="D7" s="465"/>
      <c r="E7" s="465"/>
      <c r="F7" s="352">
        <f>VLOOKUP(E10,'शिक्षक मानधन पावती'!CR51:CW63,5,0)</f>
        <v>547</v>
      </c>
      <c r="G7" s="465"/>
      <c r="I7" s="465" t="s">
        <v>716</v>
      </c>
      <c r="J7" s="465"/>
      <c r="K7" s="353">
        <f>VLOOKUP(E10,'शिक्षक मानधन पावती'!CR51:CX63,3,0)</f>
        <v>26</v>
      </c>
      <c r="O7" s="468"/>
    </row>
    <row r="8" spans="2:15" ht="21.75" x14ac:dyDescent="0.4">
      <c r="B8" s="467" t="s">
        <v>279</v>
      </c>
      <c r="C8" s="465"/>
      <c r="D8" s="465"/>
      <c r="E8" s="465"/>
      <c r="F8" s="97">
        <f>VLOOKUP(E10,'साठा नोंदवही'!C8:Z19,21,0)</f>
        <v>0</v>
      </c>
      <c r="G8" s="352">
        <f>VLOOKUP(E10,'साठा नोंदवही'!C8:Z19,22,0)</f>
        <v>0</v>
      </c>
      <c r="I8" s="465"/>
      <c r="J8" s="465"/>
      <c r="K8" s="466"/>
    </row>
    <row r="9" spans="2:15" ht="22.5" thickBot="1" x14ac:dyDescent="0.45">
      <c r="B9" s="467" t="s">
        <v>278</v>
      </c>
      <c r="C9" s="465"/>
      <c r="D9" s="465"/>
      <c r="E9" s="465"/>
      <c r="F9" s="98">
        <f>VLOOKUP(E10,'साठा नोंदवही'!C8:Z19,23,0)</f>
        <v>0</v>
      </c>
      <c r="G9" s="352">
        <f>VLOOKUP(E10,'साठा नोंदवही'!C8:Z19,24,0)</f>
        <v>0</v>
      </c>
      <c r="I9" s="465" t="s">
        <v>155</v>
      </c>
      <c r="J9" s="465"/>
      <c r="K9" s="353">
        <f>VLOOKUP(E10,'शिक्षक मानधन पावती'!CR51:CX63,7,0)</f>
        <v>26</v>
      </c>
    </row>
    <row r="10" spans="2:15" ht="25.5" thickBot="1" x14ac:dyDescent="0.5">
      <c r="B10" s="469"/>
      <c r="C10" s="470"/>
      <c r="D10" s="471" t="s">
        <v>337</v>
      </c>
      <c r="E10" s="7" t="s">
        <v>39</v>
      </c>
      <c r="F10" s="7">
        <v>2022</v>
      </c>
      <c r="G10" s="470"/>
      <c r="H10" s="470"/>
      <c r="I10" s="470"/>
      <c r="J10" s="470"/>
      <c r="K10" s="472"/>
    </row>
    <row r="11" spans="2:15" ht="21" customHeight="1" x14ac:dyDescent="0.25">
      <c r="B11" s="1832" t="s">
        <v>156</v>
      </c>
      <c r="C11" s="1835" t="s">
        <v>157</v>
      </c>
      <c r="D11" s="1821" t="s">
        <v>158</v>
      </c>
      <c r="E11" s="1821" t="s">
        <v>159</v>
      </c>
      <c r="F11" s="1821" t="s">
        <v>336</v>
      </c>
      <c r="G11" s="1836" t="s">
        <v>319</v>
      </c>
      <c r="H11" s="1835" t="s">
        <v>160</v>
      </c>
      <c r="I11" s="1835" t="s">
        <v>322</v>
      </c>
      <c r="J11" s="1835" t="s">
        <v>161</v>
      </c>
      <c r="K11" s="1837" t="s">
        <v>162</v>
      </c>
    </row>
    <row r="12" spans="2:15" ht="21" customHeight="1" x14ac:dyDescent="0.25">
      <c r="B12" s="1833"/>
      <c r="C12" s="1821"/>
      <c r="D12" s="1821"/>
      <c r="E12" s="1821"/>
      <c r="F12" s="1821"/>
      <c r="G12" s="1836"/>
      <c r="H12" s="1821"/>
      <c r="I12" s="1821"/>
      <c r="J12" s="1821"/>
      <c r="K12" s="1838"/>
    </row>
    <row r="13" spans="2:15" ht="21" customHeight="1" x14ac:dyDescent="0.25">
      <c r="B13" s="1833"/>
      <c r="C13" s="1821"/>
      <c r="D13" s="1821"/>
      <c r="E13" s="1821"/>
      <c r="F13" s="1821"/>
      <c r="G13" s="1836"/>
      <c r="H13" s="1821"/>
      <c r="I13" s="1821"/>
      <c r="J13" s="1821"/>
      <c r="K13" s="1838"/>
    </row>
    <row r="14" spans="2:15" ht="21" customHeight="1" x14ac:dyDescent="0.25">
      <c r="B14" s="1834"/>
      <c r="C14" s="1822"/>
      <c r="D14" s="1822"/>
      <c r="E14" s="1822"/>
      <c r="F14" s="1822"/>
      <c r="G14" s="1836"/>
      <c r="H14" s="1822"/>
      <c r="I14" s="1822"/>
      <c r="J14" s="1822"/>
      <c r="K14" s="1839"/>
    </row>
    <row r="15" spans="2:15" ht="24.75" x14ac:dyDescent="0.25">
      <c r="B15" s="473">
        <v>1</v>
      </c>
      <c r="C15" s="474">
        <v>2</v>
      </c>
      <c r="D15" s="473">
        <v>3</v>
      </c>
      <c r="E15" s="474">
        <v>4</v>
      </c>
      <c r="F15" s="473">
        <v>5</v>
      </c>
      <c r="G15" s="474">
        <v>6</v>
      </c>
      <c r="H15" s="473">
        <v>7</v>
      </c>
      <c r="I15" s="474">
        <v>8</v>
      </c>
      <c r="J15" s="473">
        <v>9</v>
      </c>
      <c r="K15" s="475">
        <v>10</v>
      </c>
    </row>
    <row r="16" spans="2:15" ht="24.75" x14ac:dyDescent="0.45">
      <c r="B16" s="473">
        <v>1</v>
      </c>
      <c r="C16" s="99" t="str">
        <f>'साठा नोंदवही'!E5</f>
        <v>तांदूळ</v>
      </c>
      <c r="D16" s="1194">
        <f>VLOOKUP(E10,'शिक्षक मानधन पावती'!BF50:BY62,3,0)</f>
        <v>45.599999999999959</v>
      </c>
      <c r="E16" s="1194">
        <f>HLOOKUP(E10,'साठा नोंदवही'!AY4:BJ23,3,0)</f>
        <v>30</v>
      </c>
      <c r="F16" s="1194">
        <f>VLOOKUP(E10,'साठा नोंदवही'!C44:V55,3,0)</f>
        <v>0</v>
      </c>
      <c r="G16" s="1194">
        <f>(D16+E16-F16)</f>
        <v>75.599999999999966</v>
      </c>
      <c r="H16" s="1194">
        <f>VLOOKUP(E10,'शिक्षक मानधन पावती'!BH67:BZ79,2,0)</f>
        <v>54.700000000000024</v>
      </c>
      <c r="I16" s="1194">
        <f>IF((G16-H16)=0,"--",(G16-H16))</f>
        <v>20.899999999999942</v>
      </c>
      <c r="J16" s="1195"/>
      <c r="K16" s="476"/>
    </row>
    <row r="17" spans="2:11" ht="24.75" x14ac:dyDescent="0.45">
      <c r="B17" s="473">
        <v>2</v>
      </c>
      <c r="C17" s="99" t="str">
        <f>'साठा नोंदवही'!F5</f>
        <v>मुगडाळ</v>
      </c>
      <c r="D17" s="1194">
        <f>VLOOKUP(E10,'शिक्षक मानधन पावती'!BF50:BY62,4,0)</f>
        <v>3.5000000000000004</v>
      </c>
      <c r="E17" s="1194">
        <f>HLOOKUP(E10,'साठा नोंदवही'!AY4:BJ23,4,0)</f>
        <v>2</v>
      </c>
      <c r="F17" s="1194">
        <f>VLOOKUP(E10,'साठा नोंदवही'!C44:V55,4,0)</f>
        <v>0</v>
      </c>
      <c r="G17" s="1194">
        <f t="shared" ref="G17:G33" si="0">(D17+E17-F17)</f>
        <v>5.5</v>
      </c>
      <c r="H17" s="1194">
        <f>VLOOKUP(E10,'शिक्षक मानधन पावती'!BH67:BZ79,3,0)</f>
        <v>3.78</v>
      </c>
      <c r="I17" s="1194">
        <f t="shared" ref="I17:I33" si="1">IF((G17-H17)=0,"--",(G17-H17))</f>
        <v>1.7200000000000002</v>
      </c>
      <c r="J17" s="1195"/>
      <c r="K17" s="476"/>
    </row>
    <row r="18" spans="2:11" ht="24.75" x14ac:dyDescent="0.45">
      <c r="B18" s="473">
        <v>3</v>
      </c>
      <c r="C18" s="99" t="str">
        <f>'साठा नोंदवही'!G5</f>
        <v>तुरडाळ</v>
      </c>
      <c r="D18" s="1194">
        <f>VLOOKUP(E10,'शिक्षक मानधन पावती'!BF50:BY62,5,0)</f>
        <v>0</v>
      </c>
      <c r="E18" s="1194">
        <f>HLOOKUP(E10,'साठा नोंदवही'!AY4:BJ23,5,0)</f>
        <v>0</v>
      </c>
      <c r="F18" s="1194">
        <f>VLOOKUP(E10,'साठा नोंदवही'!C44:V55,5,0)</f>
        <v>0</v>
      </c>
      <c r="G18" s="1194">
        <f>(D18+E18-F18)</f>
        <v>0</v>
      </c>
      <c r="H18" s="1194">
        <f>VLOOKUP(E10,'शिक्षक मानधन पावती'!BH67:BZ79,4,0)</f>
        <v>0</v>
      </c>
      <c r="I18" s="1194" t="str">
        <f>IF((G18-H18)=0,"--",(G18-H18))</f>
        <v>--</v>
      </c>
      <c r="J18" s="1195"/>
      <c r="K18" s="476"/>
    </row>
    <row r="19" spans="2:11" ht="24.75" x14ac:dyDescent="0.45">
      <c r="B19" s="473">
        <v>4</v>
      </c>
      <c r="C19" s="99" t="str">
        <f>'साठा नोंदवही'!H5</f>
        <v>मसूरडाळ</v>
      </c>
      <c r="D19" s="1194">
        <f>VLOOKUP(E10,'शिक्षक मानधन पावती'!BF50:BY62,6,0)</f>
        <v>0</v>
      </c>
      <c r="E19" s="1194">
        <f>HLOOKUP(E10,'साठा नोंदवही'!AY4:BJ23,6,0)</f>
        <v>0</v>
      </c>
      <c r="F19" s="1194">
        <f>VLOOKUP(E10,'साठा नोंदवही'!C44:V55,6,0)</f>
        <v>0</v>
      </c>
      <c r="G19" s="1194">
        <f t="shared" si="0"/>
        <v>0</v>
      </c>
      <c r="H19" s="1194">
        <f>VLOOKUP(E10,'शिक्षक मानधन पावती'!BH67:BZ79,5,0)</f>
        <v>0</v>
      </c>
      <c r="I19" s="1194" t="str">
        <f t="shared" si="1"/>
        <v>--</v>
      </c>
      <c r="J19" s="1195"/>
      <c r="K19" s="476"/>
    </row>
    <row r="20" spans="2:11" ht="24.75" x14ac:dyDescent="0.45">
      <c r="B20" s="473">
        <v>5</v>
      </c>
      <c r="C20" s="99" t="str">
        <f>'साठा नोंदवही'!I5</f>
        <v>मटकी</v>
      </c>
      <c r="D20" s="1194">
        <f>VLOOKUP(E10,'शिक्षक मानधन पावती'!BF50:BY62,7,0)</f>
        <v>0</v>
      </c>
      <c r="E20" s="1194">
        <f>HLOOKUP(E10,'साठा नोंदवही'!AY4:BJ23,7,0)</f>
        <v>0</v>
      </c>
      <c r="F20" s="1194">
        <f>VLOOKUP(E10,'साठा नोंदवही'!C44:V55,7,0)</f>
        <v>0</v>
      </c>
      <c r="G20" s="1194">
        <f t="shared" si="0"/>
        <v>0</v>
      </c>
      <c r="H20" s="1194">
        <f>VLOOKUP(E10,'शिक्षक मानधन पावती'!BH67:BZ79,6,0)</f>
        <v>0</v>
      </c>
      <c r="I20" s="1194" t="str">
        <f t="shared" si="1"/>
        <v>--</v>
      </c>
      <c r="J20" s="1195"/>
      <c r="K20" s="476"/>
    </row>
    <row r="21" spans="2:11" ht="24.75" x14ac:dyDescent="0.45">
      <c r="B21" s="473">
        <v>6</v>
      </c>
      <c r="C21" s="99" t="str">
        <f>'साठा नोंदवही'!J5</f>
        <v>मुग</v>
      </c>
      <c r="D21" s="1194">
        <f>VLOOKUP(E10,'शिक्षक मानधन पावती'!BF50:BY62,8,0)</f>
        <v>0</v>
      </c>
      <c r="E21" s="1194">
        <f>HLOOKUP(E10,'साठा नोंदवही'!AY4:BJ23,8,0)</f>
        <v>0</v>
      </c>
      <c r="F21" s="1194">
        <f>VLOOKUP(E10,'साठा नोंदवही'!C44:V55,8,0)</f>
        <v>0</v>
      </c>
      <c r="G21" s="1194">
        <f t="shared" si="0"/>
        <v>0</v>
      </c>
      <c r="H21" s="1194">
        <f>VLOOKUP(E10,'शिक्षक मानधन पावती'!BH67:BZ79,7,0)</f>
        <v>0</v>
      </c>
      <c r="I21" s="1194" t="str">
        <f t="shared" si="1"/>
        <v>--</v>
      </c>
      <c r="J21" s="1195"/>
      <c r="K21" s="476"/>
    </row>
    <row r="22" spans="2:11" ht="24.75" x14ac:dyDescent="0.45">
      <c r="B22" s="473">
        <v>7</v>
      </c>
      <c r="C22" s="99" t="str">
        <f>'साठा नोंदवही'!K5</f>
        <v>चवळी</v>
      </c>
      <c r="D22" s="1194">
        <f>VLOOKUP(E10,'शिक्षक मानधन पावती'!BF50:BY62,9,0)</f>
        <v>0</v>
      </c>
      <c r="E22" s="1194">
        <f>HLOOKUP(E10,'साठा नोंदवही'!AY4:BJ23,9,0)</f>
        <v>0</v>
      </c>
      <c r="F22" s="1194">
        <f>VLOOKUP(E10,'साठा नोंदवही'!C44:V55,9,0)</f>
        <v>0</v>
      </c>
      <c r="G22" s="1194">
        <f t="shared" si="0"/>
        <v>0</v>
      </c>
      <c r="H22" s="1194">
        <f>VLOOKUP(E10,'शिक्षक मानधन पावती'!BH67:BZ79,8,0)</f>
        <v>0</v>
      </c>
      <c r="I22" s="1194" t="str">
        <f>IF((G22-H22)=0,"--",(G22-H22))</f>
        <v>--</v>
      </c>
      <c r="J22" s="1195"/>
      <c r="K22" s="476"/>
    </row>
    <row r="23" spans="2:11" ht="24.75" x14ac:dyDescent="0.45">
      <c r="B23" s="473">
        <v>8</v>
      </c>
      <c r="C23" s="99" t="str">
        <f>'साठा नोंदवही'!L5</f>
        <v>हरभरा</v>
      </c>
      <c r="D23" s="1194">
        <f>VLOOKUP(E10,'शिक्षक मानधन पावती'!BF50:BY62,10,0)</f>
        <v>3.6</v>
      </c>
      <c r="E23" s="1194">
        <f>HLOOKUP(E10,'साठा नोंदवही'!AY4:BJ23,10,0)</f>
        <v>0</v>
      </c>
      <c r="F23" s="1194">
        <f>VLOOKUP(E10,'साठा नोंदवही'!C44:V55,10,0)</f>
        <v>0</v>
      </c>
      <c r="G23" s="1194">
        <f t="shared" si="0"/>
        <v>3.6</v>
      </c>
      <c r="H23" s="1194">
        <f>VLOOKUP(E10,'शिक्षक मानधन पावती'!BH67:BZ79,9,0)</f>
        <v>3.38</v>
      </c>
      <c r="I23" s="1194">
        <f t="shared" si="1"/>
        <v>0.2200000000000002</v>
      </c>
      <c r="J23" s="1195"/>
      <c r="K23" s="476"/>
    </row>
    <row r="24" spans="2:11" ht="24.75" x14ac:dyDescent="0.45">
      <c r="B24" s="473">
        <v>9</v>
      </c>
      <c r="C24" s="99" t="str">
        <f>'साठा नोंदवही'!M5</f>
        <v>वाटाणा</v>
      </c>
      <c r="D24" s="1194">
        <f>VLOOKUP(E10,'शिक्षक मानधन पावती'!BF50:BY62,11,0)</f>
        <v>3.0199999999999996</v>
      </c>
      <c r="E24" s="1194">
        <f>HLOOKUP(E10,'साठा नोंदवही'!AY4:BJ23,11,0)</f>
        <v>0</v>
      </c>
      <c r="F24" s="1194">
        <f>VLOOKUP(E10,'साठा नोंदवही'!C44:V55,11,0)</f>
        <v>0</v>
      </c>
      <c r="G24" s="1194">
        <f t="shared" si="0"/>
        <v>3.0199999999999996</v>
      </c>
      <c r="H24" s="1194">
        <f>VLOOKUP(E10,'शिक्षक मानधन पावती'!BH67:BZ79,10,0)</f>
        <v>3.78</v>
      </c>
      <c r="I24" s="1194">
        <f t="shared" si="1"/>
        <v>-0.76000000000000023</v>
      </c>
      <c r="J24" s="1195"/>
      <c r="K24" s="476"/>
    </row>
    <row r="25" spans="2:11" ht="24.75" x14ac:dyDescent="0.45">
      <c r="B25" s="473">
        <v>10</v>
      </c>
      <c r="C25" s="99" t="str">
        <f>'साठा नोंदवही'!N5</f>
        <v>जिरे</v>
      </c>
      <c r="D25" s="1194">
        <f>VLOOKUP(E10,'शिक्षक मानधन पावती'!BF50:BY62,12,0)</f>
        <v>0.38760000000000017</v>
      </c>
      <c r="E25" s="1194">
        <f>HLOOKUP(E10,'साठा नोंदवही'!AY4:BJ23,12,0)</f>
        <v>0</v>
      </c>
      <c r="F25" s="1194">
        <f>VLOOKUP(E10,'साठा नोंदवही'!C44:V55,12,0)</f>
        <v>0</v>
      </c>
      <c r="G25" s="1194">
        <f t="shared" si="0"/>
        <v>0.38760000000000017</v>
      </c>
      <c r="H25" s="1194">
        <f>VLOOKUP(E10,'शिक्षक मानधन पावती'!BH67:BZ79,11,0)</f>
        <v>0.1641</v>
      </c>
      <c r="I25" s="1194">
        <f t="shared" si="1"/>
        <v>0.22350000000000017</v>
      </c>
      <c r="J25" s="1195"/>
      <c r="K25" s="476"/>
    </row>
    <row r="26" spans="2:11" ht="24.75" x14ac:dyDescent="0.45">
      <c r="B26" s="473">
        <v>11</v>
      </c>
      <c r="C26" s="99" t="str">
        <f>'साठा नोंदवही'!O5</f>
        <v>मोहरी</v>
      </c>
      <c r="D26" s="1194">
        <f>VLOOKUP(E10,'शिक्षक मानधन पावती'!BF50:BY62,13,0)</f>
        <v>0.27799999999999958</v>
      </c>
      <c r="E26" s="1194">
        <f>HLOOKUP(E10,'साठा नोंदवही'!AY4:BJ23,13,0)</f>
        <v>0</v>
      </c>
      <c r="F26" s="1194">
        <f>VLOOKUP(E10,'साठा नोंदवही'!C44:V55,13,0)</f>
        <v>0</v>
      </c>
      <c r="G26" s="1194">
        <f t="shared" si="0"/>
        <v>0.27799999999999958</v>
      </c>
      <c r="H26" s="1194">
        <f>VLOOKUP(E10,'शिक्षक मानधन पावती'!BH67:BZ79,12,0)</f>
        <v>0.27350000000000008</v>
      </c>
      <c r="I26" s="1194">
        <f t="shared" si="1"/>
        <v>4.4999999999995044E-3</v>
      </c>
      <c r="J26" s="1195"/>
      <c r="K26" s="476"/>
    </row>
    <row r="27" spans="2:11" ht="24.75" x14ac:dyDescent="0.45">
      <c r="B27" s="473">
        <v>12</v>
      </c>
      <c r="C27" s="99" t="str">
        <f>'साठा नोंदवही'!P5</f>
        <v>हळद</v>
      </c>
      <c r="D27" s="1194">
        <f>VLOOKUP(E10,'शिक्षक मानधन पावती'!BF50:BY62,14,0)</f>
        <v>0.48760000000000026</v>
      </c>
      <c r="E27" s="1194">
        <f>HLOOKUP(E10,'साठा नोंदवही'!AY4:BJ23,14,0)</f>
        <v>0</v>
      </c>
      <c r="F27" s="1194">
        <f>VLOOKUP(E10,'साठा नोंदवही'!C44:V55,14,0)</f>
        <v>0</v>
      </c>
      <c r="G27" s="1194">
        <f t="shared" si="0"/>
        <v>0.48760000000000026</v>
      </c>
      <c r="H27" s="1194">
        <f>VLOOKUP(E10,'शिक्षक मानधन पावती'!BH67:BZ79,13,0)</f>
        <v>0.1641</v>
      </c>
      <c r="I27" s="1194">
        <f t="shared" si="1"/>
        <v>0.32350000000000023</v>
      </c>
      <c r="J27" s="1195"/>
      <c r="K27" s="476"/>
    </row>
    <row r="28" spans="2:11" ht="24.75" x14ac:dyDescent="0.45">
      <c r="B28" s="473">
        <v>13</v>
      </c>
      <c r="C28" s="100" t="str">
        <f>'साठा नोंदवही'!Q5</f>
        <v>मिरची पावडर</v>
      </c>
      <c r="D28" s="1194">
        <f>VLOOKUP(E10,'शिक्षक मानधन पावती'!BF50:BY62,15,0)</f>
        <v>0</v>
      </c>
      <c r="E28" s="1194">
        <f>HLOOKUP(E10,'साठा नोंदवही'!AY4:BJ23,15,0)</f>
        <v>0</v>
      </c>
      <c r="F28" s="1194">
        <f>VLOOKUP(E10,'साठा नोंदवही'!C44:V55,15,0)</f>
        <v>0</v>
      </c>
      <c r="G28" s="1194">
        <f t="shared" si="0"/>
        <v>0</v>
      </c>
      <c r="H28" s="1194">
        <f>VLOOKUP(E10,'शिक्षक मानधन पावती'!BH67:BZ79,14,0)</f>
        <v>0</v>
      </c>
      <c r="I28" s="1194" t="str">
        <f>IF((G28-H28)=0,"--",(G28-H28))</f>
        <v>--</v>
      </c>
      <c r="J28" s="1195"/>
      <c r="K28" s="476"/>
    </row>
    <row r="29" spans="2:11" ht="24.75" x14ac:dyDescent="0.45">
      <c r="B29" s="473">
        <v>14</v>
      </c>
      <c r="C29" s="99" t="str">
        <f>'साठा नोंदवही'!R5</f>
        <v>गरम मसाला</v>
      </c>
      <c r="D29" s="1194">
        <f>VLOOKUP(E10,'शिक्षक मानधन पावती'!BF50:BY62,16,0)</f>
        <v>0</v>
      </c>
      <c r="E29" s="1194">
        <f>HLOOKUP(E10,'साठा नोंदवही'!AY4:BJ23,16,0)</f>
        <v>0</v>
      </c>
      <c r="F29" s="1194">
        <f>VLOOKUP(E10,'साठा नोंदवही'!C44:V55,16,0)</f>
        <v>0</v>
      </c>
      <c r="G29" s="1194">
        <f t="shared" si="0"/>
        <v>0</v>
      </c>
      <c r="H29" s="1194">
        <f>VLOOKUP(E10,'शिक्षक मानधन पावती'!BH67:BZ79,15,0)</f>
        <v>0</v>
      </c>
      <c r="I29" s="1194" t="str">
        <f t="shared" si="1"/>
        <v>--</v>
      </c>
      <c r="J29" s="1195"/>
      <c r="K29" s="476"/>
    </row>
    <row r="30" spans="2:11" ht="24.75" x14ac:dyDescent="0.45">
      <c r="B30" s="473">
        <v>15</v>
      </c>
      <c r="C30" s="99" t="str">
        <f>'साठा नोंदवही'!S5</f>
        <v>सोयाबीन तेल</v>
      </c>
      <c r="D30" s="1194">
        <f>VLOOKUP(E10,'शिक्षक मानधन पावती'!BF50:BY62,17,0)</f>
        <v>13.779999999999998</v>
      </c>
      <c r="E30" s="1194">
        <f>HLOOKUP(E10,'साठा नोंदवही'!AY4:BJ23,17,0)</f>
        <v>3</v>
      </c>
      <c r="F30" s="1194">
        <f>VLOOKUP(E10,'साठा नोंदवही'!C44:V55,17,0)</f>
        <v>0</v>
      </c>
      <c r="G30" s="1194">
        <f t="shared" si="0"/>
        <v>16.779999999999998</v>
      </c>
      <c r="H30" s="1194">
        <f>VLOOKUP(E10,'शिक्षक मानधन पावती'!BH67:BZ79,16,0)</f>
        <v>2.7349999999999999</v>
      </c>
      <c r="I30" s="1194">
        <f t="shared" si="1"/>
        <v>14.044999999999998</v>
      </c>
      <c r="J30" s="1195"/>
      <c r="K30" s="476"/>
    </row>
    <row r="31" spans="2:11" ht="24.75" x14ac:dyDescent="0.45">
      <c r="B31" s="473">
        <v>16</v>
      </c>
      <c r="C31" s="99" t="str">
        <f>'साठा नोंदवही'!T5</f>
        <v>मीठ</v>
      </c>
      <c r="D31" s="1194">
        <f>VLOOKUP(E10,'शिक्षक मानधन पावती'!BF50:BY62,18,0)</f>
        <v>3.3079999999999981</v>
      </c>
      <c r="E31" s="1194">
        <f>HLOOKUP(E10,'साठा नोंदवही'!AY4:BJ23,18,0)</f>
        <v>0</v>
      </c>
      <c r="F31" s="1194">
        <f>VLOOKUP(E10,'साठा नोंदवही'!C44:V55,18,0)</f>
        <v>0</v>
      </c>
      <c r="G31" s="1194">
        <f t="shared" si="0"/>
        <v>3.3079999999999981</v>
      </c>
      <c r="H31" s="1194">
        <f>VLOOKUP(E10,'शिक्षक मानधन पावती'!BH67:BZ79,17,0)</f>
        <v>1.0940000000000003</v>
      </c>
      <c r="I31" s="1194">
        <f t="shared" si="1"/>
        <v>2.2139999999999977</v>
      </c>
      <c r="J31" s="1195"/>
      <c r="K31" s="476"/>
    </row>
    <row r="32" spans="2:11" ht="43.5" x14ac:dyDescent="0.45">
      <c r="B32" s="473">
        <v>17</v>
      </c>
      <c r="C32" s="101" t="str">
        <f>'साठा नोंदवही'!U5</f>
        <v>कांदा लसून मसाला</v>
      </c>
      <c r="D32" s="1194">
        <f>VLOOKUP(E10,'शिक्षक मानधन पावती'!BF50:BY62,19,0)</f>
        <v>0.54720000000000124</v>
      </c>
      <c r="E32" s="1194">
        <f>HLOOKUP(E10,'साठा नोंदवही'!AY4:BJ23,19,0)</f>
        <v>0.5</v>
      </c>
      <c r="F32" s="1194">
        <f>VLOOKUP(E10,'साठा नोंदवही'!C44:V55,19,0)</f>
        <v>0</v>
      </c>
      <c r="G32" s="1194">
        <f t="shared" si="0"/>
        <v>1.0472000000000012</v>
      </c>
      <c r="H32" s="1194">
        <f>VLOOKUP(E10,'शिक्षक मानधन पावती'!BH67:BZ79,18,0)</f>
        <v>0.65639999999999998</v>
      </c>
      <c r="I32" s="1194">
        <f t="shared" si="1"/>
        <v>0.39080000000000126</v>
      </c>
      <c r="J32" s="1195"/>
      <c r="K32" s="476"/>
    </row>
    <row r="33" spans="2:11" ht="24.75" x14ac:dyDescent="0.45">
      <c r="B33" s="473">
        <v>18</v>
      </c>
      <c r="C33" s="364">
        <f>'साठा नोंदवही'!V5</f>
        <v>0</v>
      </c>
      <c r="D33" s="1194">
        <f>VLOOKUP(E10,'शिक्षक मानधन पावती'!BF50:BY62,20,0)</f>
        <v>0</v>
      </c>
      <c r="E33" s="1194">
        <f>HLOOKUP(E10,'साठा नोंदवही'!AY4:BJ23,20,0)</f>
        <v>0</v>
      </c>
      <c r="F33" s="1194">
        <f>VLOOKUP(E10,'साठा नोंदवही'!C44:V55,20,0)</f>
        <v>0</v>
      </c>
      <c r="G33" s="1194">
        <f t="shared" si="0"/>
        <v>0</v>
      </c>
      <c r="H33" s="1194">
        <f>VLOOKUP(E10,'शिक्षक मानधन पावती'!BH67:BZ79,19,0)</f>
        <v>0</v>
      </c>
      <c r="I33" s="1194" t="str">
        <f t="shared" si="1"/>
        <v>--</v>
      </c>
      <c r="J33" s="1195"/>
      <c r="K33" s="476"/>
    </row>
    <row r="34" spans="2:11" ht="25.5" thickBot="1" x14ac:dyDescent="0.5">
      <c r="B34" s="469"/>
      <c r="C34" s="470"/>
      <c r="D34" s="470"/>
      <c r="E34" s="470"/>
      <c r="F34" s="470"/>
      <c r="G34" s="470"/>
      <c r="H34" s="470"/>
      <c r="I34" s="470"/>
      <c r="J34" s="470"/>
      <c r="K34" s="477"/>
    </row>
    <row r="35" spans="2:11" ht="26.25" customHeight="1" x14ac:dyDescent="0.25">
      <c r="B35" s="1842" t="s">
        <v>412</v>
      </c>
      <c r="C35" s="1843"/>
      <c r="D35" s="1843"/>
      <c r="E35" s="1843"/>
      <c r="F35" s="1843"/>
      <c r="G35" s="1843"/>
      <c r="H35" s="1843"/>
      <c r="I35" s="1843"/>
      <c r="J35" s="1843"/>
      <c r="K35" s="1844"/>
    </row>
    <row r="36" spans="2:11" ht="26.25" customHeight="1" thickBot="1" x14ac:dyDescent="0.3">
      <c r="B36" s="1845"/>
      <c r="C36" s="1846"/>
      <c r="D36" s="1846"/>
      <c r="E36" s="1846"/>
      <c r="F36" s="1846"/>
      <c r="G36" s="1846"/>
      <c r="H36" s="1846"/>
      <c r="I36" s="1846"/>
      <c r="J36" s="1846"/>
      <c r="K36" s="1847"/>
    </row>
    <row r="37" spans="2:11" ht="24.75" x14ac:dyDescent="0.45">
      <c r="B37" s="469"/>
      <c r="C37" s="470"/>
      <c r="D37" s="470"/>
      <c r="E37" s="470"/>
      <c r="F37" s="470"/>
      <c r="G37" s="470"/>
      <c r="H37" s="470"/>
      <c r="I37" s="470"/>
      <c r="J37" s="470"/>
      <c r="K37" s="477"/>
    </row>
    <row r="38" spans="2:11" ht="25.5" thickBot="1" x14ac:dyDescent="0.5">
      <c r="B38" s="478" t="s">
        <v>167</v>
      </c>
      <c r="C38" s="479" t="s">
        <v>168</v>
      </c>
      <c r="D38" s="470"/>
      <c r="E38" s="470"/>
      <c r="F38" s="470"/>
      <c r="G38" s="102">
        <f>VLOOKUP(E10,'शिक्षक मानधन पावती'!CR51:CW63,6,0)</f>
        <v>547</v>
      </c>
      <c r="H38" s="480" t="s">
        <v>277</v>
      </c>
      <c r="I38" s="103">
        <f>VLOOKUP(E10,' प्रमाण निश्चिती '!BC9:BE20,2,0)</f>
        <v>2.87</v>
      </c>
      <c r="K38" s="481"/>
    </row>
    <row r="39" spans="2:11" ht="25.5" thickBot="1" x14ac:dyDescent="0.5">
      <c r="B39" s="469" t="s">
        <v>169</v>
      </c>
      <c r="C39" s="479" t="s">
        <v>327</v>
      </c>
      <c r="D39" s="470"/>
      <c r="E39" s="470"/>
      <c r="F39" s="470"/>
      <c r="G39" s="470"/>
      <c r="I39" s="482"/>
      <c r="J39" s="481" t="s">
        <v>276</v>
      </c>
      <c r="K39" s="106">
        <f>$G$38*$I$38</f>
        <v>1569.89</v>
      </c>
    </row>
    <row r="40" spans="2:11" ht="25.5" thickBot="1" x14ac:dyDescent="0.5">
      <c r="B40" s="469" t="s">
        <v>170</v>
      </c>
      <c r="C40" s="479" t="s">
        <v>275</v>
      </c>
      <c r="D40" s="470"/>
      <c r="E40" s="470"/>
      <c r="F40" s="470"/>
      <c r="G40" s="104">
        <f>'शाळा माहिती'!D29</f>
        <v>1</v>
      </c>
      <c r="H40" s="461" t="s">
        <v>282</v>
      </c>
      <c r="I40" s="105">
        <f>VLOOKUP(E10,' प्रमाण निश्चिती '!BC9:BF20,4,0)</f>
        <v>1500</v>
      </c>
      <c r="J40" s="31" t="s">
        <v>276</v>
      </c>
      <c r="K40" s="106">
        <f>$G$40*$I$40</f>
        <v>1500</v>
      </c>
    </row>
    <row r="41" spans="2:11" ht="25.5" thickBot="1" x14ac:dyDescent="0.5">
      <c r="B41" s="483" t="s">
        <v>323</v>
      </c>
      <c r="C41" s="1848" t="s">
        <v>326</v>
      </c>
      <c r="D41" s="1848"/>
      <c r="E41" s="1848"/>
      <c r="F41" s="484"/>
      <c r="G41" s="470"/>
      <c r="H41" s="470"/>
      <c r="I41" s="4"/>
      <c r="J41" s="329" t="s">
        <v>324</v>
      </c>
      <c r="K41" s="107">
        <f>SUM(K39:K40)</f>
        <v>3069.8900000000003</v>
      </c>
    </row>
    <row r="42" spans="2:11" ht="24.75" x14ac:dyDescent="0.45">
      <c r="B42" s="469"/>
      <c r="C42" s="1829" t="s">
        <v>172</v>
      </c>
      <c r="D42" s="1829"/>
      <c r="E42" s="1829"/>
      <c r="F42" s="1829"/>
      <c r="G42" s="1829"/>
      <c r="H42" s="1829"/>
      <c r="I42" s="1829"/>
      <c r="J42" s="1829"/>
      <c r="K42" s="1830"/>
    </row>
    <row r="43" spans="2:11" ht="24.75" x14ac:dyDescent="0.45">
      <c r="B43" s="469"/>
      <c r="C43" s="1829"/>
      <c r="D43" s="1829"/>
      <c r="E43" s="1829"/>
      <c r="F43" s="1829"/>
      <c r="G43" s="1829"/>
      <c r="H43" s="1829"/>
      <c r="I43" s="1829"/>
      <c r="J43" s="1829"/>
      <c r="K43" s="1830"/>
    </row>
    <row r="44" spans="2:11" ht="24.75" x14ac:dyDescent="0.45">
      <c r="B44" s="469"/>
      <c r="C44" s="465" t="s">
        <v>173</v>
      </c>
      <c r="D44" s="485"/>
      <c r="E44" s="470"/>
      <c r="F44" s="470"/>
      <c r="G44" s="470"/>
      <c r="H44" s="470"/>
      <c r="I44" s="470"/>
      <c r="J44" s="470"/>
      <c r="K44" s="477"/>
    </row>
    <row r="45" spans="2:11" ht="20.25" customHeight="1" thickBot="1" x14ac:dyDescent="0.5">
      <c r="B45" s="486"/>
      <c r="C45" s="487"/>
      <c r="D45" s="487"/>
      <c r="E45" s="487"/>
      <c r="F45" s="487"/>
      <c r="G45" s="487"/>
      <c r="H45" s="487"/>
      <c r="I45" s="487"/>
      <c r="J45" s="487"/>
      <c r="K45" s="488"/>
    </row>
    <row r="57" ht="15" customHeight="1" x14ac:dyDescent="0.25"/>
    <row r="58" ht="15" customHeight="1" x14ac:dyDescent="0.25"/>
    <row r="59" ht="15" customHeight="1" x14ac:dyDescent="0.25"/>
    <row r="60" ht="15" customHeight="1" x14ac:dyDescent="0.25"/>
  </sheetData>
  <sheetProtection algorithmName="SHA-512" hashValue="rY52/uc6TvjpHOOMGeHv35acMfDFx+C931zLzoqbxmje1qG7I1CZ5MshWLs9ReqJ+YyKfPsNxOvb32bb1k3pMw==" saltValue="yTbO7uqjKM3RAM2NeNNALw==" spinCount="100000" sheet="1" objects="1" scenarios="1" selectLockedCells="1"/>
  <mergeCells count="17">
    <mergeCell ref="C41:E41"/>
    <mergeCell ref="F11:F14"/>
    <mergeCell ref="B2:K2"/>
    <mergeCell ref="B3:K3"/>
    <mergeCell ref="C42:K43"/>
    <mergeCell ref="C5:D5"/>
    <mergeCell ref="B11:B14"/>
    <mergeCell ref="C11:C14"/>
    <mergeCell ref="D11:D14"/>
    <mergeCell ref="E11:E14"/>
    <mergeCell ref="G11:G14"/>
    <mergeCell ref="H11:H14"/>
    <mergeCell ref="I11:I14"/>
    <mergeCell ref="J11:J14"/>
    <mergeCell ref="K11:K14"/>
    <mergeCell ref="B6:D6"/>
    <mergeCell ref="B35:K36"/>
  </mergeCells>
  <dataValidations count="1">
    <dataValidation type="list" allowBlank="1" showInputMessage="1" showErrorMessage="1" sqref="E10">
      <formula1>"एप्रिल,मे,जून,जुलै,ऑगस्ट,सप्टेंबर,ऑक्टोबर,नोव्हेंबर,डिसेंबर,जानेवारी,फेब्रुवारी,मार्च"</formula1>
    </dataValidation>
  </dataValidations>
  <printOptions horizontalCentered="1"/>
  <pageMargins left="0.19685039370078741" right="0.19685039370078741" top="0.43307086614173229" bottom="0.19685039370078741" header="0.19685039370078741" footer="0.19685039370078741"/>
  <pageSetup paperSize="9" scale="68" orientation="portrait" r:id="rId1"/>
  <colBreaks count="1" manualBreakCount="1">
    <brk id="11" min="1" max="4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F10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2:V75"/>
  <sheetViews>
    <sheetView showZeros="0" view="pageBreakPreview" zoomScale="80" zoomScaleNormal="80" zoomScaleSheetLayoutView="80" workbookViewId="0">
      <selection activeCell="D5" sqref="D5:J5"/>
    </sheetView>
  </sheetViews>
  <sheetFormatPr defaultColWidth="11.28515625" defaultRowHeight="31.5" customHeight="1" x14ac:dyDescent="0.35"/>
  <cols>
    <col min="1" max="1" width="5.7109375" style="489" customWidth="1"/>
    <col min="2" max="2" width="11.28515625" style="489"/>
    <col min="3" max="3" width="8.5703125" style="489" customWidth="1"/>
    <col min="4" max="4" width="22.5703125" style="489" customWidth="1"/>
    <col min="5" max="16384" width="11.28515625" style="489"/>
  </cols>
  <sheetData>
    <row r="2" spans="1:22" ht="9.75" customHeight="1" thickBot="1" x14ac:dyDescent="0.4"/>
    <row r="3" spans="1:22" ht="31.5" customHeight="1" thickBot="1" x14ac:dyDescent="0.4">
      <c r="A3" s="1866" t="s">
        <v>118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  <c r="N3" s="1867"/>
      <c r="O3" s="1867"/>
      <c r="P3" s="1867"/>
      <c r="Q3" s="1867"/>
      <c r="R3" s="1867"/>
      <c r="S3" s="1867"/>
      <c r="T3" s="1867"/>
      <c r="U3" s="1867"/>
      <c r="V3" s="1868"/>
    </row>
    <row r="4" spans="1:22" s="494" customFormat="1" ht="31.5" customHeight="1" x14ac:dyDescent="0.4">
      <c r="A4" s="1869" t="s">
        <v>334</v>
      </c>
      <c r="B4" s="1870"/>
      <c r="C4" s="1871" t="str">
        <f>'शाळा माहिती'!D4</f>
        <v>जि.प.प्रा.शा.बोरजाई वस्ती</v>
      </c>
      <c r="D4" s="1871"/>
      <c r="E4" s="1871"/>
      <c r="F4" s="1871"/>
      <c r="G4" s="1871"/>
      <c r="H4" s="490" t="s">
        <v>114</v>
      </c>
      <c r="I4" s="359" t="str">
        <f>'शाळा माहिती'!D6</f>
        <v>जामगाव</v>
      </c>
      <c r="J4" s="1874" t="s">
        <v>377</v>
      </c>
      <c r="K4" s="1874"/>
      <c r="L4" s="359" t="str">
        <f>'शाळा माहिती'!D7</f>
        <v>गंगापूर</v>
      </c>
      <c r="M4" s="491"/>
      <c r="N4" s="492" t="s">
        <v>121</v>
      </c>
      <c r="O4" s="359" t="str">
        <f>'शाळा माहिती'!D8</f>
        <v>औरंगाबाद</v>
      </c>
      <c r="P4" s="491"/>
      <c r="Q4" s="491" t="s">
        <v>122</v>
      </c>
      <c r="R4" s="317">
        <f>HOME!E2</f>
        <v>2022</v>
      </c>
      <c r="S4" s="318">
        <f>HOME!F2</f>
        <v>2023</v>
      </c>
      <c r="T4" s="493" t="s">
        <v>123</v>
      </c>
      <c r="U4" s="1872" t="str">
        <f>'शाळा माहिती'!C17</f>
        <v>1 ते 5</v>
      </c>
      <c r="V4" s="1873"/>
    </row>
    <row r="5" spans="1:22" ht="69" customHeight="1" x14ac:dyDescent="0.35">
      <c r="A5" s="1849" t="s">
        <v>86</v>
      </c>
      <c r="B5" s="1851" t="s">
        <v>43</v>
      </c>
      <c r="C5" s="1851" t="s">
        <v>125</v>
      </c>
      <c r="D5" s="1851" t="s">
        <v>126</v>
      </c>
      <c r="E5" s="321" t="str">
        <f>'साठा नोंदवही'!E5</f>
        <v>तांदूळ</v>
      </c>
      <c r="F5" s="321" t="str">
        <f>'साठा नोंदवही'!F5</f>
        <v>मुगडाळ</v>
      </c>
      <c r="G5" s="321" t="str">
        <f>'साठा नोंदवही'!G5</f>
        <v>तुरडाळ</v>
      </c>
      <c r="H5" s="321" t="str">
        <f>'साठा नोंदवही'!H5</f>
        <v>मसूरडाळ</v>
      </c>
      <c r="I5" s="321" t="str">
        <f>'साठा नोंदवही'!I5</f>
        <v>मटकी</v>
      </c>
      <c r="J5" s="321" t="str">
        <f>'साठा नोंदवही'!J5</f>
        <v>मुग</v>
      </c>
      <c r="K5" s="321" t="str">
        <f>'साठा नोंदवही'!K5</f>
        <v>चवळी</v>
      </c>
      <c r="L5" s="321" t="str">
        <f>'साठा नोंदवही'!L5</f>
        <v>हरभरा</v>
      </c>
      <c r="M5" s="321" t="str">
        <f>'साठा नोंदवही'!M5</f>
        <v>वाटाणा</v>
      </c>
      <c r="N5" s="321" t="str">
        <f>'साठा नोंदवही'!N5</f>
        <v>जिरे</v>
      </c>
      <c r="O5" s="321" t="str">
        <f>'साठा नोंदवही'!O5</f>
        <v>मोहरी</v>
      </c>
      <c r="P5" s="321" t="str">
        <f>'साठा नोंदवही'!P5</f>
        <v>हळद</v>
      </c>
      <c r="Q5" s="321" t="str">
        <f>'साठा नोंदवही'!Q5</f>
        <v>मिरची पावडर</v>
      </c>
      <c r="R5" s="321" t="str">
        <f>'साठा नोंदवही'!R5</f>
        <v>गरम मसाला</v>
      </c>
      <c r="S5" s="321" t="str">
        <f>'साठा नोंदवही'!S5</f>
        <v>सोयाबीन तेल</v>
      </c>
      <c r="T5" s="321" t="str">
        <f>'साठा नोंदवही'!T5</f>
        <v>मीठ</v>
      </c>
      <c r="U5" s="321" t="str">
        <f>'साठा नोंदवही'!U5</f>
        <v>कांदा लसून मसाला</v>
      </c>
      <c r="V5" s="322">
        <f>'साठा नोंदवही'!V5</f>
        <v>0</v>
      </c>
    </row>
    <row r="6" spans="1:22" ht="22.5" customHeight="1" x14ac:dyDescent="0.35">
      <c r="A6" s="1850"/>
      <c r="B6" s="1852"/>
      <c r="C6" s="1852"/>
      <c r="D6" s="1852"/>
      <c r="E6" s="495" t="s">
        <v>81</v>
      </c>
      <c r="F6" s="495" t="s">
        <v>81</v>
      </c>
      <c r="G6" s="495" t="s">
        <v>81</v>
      </c>
      <c r="H6" s="495" t="s">
        <v>81</v>
      </c>
      <c r="I6" s="495" t="s">
        <v>81</v>
      </c>
      <c r="J6" s="495" t="s">
        <v>81</v>
      </c>
      <c r="K6" s="495" t="s">
        <v>81</v>
      </c>
      <c r="L6" s="495" t="s">
        <v>81</v>
      </c>
      <c r="M6" s="495" t="s">
        <v>81</v>
      </c>
      <c r="N6" s="495" t="s">
        <v>81</v>
      </c>
      <c r="O6" s="495" t="s">
        <v>81</v>
      </c>
      <c r="P6" s="495" t="s">
        <v>81</v>
      </c>
      <c r="Q6" s="495" t="s">
        <v>81</v>
      </c>
      <c r="R6" s="495" t="s">
        <v>81</v>
      </c>
      <c r="S6" s="495" t="s">
        <v>215</v>
      </c>
      <c r="T6" s="495" t="s">
        <v>81</v>
      </c>
      <c r="U6" s="495" t="s">
        <v>81</v>
      </c>
      <c r="V6" s="495" t="s">
        <v>81</v>
      </c>
    </row>
    <row r="7" spans="1:22" ht="31.5" customHeight="1" x14ac:dyDescent="0.35">
      <c r="A7" s="496"/>
      <c r="B7" s="497" t="s">
        <v>141</v>
      </c>
      <c r="C7" s="313">
        <f>HOME!E2</f>
        <v>2022</v>
      </c>
      <c r="D7" s="498" t="s">
        <v>127</v>
      </c>
      <c r="E7" s="315">
        <f>'साठा नोंदवही'!E7</f>
        <v>30.2</v>
      </c>
      <c r="F7" s="315">
        <f>'साठा नोंदवही'!F7</f>
        <v>1.68</v>
      </c>
      <c r="G7" s="315">
        <f>'साठा नोंदवही'!G7</f>
        <v>0</v>
      </c>
      <c r="H7" s="315">
        <f>'साठा नोंदवही'!H7</f>
        <v>0</v>
      </c>
      <c r="I7" s="315">
        <f>'साठा नोंदवही'!I7</f>
        <v>0</v>
      </c>
      <c r="J7" s="315">
        <f>'साठा नोंदवही'!J7</f>
        <v>0</v>
      </c>
      <c r="K7" s="315">
        <f>'साठा नोंदवही'!K7</f>
        <v>0</v>
      </c>
      <c r="L7" s="315">
        <f>'साठा नोंदवही'!L7</f>
        <v>3.24</v>
      </c>
      <c r="M7" s="315">
        <f>'साठा नोंदवही'!M7</f>
        <v>2.12</v>
      </c>
      <c r="N7" s="315">
        <f>'साठा नोंदवही'!N7</f>
        <v>0.1406</v>
      </c>
      <c r="O7" s="315">
        <f>'साठा नोंदवही'!O7</f>
        <v>0.20100000000000001</v>
      </c>
      <c r="P7" s="315">
        <f>'साठा नोंदवही'!P7</f>
        <v>0.1406</v>
      </c>
      <c r="Q7" s="315">
        <f>'साठा नोंदवही'!Q7</f>
        <v>0</v>
      </c>
      <c r="R7" s="315">
        <f>'साठा नोंदवही'!R7</f>
        <v>0</v>
      </c>
      <c r="S7" s="315">
        <f>'साठा नोंदवही'!S7</f>
        <v>1.01</v>
      </c>
      <c r="T7" s="315">
        <f>'साठा नोंदवही'!T7</f>
        <v>2</v>
      </c>
      <c r="U7" s="315">
        <f>'साठा नोंदवही'!U7</f>
        <v>0.3624</v>
      </c>
      <c r="V7" s="315">
        <f>'साठा नोंदवही'!V7</f>
        <v>0</v>
      </c>
    </row>
    <row r="8" spans="1:22" ht="31.5" customHeight="1" x14ac:dyDescent="0.35">
      <c r="A8" s="1861">
        <v>1</v>
      </c>
      <c r="B8" s="1862" t="s">
        <v>42</v>
      </c>
      <c r="C8" s="1863">
        <f>HOME!E2</f>
        <v>2022</v>
      </c>
      <c r="D8" s="498" t="s">
        <v>128</v>
      </c>
      <c r="E8" s="315">
        <f>'साठा नोंदवही'!E8</f>
        <v>50</v>
      </c>
      <c r="F8" s="315">
        <f>'साठा नोंदवही'!F8</f>
        <v>5</v>
      </c>
      <c r="G8" s="315">
        <f>'साठा नोंदवही'!G8</f>
        <v>0</v>
      </c>
      <c r="H8" s="315">
        <f>'साठा नोंदवही'!H8</f>
        <v>0</v>
      </c>
      <c r="I8" s="315">
        <f>'साठा नोंदवही'!I8</f>
        <v>0</v>
      </c>
      <c r="J8" s="315">
        <f>'साठा नोंदवही'!J8</f>
        <v>0</v>
      </c>
      <c r="K8" s="315">
        <f>'साठा नोंदवही'!K8</f>
        <v>0</v>
      </c>
      <c r="L8" s="315">
        <f>'साठा नोंदवही'!L8</f>
        <v>10</v>
      </c>
      <c r="M8" s="315">
        <f>'साठा नोंदवही'!M8</f>
        <v>5</v>
      </c>
      <c r="N8" s="315">
        <f>'साठा नोंदवही'!N8</f>
        <v>0.3</v>
      </c>
      <c r="O8" s="315">
        <f>'साठा नोंदवही'!O8</f>
        <v>0.5</v>
      </c>
      <c r="P8" s="315">
        <f>'साठा नोंदवही'!P8</f>
        <v>0.4</v>
      </c>
      <c r="Q8" s="315">
        <f>'साठा नोंदवही'!Q8</f>
        <v>0</v>
      </c>
      <c r="R8" s="315">
        <f>'साठा नोंदवही'!R8</f>
        <v>0</v>
      </c>
      <c r="S8" s="315">
        <f>'साठा नोंदवही'!S8</f>
        <v>2</v>
      </c>
      <c r="T8" s="315">
        <f>'साठा नोंदवही'!T8</f>
        <v>2</v>
      </c>
      <c r="U8" s="315">
        <f>'साठा नोंदवही'!U8</f>
        <v>1</v>
      </c>
      <c r="V8" s="315">
        <f>'साठा नोंदवही'!V8</f>
        <v>0</v>
      </c>
    </row>
    <row r="9" spans="1:22" ht="31.5" customHeight="1" x14ac:dyDescent="0.35">
      <c r="A9" s="1861"/>
      <c r="B9" s="1862"/>
      <c r="C9" s="1864"/>
      <c r="D9" s="498" t="s">
        <v>129</v>
      </c>
      <c r="E9" s="315">
        <f>'साठा नोंदवही'!E26</f>
        <v>0</v>
      </c>
      <c r="F9" s="315">
        <f>'साठा नोंदवही'!F26</f>
        <v>0</v>
      </c>
      <c r="G9" s="315">
        <f>'साठा नोंदवही'!G26</f>
        <v>0</v>
      </c>
      <c r="H9" s="315">
        <f>'साठा नोंदवही'!H26</f>
        <v>0</v>
      </c>
      <c r="I9" s="315">
        <f>'साठा नोंदवही'!I26</f>
        <v>0</v>
      </c>
      <c r="J9" s="315">
        <f>'साठा नोंदवही'!J26</f>
        <v>0</v>
      </c>
      <c r="K9" s="315">
        <f>'साठा नोंदवही'!K26</f>
        <v>0</v>
      </c>
      <c r="L9" s="315">
        <f>'साठा नोंदवही'!L26</f>
        <v>0</v>
      </c>
      <c r="M9" s="315">
        <f>'साठा नोंदवही'!M26</f>
        <v>0</v>
      </c>
      <c r="N9" s="315">
        <f>'साठा नोंदवही'!N26</f>
        <v>0</v>
      </c>
      <c r="O9" s="315">
        <f>'साठा नोंदवही'!O26</f>
        <v>0</v>
      </c>
      <c r="P9" s="315">
        <f>'साठा नोंदवही'!P26</f>
        <v>0</v>
      </c>
      <c r="Q9" s="315">
        <f>'साठा नोंदवही'!Q26</f>
        <v>0</v>
      </c>
      <c r="R9" s="315">
        <f>'साठा नोंदवही'!R26</f>
        <v>0</v>
      </c>
      <c r="S9" s="315">
        <f>'साठा नोंदवही'!S26</f>
        <v>2</v>
      </c>
      <c r="T9" s="315">
        <f>'साठा नोंदवही'!T26</f>
        <v>0</v>
      </c>
      <c r="U9" s="315">
        <f>'साठा नोंदवही'!U26</f>
        <v>0</v>
      </c>
      <c r="V9" s="315">
        <f>'साठा नोंदवही'!V26</f>
        <v>0</v>
      </c>
    </row>
    <row r="10" spans="1:22" ht="31.5" customHeight="1" x14ac:dyDescent="0.35">
      <c r="A10" s="1861"/>
      <c r="B10" s="1862"/>
      <c r="C10" s="1864"/>
      <c r="D10" s="498" t="s">
        <v>335</v>
      </c>
      <c r="E10" s="315">
        <f>'साठा नोंदवही'!E44</f>
        <v>29.6</v>
      </c>
      <c r="F10" s="315">
        <f>'साठा नोंदवही'!F44</f>
        <v>3.16</v>
      </c>
      <c r="G10" s="315">
        <f>'साठा नोंदवही'!G44</f>
        <v>0</v>
      </c>
      <c r="H10" s="315">
        <f>'साठा नोंदवही'!H44</f>
        <v>0</v>
      </c>
      <c r="I10" s="315">
        <f>'साठा नोंदवही'!I44</f>
        <v>0</v>
      </c>
      <c r="J10" s="315">
        <f>'साठा नोंदवही'!J44</f>
        <v>0</v>
      </c>
      <c r="K10" s="315">
        <f>'साठा नोंदवही'!K44</f>
        <v>0</v>
      </c>
      <c r="L10" s="315">
        <f>'साठा नोंदवही'!L44</f>
        <v>10.16</v>
      </c>
      <c r="M10" s="315">
        <f>'साठा नोंदवही'!M44</f>
        <v>3.6</v>
      </c>
      <c r="N10" s="315">
        <f>'साठा नोंदवही'!N44</f>
        <v>0.28799999999999998</v>
      </c>
      <c r="O10" s="315">
        <f>'साठा नोंदवही'!O44</f>
        <v>0.44800000000000001</v>
      </c>
      <c r="P10" s="315">
        <f>'साठा नोंदवही'!P44</f>
        <v>0.38800000000000001</v>
      </c>
      <c r="Q10" s="315">
        <f>'साठा नोंदवही'!Q44</f>
        <v>0</v>
      </c>
      <c r="R10" s="315">
        <f>'साठा नोंदवही'!R44</f>
        <v>0</v>
      </c>
      <c r="S10" s="315">
        <f>'साठा नोंदवही'!S44</f>
        <v>0.48</v>
      </c>
      <c r="T10" s="315">
        <f>'साठा नोंदवही'!T44</f>
        <v>1.5920000000000001</v>
      </c>
      <c r="U10" s="315">
        <f>'साठा नोंदवही'!U44</f>
        <v>0.75519999999999998</v>
      </c>
      <c r="V10" s="315">
        <f>'साठा नोंदवही'!V44</f>
        <v>0</v>
      </c>
    </row>
    <row r="11" spans="1:22" ht="31.5" customHeight="1" x14ac:dyDescent="0.35">
      <c r="A11" s="1861"/>
      <c r="B11" s="1862"/>
      <c r="C11" s="1864"/>
      <c r="D11" s="498" t="s">
        <v>331</v>
      </c>
      <c r="E11" s="316">
        <f>(E7+E8+E9-E10)</f>
        <v>50.6</v>
      </c>
      <c r="F11" s="316">
        <f t="shared" ref="F11:V11" si="0">(F7+F8+F9-F10)</f>
        <v>3.5199999999999996</v>
      </c>
      <c r="G11" s="316">
        <f t="shared" si="0"/>
        <v>0</v>
      </c>
      <c r="H11" s="316">
        <f t="shared" si="0"/>
        <v>0</v>
      </c>
      <c r="I11" s="316">
        <f t="shared" si="0"/>
        <v>0</v>
      </c>
      <c r="J11" s="316">
        <f t="shared" si="0"/>
        <v>0</v>
      </c>
      <c r="K11" s="316">
        <f t="shared" si="0"/>
        <v>0</v>
      </c>
      <c r="L11" s="316">
        <f t="shared" si="0"/>
        <v>3.08</v>
      </c>
      <c r="M11" s="316">
        <f t="shared" si="0"/>
        <v>3.52</v>
      </c>
      <c r="N11" s="316">
        <f t="shared" si="0"/>
        <v>0.15260000000000001</v>
      </c>
      <c r="O11" s="316">
        <f t="shared" si="0"/>
        <v>0.25300000000000006</v>
      </c>
      <c r="P11" s="316">
        <f t="shared" si="0"/>
        <v>0.15259999999999996</v>
      </c>
      <c r="Q11" s="316">
        <f t="shared" si="0"/>
        <v>0</v>
      </c>
      <c r="R11" s="316">
        <f t="shared" si="0"/>
        <v>0</v>
      </c>
      <c r="S11" s="316">
        <f t="shared" si="0"/>
        <v>4.5299999999999994</v>
      </c>
      <c r="T11" s="316">
        <f t="shared" si="0"/>
        <v>2.4079999999999999</v>
      </c>
      <c r="U11" s="316">
        <f t="shared" si="0"/>
        <v>0.60720000000000007</v>
      </c>
      <c r="V11" s="316">
        <f t="shared" si="0"/>
        <v>0</v>
      </c>
    </row>
    <row r="12" spans="1:22" ht="31.5" customHeight="1" x14ac:dyDescent="0.35">
      <c r="A12" s="1861"/>
      <c r="B12" s="1862"/>
      <c r="C12" s="1865"/>
      <c r="D12" s="498" t="s">
        <v>130</v>
      </c>
      <c r="E12" s="316">
        <f>'शिक्षक मानधन पावती'!BH45</f>
        <v>50.600000000000016</v>
      </c>
      <c r="F12" s="316">
        <f>'शिक्षक मानधन पावती'!BI45</f>
        <v>3.52</v>
      </c>
      <c r="G12" s="316">
        <f>'शिक्षक मानधन पावती'!BJ45</f>
        <v>0</v>
      </c>
      <c r="H12" s="316">
        <f>'शिक्षक मानधन पावती'!BK45</f>
        <v>0</v>
      </c>
      <c r="I12" s="316">
        <f>'शिक्षक मानधन पावती'!BL45</f>
        <v>0</v>
      </c>
      <c r="J12" s="316">
        <f>'शिक्षक मानधन पावती'!BM45</f>
        <v>0</v>
      </c>
      <c r="K12" s="316">
        <f>'शिक्षक मानधन पावती'!BN45</f>
        <v>0</v>
      </c>
      <c r="L12" s="316">
        <f>'शिक्षक मानधन पावती'!BO45</f>
        <v>3.08</v>
      </c>
      <c r="M12" s="316">
        <f>'शिक्षक मानधन पावती'!BP45</f>
        <v>3.52</v>
      </c>
      <c r="N12" s="316">
        <f>'शिक्षक मानधन पावती'!BQ45</f>
        <v>0.15179999999999993</v>
      </c>
      <c r="O12" s="316">
        <f>'शिक्षक मानधन पावती'!BR45</f>
        <v>0.25300000000000006</v>
      </c>
      <c r="P12" s="316">
        <f>'शिक्षक मानधन पावती'!BS45</f>
        <v>0.15179999999999993</v>
      </c>
      <c r="Q12" s="316">
        <f>'शिक्षक मानधन पावती'!BT45</f>
        <v>0</v>
      </c>
      <c r="R12" s="316">
        <f>'शिक्षक मानधन पावती'!BU45</f>
        <v>0</v>
      </c>
      <c r="S12" s="316">
        <f>'शिक्षक मानधन पावती'!BV45</f>
        <v>2.5300000000000002</v>
      </c>
      <c r="T12" s="316">
        <f>'शिक्षक मानधन पावती'!BW45</f>
        <v>1.0120000000000002</v>
      </c>
      <c r="U12" s="316">
        <f>'शिक्षक मानधन पावती'!BX45</f>
        <v>0.60719999999999974</v>
      </c>
      <c r="V12" s="316">
        <f>'शिक्षक मानधन पावती'!BY45</f>
        <v>0</v>
      </c>
    </row>
    <row r="13" spans="1:22" ht="31.5" customHeight="1" x14ac:dyDescent="0.35">
      <c r="A13" s="1861">
        <v>2</v>
      </c>
      <c r="B13" s="1862" t="s">
        <v>131</v>
      </c>
      <c r="C13" s="1863">
        <f>HOME!E2</f>
        <v>2022</v>
      </c>
      <c r="D13" s="498" t="s">
        <v>128</v>
      </c>
      <c r="E13" s="316">
        <f>'साठा नोंदवही'!E9</f>
        <v>100</v>
      </c>
      <c r="F13" s="316">
        <f>'साठा नोंदवही'!F9</f>
        <v>5</v>
      </c>
      <c r="G13" s="316">
        <f>'साठा नोंदवही'!G9</f>
        <v>0</v>
      </c>
      <c r="H13" s="316">
        <f>'साठा नोंदवही'!H9</f>
        <v>0</v>
      </c>
      <c r="I13" s="316">
        <f>'साठा नोंदवही'!I9</f>
        <v>0</v>
      </c>
      <c r="J13" s="316">
        <f>'साठा नोंदवही'!J9</f>
        <v>0</v>
      </c>
      <c r="K13" s="316">
        <f>'साठा नोंदवही'!K9</f>
        <v>0</v>
      </c>
      <c r="L13" s="316">
        <f>'साठा नोंदवही'!L9</f>
        <v>5</v>
      </c>
      <c r="M13" s="316">
        <f>'साठा नोंदवही'!M9</f>
        <v>5</v>
      </c>
      <c r="N13" s="316">
        <f>'साठा नोंदवही'!N9</f>
        <v>0.3</v>
      </c>
      <c r="O13" s="316">
        <f>'साठा नोंदवही'!O9</f>
        <v>0.5</v>
      </c>
      <c r="P13" s="316">
        <f>'साठा नोंदवही'!P9</f>
        <v>0.4</v>
      </c>
      <c r="Q13" s="316">
        <f>'साठा नोंदवही'!Q9</f>
        <v>0</v>
      </c>
      <c r="R13" s="316">
        <f>'साठा नोंदवही'!R9</f>
        <v>0</v>
      </c>
      <c r="S13" s="316">
        <f>'साठा नोंदवही'!S9</f>
        <v>2</v>
      </c>
      <c r="T13" s="316">
        <f>'साठा नोंदवही'!T9</f>
        <v>2</v>
      </c>
      <c r="U13" s="316">
        <f>'साठा नोंदवही'!U9</f>
        <v>1</v>
      </c>
      <c r="V13" s="316">
        <f>'साठा नोंदवही'!V9</f>
        <v>0</v>
      </c>
    </row>
    <row r="14" spans="1:22" ht="31.5" customHeight="1" x14ac:dyDescent="0.35">
      <c r="A14" s="1861"/>
      <c r="B14" s="1862"/>
      <c r="C14" s="1864"/>
      <c r="D14" s="498" t="s">
        <v>129</v>
      </c>
      <c r="E14" s="316">
        <f>'साठा नोंदवही'!E27</f>
        <v>0</v>
      </c>
      <c r="F14" s="316">
        <f>'साठा नोंदवही'!F27</f>
        <v>0</v>
      </c>
      <c r="G14" s="316">
        <f>'साठा नोंदवही'!G27</f>
        <v>0</v>
      </c>
      <c r="H14" s="316">
        <f>'साठा नोंदवही'!H27</f>
        <v>0</v>
      </c>
      <c r="I14" s="316">
        <f>'साठा नोंदवही'!I27</f>
        <v>0</v>
      </c>
      <c r="J14" s="316">
        <f>'साठा नोंदवही'!J27</f>
        <v>0</v>
      </c>
      <c r="K14" s="316">
        <f>'साठा नोंदवही'!K27</f>
        <v>0</v>
      </c>
      <c r="L14" s="316">
        <f>'साठा नोंदवही'!L27</f>
        <v>0</v>
      </c>
      <c r="M14" s="316">
        <f>'साठा नोंदवही'!M27</f>
        <v>0</v>
      </c>
      <c r="N14" s="316">
        <f>'साठा नोंदवही'!N27</f>
        <v>0</v>
      </c>
      <c r="O14" s="316">
        <f>'साठा नोंदवही'!O27</f>
        <v>0</v>
      </c>
      <c r="P14" s="316">
        <f>'साठा नोंदवही'!P27</f>
        <v>0</v>
      </c>
      <c r="Q14" s="316">
        <f>'साठा नोंदवही'!Q27</f>
        <v>0</v>
      </c>
      <c r="R14" s="316">
        <f>'साठा नोंदवही'!R27</f>
        <v>0</v>
      </c>
      <c r="S14" s="316">
        <f>'साठा नोंदवही'!S27</f>
        <v>2</v>
      </c>
      <c r="T14" s="316">
        <f>'साठा नोंदवही'!T27</f>
        <v>0</v>
      </c>
      <c r="U14" s="316">
        <f>'साठा नोंदवही'!U27</f>
        <v>0</v>
      </c>
      <c r="V14" s="316">
        <f>'साठा नोंदवही'!V27</f>
        <v>0</v>
      </c>
    </row>
    <row r="15" spans="1:22" ht="31.5" customHeight="1" x14ac:dyDescent="0.35">
      <c r="A15" s="1861"/>
      <c r="B15" s="1862"/>
      <c r="C15" s="1864"/>
      <c r="D15" s="498" t="s">
        <v>335</v>
      </c>
      <c r="E15" s="316">
        <f>'साठा नोंदवही'!E45</f>
        <v>0</v>
      </c>
      <c r="F15" s="316">
        <f>'साठा नोंदवही'!F45</f>
        <v>0</v>
      </c>
      <c r="G15" s="316">
        <f>'साठा नोंदवही'!G45</f>
        <v>0</v>
      </c>
      <c r="H15" s="316">
        <f>'साठा नोंदवही'!H45</f>
        <v>0</v>
      </c>
      <c r="I15" s="316">
        <f>'साठा नोंदवही'!I45</f>
        <v>0</v>
      </c>
      <c r="J15" s="316">
        <f>'साठा नोंदवही'!J45</f>
        <v>0</v>
      </c>
      <c r="K15" s="316">
        <f>'साठा नोंदवही'!K45</f>
        <v>0</v>
      </c>
      <c r="L15" s="316">
        <f>'साठा नोंदवही'!L45</f>
        <v>0</v>
      </c>
      <c r="M15" s="316">
        <f>'साठा नोंदवही'!M45</f>
        <v>0</v>
      </c>
      <c r="N15" s="316">
        <f>'साठा नोंदवही'!N45</f>
        <v>0</v>
      </c>
      <c r="O15" s="316">
        <f>'साठा नोंदवही'!O45</f>
        <v>0</v>
      </c>
      <c r="P15" s="316">
        <f>'साठा नोंदवही'!P45</f>
        <v>0</v>
      </c>
      <c r="Q15" s="316">
        <f>'साठा नोंदवही'!Q45</f>
        <v>0</v>
      </c>
      <c r="R15" s="316">
        <f>'साठा नोंदवही'!R45</f>
        <v>0</v>
      </c>
      <c r="S15" s="316">
        <f>'साठा नोंदवही'!S45</f>
        <v>0</v>
      </c>
      <c r="T15" s="316">
        <f>'साठा नोंदवही'!T45</f>
        <v>0</v>
      </c>
      <c r="U15" s="316">
        <f>'साठा नोंदवही'!U45</f>
        <v>0</v>
      </c>
      <c r="V15" s="316">
        <f>'साठा नोंदवही'!V45</f>
        <v>0</v>
      </c>
    </row>
    <row r="16" spans="1:22" ht="31.5" customHeight="1" x14ac:dyDescent="0.35">
      <c r="A16" s="1861"/>
      <c r="B16" s="1862"/>
      <c r="C16" s="1864"/>
      <c r="D16" s="498" t="s">
        <v>331</v>
      </c>
      <c r="E16" s="316">
        <f>(E13+E14-E15)</f>
        <v>100</v>
      </c>
      <c r="F16" s="316">
        <f t="shared" ref="F16:V16" si="1">(F13+F14-F15)</f>
        <v>5</v>
      </c>
      <c r="G16" s="316">
        <f t="shared" si="1"/>
        <v>0</v>
      </c>
      <c r="H16" s="316">
        <f t="shared" si="1"/>
        <v>0</v>
      </c>
      <c r="I16" s="316">
        <f t="shared" si="1"/>
        <v>0</v>
      </c>
      <c r="J16" s="316">
        <f t="shared" si="1"/>
        <v>0</v>
      </c>
      <c r="K16" s="316">
        <f t="shared" si="1"/>
        <v>0</v>
      </c>
      <c r="L16" s="316">
        <f t="shared" si="1"/>
        <v>5</v>
      </c>
      <c r="M16" s="316">
        <f t="shared" si="1"/>
        <v>5</v>
      </c>
      <c r="N16" s="316">
        <f t="shared" si="1"/>
        <v>0.3</v>
      </c>
      <c r="O16" s="316">
        <f t="shared" si="1"/>
        <v>0.5</v>
      </c>
      <c r="P16" s="316">
        <f t="shared" si="1"/>
        <v>0.4</v>
      </c>
      <c r="Q16" s="316">
        <f t="shared" si="1"/>
        <v>0</v>
      </c>
      <c r="R16" s="316">
        <f t="shared" si="1"/>
        <v>0</v>
      </c>
      <c r="S16" s="316">
        <f t="shared" si="1"/>
        <v>4</v>
      </c>
      <c r="T16" s="316">
        <f t="shared" si="1"/>
        <v>2</v>
      </c>
      <c r="U16" s="316">
        <f t="shared" si="1"/>
        <v>1</v>
      </c>
      <c r="V16" s="316">
        <f t="shared" si="1"/>
        <v>0</v>
      </c>
    </row>
    <row r="17" spans="1:22" ht="31.5" customHeight="1" x14ac:dyDescent="0.35">
      <c r="A17" s="1861"/>
      <c r="B17" s="1862"/>
      <c r="C17" s="1865"/>
      <c r="D17" s="498" t="s">
        <v>130</v>
      </c>
      <c r="E17" s="316">
        <f>'शिक्षक मानधन पावती'!CK45</f>
        <v>0</v>
      </c>
      <c r="F17" s="316">
        <f>'शिक्षक मानधन पावती'!CL45</f>
        <v>0</v>
      </c>
      <c r="G17" s="316">
        <f>'शिक्षक मानधन पावती'!CM45</f>
        <v>0</v>
      </c>
      <c r="H17" s="316">
        <f>'शिक्षक मानधन पावती'!CN45</f>
        <v>0</v>
      </c>
      <c r="I17" s="316">
        <f>'शिक्षक मानधन पावती'!CO45</f>
        <v>0</v>
      </c>
      <c r="J17" s="316">
        <f>'शिक्षक मानधन पावती'!CP45</f>
        <v>0</v>
      </c>
      <c r="K17" s="316">
        <f>'शिक्षक मानधन पावती'!CQ45</f>
        <v>0</v>
      </c>
      <c r="L17" s="316">
        <f>'शिक्षक मानधन पावती'!CR45</f>
        <v>0</v>
      </c>
      <c r="M17" s="316">
        <f>'शिक्षक मानधन पावती'!CS45</f>
        <v>0</v>
      </c>
      <c r="N17" s="316">
        <f>'शिक्षक मानधन पावती'!CT45</f>
        <v>0</v>
      </c>
      <c r="O17" s="316">
        <f>'शिक्षक मानधन पावती'!CU45</f>
        <v>0</v>
      </c>
      <c r="P17" s="316">
        <f>'शिक्षक मानधन पावती'!CV45</f>
        <v>0</v>
      </c>
      <c r="Q17" s="316">
        <f>'शिक्षक मानधन पावती'!CW45</f>
        <v>0</v>
      </c>
      <c r="R17" s="316">
        <f>'शिक्षक मानधन पावती'!CX45</f>
        <v>0</v>
      </c>
      <c r="S17" s="316">
        <f>'शिक्षक मानधन पावती'!CY45</f>
        <v>0</v>
      </c>
      <c r="T17" s="316">
        <f>'शिक्षक मानधन पावती'!CZ45</f>
        <v>0</v>
      </c>
      <c r="U17" s="316">
        <f>'शिक्षक मानधन पावती'!DA45</f>
        <v>0</v>
      </c>
      <c r="V17" s="316">
        <f>'शिक्षक मानधन पावती'!DB45</f>
        <v>0</v>
      </c>
    </row>
    <row r="18" spans="1:22" ht="31.5" customHeight="1" x14ac:dyDescent="0.35">
      <c r="A18" s="1861">
        <v>3</v>
      </c>
      <c r="B18" s="1862" t="s">
        <v>132</v>
      </c>
      <c r="C18" s="1863">
        <f>HOME!E2</f>
        <v>2022</v>
      </c>
      <c r="D18" s="498" t="s">
        <v>128</v>
      </c>
      <c r="E18" s="316">
        <f>'साठा नोंदवही'!E10</f>
        <v>0</v>
      </c>
      <c r="F18" s="316">
        <f>'साठा नोंदवही'!F10</f>
        <v>0</v>
      </c>
      <c r="G18" s="316">
        <f>'साठा नोंदवही'!G10</f>
        <v>0</v>
      </c>
      <c r="H18" s="316">
        <f>'साठा नोंदवही'!H10</f>
        <v>0</v>
      </c>
      <c r="I18" s="316">
        <f>'साठा नोंदवही'!I10</f>
        <v>0</v>
      </c>
      <c r="J18" s="316">
        <f>'साठा नोंदवही'!J10</f>
        <v>0</v>
      </c>
      <c r="K18" s="316">
        <f>'साठा नोंदवही'!K10</f>
        <v>0</v>
      </c>
      <c r="L18" s="316">
        <f>'साठा नोंदवही'!L10</f>
        <v>0</v>
      </c>
      <c r="M18" s="316">
        <f>'साठा नोंदवही'!M10</f>
        <v>0</v>
      </c>
      <c r="N18" s="316">
        <f>'साठा नोंदवही'!N10</f>
        <v>0</v>
      </c>
      <c r="O18" s="316">
        <f>'साठा नोंदवही'!O10</f>
        <v>0</v>
      </c>
      <c r="P18" s="316">
        <f>'साठा नोंदवही'!P10</f>
        <v>0</v>
      </c>
      <c r="Q18" s="316">
        <f>'साठा नोंदवही'!Q10</f>
        <v>0</v>
      </c>
      <c r="R18" s="316">
        <f>'साठा नोंदवही'!R10</f>
        <v>0</v>
      </c>
      <c r="S18" s="316">
        <f>'साठा नोंदवही'!S10</f>
        <v>0</v>
      </c>
      <c r="T18" s="316">
        <f>'साठा नोंदवही'!T10</f>
        <v>0</v>
      </c>
      <c r="U18" s="316">
        <f>'साठा नोंदवही'!U10</f>
        <v>0</v>
      </c>
      <c r="V18" s="316">
        <f>'साठा नोंदवही'!V10</f>
        <v>0</v>
      </c>
    </row>
    <row r="19" spans="1:22" ht="31.5" customHeight="1" x14ac:dyDescent="0.35">
      <c r="A19" s="1861"/>
      <c r="B19" s="1862"/>
      <c r="C19" s="1864"/>
      <c r="D19" s="498" t="s">
        <v>129</v>
      </c>
      <c r="E19" s="316">
        <f>'साठा नोंदवही'!E28</f>
        <v>0</v>
      </c>
      <c r="F19" s="316">
        <f>'साठा नोंदवही'!F28</f>
        <v>0</v>
      </c>
      <c r="G19" s="316">
        <f>'साठा नोंदवही'!G28</f>
        <v>0</v>
      </c>
      <c r="H19" s="316">
        <f>'साठा नोंदवही'!H28</f>
        <v>0</v>
      </c>
      <c r="I19" s="316">
        <f>'साठा नोंदवही'!I28</f>
        <v>0</v>
      </c>
      <c r="J19" s="316">
        <f>'साठा नोंदवही'!J28</f>
        <v>0</v>
      </c>
      <c r="K19" s="316">
        <f>'साठा नोंदवही'!K28</f>
        <v>0</v>
      </c>
      <c r="L19" s="316">
        <f>'साठा नोंदवही'!L28</f>
        <v>0</v>
      </c>
      <c r="M19" s="316">
        <f>'साठा नोंदवही'!M28</f>
        <v>0</v>
      </c>
      <c r="N19" s="316">
        <f>'साठा नोंदवही'!N28</f>
        <v>0</v>
      </c>
      <c r="O19" s="316">
        <f>'साठा नोंदवही'!O28</f>
        <v>0</v>
      </c>
      <c r="P19" s="316">
        <f>'साठा नोंदवही'!P28</f>
        <v>0</v>
      </c>
      <c r="Q19" s="316">
        <f>'साठा नोंदवही'!Q28</f>
        <v>0</v>
      </c>
      <c r="R19" s="316">
        <f>'साठा नोंदवही'!R28</f>
        <v>0</v>
      </c>
      <c r="S19" s="316">
        <f>'साठा नोंदवही'!S28</f>
        <v>0</v>
      </c>
      <c r="T19" s="316">
        <f>'साठा नोंदवही'!T28</f>
        <v>0</v>
      </c>
      <c r="U19" s="316">
        <f>'साठा नोंदवही'!U28</f>
        <v>0</v>
      </c>
      <c r="V19" s="316">
        <f>'साठा नोंदवही'!V28</f>
        <v>0</v>
      </c>
    </row>
    <row r="20" spans="1:22" ht="31.5" customHeight="1" x14ac:dyDescent="0.35">
      <c r="A20" s="1861"/>
      <c r="B20" s="1862"/>
      <c r="C20" s="1864"/>
      <c r="D20" s="498" t="s">
        <v>335</v>
      </c>
      <c r="E20" s="316">
        <f>'साठा नोंदवही'!E46</f>
        <v>0</v>
      </c>
      <c r="F20" s="316">
        <f>'साठा नोंदवही'!F46</f>
        <v>0</v>
      </c>
      <c r="G20" s="316">
        <f>'साठा नोंदवही'!G46</f>
        <v>0</v>
      </c>
      <c r="H20" s="316">
        <f>'साठा नोंदवही'!H46</f>
        <v>0</v>
      </c>
      <c r="I20" s="316">
        <f>'साठा नोंदवही'!I46</f>
        <v>0</v>
      </c>
      <c r="J20" s="316">
        <f>'साठा नोंदवही'!J46</f>
        <v>0</v>
      </c>
      <c r="K20" s="316">
        <f>'साठा नोंदवही'!K46</f>
        <v>0</v>
      </c>
      <c r="L20" s="316">
        <f>'साठा नोंदवही'!L46</f>
        <v>0</v>
      </c>
      <c r="M20" s="316">
        <f>'साठा नोंदवही'!M46</f>
        <v>0</v>
      </c>
      <c r="N20" s="316">
        <f>'साठा नोंदवही'!N46</f>
        <v>0</v>
      </c>
      <c r="O20" s="316">
        <f>'साठा नोंदवही'!O46</f>
        <v>0</v>
      </c>
      <c r="P20" s="316">
        <f>'साठा नोंदवही'!P46</f>
        <v>0</v>
      </c>
      <c r="Q20" s="316">
        <f>'साठा नोंदवही'!Q46</f>
        <v>0</v>
      </c>
      <c r="R20" s="316">
        <f>'साठा नोंदवही'!R46</f>
        <v>0</v>
      </c>
      <c r="S20" s="316">
        <f>'साठा नोंदवही'!S46</f>
        <v>0</v>
      </c>
      <c r="T20" s="316">
        <f>'साठा नोंदवही'!T46</f>
        <v>0</v>
      </c>
      <c r="U20" s="316">
        <f>'साठा नोंदवही'!U46</f>
        <v>0</v>
      </c>
      <c r="V20" s="316">
        <f>'साठा नोंदवही'!V46</f>
        <v>0</v>
      </c>
    </row>
    <row r="21" spans="1:22" ht="31.5" customHeight="1" x14ac:dyDescent="0.35">
      <c r="A21" s="1861"/>
      <c r="B21" s="1862"/>
      <c r="C21" s="1864"/>
      <c r="D21" s="498" t="s">
        <v>331</v>
      </c>
      <c r="E21" s="316">
        <f>(E18+E19-E20)</f>
        <v>0</v>
      </c>
      <c r="F21" s="316">
        <f t="shared" ref="F21:V21" si="2">(F18+F19-F20)</f>
        <v>0</v>
      </c>
      <c r="G21" s="316">
        <f t="shared" si="2"/>
        <v>0</v>
      </c>
      <c r="H21" s="316">
        <f t="shared" si="2"/>
        <v>0</v>
      </c>
      <c r="I21" s="316">
        <f t="shared" si="2"/>
        <v>0</v>
      </c>
      <c r="J21" s="316">
        <f t="shared" si="2"/>
        <v>0</v>
      </c>
      <c r="K21" s="316">
        <f t="shared" si="2"/>
        <v>0</v>
      </c>
      <c r="L21" s="316">
        <f t="shared" si="2"/>
        <v>0</v>
      </c>
      <c r="M21" s="316">
        <f t="shared" si="2"/>
        <v>0</v>
      </c>
      <c r="N21" s="316">
        <f t="shared" si="2"/>
        <v>0</v>
      </c>
      <c r="O21" s="316">
        <f t="shared" si="2"/>
        <v>0</v>
      </c>
      <c r="P21" s="316">
        <f t="shared" si="2"/>
        <v>0</v>
      </c>
      <c r="Q21" s="316">
        <f t="shared" si="2"/>
        <v>0</v>
      </c>
      <c r="R21" s="316">
        <f t="shared" si="2"/>
        <v>0</v>
      </c>
      <c r="S21" s="316">
        <f t="shared" si="2"/>
        <v>0</v>
      </c>
      <c r="T21" s="316">
        <f t="shared" si="2"/>
        <v>0</v>
      </c>
      <c r="U21" s="316">
        <f t="shared" si="2"/>
        <v>0</v>
      </c>
      <c r="V21" s="316">
        <f t="shared" si="2"/>
        <v>0</v>
      </c>
    </row>
    <row r="22" spans="1:22" ht="31.5" customHeight="1" x14ac:dyDescent="0.35">
      <c r="A22" s="1861"/>
      <c r="B22" s="1862"/>
      <c r="C22" s="1865"/>
      <c r="D22" s="498" t="s">
        <v>130</v>
      </c>
      <c r="E22" s="316">
        <f>'शिक्षक मानधन पावती'!DN45</f>
        <v>23.399999999999995</v>
      </c>
      <c r="F22" s="316">
        <f>'शिक्षक मानधन पावती'!DO45</f>
        <v>1.34</v>
      </c>
      <c r="G22" s="316">
        <f>'शिक्षक मानधन पावती'!DP45</f>
        <v>0</v>
      </c>
      <c r="H22" s="316">
        <f>'शिक्षक मानधन पावती'!DQ45</f>
        <v>0</v>
      </c>
      <c r="I22" s="316">
        <f>'शिक्षक मानधन पावती'!DR45</f>
        <v>0</v>
      </c>
      <c r="J22" s="316">
        <f>'शिक्षक मानधन पावती'!DS45</f>
        <v>0</v>
      </c>
      <c r="K22" s="316">
        <f>'शिक्षक मानधन पावती'!DT45</f>
        <v>0</v>
      </c>
      <c r="L22" s="316">
        <f>'शिक्षक मानधन पावती'!DU45</f>
        <v>1.6800000000000002</v>
      </c>
      <c r="M22" s="316">
        <f>'शिक्षक मानधन पावती'!DV45</f>
        <v>1.6600000000000001</v>
      </c>
      <c r="N22" s="316">
        <f>'शिक्षक मानधन पावती'!DW45</f>
        <v>7.0199999999999985E-2</v>
      </c>
      <c r="O22" s="316">
        <f>'शिक्षक मानधन पावती'!DX45</f>
        <v>0.11700000000000005</v>
      </c>
      <c r="P22" s="316">
        <f>'शिक्षक मानधन पावती'!DY45</f>
        <v>7.0199999999999985E-2</v>
      </c>
      <c r="Q22" s="316">
        <f>'शिक्षक मानधन पावती'!DZ45</f>
        <v>0</v>
      </c>
      <c r="R22" s="316">
        <f>'शिक्षक मानधन पावती'!EA45</f>
        <v>0</v>
      </c>
      <c r="S22" s="316">
        <f>'शिक्षक मानधन पावती'!EB45</f>
        <v>1.17</v>
      </c>
      <c r="T22" s="316">
        <f>'शिक्षक मानधन पावती'!EC45</f>
        <v>0.46800000000000019</v>
      </c>
      <c r="U22" s="316">
        <f>'शिक्षक मानधन पावती'!ED45</f>
        <v>0.28079999999999994</v>
      </c>
      <c r="V22" s="316">
        <f>'शिक्षक मानधन पावती'!EE45</f>
        <v>0</v>
      </c>
    </row>
    <row r="23" spans="1:22" ht="31.5" customHeight="1" x14ac:dyDescent="0.35">
      <c r="A23" s="1861">
        <v>4</v>
      </c>
      <c r="B23" s="1862" t="s">
        <v>133</v>
      </c>
      <c r="C23" s="1863">
        <f>HOME!E2</f>
        <v>2022</v>
      </c>
      <c r="D23" s="498" t="s">
        <v>128</v>
      </c>
      <c r="E23" s="316">
        <f>'साठा नोंदवही'!E11</f>
        <v>0</v>
      </c>
      <c r="F23" s="316">
        <f>'साठा नोंदवही'!F11</f>
        <v>0</v>
      </c>
      <c r="G23" s="316">
        <f>'साठा नोंदवही'!G11</f>
        <v>0</v>
      </c>
      <c r="H23" s="316">
        <f>'साठा नोंदवही'!H11</f>
        <v>0</v>
      </c>
      <c r="I23" s="316">
        <f>'साठा नोंदवही'!I11</f>
        <v>0</v>
      </c>
      <c r="J23" s="316">
        <f>'साठा नोंदवही'!J11</f>
        <v>0</v>
      </c>
      <c r="K23" s="316">
        <f>'साठा नोंदवही'!K11</f>
        <v>0</v>
      </c>
      <c r="L23" s="316">
        <f>'साठा नोंदवही'!L11</f>
        <v>0</v>
      </c>
      <c r="M23" s="316">
        <f>'साठा नोंदवही'!M11</f>
        <v>0</v>
      </c>
      <c r="N23" s="316">
        <f>'साठा नोंदवही'!N11</f>
        <v>0</v>
      </c>
      <c r="O23" s="316">
        <f>'साठा नोंदवही'!O11</f>
        <v>0</v>
      </c>
      <c r="P23" s="316">
        <f>'साठा नोंदवही'!P11</f>
        <v>0</v>
      </c>
      <c r="Q23" s="316">
        <f>'साठा नोंदवही'!Q11</f>
        <v>0</v>
      </c>
      <c r="R23" s="316">
        <f>'साठा नोंदवही'!R11</f>
        <v>0</v>
      </c>
      <c r="S23" s="316">
        <f>'साठा नोंदवही'!S11</f>
        <v>2</v>
      </c>
      <c r="T23" s="316">
        <f>'साठा नोंदवही'!T11</f>
        <v>0</v>
      </c>
      <c r="U23" s="316">
        <f>'साठा नोंदवही'!U11</f>
        <v>0</v>
      </c>
      <c r="V23" s="316">
        <f>'साठा नोंदवही'!V11</f>
        <v>0</v>
      </c>
    </row>
    <row r="24" spans="1:22" ht="31.5" customHeight="1" x14ac:dyDescent="0.35">
      <c r="A24" s="1861"/>
      <c r="B24" s="1862"/>
      <c r="C24" s="1864"/>
      <c r="D24" s="498" t="s">
        <v>129</v>
      </c>
      <c r="E24" s="316">
        <f>'साठा नोंदवही'!E29</f>
        <v>0</v>
      </c>
      <c r="F24" s="316">
        <f>'साठा नोंदवही'!F29</f>
        <v>0</v>
      </c>
      <c r="G24" s="316">
        <f>'साठा नोंदवही'!G29</f>
        <v>0</v>
      </c>
      <c r="H24" s="316">
        <f>'साठा नोंदवही'!H29</f>
        <v>0</v>
      </c>
      <c r="I24" s="316">
        <f>'साठा नोंदवही'!I29</f>
        <v>0</v>
      </c>
      <c r="J24" s="316">
        <f>'साठा नोंदवही'!J29</f>
        <v>0</v>
      </c>
      <c r="K24" s="316">
        <f>'साठा नोंदवही'!K29</f>
        <v>0</v>
      </c>
      <c r="L24" s="316">
        <f>'साठा नोंदवही'!L29</f>
        <v>0</v>
      </c>
      <c r="M24" s="316">
        <f>'साठा नोंदवही'!M29</f>
        <v>0</v>
      </c>
      <c r="N24" s="316">
        <f>'साठा नोंदवही'!N29</f>
        <v>0</v>
      </c>
      <c r="O24" s="316">
        <f>'साठा नोंदवही'!O29</f>
        <v>0</v>
      </c>
      <c r="P24" s="316">
        <f>'साठा नोंदवही'!P29</f>
        <v>0</v>
      </c>
      <c r="Q24" s="316">
        <f>'साठा नोंदवही'!Q29</f>
        <v>0</v>
      </c>
      <c r="R24" s="316">
        <f>'साठा नोंदवही'!R29</f>
        <v>0</v>
      </c>
      <c r="S24" s="316">
        <f>'साठा नोंदवही'!S29</f>
        <v>2</v>
      </c>
      <c r="T24" s="316">
        <f>'साठा नोंदवही'!T29</f>
        <v>0</v>
      </c>
      <c r="U24" s="316">
        <f>'साठा नोंदवही'!U29</f>
        <v>0</v>
      </c>
      <c r="V24" s="316">
        <f>'साठा नोंदवही'!V29</f>
        <v>0</v>
      </c>
    </row>
    <row r="25" spans="1:22" ht="31.5" customHeight="1" x14ac:dyDescent="0.35">
      <c r="A25" s="1861"/>
      <c r="B25" s="1862"/>
      <c r="C25" s="1864"/>
      <c r="D25" s="498" t="s">
        <v>335</v>
      </c>
      <c r="E25" s="316">
        <f>'साठा नोंदवही'!E47</f>
        <v>0</v>
      </c>
      <c r="F25" s="316">
        <f>'साठा नोंदवही'!F47</f>
        <v>0</v>
      </c>
      <c r="G25" s="316">
        <f>'साठा नोंदवही'!G47</f>
        <v>0</v>
      </c>
      <c r="H25" s="316">
        <f>'साठा नोंदवही'!H47</f>
        <v>0</v>
      </c>
      <c r="I25" s="316">
        <f>'साठा नोंदवही'!I47</f>
        <v>0</v>
      </c>
      <c r="J25" s="316">
        <f>'साठा नोंदवही'!J47</f>
        <v>0</v>
      </c>
      <c r="K25" s="316">
        <f>'साठा नोंदवही'!K47</f>
        <v>0</v>
      </c>
      <c r="L25" s="316">
        <f>'साठा नोंदवही'!L47</f>
        <v>0</v>
      </c>
      <c r="M25" s="316">
        <f>'साठा नोंदवही'!M47</f>
        <v>0</v>
      </c>
      <c r="N25" s="316">
        <f>'साठा नोंदवही'!N47</f>
        <v>0</v>
      </c>
      <c r="O25" s="316">
        <f>'साठा नोंदवही'!O47</f>
        <v>0</v>
      </c>
      <c r="P25" s="316">
        <f>'साठा नोंदवही'!P47</f>
        <v>0</v>
      </c>
      <c r="Q25" s="316">
        <f>'साठा नोंदवही'!Q47</f>
        <v>0</v>
      </c>
      <c r="R25" s="316">
        <f>'साठा नोंदवही'!R47</f>
        <v>0</v>
      </c>
      <c r="S25" s="316">
        <f>'साठा नोंदवही'!S47</f>
        <v>0</v>
      </c>
      <c r="T25" s="316">
        <f>'साठा नोंदवही'!T47</f>
        <v>0</v>
      </c>
      <c r="U25" s="316">
        <f>'साठा नोंदवही'!U47</f>
        <v>0</v>
      </c>
      <c r="V25" s="316">
        <f>'साठा नोंदवही'!V47</f>
        <v>0</v>
      </c>
    </row>
    <row r="26" spans="1:22" ht="31.5" customHeight="1" x14ac:dyDescent="0.35">
      <c r="A26" s="1861"/>
      <c r="B26" s="1862"/>
      <c r="C26" s="1864"/>
      <c r="D26" s="498" t="s">
        <v>331</v>
      </c>
      <c r="E26" s="316">
        <f>(E23+E24-E25)</f>
        <v>0</v>
      </c>
      <c r="F26" s="316">
        <f t="shared" ref="F26:V26" si="3">(F23+F24-F25)</f>
        <v>0</v>
      </c>
      <c r="G26" s="316">
        <f t="shared" si="3"/>
        <v>0</v>
      </c>
      <c r="H26" s="316">
        <f t="shared" si="3"/>
        <v>0</v>
      </c>
      <c r="I26" s="316">
        <f t="shared" si="3"/>
        <v>0</v>
      </c>
      <c r="J26" s="316">
        <f t="shared" si="3"/>
        <v>0</v>
      </c>
      <c r="K26" s="316">
        <f t="shared" si="3"/>
        <v>0</v>
      </c>
      <c r="L26" s="316">
        <f t="shared" si="3"/>
        <v>0</v>
      </c>
      <c r="M26" s="316">
        <f t="shared" si="3"/>
        <v>0</v>
      </c>
      <c r="N26" s="316">
        <f t="shared" si="3"/>
        <v>0</v>
      </c>
      <c r="O26" s="316">
        <f t="shared" si="3"/>
        <v>0</v>
      </c>
      <c r="P26" s="316">
        <f t="shared" si="3"/>
        <v>0</v>
      </c>
      <c r="Q26" s="316">
        <f t="shared" si="3"/>
        <v>0</v>
      </c>
      <c r="R26" s="316">
        <f t="shared" si="3"/>
        <v>0</v>
      </c>
      <c r="S26" s="316">
        <f t="shared" si="3"/>
        <v>4</v>
      </c>
      <c r="T26" s="316">
        <f t="shared" si="3"/>
        <v>0</v>
      </c>
      <c r="U26" s="316">
        <f t="shared" si="3"/>
        <v>0</v>
      </c>
      <c r="V26" s="316">
        <f t="shared" si="3"/>
        <v>0</v>
      </c>
    </row>
    <row r="27" spans="1:22" ht="31.5" customHeight="1" x14ac:dyDescent="0.35">
      <c r="A27" s="1861"/>
      <c r="B27" s="1862"/>
      <c r="C27" s="1865"/>
      <c r="D27" s="498" t="s">
        <v>130</v>
      </c>
      <c r="E27" s="316">
        <f>'शिक्षक मानधन पावती'!EQ45</f>
        <v>44.20000000000001</v>
      </c>
      <c r="F27" s="316">
        <f>'शिक्षक मानधन पावती'!ER45</f>
        <v>3.0599999999999996</v>
      </c>
      <c r="G27" s="316">
        <f>'शिक्षक मानधन पावती'!ES45</f>
        <v>0</v>
      </c>
      <c r="H27" s="316">
        <f>'शिक्षक मानधन पावती'!ET45</f>
        <v>0</v>
      </c>
      <c r="I27" s="316">
        <f>'शिक्षक मानधन पावती'!EU45</f>
        <v>0</v>
      </c>
      <c r="J27" s="316">
        <f>'शिक्षक मानधन पावती'!EV45</f>
        <v>0</v>
      </c>
      <c r="K27" s="316">
        <f>'शिक्षक मानधन पावती'!EW45</f>
        <v>0</v>
      </c>
      <c r="L27" s="316">
        <f>'शिक्षक मानधन पावती'!EX45</f>
        <v>2.7199999999999998</v>
      </c>
      <c r="M27" s="316">
        <f>'शिक्षक मानधन पावती'!EY45</f>
        <v>3.0599999999999996</v>
      </c>
      <c r="N27" s="316">
        <f>'शिक्षक मानधन पावती'!EZ45</f>
        <v>0.13259999999999991</v>
      </c>
      <c r="O27" s="316">
        <f>'शिक्षक मानधन पावती'!FA45</f>
        <v>0.22100000000000014</v>
      </c>
      <c r="P27" s="316">
        <f>'शिक्षक मानधन पावती'!FB45</f>
        <v>0.13259999999999991</v>
      </c>
      <c r="Q27" s="316">
        <f>'शिक्षक मानधन पावती'!FC45</f>
        <v>0</v>
      </c>
      <c r="R27" s="316">
        <f>'शिक्षक मानधन पावती'!FD45</f>
        <v>0</v>
      </c>
      <c r="S27" s="316">
        <f>'शिक्षक मानधन पावती'!FE45</f>
        <v>2.2099999999999995</v>
      </c>
      <c r="T27" s="316">
        <f>'शिक्षक मानधन पावती'!FF45</f>
        <v>0.88400000000000056</v>
      </c>
      <c r="U27" s="316">
        <f>'शिक्षक मानधन पावती'!FG45</f>
        <v>0.53039999999999965</v>
      </c>
      <c r="V27" s="316">
        <f>'शिक्षक मानधन पावती'!FH45</f>
        <v>0</v>
      </c>
    </row>
    <row r="28" spans="1:22" ht="31.5" customHeight="1" x14ac:dyDescent="0.35">
      <c r="A28" s="1861">
        <v>5</v>
      </c>
      <c r="B28" s="1862" t="s">
        <v>134</v>
      </c>
      <c r="C28" s="1863">
        <f>HOME!E2</f>
        <v>2022</v>
      </c>
      <c r="D28" s="498" t="s">
        <v>128</v>
      </c>
      <c r="E28" s="316">
        <f>'साठा नोंदवही'!E12</f>
        <v>100</v>
      </c>
      <c r="F28" s="316">
        <f>'साठा नोंदवही'!F12</f>
        <v>5</v>
      </c>
      <c r="G28" s="316">
        <f>'साठा नोंदवही'!G12</f>
        <v>0</v>
      </c>
      <c r="H28" s="316">
        <f>'साठा नोंदवही'!H12</f>
        <v>0</v>
      </c>
      <c r="I28" s="316">
        <f>'साठा नोंदवही'!I12</f>
        <v>0</v>
      </c>
      <c r="J28" s="316">
        <f>'साठा नोंदवही'!J12</f>
        <v>0</v>
      </c>
      <c r="K28" s="316">
        <f>'साठा नोंदवही'!K12</f>
        <v>0</v>
      </c>
      <c r="L28" s="316">
        <f>'साठा नोंदवही'!L12</f>
        <v>5</v>
      </c>
      <c r="M28" s="316">
        <f>'साठा नोंदवही'!M12</f>
        <v>5</v>
      </c>
      <c r="N28" s="316">
        <f>'साठा नोंदवही'!N12</f>
        <v>0.3</v>
      </c>
      <c r="O28" s="316">
        <f>'साठा नोंदवही'!O12</f>
        <v>0.5</v>
      </c>
      <c r="P28" s="316">
        <f>'साठा नोंदवही'!P12</f>
        <v>0.4</v>
      </c>
      <c r="Q28" s="316">
        <f>'साठा नोंदवही'!Q12</f>
        <v>0</v>
      </c>
      <c r="R28" s="316">
        <f>'साठा नोंदवही'!R12</f>
        <v>0</v>
      </c>
      <c r="S28" s="316">
        <f>'साठा नोंदवही'!S12</f>
        <v>2.5</v>
      </c>
      <c r="T28" s="316">
        <f>'साठा नोंदवही'!T12</f>
        <v>2</v>
      </c>
      <c r="U28" s="316">
        <f>'साठा नोंदवही'!U12</f>
        <v>1</v>
      </c>
      <c r="V28" s="316">
        <f>'साठा नोंदवही'!V12</f>
        <v>0</v>
      </c>
    </row>
    <row r="29" spans="1:22" ht="31.5" customHeight="1" x14ac:dyDescent="0.35">
      <c r="A29" s="1861"/>
      <c r="B29" s="1862"/>
      <c r="C29" s="1864"/>
      <c r="D29" s="498" t="s">
        <v>129</v>
      </c>
      <c r="E29" s="316">
        <f>'साठा नोंदवही'!E30</f>
        <v>0</v>
      </c>
      <c r="F29" s="316">
        <f>'साठा नोंदवही'!F30</f>
        <v>2</v>
      </c>
      <c r="G29" s="316">
        <f>'साठा नोंदवही'!G30</f>
        <v>0</v>
      </c>
      <c r="H29" s="316">
        <f>'साठा नोंदवही'!H30</f>
        <v>0</v>
      </c>
      <c r="I29" s="316">
        <f>'साठा नोंदवही'!I30</f>
        <v>0</v>
      </c>
      <c r="J29" s="316">
        <f>'साठा नोंदवही'!J30</f>
        <v>0</v>
      </c>
      <c r="K29" s="316">
        <f>'साठा नोंदवही'!K30</f>
        <v>0</v>
      </c>
      <c r="L29" s="316">
        <f>'साठा नोंदवही'!L30</f>
        <v>2</v>
      </c>
      <c r="M29" s="316">
        <f>'साठा नोंदवही'!M30</f>
        <v>2</v>
      </c>
      <c r="N29" s="316">
        <f>'साठा नोंदवही'!N30</f>
        <v>0</v>
      </c>
      <c r="O29" s="316">
        <f>'साठा नोंदवही'!O30</f>
        <v>0</v>
      </c>
      <c r="P29" s="316">
        <f>'साठा नोंदवही'!P30</f>
        <v>0</v>
      </c>
      <c r="Q29" s="316">
        <f>'साठा नोंदवही'!Q30</f>
        <v>0</v>
      </c>
      <c r="R29" s="316">
        <f>'साठा नोंदवही'!R30</f>
        <v>0</v>
      </c>
      <c r="S29" s="316">
        <f>'साठा नोंदवही'!S30</f>
        <v>2.5</v>
      </c>
      <c r="T29" s="316">
        <f>'साठा नोंदवही'!T30</f>
        <v>0</v>
      </c>
      <c r="U29" s="316">
        <f>'साठा नोंदवही'!U30</f>
        <v>0</v>
      </c>
      <c r="V29" s="316">
        <f>'साठा नोंदवही'!V30</f>
        <v>0</v>
      </c>
    </row>
    <row r="30" spans="1:22" ht="31.5" customHeight="1" x14ac:dyDescent="0.35">
      <c r="A30" s="1861"/>
      <c r="B30" s="1862"/>
      <c r="C30" s="1864"/>
      <c r="D30" s="498" t="s">
        <v>335</v>
      </c>
      <c r="E30" s="316">
        <f>'साठा नोंदवही'!E48</f>
        <v>0</v>
      </c>
      <c r="F30" s="316">
        <f>'साठा नोंदवही'!F48</f>
        <v>0</v>
      </c>
      <c r="G30" s="316">
        <f>'साठा नोंदवही'!G48</f>
        <v>0</v>
      </c>
      <c r="H30" s="316">
        <f>'साठा नोंदवही'!H48</f>
        <v>0</v>
      </c>
      <c r="I30" s="316">
        <f>'साठा नोंदवही'!I48</f>
        <v>0</v>
      </c>
      <c r="J30" s="316">
        <f>'साठा नोंदवही'!J48</f>
        <v>0</v>
      </c>
      <c r="K30" s="316">
        <f>'साठा नोंदवही'!K48</f>
        <v>0</v>
      </c>
      <c r="L30" s="316">
        <f>'साठा नोंदवही'!L48</f>
        <v>0</v>
      </c>
      <c r="M30" s="316">
        <f>'साठा नोंदवही'!M48</f>
        <v>0</v>
      </c>
      <c r="N30" s="316">
        <f>'साठा नोंदवही'!N48</f>
        <v>0</v>
      </c>
      <c r="O30" s="316">
        <f>'साठा नोंदवही'!O48</f>
        <v>0</v>
      </c>
      <c r="P30" s="316">
        <f>'साठा नोंदवही'!P48</f>
        <v>0</v>
      </c>
      <c r="Q30" s="316">
        <f>'साठा नोंदवही'!Q48</f>
        <v>0</v>
      </c>
      <c r="R30" s="316">
        <f>'साठा नोंदवही'!R48</f>
        <v>0</v>
      </c>
      <c r="S30" s="316">
        <f>'साठा नोंदवही'!S48</f>
        <v>0</v>
      </c>
      <c r="T30" s="316">
        <f>'साठा नोंदवही'!T48</f>
        <v>0</v>
      </c>
      <c r="U30" s="316">
        <f>'साठा नोंदवही'!U48</f>
        <v>0</v>
      </c>
      <c r="V30" s="316">
        <f>'साठा नोंदवही'!V48</f>
        <v>0</v>
      </c>
    </row>
    <row r="31" spans="1:22" ht="31.5" customHeight="1" x14ac:dyDescent="0.35">
      <c r="A31" s="1861"/>
      <c r="B31" s="1862"/>
      <c r="C31" s="1864"/>
      <c r="D31" s="498" t="s">
        <v>331</v>
      </c>
      <c r="E31" s="316">
        <f>(E28+E29-E30)</f>
        <v>100</v>
      </c>
      <c r="F31" s="316">
        <f t="shared" ref="F31:V31" si="4">(F28+F29-F30)</f>
        <v>7</v>
      </c>
      <c r="G31" s="316">
        <f t="shared" si="4"/>
        <v>0</v>
      </c>
      <c r="H31" s="316">
        <f t="shared" si="4"/>
        <v>0</v>
      </c>
      <c r="I31" s="316">
        <f t="shared" si="4"/>
        <v>0</v>
      </c>
      <c r="J31" s="316">
        <f t="shared" si="4"/>
        <v>0</v>
      </c>
      <c r="K31" s="316">
        <f t="shared" si="4"/>
        <v>0</v>
      </c>
      <c r="L31" s="316">
        <f t="shared" si="4"/>
        <v>7</v>
      </c>
      <c r="M31" s="316">
        <f t="shared" si="4"/>
        <v>7</v>
      </c>
      <c r="N31" s="316">
        <f t="shared" si="4"/>
        <v>0.3</v>
      </c>
      <c r="O31" s="316">
        <f t="shared" si="4"/>
        <v>0.5</v>
      </c>
      <c r="P31" s="316">
        <f t="shared" si="4"/>
        <v>0.4</v>
      </c>
      <c r="Q31" s="316">
        <f t="shared" si="4"/>
        <v>0</v>
      </c>
      <c r="R31" s="316">
        <f t="shared" si="4"/>
        <v>0</v>
      </c>
      <c r="S31" s="316">
        <f t="shared" si="4"/>
        <v>5</v>
      </c>
      <c r="T31" s="316">
        <f t="shared" si="4"/>
        <v>2</v>
      </c>
      <c r="U31" s="316">
        <f t="shared" si="4"/>
        <v>1</v>
      </c>
      <c r="V31" s="316">
        <f t="shared" si="4"/>
        <v>0</v>
      </c>
    </row>
    <row r="32" spans="1:22" ht="31.5" customHeight="1" x14ac:dyDescent="0.35">
      <c r="A32" s="1861"/>
      <c r="B32" s="1862"/>
      <c r="C32" s="1865"/>
      <c r="D32" s="498" t="s">
        <v>130</v>
      </c>
      <c r="E32" s="316">
        <f>'शिक्षक मानधन पावती'!FT45</f>
        <v>33</v>
      </c>
      <c r="F32" s="316">
        <f>'शिक्षक मानधन पावती'!FU45</f>
        <v>2.4</v>
      </c>
      <c r="G32" s="316">
        <f>'शिक्षक मानधन पावती'!FV45</f>
        <v>0</v>
      </c>
      <c r="H32" s="316">
        <f>'शिक्षक मानधन पावती'!FW45</f>
        <v>0</v>
      </c>
      <c r="I32" s="316">
        <f>'शिक्षक मानधन पावती'!FX45</f>
        <v>0</v>
      </c>
      <c r="J32" s="316">
        <f>'शिक्षक मानधन पावती'!FY45</f>
        <v>0</v>
      </c>
      <c r="K32" s="316">
        <f>'शिक्षक मानधन पावती'!FZ45</f>
        <v>0</v>
      </c>
      <c r="L32" s="316">
        <f>'शिक्षक मानधन पावती'!GA45</f>
        <v>2.1</v>
      </c>
      <c r="M32" s="316">
        <f>'शिक्षक मानधन पावती'!GB45</f>
        <v>2.1</v>
      </c>
      <c r="N32" s="316">
        <f>'शिक्षक मानधन पावती'!GC45</f>
        <v>9.9000000000000019E-2</v>
      </c>
      <c r="O32" s="316">
        <f>'शिक्षक मानधन पावती'!GD45</f>
        <v>0.16500000000000009</v>
      </c>
      <c r="P32" s="316">
        <f>'शिक्षक मानधन पावती'!GE45</f>
        <v>9.9000000000000019E-2</v>
      </c>
      <c r="Q32" s="316">
        <f>'शिक्षक मानधन पावती'!GF45</f>
        <v>0</v>
      </c>
      <c r="R32" s="316">
        <f>'शिक्षक मानधन पावती'!GG45</f>
        <v>0</v>
      </c>
      <c r="S32" s="316">
        <f>'शिक्षक मानधन पावती'!GH45</f>
        <v>1.6499999999999995</v>
      </c>
      <c r="T32" s="316">
        <f>'शिक्षक मानधन पावती'!GI45</f>
        <v>0.66000000000000036</v>
      </c>
      <c r="U32" s="316">
        <f>'शिक्षक मानधन पावती'!GJ45</f>
        <v>0.39600000000000007</v>
      </c>
      <c r="V32" s="316">
        <f>'शिक्षक मानधन पावती'!GK45</f>
        <v>0</v>
      </c>
    </row>
    <row r="33" spans="1:22" ht="31.5" customHeight="1" x14ac:dyDescent="0.35">
      <c r="A33" s="1861">
        <v>6</v>
      </c>
      <c r="B33" s="1862" t="s">
        <v>135</v>
      </c>
      <c r="C33" s="1863">
        <f>HOME!E2</f>
        <v>2022</v>
      </c>
      <c r="D33" s="498" t="s">
        <v>128</v>
      </c>
      <c r="E33" s="316">
        <f>'साठा नोंदवही'!E13</f>
        <v>0</v>
      </c>
      <c r="F33" s="316">
        <f>'साठा नोंदवही'!F13</f>
        <v>0</v>
      </c>
      <c r="G33" s="316">
        <f>'साठा नोंदवही'!G13</f>
        <v>0</v>
      </c>
      <c r="H33" s="316">
        <f>'साठा नोंदवही'!H13</f>
        <v>0</v>
      </c>
      <c r="I33" s="316">
        <f>'साठा नोंदवही'!I13</f>
        <v>0</v>
      </c>
      <c r="J33" s="316">
        <f>'साठा नोंदवही'!J13</f>
        <v>0</v>
      </c>
      <c r="K33" s="316">
        <f>'साठा नोंदवही'!K13</f>
        <v>0</v>
      </c>
      <c r="L33" s="316">
        <f>'साठा नोंदवही'!L13</f>
        <v>0</v>
      </c>
      <c r="M33" s="316">
        <f>'साठा नोंदवही'!M13</f>
        <v>0</v>
      </c>
      <c r="N33" s="316">
        <f>'साठा नोंदवही'!N13</f>
        <v>0</v>
      </c>
      <c r="O33" s="316">
        <f>'साठा नोंदवही'!O13</f>
        <v>0</v>
      </c>
      <c r="P33" s="316">
        <f>'साठा नोंदवही'!P13</f>
        <v>0</v>
      </c>
      <c r="Q33" s="316">
        <f>'साठा नोंदवही'!Q13</f>
        <v>0</v>
      </c>
      <c r="R33" s="316">
        <f>'साठा नोंदवही'!R13</f>
        <v>0</v>
      </c>
      <c r="S33" s="316">
        <f>'साठा नोंदवही'!S13</f>
        <v>0.5</v>
      </c>
      <c r="T33" s="316">
        <f>'साठा नोंदवही'!T13</f>
        <v>0</v>
      </c>
      <c r="U33" s="316">
        <f>'साठा नोंदवही'!U13</f>
        <v>0</v>
      </c>
      <c r="V33" s="316">
        <f>'साठा नोंदवही'!V13</f>
        <v>0</v>
      </c>
    </row>
    <row r="34" spans="1:22" ht="31.5" customHeight="1" x14ac:dyDescent="0.35">
      <c r="A34" s="1861"/>
      <c r="B34" s="1862"/>
      <c r="C34" s="1864"/>
      <c r="D34" s="498" t="s">
        <v>129</v>
      </c>
      <c r="E34" s="316">
        <f>'साठा नोंदवही'!E31</f>
        <v>0</v>
      </c>
      <c r="F34" s="316">
        <f>'साठा नोंदवही'!F31</f>
        <v>0</v>
      </c>
      <c r="G34" s="316">
        <f>'साठा नोंदवही'!G31</f>
        <v>0</v>
      </c>
      <c r="H34" s="316">
        <f>'साठा नोंदवही'!H31</f>
        <v>0</v>
      </c>
      <c r="I34" s="316">
        <f>'साठा नोंदवही'!I31</f>
        <v>0</v>
      </c>
      <c r="J34" s="316">
        <f>'साठा नोंदवही'!J31</f>
        <v>0</v>
      </c>
      <c r="K34" s="316">
        <f>'साठा नोंदवही'!K31</f>
        <v>0</v>
      </c>
      <c r="L34" s="316">
        <f>'साठा नोंदवही'!L31</f>
        <v>0</v>
      </c>
      <c r="M34" s="316">
        <f>'साठा नोंदवही'!M31</f>
        <v>0</v>
      </c>
      <c r="N34" s="316">
        <f>'साठा नोंदवही'!N31</f>
        <v>0</v>
      </c>
      <c r="O34" s="316">
        <f>'साठा नोंदवही'!O31</f>
        <v>0</v>
      </c>
      <c r="P34" s="316">
        <f>'साठा नोंदवही'!P31</f>
        <v>0</v>
      </c>
      <c r="Q34" s="316">
        <f>'साठा नोंदवही'!Q31</f>
        <v>0</v>
      </c>
      <c r="R34" s="316">
        <f>'साठा नोंदवही'!R31</f>
        <v>0</v>
      </c>
      <c r="S34" s="316">
        <f>'साठा नोंदवही'!S31</f>
        <v>0.5</v>
      </c>
      <c r="T34" s="316">
        <f>'साठा नोंदवही'!T31</f>
        <v>0</v>
      </c>
      <c r="U34" s="316">
        <f>'साठा नोंदवही'!U31</f>
        <v>0</v>
      </c>
      <c r="V34" s="316">
        <f>'साठा नोंदवही'!V31</f>
        <v>0</v>
      </c>
    </row>
    <row r="35" spans="1:22" ht="31.5" customHeight="1" x14ac:dyDescent="0.35">
      <c r="A35" s="1861"/>
      <c r="B35" s="1862"/>
      <c r="C35" s="1864"/>
      <c r="D35" s="498" t="s">
        <v>335</v>
      </c>
      <c r="E35" s="316">
        <f>'साठा नोंदवही'!E49</f>
        <v>0</v>
      </c>
      <c r="F35" s="316">
        <f>'साठा नोंदवही'!F49</f>
        <v>0</v>
      </c>
      <c r="G35" s="316">
        <f>'साठा नोंदवही'!G49</f>
        <v>0</v>
      </c>
      <c r="H35" s="316">
        <f>'साठा नोंदवही'!H49</f>
        <v>0</v>
      </c>
      <c r="I35" s="316">
        <f>'साठा नोंदवही'!I49</f>
        <v>0</v>
      </c>
      <c r="J35" s="316">
        <f>'साठा नोंदवही'!J49</f>
        <v>0</v>
      </c>
      <c r="K35" s="316">
        <f>'साठा नोंदवही'!K49</f>
        <v>0</v>
      </c>
      <c r="L35" s="316">
        <f>'साठा नोंदवही'!L49</f>
        <v>0</v>
      </c>
      <c r="M35" s="316">
        <f>'साठा नोंदवही'!M49</f>
        <v>0</v>
      </c>
      <c r="N35" s="316">
        <f>'साठा नोंदवही'!N49</f>
        <v>0</v>
      </c>
      <c r="O35" s="316">
        <f>'साठा नोंदवही'!O49</f>
        <v>0</v>
      </c>
      <c r="P35" s="316">
        <f>'साठा नोंदवही'!P49</f>
        <v>0</v>
      </c>
      <c r="Q35" s="316">
        <f>'साठा नोंदवही'!Q49</f>
        <v>0</v>
      </c>
      <c r="R35" s="316">
        <f>'साठा नोंदवही'!R49</f>
        <v>0</v>
      </c>
      <c r="S35" s="316">
        <f>'साठा नोंदवही'!S49</f>
        <v>0</v>
      </c>
      <c r="T35" s="316">
        <f>'साठा नोंदवही'!T49</f>
        <v>0</v>
      </c>
      <c r="U35" s="316">
        <f>'साठा नोंदवही'!U49</f>
        <v>0</v>
      </c>
      <c r="V35" s="316">
        <f>'साठा नोंदवही'!V49</f>
        <v>0</v>
      </c>
    </row>
    <row r="36" spans="1:22" ht="31.5" customHeight="1" x14ac:dyDescent="0.35">
      <c r="A36" s="1861"/>
      <c r="B36" s="1862"/>
      <c r="C36" s="1864"/>
      <c r="D36" s="498" t="s">
        <v>331</v>
      </c>
      <c r="E36" s="316">
        <f>(E33+E34-E35)</f>
        <v>0</v>
      </c>
      <c r="F36" s="316">
        <f t="shared" ref="F36:V36" si="5">(F33+F34-F35)</f>
        <v>0</v>
      </c>
      <c r="G36" s="316">
        <f t="shared" si="5"/>
        <v>0</v>
      </c>
      <c r="H36" s="316">
        <f t="shared" si="5"/>
        <v>0</v>
      </c>
      <c r="I36" s="316">
        <f t="shared" si="5"/>
        <v>0</v>
      </c>
      <c r="J36" s="316">
        <f t="shared" si="5"/>
        <v>0</v>
      </c>
      <c r="K36" s="316">
        <f t="shared" si="5"/>
        <v>0</v>
      </c>
      <c r="L36" s="316">
        <f t="shared" si="5"/>
        <v>0</v>
      </c>
      <c r="M36" s="316">
        <f t="shared" si="5"/>
        <v>0</v>
      </c>
      <c r="N36" s="316">
        <f t="shared" si="5"/>
        <v>0</v>
      </c>
      <c r="O36" s="316">
        <f t="shared" si="5"/>
        <v>0</v>
      </c>
      <c r="P36" s="316">
        <f t="shared" si="5"/>
        <v>0</v>
      </c>
      <c r="Q36" s="316">
        <f t="shared" si="5"/>
        <v>0</v>
      </c>
      <c r="R36" s="316">
        <f t="shared" si="5"/>
        <v>0</v>
      </c>
      <c r="S36" s="316">
        <f t="shared" si="5"/>
        <v>1</v>
      </c>
      <c r="T36" s="316">
        <f t="shared" si="5"/>
        <v>0</v>
      </c>
      <c r="U36" s="316">
        <f t="shared" si="5"/>
        <v>0</v>
      </c>
      <c r="V36" s="316">
        <f t="shared" si="5"/>
        <v>0</v>
      </c>
    </row>
    <row r="37" spans="1:22" ht="31.5" customHeight="1" x14ac:dyDescent="0.35">
      <c r="A37" s="1861"/>
      <c r="B37" s="1862"/>
      <c r="C37" s="1865"/>
      <c r="D37" s="498" t="s">
        <v>130</v>
      </c>
      <c r="E37" s="316">
        <f>'शिक्षक मानधन पावती'!GW45</f>
        <v>38.40000000000002</v>
      </c>
      <c r="F37" s="316">
        <f>'शिक्षक मानधन पावती'!GX45</f>
        <v>1.86</v>
      </c>
      <c r="G37" s="316">
        <f>'शिक्षक मानधन पावती'!GY45</f>
        <v>0</v>
      </c>
      <c r="H37" s="316">
        <f>'शिक्षक मानधन पावती'!GZ45</f>
        <v>0</v>
      </c>
      <c r="I37" s="316">
        <f>'शिक्षक मानधन पावती'!HA45</f>
        <v>0</v>
      </c>
      <c r="J37" s="316">
        <f>'शिक्षक मानधन पावती'!HB45</f>
        <v>0</v>
      </c>
      <c r="K37" s="316">
        <f>'शिक्षक मानधन पावती'!HC45</f>
        <v>0</v>
      </c>
      <c r="L37" s="316">
        <f>'शिक्षक मानधन पावती'!HD45</f>
        <v>3.06</v>
      </c>
      <c r="M37" s="316">
        <f>'शिक्षक मानधन पावती'!HE45</f>
        <v>2.7600000000000002</v>
      </c>
      <c r="N37" s="316">
        <f>'शिक्षक मानधन पावती'!HF45</f>
        <v>0.11519999999999997</v>
      </c>
      <c r="O37" s="316">
        <f>'शिक्षक मानधन पावती'!HG45</f>
        <v>0.19200000000000012</v>
      </c>
      <c r="P37" s="316">
        <f>'शिक्षक मानधन पावती'!HH45</f>
        <v>0.11519999999999997</v>
      </c>
      <c r="Q37" s="316">
        <f>'शिक्षक मानधन पावती'!HI45</f>
        <v>0</v>
      </c>
      <c r="R37" s="316">
        <f>'शिक्षक मानधन पावती'!HJ45</f>
        <v>0</v>
      </c>
      <c r="S37" s="316">
        <f>'शिक्षक मानधन पावती'!HK45</f>
        <v>1.9200000000000006</v>
      </c>
      <c r="T37" s="316">
        <f>'शिक्षक मानधन पावती'!HL45</f>
        <v>0.76800000000000046</v>
      </c>
      <c r="U37" s="316">
        <f>'शिक्षक मानधन पावती'!HM45</f>
        <v>0.46079999999999988</v>
      </c>
      <c r="V37" s="316">
        <f>'शिक्षक मानधन पावती'!HN45</f>
        <v>0</v>
      </c>
    </row>
    <row r="38" spans="1:22" ht="31.5" customHeight="1" x14ac:dyDescent="0.35">
      <c r="A38" s="1861">
        <v>7</v>
      </c>
      <c r="B38" s="1862" t="s">
        <v>136</v>
      </c>
      <c r="C38" s="1863">
        <f>HOME!E2</f>
        <v>2022</v>
      </c>
      <c r="D38" s="498" t="s">
        <v>128</v>
      </c>
      <c r="E38" s="316">
        <f>'साठा नोंदवही'!E14</f>
        <v>0</v>
      </c>
      <c r="F38" s="316">
        <f>'साठा नोंदवही'!F14</f>
        <v>0</v>
      </c>
      <c r="G38" s="316">
        <f>'साठा नोंदवही'!G14</f>
        <v>0</v>
      </c>
      <c r="H38" s="316">
        <f>'साठा नोंदवही'!H14</f>
        <v>0</v>
      </c>
      <c r="I38" s="316">
        <f>'साठा नोंदवही'!I14</f>
        <v>0</v>
      </c>
      <c r="J38" s="316">
        <f>'साठा नोंदवही'!J14</f>
        <v>0</v>
      </c>
      <c r="K38" s="316">
        <f>'साठा नोंदवही'!K14</f>
        <v>0</v>
      </c>
      <c r="L38" s="316">
        <f>'साठा नोंदवही'!L14</f>
        <v>0</v>
      </c>
      <c r="M38" s="316">
        <f>'साठा नोंदवही'!M14</f>
        <v>0</v>
      </c>
      <c r="N38" s="316">
        <f>'साठा नोंदवही'!N14</f>
        <v>0</v>
      </c>
      <c r="O38" s="316">
        <f>'साठा नोंदवही'!O14</f>
        <v>0</v>
      </c>
      <c r="P38" s="316">
        <f>'साठा नोंदवही'!P14</f>
        <v>0</v>
      </c>
      <c r="Q38" s="316">
        <f>'साठा नोंदवही'!Q14</f>
        <v>0</v>
      </c>
      <c r="R38" s="316">
        <f>'साठा नोंदवही'!R14</f>
        <v>0</v>
      </c>
      <c r="S38" s="316">
        <f>'साठा नोंदवही'!S14</f>
        <v>1.5</v>
      </c>
      <c r="T38" s="316">
        <f>'साठा नोंदवही'!T14</f>
        <v>0</v>
      </c>
      <c r="U38" s="316">
        <f>'साठा नोंदवही'!U14</f>
        <v>0</v>
      </c>
      <c r="V38" s="316">
        <f>'साठा नोंदवही'!V14</f>
        <v>0</v>
      </c>
    </row>
    <row r="39" spans="1:22" ht="31.5" customHeight="1" x14ac:dyDescent="0.35">
      <c r="A39" s="1861"/>
      <c r="B39" s="1862"/>
      <c r="C39" s="1864"/>
      <c r="D39" s="498" t="s">
        <v>129</v>
      </c>
      <c r="E39" s="316">
        <f>'साठा नोंदवही'!E32</f>
        <v>0</v>
      </c>
      <c r="F39" s="316">
        <f>'साठा नोंदवही'!F32</f>
        <v>0</v>
      </c>
      <c r="G39" s="316">
        <f>'साठा नोंदवही'!G32</f>
        <v>0</v>
      </c>
      <c r="H39" s="316">
        <f>'साठा नोंदवही'!H32</f>
        <v>0</v>
      </c>
      <c r="I39" s="316">
        <f>'साठा नोंदवही'!I32</f>
        <v>0</v>
      </c>
      <c r="J39" s="316">
        <f>'साठा नोंदवही'!J32</f>
        <v>0</v>
      </c>
      <c r="K39" s="316">
        <f>'साठा नोंदवही'!K32</f>
        <v>0</v>
      </c>
      <c r="L39" s="316">
        <f>'साठा नोंदवही'!L32</f>
        <v>0</v>
      </c>
      <c r="M39" s="316">
        <f>'साठा नोंदवही'!M32</f>
        <v>0</v>
      </c>
      <c r="N39" s="316">
        <f>'साठा नोंदवही'!N32</f>
        <v>0</v>
      </c>
      <c r="O39" s="316">
        <f>'साठा नोंदवही'!O32</f>
        <v>0</v>
      </c>
      <c r="P39" s="316">
        <f>'साठा नोंदवही'!P32</f>
        <v>0</v>
      </c>
      <c r="Q39" s="316">
        <f>'साठा नोंदवही'!Q32</f>
        <v>0</v>
      </c>
      <c r="R39" s="316">
        <f>'साठा नोंदवही'!R32</f>
        <v>0</v>
      </c>
      <c r="S39" s="316">
        <f>'साठा नोंदवही'!S32</f>
        <v>1.5</v>
      </c>
      <c r="T39" s="316">
        <f>'साठा नोंदवही'!T32</f>
        <v>0</v>
      </c>
      <c r="U39" s="316">
        <f>'साठा नोंदवही'!U32</f>
        <v>0</v>
      </c>
      <c r="V39" s="316">
        <f>'साठा नोंदवही'!V32</f>
        <v>0</v>
      </c>
    </row>
    <row r="40" spans="1:22" ht="31.5" customHeight="1" x14ac:dyDescent="0.35">
      <c r="A40" s="1861"/>
      <c r="B40" s="1862"/>
      <c r="C40" s="1864"/>
      <c r="D40" s="498" t="s">
        <v>335</v>
      </c>
      <c r="E40" s="316">
        <f>'साठा नोंदवही'!E50</f>
        <v>0</v>
      </c>
      <c r="F40" s="316">
        <f>'साठा नोंदवही'!F50</f>
        <v>0</v>
      </c>
      <c r="G40" s="316">
        <f>'साठा नोंदवही'!G50</f>
        <v>0</v>
      </c>
      <c r="H40" s="316">
        <f>'साठा नोंदवही'!H50</f>
        <v>0</v>
      </c>
      <c r="I40" s="316">
        <f>'साठा नोंदवही'!I50</f>
        <v>0</v>
      </c>
      <c r="J40" s="316">
        <f>'साठा नोंदवही'!J50</f>
        <v>0</v>
      </c>
      <c r="K40" s="316">
        <f>'साठा नोंदवही'!K50</f>
        <v>0</v>
      </c>
      <c r="L40" s="316">
        <f>'साठा नोंदवही'!L50</f>
        <v>0</v>
      </c>
      <c r="M40" s="316">
        <f>'साठा नोंदवही'!M50</f>
        <v>0</v>
      </c>
      <c r="N40" s="316">
        <f>'साठा नोंदवही'!N50</f>
        <v>0</v>
      </c>
      <c r="O40" s="316">
        <f>'साठा नोंदवही'!O50</f>
        <v>0</v>
      </c>
      <c r="P40" s="316">
        <f>'साठा नोंदवही'!P50</f>
        <v>0</v>
      </c>
      <c r="Q40" s="316">
        <f>'साठा नोंदवही'!Q50</f>
        <v>0</v>
      </c>
      <c r="R40" s="316">
        <f>'साठा नोंदवही'!R50</f>
        <v>0</v>
      </c>
      <c r="S40" s="316">
        <f>'साठा नोंदवही'!S50</f>
        <v>0</v>
      </c>
      <c r="T40" s="316">
        <f>'साठा नोंदवही'!T50</f>
        <v>0</v>
      </c>
      <c r="U40" s="316">
        <f>'साठा नोंदवही'!U50</f>
        <v>0</v>
      </c>
      <c r="V40" s="316">
        <f>'साठा नोंदवही'!V50</f>
        <v>0</v>
      </c>
    </row>
    <row r="41" spans="1:22" ht="31.5" customHeight="1" x14ac:dyDescent="0.35">
      <c r="A41" s="1861"/>
      <c r="B41" s="1862"/>
      <c r="C41" s="1864"/>
      <c r="D41" s="498" t="s">
        <v>331</v>
      </c>
      <c r="E41" s="316">
        <f>(E38+E39-E40)</f>
        <v>0</v>
      </c>
      <c r="F41" s="316">
        <f t="shared" ref="F41:V41" si="6">(F38+F39-F40)</f>
        <v>0</v>
      </c>
      <c r="G41" s="316">
        <f t="shared" si="6"/>
        <v>0</v>
      </c>
      <c r="H41" s="316">
        <f t="shared" si="6"/>
        <v>0</v>
      </c>
      <c r="I41" s="316">
        <f t="shared" si="6"/>
        <v>0</v>
      </c>
      <c r="J41" s="316">
        <f t="shared" si="6"/>
        <v>0</v>
      </c>
      <c r="K41" s="316">
        <f t="shared" si="6"/>
        <v>0</v>
      </c>
      <c r="L41" s="316">
        <f t="shared" si="6"/>
        <v>0</v>
      </c>
      <c r="M41" s="316">
        <f t="shared" si="6"/>
        <v>0</v>
      </c>
      <c r="N41" s="316">
        <f t="shared" si="6"/>
        <v>0</v>
      </c>
      <c r="O41" s="316">
        <f t="shared" si="6"/>
        <v>0</v>
      </c>
      <c r="P41" s="316">
        <f t="shared" si="6"/>
        <v>0</v>
      </c>
      <c r="Q41" s="316">
        <f t="shared" si="6"/>
        <v>0</v>
      </c>
      <c r="R41" s="316">
        <f t="shared" si="6"/>
        <v>0</v>
      </c>
      <c r="S41" s="316">
        <f t="shared" si="6"/>
        <v>3</v>
      </c>
      <c r="T41" s="316">
        <f t="shared" si="6"/>
        <v>0</v>
      </c>
      <c r="U41" s="316">
        <f t="shared" si="6"/>
        <v>0</v>
      </c>
      <c r="V41" s="316">
        <f t="shared" si="6"/>
        <v>0</v>
      </c>
    </row>
    <row r="42" spans="1:22" ht="31.5" customHeight="1" x14ac:dyDescent="0.35">
      <c r="A42" s="1861"/>
      <c r="B42" s="1862"/>
      <c r="C42" s="1865"/>
      <c r="D42" s="498" t="s">
        <v>130</v>
      </c>
      <c r="E42" s="316">
        <f>'शिक्षक मानधन पावती'!HZ45</f>
        <v>23.599999999999994</v>
      </c>
      <c r="F42" s="316">
        <f>'शिक्षक मानधन पावती'!IA45</f>
        <v>2.2000000000000002</v>
      </c>
      <c r="G42" s="316">
        <f>'शिक्षक मानधन पावती'!IB45</f>
        <v>0</v>
      </c>
      <c r="H42" s="316">
        <f>'शिक्षक मानधन पावती'!IC45</f>
        <v>0</v>
      </c>
      <c r="I42" s="316">
        <f>'शिक्षक मानधन पावती'!ID45</f>
        <v>0</v>
      </c>
      <c r="J42" s="316">
        <f>'शिक्षक मानधन पावती'!IE45</f>
        <v>0</v>
      </c>
      <c r="K42" s="316">
        <f>'शिक्षक मानधन पावती'!IF45</f>
        <v>0</v>
      </c>
      <c r="L42" s="316">
        <f>'शिक्षक मानधन पावती'!IG45</f>
        <v>1.2</v>
      </c>
      <c r="M42" s="316">
        <f>'शिक्षक मानधन पावती'!IH45</f>
        <v>1.32</v>
      </c>
      <c r="N42" s="316">
        <f>'शिक्षक मानधन पावती'!II45</f>
        <v>7.0799999999999988E-2</v>
      </c>
      <c r="O42" s="316">
        <f>'शिक्षक मानधन पावती'!IJ45</f>
        <v>0.11799999999999997</v>
      </c>
      <c r="P42" s="316">
        <f>'शिक्षक मानधन पावती'!IK45</f>
        <v>7.0799999999999988E-2</v>
      </c>
      <c r="Q42" s="316">
        <f>'शिक्षक मानधन पावती'!IL45</f>
        <v>0</v>
      </c>
      <c r="R42" s="316">
        <f>'शिक्षक मानधन पावती'!IM45</f>
        <v>0</v>
      </c>
      <c r="S42" s="316">
        <f>'शिक्षक मानधन पावती'!IN45</f>
        <v>1.1800000000000002</v>
      </c>
      <c r="T42" s="316">
        <f>'शिक्षक मानधन पावती'!IO45</f>
        <v>0.47199999999999986</v>
      </c>
      <c r="U42" s="316">
        <f>'शिक्षक मानधन पावती'!IP45</f>
        <v>0.28319999999999995</v>
      </c>
      <c r="V42" s="316">
        <f>'शिक्षक मानधन पावती'!IQ45</f>
        <v>0</v>
      </c>
    </row>
    <row r="43" spans="1:22" ht="31.5" customHeight="1" x14ac:dyDescent="0.35">
      <c r="A43" s="1861">
        <v>8</v>
      </c>
      <c r="B43" s="1862" t="s">
        <v>137</v>
      </c>
      <c r="C43" s="1863">
        <f>HOME!E2</f>
        <v>2022</v>
      </c>
      <c r="D43" s="498" t="s">
        <v>128</v>
      </c>
      <c r="E43" s="316">
        <f>'साठा नोंदवही'!E15</f>
        <v>50</v>
      </c>
      <c r="F43" s="316">
        <f>'साठा नोंदवही'!F15</f>
        <v>5</v>
      </c>
      <c r="G43" s="316">
        <f>'साठा नोंदवही'!G15</f>
        <v>0</v>
      </c>
      <c r="H43" s="316">
        <f>'साठा नोंदवही'!H15</f>
        <v>0</v>
      </c>
      <c r="I43" s="316">
        <f>'साठा नोंदवही'!I15</f>
        <v>0</v>
      </c>
      <c r="J43" s="316">
        <f>'साठा नोंदवही'!J15</f>
        <v>0</v>
      </c>
      <c r="K43" s="316">
        <f>'साठा नोंदवही'!K15</f>
        <v>0</v>
      </c>
      <c r="L43" s="316">
        <f>'साठा नोंदवही'!L15</f>
        <v>5</v>
      </c>
      <c r="M43" s="316">
        <f>'साठा नोंदवही'!M15</f>
        <v>5</v>
      </c>
      <c r="N43" s="316">
        <f>'साठा नोंदवही'!N15</f>
        <v>0.4</v>
      </c>
      <c r="O43" s="316">
        <f>'साठा नोंदवही'!O15</f>
        <v>0.3</v>
      </c>
      <c r="P43" s="316">
        <f>'साठा नोंदवही'!P15</f>
        <v>0.3</v>
      </c>
      <c r="Q43" s="316">
        <f>'साठा नोंदवही'!Q15</f>
        <v>0</v>
      </c>
      <c r="R43" s="316">
        <f>'साठा नोंदवही'!R15</f>
        <v>0</v>
      </c>
      <c r="S43" s="316">
        <f>'साठा नोंदवही'!S15</f>
        <v>2.5</v>
      </c>
      <c r="T43" s="316">
        <f>'साठा नोंदवही'!T15</f>
        <v>2</v>
      </c>
      <c r="U43" s="316">
        <f>'साठा नोंदवही'!U15</f>
        <v>1</v>
      </c>
      <c r="V43" s="316">
        <f>'साठा नोंदवही'!V15</f>
        <v>0</v>
      </c>
    </row>
    <row r="44" spans="1:22" ht="31.5" customHeight="1" x14ac:dyDescent="0.35">
      <c r="A44" s="1861"/>
      <c r="B44" s="1862"/>
      <c r="C44" s="1864"/>
      <c r="D44" s="498" t="s">
        <v>129</v>
      </c>
      <c r="E44" s="316">
        <f>'साठा नोंदवही'!E33</f>
        <v>0</v>
      </c>
      <c r="F44" s="316">
        <f>'साठा नोंदवही'!F33</f>
        <v>0</v>
      </c>
      <c r="G44" s="316">
        <f>'साठा नोंदवही'!G33</f>
        <v>0</v>
      </c>
      <c r="H44" s="316">
        <f>'साठा नोंदवही'!H33</f>
        <v>0</v>
      </c>
      <c r="I44" s="316">
        <f>'साठा नोंदवही'!I33</f>
        <v>0</v>
      </c>
      <c r="J44" s="316">
        <f>'साठा नोंदवही'!J33</f>
        <v>0</v>
      </c>
      <c r="K44" s="316">
        <f>'साठा नोंदवही'!K33</f>
        <v>0</v>
      </c>
      <c r="L44" s="316">
        <f>'साठा नोंदवही'!L33</f>
        <v>0</v>
      </c>
      <c r="M44" s="316">
        <f>'साठा नोंदवही'!M33</f>
        <v>0</v>
      </c>
      <c r="N44" s="316">
        <f>'साठा नोंदवही'!N33</f>
        <v>0</v>
      </c>
      <c r="O44" s="316">
        <f>'साठा नोंदवही'!O33</f>
        <v>0</v>
      </c>
      <c r="P44" s="316">
        <f>'साठा नोंदवही'!P33</f>
        <v>0</v>
      </c>
      <c r="Q44" s="316">
        <f>'साठा नोंदवही'!Q33</f>
        <v>0</v>
      </c>
      <c r="R44" s="316">
        <f>'साठा नोंदवही'!R33</f>
        <v>0</v>
      </c>
      <c r="S44" s="316">
        <f>'साठा नोंदवही'!S33</f>
        <v>2.5</v>
      </c>
      <c r="T44" s="316">
        <f>'साठा नोंदवही'!T33</f>
        <v>0</v>
      </c>
      <c r="U44" s="316">
        <f>'साठा नोंदवही'!U33</f>
        <v>0</v>
      </c>
      <c r="V44" s="316">
        <f>'साठा नोंदवही'!V33</f>
        <v>0</v>
      </c>
    </row>
    <row r="45" spans="1:22" ht="31.5" customHeight="1" x14ac:dyDescent="0.35">
      <c r="A45" s="1861"/>
      <c r="B45" s="1862"/>
      <c r="C45" s="1864"/>
      <c r="D45" s="498" t="s">
        <v>335</v>
      </c>
      <c r="E45" s="316">
        <f>'साठा नोंदवही'!E51</f>
        <v>0</v>
      </c>
      <c r="F45" s="316">
        <f>'साठा नोंदवही'!F51</f>
        <v>0</v>
      </c>
      <c r="G45" s="316">
        <f>'साठा नोंदवही'!G51</f>
        <v>0</v>
      </c>
      <c r="H45" s="316">
        <f>'साठा नोंदवही'!H51</f>
        <v>0</v>
      </c>
      <c r="I45" s="316">
        <f>'साठा नोंदवही'!I51</f>
        <v>0</v>
      </c>
      <c r="J45" s="316">
        <f>'साठा नोंदवही'!J51</f>
        <v>0</v>
      </c>
      <c r="K45" s="316">
        <f>'साठा नोंदवही'!K51</f>
        <v>0</v>
      </c>
      <c r="L45" s="316">
        <f>'साठा नोंदवही'!L51</f>
        <v>0</v>
      </c>
      <c r="M45" s="316">
        <f>'साठा नोंदवही'!M51</f>
        <v>0</v>
      </c>
      <c r="N45" s="316">
        <f>'साठा नोंदवही'!N51</f>
        <v>0</v>
      </c>
      <c r="O45" s="316">
        <f>'साठा नोंदवही'!O51</f>
        <v>0</v>
      </c>
      <c r="P45" s="316">
        <f>'साठा नोंदवही'!P51</f>
        <v>0</v>
      </c>
      <c r="Q45" s="316">
        <f>'साठा नोंदवही'!Q51</f>
        <v>0</v>
      </c>
      <c r="R45" s="316">
        <f>'साठा नोंदवही'!R51</f>
        <v>0</v>
      </c>
      <c r="S45" s="316">
        <f>'साठा नोंदवही'!S51</f>
        <v>0</v>
      </c>
      <c r="T45" s="316">
        <f>'साठा नोंदवही'!T51</f>
        <v>0</v>
      </c>
      <c r="U45" s="316">
        <f>'साठा नोंदवही'!U51</f>
        <v>0</v>
      </c>
      <c r="V45" s="316">
        <f>'साठा नोंदवही'!V51</f>
        <v>0</v>
      </c>
    </row>
    <row r="46" spans="1:22" ht="31.5" customHeight="1" x14ac:dyDescent="0.35">
      <c r="A46" s="1861"/>
      <c r="B46" s="1862"/>
      <c r="C46" s="1864"/>
      <c r="D46" s="498" t="s">
        <v>331</v>
      </c>
      <c r="E46" s="316">
        <f>(E43+E44-E45)</f>
        <v>50</v>
      </c>
      <c r="F46" s="316">
        <f t="shared" ref="F46:V46" si="7">(F43+F44-F45)</f>
        <v>5</v>
      </c>
      <c r="G46" s="316">
        <f t="shared" si="7"/>
        <v>0</v>
      </c>
      <c r="H46" s="316">
        <f t="shared" si="7"/>
        <v>0</v>
      </c>
      <c r="I46" s="316">
        <f t="shared" si="7"/>
        <v>0</v>
      </c>
      <c r="J46" s="316">
        <f t="shared" si="7"/>
        <v>0</v>
      </c>
      <c r="K46" s="316">
        <f t="shared" si="7"/>
        <v>0</v>
      </c>
      <c r="L46" s="316">
        <f t="shared" si="7"/>
        <v>5</v>
      </c>
      <c r="M46" s="316">
        <f t="shared" si="7"/>
        <v>5</v>
      </c>
      <c r="N46" s="316">
        <f t="shared" si="7"/>
        <v>0.4</v>
      </c>
      <c r="O46" s="316">
        <f t="shared" si="7"/>
        <v>0.3</v>
      </c>
      <c r="P46" s="316">
        <f t="shared" si="7"/>
        <v>0.3</v>
      </c>
      <c r="Q46" s="316">
        <f t="shared" si="7"/>
        <v>0</v>
      </c>
      <c r="R46" s="316">
        <f t="shared" si="7"/>
        <v>0</v>
      </c>
      <c r="S46" s="316">
        <f t="shared" si="7"/>
        <v>5</v>
      </c>
      <c r="T46" s="316">
        <f t="shared" si="7"/>
        <v>2</v>
      </c>
      <c r="U46" s="316">
        <f t="shared" si="7"/>
        <v>1</v>
      </c>
      <c r="V46" s="316">
        <f t="shared" si="7"/>
        <v>0</v>
      </c>
    </row>
    <row r="47" spans="1:22" ht="31.5" customHeight="1" x14ac:dyDescent="0.35">
      <c r="A47" s="1861"/>
      <c r="B47" s="1862"/>
      <c r="C47" s="1865"/>
      <c r="D47" s="498" t="s">
        <v>130</v>
      </c>
      <c r="E47" s="316">
        <f>'शिक्षक मानधन पावती'!JC45</f>
        <v>41.800000000000004</v>
      </c>
      <c r="F47" s="316">
        <f>'शिक्षक मानधन पावती'!JD45</f>
        <v>2.64</v>
      </c>
      <c r="G47" s="316">
        <f>'शिक्षक मानधन पावती'!JE45</f>
        <v>0</v>
      </c>
      <c r="H47" s="316">
        <f>'शिक्षक मानधन पावती'!JF45</f>
        <v>0</v>
      </c>
      <c r="I47" s="316">
        <f>'शिक्षक मानधन पावती'!JG45</f>
        <v>0</v>
      </c>
      <c r="J47" s="316">
        <f>'शिक्षक मानधन पावती'!JH45</f>
        <v>0</v>
      </c>
      <c r="K47" s="316">
        <f>'शिक्षक मानधन पावती'!JI45</f>
        <v>0</v>
      </c>
      <c r="L47" s="316">
        <f>'शिक्षक मानधन पावती'!JJ45</f>
        <v>2.64</v>
      </c>
      <c r="M47" s="316">
        <f>'शिक्षक मानधन पावती'!JK45</f>
        <v>3.08</v>
      </c>
      <c r="N47" s="316">
        <f>'शिक्षक मानधन पावती'!JL45</f>
        <v>0.12539999999999996</v>
      </c>
      <c r="O47" s="316">
        <f>'शिक्षक मानधन पावती'!JM45</f>
        <v>0.20900000000000005</v>
      </c>
      <c r="P47" s="316">
        <f>'शिक्षक मानधन पावती'!JN45</f>
        <v>0.12539999999999996</v>
      </c>
      <c r="Q47" s="316">
        <f>'शिक्षक मानधन पावती'!JO45</f>
        <v>0</v>
      </c>
      <c r="R47" s="316">
        <f>'शिक्षक मानधन पावती'!JP45</f>
        <v>0</v>
      </c>
      <c r="S47" s="316">
        <f>'शिक्षक मानधन पावती'!JQ45</f>
        <v>2.0900000000000007</v>
      </c>
      <c r="T47" s="316">
        <f>'शिक्षक मानधन पावती'!JR45</f>
        <v>0.83600000000000019</v>
      </c>
      <c r="U47" s="316">
        <f>'शिक्षक मानधन पावती'!JS45</f>
        <v>0.50159999999999982</v>
      </c>
      <c r="V47" s="316">
        <f>'शिक्षक मानधन पावती'!JT45</f>
        <v>0</v>
      </c>
    </row>
    <row r="48" spans="1:22" ht="31.5" customHeight="1" x14ac:dyDescent="0.35">
      <c r="A48" s="1861">
        <v>9</v>
      </c>
      <c r="B48" s="1862" t="s">
        <v>138</v>
      </c>
      <c r="C48" s="1863">
        <f>HOME!E2</f>
        <v>2022</v>
      </c>
      <c r="D48" s="498" t="s">
        <v>128</v>
      </c>
      <c r="E48" s="316">
        <f>'साठा नोंदवही'!E16</f>
        <v>0</v>
      </c>
      <c r="F48" s="316">
        <f>'साठा नोंदवही'!F16</f>
        <v>0</v>
      </c>
      <c r="G48" s="316">
        <f>'साठा नोंदवही'!G16</f>
        <v>0</v>
      </c>
      <c r="H48" s="316">
        <f>'साठा नोंदवही'!H16</f>
        <v>0</v>
      </c>
      <c r="I48" s="316">
        <f>'साठा नोंदवही'!I16</f>
        <v>0</v>
      </c>
      <c r="J48" s="316">
        <f>'साठा नोंदवही'!J16</f>
        <v>0</v>
      </c>
      <c r="K48" s="316">
        <f>'साठा नोंदवही'!K16</f>
        <v>0</v>
      </c>
      <c r="L48" s="316">
        <f>'साठा नोंदवही'!L16</f>
        <v>0</v>
      </c>
      <c r="M48" s="316">
        <f>'साठा नोंदवही'!M16</f>
        <v>0</v>
      </c>
      <c r="N48" s="316">
        <f>'साठा नोंदवही'!N16</f>
        <v>0</v>
      </c>
      <c r="O48" s="316">
        <f>'साठा नोंदवही'!O16</f>
        <v>0</v>
      </c>
      <c r="P48" s="316">
        <f>'साठा नोंदवही'!P16</f>
        <v>0</v>
      </c>
      <c r="Q48" s="316">
        <f>'साठा नोंदवही'!Q16</f>
        <v>0</v>
      </c>
      <c r="R48" s="316">
        <f>'साठा नोंदवही'!R16</f>
        <v>0</v>
      </c>
      <c r="S48" s="316">
        <f>'साठा नोंदवही'!S16</f>
        <v>0</v>
      </c>
      <c r="T48" s="316">
        <f>'साठा नोंदवही'!T16</f>
        <v>0</v>
      </c>
      <c r="U48" s="316">
        <f>'साठा नोंदवही'!U16</f>
        <v>0</v>
      </c>
      <c r="V48" s="316">
        <f>'साठा नोंदवही'!V16</f>
        <v>0</v>
      </c>
    </row>
    <row r="49" spans="1:22" ht="31.5" customHeight="1" x14ac:dyDescent="0.35">
      <c r="A49" s="1861"/>
      <c r="B49" s="1862"/>
      <c r="C49" s="1864"/>
      <c r="D49" s="498" t="s">
        <v>129</v>
      </c>
      <c r="E49" s="316">
        <f>'साठा नोंदवही'!E34</f>
        <v>30</v>
      </c>
      <c r="F49" s="316">
        <f>'साठा नोंदवही'!F34</f>
        <v>2</v>
      </c>
      <c r="G49" s="316">
        <f>'साठा नोंदवही'!G34</f>
        <v>0</v>
      </c>
      <c r="H49" s="316">
        <f>'साठा नोंदवही'!H34</f>
        <v>0</v>
      </c>
      <c r="I49" s="316">
        <f>'साठा नोंदवही'!I34</f>
        <v>0</v>
      </c>
      <c r="J49" s="316">
        <f>'साठा नोंदवही'!J34</f>
        <v>0</v>
      </c>
      <c r="K49" s="316">
        <f>'साठा नोंदवही'!K34</f>
        <v>0</v>
      </c>
      <c r="L49" s="316">
        <f>'साठा नोंदवही'!L34</f>
        <v>0</v>
      </c>
      <c r="M49" s="316">
        <f>'साठा नोंदवही'!M34</f>
        <v>0</v>
      </c>
      <c r="N49" s="316">
        <f>'साठा नोंदवही'!N34</f>
        <v>0</v>
      </c>
      <c r="O49" s="316">
        <f>'साठा नोंदवही'!O34</f>
        <v>0</v>
      </c>
      <c r="P49" s="316">
        <f>'साठा नोंदवही'!P34</f>
        <v>0</v>
      </c>
      <c r="Q49" s="316">
        <f>'साठा नोंदवही'!Q34</f>
        <v>0</v>
      </c>
      <c r="R49" s="316">
        <f>'साठा नोंदवही'!R34</f>
        <v>0</v>
      </c>
      <c r="S49" s="316">
        <f>'साठा नोंदवही'!S34</f>
        <v>3</v>
      </c>
      <c r="T49" s="316">
        <f>'साठा नोंदवही'!T34</f>
        <v>0</v>
      </c>
      <c r="U49" s="316">
        <f>'साठा नोंदवही'!U34</f>
        <v>0.5</v>
      </c>
      <c r="V49" s="316">
        <f>'साठा नोंदवही'!V34</f>
        <v>0</v>
      </c>
    </row>
    <row r="50" spans="1:22" ht="31.5" customHeight="1" x14ac:dyDescent="0.35">
      <c r="A50" s="1861"/>
      <c r="B50" s="1862"/>
      <c r="C50" s="1864"/>
      <c r="D50" s="498" t="s">
        <v>335</v>
      </c>
      <c r="E50" s="316">
        <f>'साठा नोंदवही'!E52</f>
        <v>0</v>
      </c>
      <c r="F50" s="316">
        <f>'साठा नोंदवही'!F52</f>
        <v>0</v>
      </c>
      <c r="G50" s="316">
        <f>'साठा नोंदवही'!G52</f>
        <v>0</v>
      </c>
      <c r="H50" s="316">
        <f>'साठा नोंदवही'!H52</f>
        <v>0</v>
      </c>
      <c r="I50" s="316">
        <f>'साठा नोंदवही'!I52</f>
        <v>0</v>
      </c>
      <c r="J50" s="316">
        <f>'साठा नोंदवही'!J52</f>
        <v>0</v>
      </c>
      <c r="K50" s="316">
        <f>'साठा नोंदवही'!K52</f>
        <v>0</v>
      </c>
      <c r="L50" s="316">
        <f>'साठा नोंदवही'!L52</f>
        <v>0</v>
      </c>
      <c r="M50" s="316">
        <f>'साठा नोंदवही'!M52</f>
        <v>0</v>
      </c>
      <c r="N50" s="316">
        <f>'साठा नोंदवही'!N52</f>
        <v>0</v>
      </c>
      <c r="O50" s="316">
        <f>'साठा नोंदवही'!O52</f>
        <v>0</v>
      </c>
      <c r="P50" s="316">
        <f>'साठा नोंदवही'!P52</f>
        <v>0</v>
      </c>
      <c r="Q50" s="316">
        <f>'साठा नोंदवही'!Q52</f>
        <v>0</v>
      </c>
      <c r="R50" s="316">
        <f>'साठा नोंदवही'!R52</f>
        <v>0</v>
      </c>
      <c r="S50" s="316">
        <f>'साठा नोंदवही'!S52</f>
        <v>0</v>
      </c>
      <c r="T50" s="316">
        <f>'साठा नोंदवही'!T52</f>
        <v>0</v>
      </c>
      <c r="U50" s="316">
        <f>'साठा नोंदवही'!U52</f>
        <v>0</v>
      </c>
      <c r="V50" s="316">
        <f>'साठा नोंदवही'!V52</f>
        <v>0</v>
      </c>
    </row>
    <row r="51" spans="1:22" ht="31.5" customHeight="1" x14ac:dyDescent="0.35">
      <c r="A51" s="1861"/>
      <c r="B51" s="1862"/>
      <c r="C51" s="1864"/>
      <c r="D51" s="498" t="s">
        <v>331</v>
      </c>
      <c r="E51" s="316">
        <f>(E48+E49-E50)</f>
        <v>30</v>
      </c>
      <c r="F51" s="316">
        <f t="shared" ref="F51:V51" si="8">(F48+F49-F50)</f>
        <v>2</v>
      </c>
      <c r="G51" s="316">
        <f t="shared" si="8"/>
        <v>0</v>
      </c>
      <c r="H51" s="316">
        <f t="shared" si="8"/>
        <v>0</v>
      </c>
      <c r="I51" s="316">
        <f t="shared" si="8"/>
        <v>0</v>
      </c>
      <c r="J51" s="316">
        <f t="shared" si="8"/>
        <v>0</v>
      </c>
      <c r="K51" s="316">
        <f t="shared" si="8"/>
        <v>0</v>
      </c>
      <c r="L51" s="316">
        <f t="shared" si="8"/>
        <v>0</v>
      </c>
      <c r="M51" s="316">
        <f t="shared" si="8"/>
        <v>0</v>
      </c>
      <c r="N51" s="316">
        <f t="shared" si="8"/>
        <v>0</v>
      </c>
      <c r="O51" s="316">
        <f t="shared" si="8"/>
        <v>0</v>
      </c>
      <c r="P51" s="316">
        <f t="shared" si="8"/>
        <v>0</v>
      </c>
      <c r="Q51" s="316">
        <f t="shared" si="8"/>
        <v>0</v>
      </c>
      <c r="R51" s="316">
        <f t="shared" si="8"/>
        <v>0</v>
      </c>
      <c r="S51" s="316">
        <f t="shared" si="8"/>
        <v>3</v>
      </c>
      <c r="T51" s="316">
        <f t="shared" si="8"/>
        <v>0</v>
      </c>
      <c r="U51" s="316">
        <f t="shared" si="8"/>
        <v>0.5</v>
      </c>
      <c r="V51" s="316">
        <f t="shared" si="8"/>
        <v>0</v>
      </c>
    </row>
    <row r="52" spans="1:22" ht="31.5" customHeight="1" x14ac:dyDescent="0.35">
      <c r="A52" s="1861"/>
      <c r="B52" s="1862"/>
      <c r="C52" s="1865"/>
      <c r="D52" s="498" t="s">
        <v>130</v>
      </c>
      <c r="E52" s="316">
        <f>'शिक्षक मानधन पावती'!KF45</f>
        <v>54.700000000000024</v>
      </c>
      <c r="F52" s="316">
        <f>'शिक्षक मानधन पावती'!KG45</f>
        <v>3.78</v>
      </c>
      <c r="G52" s="316">
        <f>'शिक्षक मानधन पावती'!KH45</f>
        <v>0</v>
      </c>
      <c r="H52" s="316">
        <f>'शिक्षक मानधन पावती'!KI45</f>
        <v>0</v>
      </c>
      <c r="I52" s="316">
        <f>'शिक्षक मानधन पावती'!KJ45</f>
        <v>0</v>
      </c>
      <c r="J52" s="316">
        <f>'शिक्षक मानधन पावती'!KK45</f>
        <v>0</v>
      </c>
      <c r="K52" s="316">
        <f>'शिक्षक मानधन पावती'!KL45</f>
        <v>0</v>
      </c>
      <c r="L52" s="316">
        <f>'शिक्षक मानधन पावती'!KM45</f>
        <v>3.38</v>
      </c>
      <c r="M52" s="316">
        <f>'शिक्षक मानधन पावती'!KN45</f>
        <v>3.78</v>
      </c>
      <c r="N52" s="316">
        <f>'शिक्षक मानधन पावती'!KO45</f>
        <v>0.1641</v>
      </c>
      <c r="O52" s="316">
        <f>'शिक्षक मानधन पावती'!KP45</f>
        <v>0.27350000000000008</v>
      </c>
      <c r="P52" s="316">
        <f>'शिक्षक मानधन पावती'!KQ45</f>
        <v>0.1641</v>
      </c>
      <c r="Q52" s="316">
        <f>'शिक्षक मानधन पावती'!KR45</f>
        <v>0</v>
      </c>
      <c r="R52" s="316">
        <f>'शिक्षक मानधन पावती'!KS45</f>
        <v>0</v>
      </c>
      <c r="S52" s="316">
        <f>'शिक्षक मानधन पावती'!KT45</f>
        <v>2.7349999999999999</v>
      </c>
      <c r="T52" s="316">
        <f>'शिक्षक मानधन पावती'!KU45</f>
        <v>1.0940000000000003</v>
      </c>
      <c r="U52" s="316">
        <f>'शिक्षक मानधन पावती'!KV45</f>
        <v>0.65639999999999998</v>
      </c>
      <c r="V52" s="316">
        <f>'शिक्षक मानधन पावती'!KW45</f>
        <v>0</v>
      </c>
    </row>
    <row r="53" spans="1:22" ht="31.5" customHeight="1" x14ac:dyDescent="0.35">
      <c r="A53" s="1861">
        <v>10</v>
      </c>
      <c r="B53" s="1862" t="s">
        <v>139</v>
      </c>
      <c r="C53" s="1863">
        <f>HOME!F2</f>
        <v>2023</v>
      </c>
      <c r="D53" s="498" t="s">
        <v>128</v>
      </c>
      <c r="E53" s="316">
        <f>'साठा नोंदवही'!E17</f>
        <v>0</v>
      </c>
      <c r="F53" s="316">
        <f>'साठा नोंदवही'!F17</f>
        <v>0</v>
      </c>
      <c r="G53" s="316">
        <f>'साठा नोंदवही'!G17</f>
        <v>0</v>
      </c>
      <c r="H53" s="316">
        <f>'साठा नोंदवही'!H17</f>
        <v>0</v>
      </c>
      <c r="I53" s="316">
        <f>'साठा नोंदवही'!I17</f>
        <v>0</v>
      </c>
      <c r="J53" s="316">
        <f>'साठा नोंदवही'!J17</f>
        <v>0</v>
      </c>
      <c r="K53" s="316">
        <f>'साठा नोंदवही'!K17</f>
        <v>0</v>
      </c>
      <c r="L53" s="316">
        <f>'साठा नोंदवही'!L17</f>
        <v>0</v>
      </c>
      <c r="M53" s="316">
        <f>'साठा नोंदवही'!M17</f>
        <v>0</v>
      </c>
      <c r="N53" s="316">
        <f>'साठा नोंदवही'!N17</f>
        <v>0</v>
      </c>
      <c r="O53" s="316">
        <f>'साठा नोंदवही'!O17</f>
        <v>0</v>
      </c>
      <c r="P53" s="316">
        <f>'साठा नोंदवही'!P17</f>
        <v>0</v>
      </c>
      <c r="Q53" s="316">
        <f>'साठा नोंदवही'!Q17</f>
        <v>0</v>
      </c>
      <c r="R53" s="316">
        <f>'साठा नोंदवही'!R17</f>
        <v>0</v>
      </c>
      <c r="S53" s="316">
        <f>'साठा नोंदवही'!S17</f>
        <v>0</v>
      </c>
      <c r="T53" s="316">
        <f>'साठा नोंदवही'!T17</f>
        <v>0</v>
      </c>
      <c r="U53" s="316">
        <f>'साठा नोंदवही'!U17</f>
        <v>0</v>
      </c>
      <c r="V53" s="316">
        <f>'साठा नोंदवही'!V17</f>
        <v>0</v>
      </c>
    </row>
    <row r="54" spans="1:22" ht="31.5" customHeight="1" x14ac:dyDescent="0.35">
      <c r="A54" s="1861"/>
      <c r="B54" s="1862"/>
      <c r="C54" s="1864"/>
      <c r="D54" s="498" t="s">
        <v>129</v>
      </c>
      <c r="E54" s="316">
        <f>'साठा नोंदवही'!E35</f>
        <v>0</v>
      </c>
      <c r="F54" s="316">
        <f>'साठा नोंदवही'!F35</f>
        <v>0</v>
      </c>
      <c r="G54" s="316">
        <f>'साठा नोंदवही'!G35</f>
        <v>0</v>
      </c>
      <c r="H54" s="316">
        <f>'साठा नोंदवही'!H35</f>
        <v>0</v>
      </c>
      <c r="I54" s="316">
        <f>'साठा नोंदवही'!I35</f>
        <v>0</v>
      </c>
      <c r="J54" s="316">
        <f>'साठा नोंदवही'!J35</f>
        <v>0</v>
      </c>
      <c r="K54" s="316">
        <f>'साठा नोंदवही'!K35</f>
        <v>0</v>
      </c>
      <c r="L54" s="316">
        <f>'साठा नोंदवही'!L35</f>
        <v>0</v>
      </c>
      <c r="M54" s="316">
        <f>'साठा नोंदवही'!M35</f>
        <v>0</v>
      </c>
      <c r="N54" s="316">
        <f>'साठा नोंदवही'!N35</f>
        <v>0</v>
      </c>
      <c r="O54" s="316">
        <f>'साठा नोंदवही'!O35</f>
        <v>0</v>
      </c>
      <c r="P54" s="316">
        <f>'साठा नोंदवही'!P35</f>
        <v>0</v>
      </c>
      <c r="Q54" s="316">
        <f>'साठा नोंदवही'!Q35</f>
        <v>0</v>
      </c>
      <c r="R54" s="316">
        <f>'साठा नोंदवही'!R35</f>
        <v>0</v>
      </c>
      <c r="S54" s="316">
        <f>'साठा नोंदवही'!S35</f>
        <v>0</v>
      </c>
      <c r="T54" s="316">
        <f>'साठा नोंदवही'!T35</f>
        <v>0</v>
      </c>
      <c r="U54" s="316">
        <f>'साठा नोंदवही'!U35</f>
        <v>0</v>
      </c>
      <c r="V54" s="316">
        <f>'साठा नोंदवही'!V35</f>
        <v>0</v>
      </c>
    </row>
    <row r="55" spans="1:22" ht="31.5" customHeight="1" x14ac:dyDescent="0.35">
      <c r="A55" s="1861"/>
      <c r="B55" s="1862"/>
      <c r="C55" s="1864"/>
      <c r="D55" s="498" t="s">
        <v>335</v>
      </c>
      <c r="E55" s="316">
        <f>'साठा नोंदवही'!E53</f>
        <v>0</v>
      </c>
      <c r="F55" s="316">
        <f>'साठा नोंदवही'!F53</f>
        <v>0</v>
      </c>
      <c r="G55" s="316">
        <f>'साठा नोंदवही'!G53</f>
        <v>0</v>
      </c>
      <c r="H55" s="316">
        <f>'साठा नोंदवही'!H53</f>
        <v>0</v>
      </c>
      <c r="I55" s="316">
        <f>'साठा नोंदवही'!I53</f>
        <v>0</v>
      </c>
      <c r="J55" s="316">
        <f>'साठा नोंदवही'!J53</f>
        <v>0</v>
      </c>
      <c r="K55" s="316">
        <f>'साठा नोंदवही'!K53</f>
        <v>0</v>
      </c>
      <c r="L55" s="316">
        <f>'साठा नोंदवही'!L53</f>
        <v>0</v>
      </c>
      <c r="M55" s="316">
        <f>'साठा नोंदवही'!M53</f>
        <v>0</v>
      </c>
      <c r="N55" s="316">
        <f>'साठा नोंदवही'!N53</f>
        <v>0</v>
      </c>
      <c r="O55" s="316">
        <f>'साठा नोंदवही'!O53</f>
        <v>0</v>
      </c>
      <c r="P55" s="316">
        <f>'साठा नोंदवही'!P53</f>
        <v>0</v>
      </c>
      <c r="Q55" s="316">
        <f>'साठा नोंदवही'!Q53</f>
        <v>0</v>
      </c>
      <c r="R55" s="316">
        <f>'साठा नोंदवही'!R53</f>
        <v>0</v>
      </c>
      <c r="S55" s="316">
        <f>'साठा नोंदवही'!S53</f>
        <v>0</v>
      </c>
      <c r="T55" s="316">
        <f>'साठा नोंदवही'!T53</f>
        <v>0</v>
      </c>
      <c r="U55" s="316">
        <f>'साठा नोंदवही'!U53</f>
        <v>0</v>
      </c>
      <c r="V55" s="316">
        <f>'साठा नोंदवही'!V53</f>
        <v>0</v>
      </c>
    </row>
    <row r="56" spans="1:22" ht="31.5" customHeight="1" x14ac:dyDescent="0.35">
      <c r="A56" s="1861"/>
      <c r="B56" s="1862"/>
      <c r="C56" s="1864"/>
      <c r="D56" s="498" t="s">
        <v>331</v>
      </c>
      <c r="E56" s="316">
        <f>(E53+E54-E55)</f>
        <v>0</v>
      </c>
      <c r="F56" s="316">
        <f t="shared" ref="F56:V56" si="9">(F53+F54-F55)</f>
        <v>0</v>
      </c>
      <c r="G56" s="316">
        <f t="shared" si="9"/>
        <v>0</v>
      </c>
      <c r="H56" s="316">
        <f t="shared" si="9"/>
        <v>0</v>
      </c>
      <c r="I56" s="316">
        <f t="shared" si="9"/>
        <v>0</v>
      </c>
      <c r="J56" s="316">
        <f t="shared" si="9"/>
        <v>0</v>
      </c>
      <c r="K56" s="316">
        <f t="shared" si="9"/>
        <v>0</v>
      </c>
      <c r="L56" s="316">
        <f t="shared" si="9"/>
        <v>0</v>
      </c>
      <c r="M56" s="316">
        <f t="shared" si="9"/>
        <v>0</v>
      </c>
      <c r="N56" s="316">
        <f t="shared" si="9"/>
        <v>0</v>
      </c>
      <c r="O56" s="316">
        <f t="shared" si="9"/>
        <v>0</v>
      </c>
      <c r="P56" s="316">
        <f t="shared" si="9"/>
        <v>0</v>
      </c>
      <c r="Q56" s="316">
        <f t="shared" si="9"/>
        <v>0</v>
      </c>
      <c r="R56" s="316">
        <f t="shared" si="9"/>
        <v>0</v>
      </c>
      <c r="S56" s="316">
        <f t="shared" si="9"/>
        <v>0</v>
      </c>
      <c r="T56" s="316">
        <f t="shared" si="9"/>
        <v>0</v>
      </c>
      <c r="U56" s="316">
        <f t="shared" si="9"/>
        <v>0</v>
      </c>
      <c r="V56" s="316">
        <f t="shared" si="9"/>
        <v>0</v>
      </c>
    </row>
    <row r="57" spans="1:22" ht="31.5" customHeight="1" x14ac:dyDescent="0.35">
      <c r="A57" s="1861"/>
      <c r="B57" s="1862"/>
      <c r="C57" s="1865"/>
      <c r="D57" s="498" t="s">
        <v>130</v>
      </c>
      <c r="E57" s="316">
        <f>'शिक्षक मानधन पावती'!LI45</f>
        <v>0</v>
      </c>
      <c r="F57" s="316">
        <f>'शिक्षक मानधन पावती'!LJ45</f>
        <v>0</v>
      </c>
      <c r="G57" s="316">
        <f>'शिक्षक मानधन पावती'!LK45</f>
        <v>0</v>
      </c>
      <c r="H57" s="316">
        <f>'शिक्षक मानधन पावती'!LL45</f>
        <v>0</v>
      </c>
      <c r="I57" s="316">
        <f>'शिक्षक मानधन पावती'!LM45</f>
        <v>0</v>
      </c>
      <c r="J57" s="316">
        <f>'शिक्षक मानधन पावती'!LN45</f>
        <v>0</v>
      </c>
      <c r="K57" s="316">
        <f>'शिक्षक मानधन पावती'!LO45</f>
        <v>0</v>
      </c>
      <c r="L57" s="316">
        <f>'शिक्षक मानधन पावती'!LP45</f>
        <v>0</v>
      </c>
      <c r="M57" s="316">
        <f>'शिक्षक मानधन पावती'!LQ45</f>
        <v>0</v>
      </c>
      <c r="N57" s="316">
        <f>'शिक्षक मानधन पावती'!LR45</f>
        <v>0</v>
      </c>
      <c r="O57" s="316">
        <f>'शिक्षक मानधन पावती'!LS45</f>
        <v>0</v>
      </c>
      <c r="P57" s="316">
        <f>'शिक्षक मानधन पावती'!LT45</f>
        <v>0</v>
      </c>
      <c r="Q57" s="316">
        <f>'शिक्षक मानधन पावती'!LU45</f>
        <v>0</v>
      </c>
      <c r="R57" s="316">
        <f>'शिक्षक मानधन पावती'!LV45</f>
        <v>0</v>
      </c>
      <c r="S57" s="316">
        <f>'शिक्षक मानधन पावती'!LW45</f>
        <v>0</v>
      </c>
      <c r="T57" s="316">
        <f>'शिक्षक मानधन पावती'!LX45</f>
        <v>0</v>
      </c>
      <c r="U57" s="316">
        <f>'शिक्षक मानधन पावती'!LY45</f>
        <v>0</v>
      </c>
      <c r="V57" s="316">
        <f>'शिक्षक मानधन पावती'!LZ45</f>
        <v>0</v>
      </c>
    </row>
    <row r="58" spans="1:22" ht="31.5" customHeight="1" x14ac:dyDescent="0.35">
      <c r="A58" s="1861">
        <v>11</v>
      </c>
      <c r="B58" s="1862" t="s">
        <v>140</v>
      </c>
      <c r="C58" s="1863">
        <f>HOME!F2</f>
        <v>2023</v>
      </c>
      <c r="D58" s="498" t="s">
        <v>128</v>
      </c>
      <c r="E58" s="316">
        <f>'साठा नोंदवही'!E18</f>
        <v>0</v>
      </c>
      <c r="F58" s="316">
        <f>'साठा नोंदवही'!F18</f>
        <v>0</v>
      </c>
      <c r="G58" s="316">
        <f>'साठा नोंदवही'!G18</f>
        <v>0</v>
      </c>
      <c r="H58" s="316">
        <f>'साठा नोंदवही'!H18</f>
        <v>0</v>
      </c>
      <c r="I58" s="316">
        <f>'साठा नोंदवही'!I18</f>
        <v>0</v>
      </c>
      <c r="J58" s="316">
        <f>'साठा नोंदवही'!J18</f>
        <v>0</v>
      </c>
      <c r="K58" s="316">
        <f>'साठा नोंदवही'!K18</f>
        <v>0</v>
      </c>
      <c r="L58" s="316">
        <f>'साठा नोंदवही'!L18</f>
        <v>0</v>
      </c>
      <c r="M58" s="316">
        <f>'साठा नोंदवही'!M18</f>
        <v>0</v>
      </c>
      <c r="N58" s="316">
        <f>'साठा नोंदवही'!N18</f>
        <v>0</v>
      </c>
      <c r="O58" s="316">
        <f>'साठा नोंदवही'!O18</f>
        <v>0</v>
      </c>
      <c r="P58" s="316">
        <f>'साठा नोंदवही'!P18</f>
        <v>0</v>
      </c>
      <c r="Q58" s="316">
        <f>'साठा नोंदवही'!Q18</f>
        <v>0</v>
      </c>
      <c r="R58" s="316">
        <f>'साठा नोंदवही'!R18</f>
        <v>0</v>
      </c>
      <c r="S58" s="316">
        <f>'साठा नोंदवही'!S18</f>
        <v>0</v>
      </c>
      <c r="T58" s="316">
        <f>'साठा नोंदवही'!T18</f>
        <v>0</v>
      </c>
      <c r="U58" s="316">
        <f>'साठा नोंदवही'!U18</f>
        <v>0</v>
      </c>
      <c r="V58" s="316">
        <f>'साठा नोंदवही'!V18</f>
        <v>0</v>
      </c>
    </row>
    <row r="59" spans="1:22" ht="31.5" customHeight="1" x14ac:dyDescent="0.35">
      <c r="A59" s="1861"/>
      <c r="B59" s="1862"/>
      <c r="C59" s="1864"/>
      <c r="D59" s="498" t="s">
        <v>129</v>
      </c>
      <c r="E59" s="316">
        <f>'साठा नोंदवही'!E36</f>
        <v>0</v>
      </c>
      <c r="F59" s="316">
        <f>'साठा नोंदवही'!F36</f>
        <v>0</v>
      </c>
      <c r="G59" s="316">
        <f>'साठा नोंदवही'!G36</f>
        <v>0</v>
      </c>
      <c r="H59" s="316">
        <f>'साठा नोंदवही'!H36</f>
        <v>0</v>
      </c>
      <c r="I59" s="316">
        <f>'साठा नोंदवही'!I36</f>
        <v>0</v>
      </c>
      <c r="J59" s="316">
        <f>'साठा नोंदवही'!J36</f>
        <v>0</v>
      </c>
      <c r="K59" s="316">
        <f>'साठा नोंदवही'!K36</f>
        <v>0</v>
      </c>
      <c r="L59" s="316">
        <f>'साठा नोंदवही'!L36</f>
        <v>0</v>
      </c>
      <c r="M59" s="316">
        <f>'साठा नोंदवही'!M36</f>
        <v>0</v>
      </c>
      <c r="N59" s="316">
        <f>'साठा नोंदवही'!N36</f>
        <v>0</v>
      </c>
      <c r="O59" s="316">
        <f>'साठा नोंदवही'!O36</f>
        <v>0</v>
      </c>
      <c r="P59" s="316">
        <f>'साठा नोंदवही'!P36</f>
        <v>0</v>
      </c>
      <c r="Q59" s="316">
        <f>'साठा नोंदवही'!Q36</f>
        <v>0</v>
      </c>
      <c r="R59" s="316">
        <f>'साठा नोंदवही'!R36</f>
        <v>0</v>
      </c>
      <c r="S59" s="316">
        <f>'साठा नोंदवही'!S36</f>
        <v>0</v>
      </c>
      <c r="T59" s="316">
        <f>'साठा नोंदवही'!T36</f>
        <v>0</v>
      </c>
      <c r="U59" s="316">
        <f>'साठा नोंदवही'!U36</f>
        <v>0</v>
      </c>
      <c r="V59" s="316">
        <f>'साठा नोंदवही'!V36</f>
        <v>0</v>
      </c>
    </row>
    <row r="60" spans="1:22" ht="31.5" customHeight="1" x14ac:dyDescent="0.35">
      <c r="A60" s="1861"/>
      <c r="B60" s="1862"/>
      <c r="C60" s="1864"/>
      <c r="D60" s="498" t="s">
        <v>335</v>
      </c>
      <c r="E60" s="316">
        <f>'साठा नोंदवही'!E54</f>
        <v>0</v>
      </c>
      <c r="F60" s="316">
        <f>'साठा नोंदवही'!F54</f>
        <v>0</v>
      </c>
      <c r="G60" s="316">
        <f>'साठा नोंदवही'!G54</f>
        <v>0</v>
      </c>
      <c r="H60" s="316">
        <f>'साठा नोंदवही'!H54</f>
        <v>0</v>
      </c>
      <c r="I60" s="316">
        <f>'साठा नोंदवही'!I54</f>
        <v>0</v>
      </c>
      <c r="J60" s="316">
        <f>'साठा नोंदवही'!J54</f>
        <v>0</v>
      </c>
      <c r="K60" s="316">
        <f>'साठा नोंदवही'!K54</f>
        <v>0</v>
      </c>
      <c r="L60" s="316">
        <f>'साठा नोंदवही'!L54</f>
        <v>0</v>
      </c>
      <c r="M60" s="316">
        <f>'साठा नोंदवही'!M54</f>
        <v>0</v>
      </c>
      <c r="N60" s="316">
        <f>'साठा नोंदवही'!N54</f>
        <v>0</v>
      </c>
      <c r="O60" s="316">
        <f>'साठा नोंदवही'!O54</f>
        <v>0</v>
      </c>
      <c r="P60" s="316">
        <f>'साठा नोंदवही'!P54</f>
        <v>0</v>
      </c>
      <c r="Q60" s="316">
        <f>'साठा नोंदवही'!Q54</f>
        <v>0</v>
      </c>
      <c r="R60" s="316">
        <f>'साठा नोंदवही'!R54</f>
        <v>0</v>
      </c>
      <c r="S60" s="316">
        <f>'साठा नोंदवही'!S54</f>
        <v>0</v>
      </c>
      <c r="T60" s="316">
        <f>'साठा नोंदवही'!T54</f>
        <v>0</v>
      </c>
      <c r="U60" s="316">
        <f>'साठा नोंदवही'!U54</f>
        <v>0</v>
      </c>
      <c r="V60" s="316">
        <f>'साठा नोंदवही'!V54</f>
        <v>0</v>
      </c>
    </row>
    <row r="61" spans="1:22" ht="31.5" customHeight="1" x14ac:dyDescent="0.35">
      <c r="A61" s="1861"/>
      <c r="B61" s="1862"/>
      <c r="C61" s="1864"/>
      <c r="D61" s="498" t="s">
        <v>331</v>
      </c>
      <c r="E61" s="316">
        <f>(E58+E59-E60)</f>
        <v>0</v>
      </c>
      <c r="F61" s="316">
        <f t="shared" ref="F61:V61" si="10">(F58+F59-F60)</f>
        <v>0</v>
      </c>
      <c r="G61" s="316">
        <f t="shared" si="10"/>
        <v>0</v>
      </c>
      <c r="H61" s="316">
        <f t="shared" si="10"/>
        <v>0</v>
      </c>
      <c r="I61" s="316">
        <f t="shared" si="10"/>
        <v>0</v>
      </c>
      <c r="J61" s="316">
        <f t="shared" si="10"/>
        <v>0</v>
      </c>
      <c r="K61" s="316">
        <f t="shared" si="10"/>
        <v>0</v>
      </c>
      <c r="L61" s="316">
        <f t="shared" si="10"/>
        <v>0</v>
      </c>
      <c r="M61" s="316">
        <f t="shared" si="10"/>
        <v>0</v>
      </c>
      <c r="N61" s="316">
        <f t="shared" si="10"/>
        <v>0</v>
      </c>
      <c r="O61" s="316">
        <f t="shared" si="10"/>
        <v>0</v>
      </c>
      <c r="P61" s="316">
        <f t="shared" si="10"/>
        <v>0</v>
      </c>
      <c r="Q61" s="316">
        <f t="shared" si="10"/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</row>
    <row r="62" spans="1:22" ht="31.5" customHeight="1" x14ac:dyDescent="0.35">
      <c r="A62" s="1861"/>
      <c r="B62" s="1862"/>
      <c r="C62" s="1865"/>
      <c r="D62" s="498" t="s">
        <v>130</v>
      </c>
      <c r="E62" s="316">
        <f>'शिक्षक मानधन पावती'!ML45</f>
        <v>0</v>
      </c>
      <c r="F62" s="316">
        <f>'शिक्षक मानधन पावती'!MM45</f>
        <v>0</v>
      </c>
      <c r="G62" s="316">
        <f>'शिक्षक मानधन पावती'!MN45</f>
        <v>0</v>
      </c>
      <c r="H62" s="316">
        <f>'शिक्षक मानधन पावती'!MO45</f>
        <v>0</v>
      </c>
      <c r="I62" s="316">
        <f>'शिक्षक मानधन पावती'!MP45</f>
        <v>0</v>
      </c>
      <c r="J62" s="316">
        <f>'शिक्षक मानधन पावती'!MQ45</f>
        <v>0</v>
      </c>
      <c r="K62" s="316">
        <f>'शिक्षक मानधन पावती'!MR45</f>
        <v>0</v>
      </c>
      <c r="L62" s="316">
        <f>'शिक्षक मानधन पावती'!MS45</f>
        <v>0</v>
      </c>
      <c r="M62" s="316">
        <f>'शिक्षक मानधन पावती'!MT45</f>
        <v>0</v>
      </c>
      <c r="N62" s="316">
        <f>'शिक्षक मानधन पावती'!MU45</f>
        <v>0</v>
      </c>
      <c r="O62" s="316">
        <f>'शिक्षक मानधन पावती'!MV45</f>
        <v>0</v>
      </c>
      <c r="P62" s="316">
        <f>'शिक्षक मानधन पावती'!MW45</f>
        <v>0</v>
      </c>
      <c r="Q62" s="316">
        <f>'शिक्षक मानधन पावती'!MX45</f>
        <v>0</v>
      </c>
      <c r="R62" s="316">
        <f>'शिक्षक मानधन पावती'!MY45</f>
        <v>0</v>
      </c>
      <c r="S62" s="316">
        <f>'शिक्षक मानधन पावती'!MZ45</f>
        <v>0</v>
      </c>
      <c r="T62" s="316">
        <f>'शिक्षक मानधन पावती'!NA45</f>
        <v>0</v>
      </c>
      <c r="U62" s="316">
        <f>'शिक्षक मानधन पावती'!NB45</f>
        <v>0</v>
      </c>
      <c r="V62" s="316">
        <f>'शिक्षक मानधन पावती'!NC45</f>
        <v>0</v>
      </c>
    </row>
    <row r="63" spans="1:22" ht="31.5" customHeight="1" x14ac:dyDescent="0.35">
      <c r="A63" s="1861">
        <v>12</v>
      </c>
      <c r="B63" s="1862" t="s">
        <v>141</v>
      </c>
      <c r="C63" s="1863">
        <f>HOME!F2</f>
        <v>2023</v>
      </c>
      <c r="D63" s="498" t="s">
        <v>128</v>
      </c>
      <c r="E63" s="316">
        <f>'साठा नोंदवही'!E19</f>
        <v>0</v>
      </c>
      <c r="F63" s="316">
        <f>'साठा नोंदवही'!F19</f>
        <v>0</v>
      </c>
      <c r="G63" s="316">
        <f>'साठा नोंदवही'!G19</f>
        <v>0</v>
      </c>
      <c r="H63" s="316">
        <f>'साठा नोंदवही'!H19</f>
        <v>0</v>
      </c>
      <c r="I63" s="316">
        <f>'साठा नोंदवही'!I19</f>
        <v>0</v>
      </c>
      <c r="J63" s="316">
        <f>'साठा नोंदवही'!J19</f>
        <v>0</v>
      </c>
      <c r="K63" s="316">
        <f>'साठा नोंदवही'!K19</f>
        <v>0</v>
      </c>
      <c r="L63" s="316">
        <f>'साठा नोंदवही'!L19</f>
        <v>0</v>
      </c>
      <c r="M63" s="316">
        <f>'साठा नोंदवही'!M19</f>
        <v>0</v>
      </c>
      <c r="N63" s="316">
        <f>'साठा नोंदवही'!N19</f>
        <v>0</v>
      </c>
      <c r="O63" s="316">
        <f>'साठा नोंदवही'!O19</f>
        <v>0</v>
      </c>
      <c r="P63" s="316">
        <f>'साठा नोंदवही'!P19</f>
        <v>0</v>
      </c>
      <c r="Q63" s="316">
        <f>'साठा नोंदवही'!Q19</f>
        <v>0</v>
      </c>
      <c r="R63" s="316">
        <f>'साठा नोंदवही'!R19</f>
        <v>0</v>
      </c>
      <c r="S63" s="316">
        <f>'साठा नोंदवही'!S19</f>
        <v>0</v>
      </c>
      <c r="T63" s="316">
        <f>'साठा नोंदवही'!T19</f>
        <v>0</v>
      </c>
      <c r="U63" s="316">
        <f>'साठा नोंदवही'!U19</f>
        <v>0</v>
      </c>
      <c r="V63" s="316">
        <f>'साठा नोंदवही'!V19</f>
        <v>0</v>
      </c>
    </row>
    <row r="64" spans="1:22" ht="31.5" customHeight="1" x14ac:dyDescent="0.35">
      <c r="A64" s="1861"/>
      <c r="B64" s="1862"/>
      <c r="C64" s="1864"/>
      <c r="D64" s="498" t="s">
        <v>129</v>
      </c>
      <c r="E64" s="316">
        <f>'साठा नोंदवही'!E37</f>
        <v>0</v>
      </c>
      <c r="F64" s="316">
        <f>'साठा नोंदवही'!F37</f>
        <v>0</v>
      </c>
      <c r="G64" s="316">
        <f>'साठा नोंदवही'!G37</f>
        <v>0</v>
      </c>
      <c r="H64" s="316">
        <f>'साठा नोंदवही'!H37</f>
        <v>0</v>
      </c>
      <c r="I64" s="316">
        <f>'साठा नोंदवही'!I37</f>
        <v>0</v>
      </c>
      <c r="J64" s="316">
        <f>'साठा नोंदवही'!J37</f>
        <v>0</v>
      </c>
      <c r="K64" s="316">
        <f>'साठा नोंदवही'!K37</f>
        <v>0</v>
      </c>
      <c r="L64" s="316">
        <f>'साठा नोंदवही'!L37</f>
        <v>0</v>
      </c>
      <c r="M64" s="316">
        <f>'साठा नोंदवही'!M37</f>
        <v>0</v>
      </c>
      <c r="N64" s="316">
        <f>'साठा नोंदवही'!N37</f>
        <v>0</v>
      </c>
      <c r="O64" s="316">
        <f>'साठा नोंदवही'!O37</f>
        <v>0</v>
      </c>
      <c r="P64" s="316">
        <f>'साठा नोंदवही'!P37</f>
        <v>0</v>
      </c>
      <c r="Q64" s="316">
        <f>'साठा नोंदवही'!Q37</f>
        <v>0</v>
      </c>
      <c r="R64" s="316">
        <f>'साठा नोंदवही'!R37</f>
        <v>0</v>
      </c>
      <c r="S64" s="316">
        <f>'साठा नोंदवही'!S37</f>
        <v>0</v>
      </c>
      <c r="T64" s="316">
        <f>'साठा नोंदवही'!T37</f>
        <v>0</v>
      </c>
      <c r="U64" s="316">
        <f>'साठा नोंदवही'!U37</f>
        <v>0</v>
      </c>
      <c r="V64" s="316">
        <f>'साठा नोंदवही'!V37</f>
        <v>0</v>
      </c>
    </row>
    <row r="65" spans="1:22" ht="31.5" customHeight="1" x14ac:dyDescent="0.35">
      <c r="A65" s="1861"/>
      <c r="B65" s="1862"/>
      <c r="C65" s="1864"/>
      <c r="D65" s="498" t="s">
        <v>335</v>
      </c>
      <c r="E65" s="316">
        <f>'साठा नोंदवही'!E55</f>
        <v>0</v>
      </c>
      <c r="F65" s="316">
        <f>'साठा नोंदवही'!F55</f>
        <v>0</v>
      </c>
      <c r="G65" s="316">
        <f>'साठा नोंदवही'!G55</f>
        <v>0</v>
      </c>
      <c r="H65" s="316">
        <f>'साठा नोंदवही'!H55</f>
        <v>0</v>
      </c>
      <c r="I65" s="316">
        <f>'साठा नोंदवही'!I55</f>
        <v>0</v>
      </c>
      <c r="J65" s="316">
        <f>'साठा नोंदवही'!J55</f>
        <v>0</v>
      </c>
      <c r="K65" s="316">
        <f>'साठा नोंदवही'!K55</f>
        <v>0</v>
      </c>
      <c r="L65" s="316">
        <f>'साठा नोंदवही'!L55</f>
        <v>0</v>
      </c>
      <c r="M65" s="316">
        <f>'साठा नोंदवही'!M55</f>
        <v>0</v>
      </c>
      <c r="N65" s="316">
        <f>'साठा नोंदवही'!N55</f>
        <v>0</v>
      </c>
      <c r="O65" s="316">
        <f>'साठा नोंदवही'!O55</f>
        <v>0</v>
      </c>
      <c r="P65" s="316">
        <f>'साठा नोंदवही'!P55</f>
        <v>0</v>
      </c>
      <c r="Q65" s="316">
        <f>'साठा नोंदवही'!Q55</f>
        <v>0</v>
      </c>
      <c r="R65" s="316">
        <f>'साठा नोंदवही'!R55</f>
        <v>0</v>
      </c>
      <c r="S65" s="316">
        <f>'साठा नोंदवही'!S55</f>
        <v>0</v>
      </c>
      <c r="T65" s="316">
        <f>'साठा नोंदवही'!T55</f>
        <v>0</v>
      </c>
      <c r="U65" s="316">
        <f>'साठा नोंदवही'!U55</f>
        <v>0</v>
      </c>
      <c r="V65" s="316">
        <f>'साठा नोंदवही'!V55</f>
        <v>0</v>
      </c>
    </row>
    <row r="66" spans="1:22" ht="31.5" customHeight="1" x14ac:dyDescent="0.35">
      <c r="A66" s="1861"/>
      <c r="B66" s="1862"/>
      <c r="C66" s="1864"/>
      <c r="D66" s="498" t="s">
        <v>331</v>
      </c>
      <c r="E66" s="316">
        <f>(E63+E64-E65)</f>
        <v>0</v>
      </c>
      <c r="F66" s="316">
        <f t="shared" ref="F66:V66" si="11">(F63+F64-F65)</f>
        <v>0</v>
      </c>
      <c r="G66" s="316">
        <f t="shared" si="11"/>
        <v>0</v>
      </c>
      <c r="H66" s="316">
        <f t="shared" si="11"/>
        <v>0</v>
      </c>
      <c r="I66" s="316">
        <f t="shared" si="11"/>
        <v>0</v>
      </c>
      <c r="J66" s="316">
        <f t="shared" si="11"/>
        <v>0</v>
      </c>
      <c r="K66" s="316">
        <f t="shared" si="11"/>
        <v>0</v>
      </c>
      <c r="L66" s="316">
        <f t="shared" si="11"/>
        <v>0</v>
      </c>
      <c r="M66" s="316">
        <f t="shared" si="11"/>
        <v>0</v>
      </c>
      <c r="N66" s="316">
        <f t="shared" si="11"/>
        <v>0</v>
      </c>
      <c r="O66" s="316">
        <f t="shared" si="11"/>
        <v>0</v>
      </c>
      <c r="P66" s="316">
        <f t="shared" si="11"/>
        <v>0</v>
      </c>
      <c r="Q66" s="316">
        <f t="shared" si="11"/>
        <v>0</v>
      </c>
      <c r="R66" s="316">
        <f t="shared" si="11"/>
        <v>0</v>
      </c>
      <c r="S66" s="316">
        <f t="shared" si="11"/>
        <v>0</v>
      </c>
      <c r="T66" s="316">
        <f t="shared" si="11"/>
        <v>0</v>
      </c>
      <c r="U66" s="316">
        <f t="shared" si="11"/>
        <v>0</v>
      </c>
      <c r="V66" s="316">
        <f t="shared" si="11"/>
        <v>0</v>
      </c>
    </row>
    <row r="67" spans="1:22" ht="31.5" customHeight="1" x14ac:dyDescent="0.35">
      <c r="A67" s="1861"/>
      <c r="B67" s="1862"/>
      <c r="C67" s="1865"/>
      <c r="D67" s="498" t="s">
        <v>130</v>
      </c>
      <c r="E67" s="316">
        <f>'शिक्षक मानधन पावती'!NO45</f>
        <v>0</v>
      </c>
      <c r="F67" s="316">
        <f>'शिक्षक मानधन पावती'!NP45</f>
        <v>0</v>
      </c>
      <c r="G67" s="316">
        <f>'शिक्षक मानधन पावती'!NQ45</f>
        <v>0</v>
      </c>
      <c r="H67" s="316">
        <f>'शिक्षक मानधन पावती'!NR45</f>
        <v>0</v>
      </c>
      <c r="I67" s="316">
        <f>'शिक्षक मानधन पावती'!NS45</f>
        <v>0</v>
      </c>
      <c r="J67" s="316">
        <f>'शिक्षक मानधन पावती'!NT45</f>
        <v>0</v>
      </c>
      <c r="K67" s="316">
        <f>'शिक्षक मानधन पावती'!NU45</f>
        <v>0</v>
      </c>
      <c r="L67" s="316">
        <f>'शिक्षक मानधन पावती'!NV45</f>
        <v>0</v>
      </c>
      <c r="M67" s="316">
        <f>'शिक्षक मानधन पावती'!NW45</f>
        <v>0</v>
      </c>
      <c r="N67" s="316">
        <f>'शिक्षक मानधन पावती'!NX45</f>
        <v>0</v>
      </c>
      <c r="O67" s="316">
        <f>'शिक्षक मानधन पावती'!NY45</f>
        <v>0</v>
      </c>
      <c r="P67" s="316">
        <f>'शिक्षक मानधन पावती'!NZ45</f>
        <v>0</v>
      </c>
      <c r="Q67" s="316">
        <f>'शिक्षक मानधन पावती'!OA45</f>
        <v>0</v>
      </c>
      <c r="R67" s="316">
        <f>'शिक्षक मानधन पावती'!OB45</f>
        <v>0</v>
      </c>
      <c r="S67" s="316">
        <f>'शिक्षक मानधन पावती'!OC45</f>
        <v>0</v>
      </c>
      <c r="T67" s="316">
        <f>'शिक्षक मानधन पावती'!OD45</f>
        <v>0</v>
      </c>
      <c r="U67" s="316">
        <f>'शिक्षक मानधन पावती'!OE45</f>
        <v>0</v>
      </c>
      <c r="V67" s="316">
        <f>'शिक्षक मानधन पावती'!OF45</f>
        <v>0</v>
      </c>
    </row>
    <row r="68" spans="1:22" ht="31.5" customHeight="1" x14ac:dyDescent="0.35">
      <c r="A68" s="1853">
        <v>13</v>
      </c>
      <c r="B68" s="1855" t="s">
        <v>29</v>
      </c>
      <c r="C68" s="1856"/>
      <c r="D68" s="499" t="s">
        <v>142</v>
      </c>
      <c r="E68" s="319">
        <f>E7</f>
        <v>30.2</v>
      </c>
      <c r="F68" s="319">
        <f t="shared" ref="F68:V68" si="12">F7</f>
        <v>1.68</v>
      </c>
      <c r="G68" s="319">
        <f t="shared" si="12"/>
        <v>0</v>
      </c>
      <c r="H68" s="319">
        <f t="shared" si="12"/>
        <v>0</v>
      </c>
      <c r="I68" s="319">
        <f t="shared" si="12"/>
        <v>0</v>
      </c>
      <c r="J68" s="319">
        <f t="shared" si="12"/>
        <v>0</v>
      </c>
      <c r="K68" s="319">
        <f t="shared" si="12"/>
        <v>0</v>
      </c>
      <c r="L68" s="319">
        <f t="shared" si="12"/>
        <v>3.24</v>
      </c>
      <c r="M68" s="319">
        <f t="shared" si="12"/>
        <v>2.12</v>
      </c>
      <c r="N68" s="319">
        <f t="shared" si="12"/>
        <v>0.1406</v>
      </c>
      <c r="O68" s="319">
        <f t="shared" si="12"/>
        <v>0.20100000000000001</v>
      </c>
      <c r="P68" s="319">
        <f t="shared" si="12"/>
        <v>0.1406</v>
      </c>
      <c r="Q68" s="319">
        <f t="shared" si="12"/>
        <v>0</v>
      </c>
      <c r="R68" s="319">
        <f t="shared" si="12"/>
        <v>0</v>
      </c>
      <c r="S68" s="319">
        <f t="shared" si="12"/>
        <v>1.01</v>
      </c>
      <c r="T68" s="319">
        <f t="shared" si="12"/>
        <v>2</v>
      </c>
      <c r="U68" s="319">
        <f t="shared" si="12"/>
        <v>0.3624</v>
      </c>
      <c r="V68" s="319">
        <f t="shared" si="12"/>
        <v>0</v>
      </c>
    </row>
    <row r="69" spans="1:22" ht="31.5" customHeight="1" x14ac:dyDescent="0.35">
      <c r="A69" s="1853"/>
      <c r="B69" s="1857"/>
      <c r="C69" s="1858"/>
      <c r="D69" s="500" t="s">
        <v>128</v>
      </c>
      <c r="E69" s="319">
        <f t="shared" ref="E69" si="13">SUM(E8,E13,E18,E23,E28,E33,E38,E43,E48,E53,E58,E63)</f>
        <v>300</v>
      </c>
      <c r="F69" s="319">
        <f t="shared" ref="F69:V69" si="14">SUM(F8,F13,F18,F23,F28,F33,F38,F43,F48,F53,F58,F63)</f>
        <v>20</v>
      </c>
      <c r="G69" s="319">
        <f t="shared" si="14"/>
        <v>0</v>
      </c>
      <c r="H69" s="319">
        <f t="shared" si="14"/>
        <v>0</v>
      </c>
      <c r="I69" s="319">
        <f t="shared" si="14"/>
        <v>0</v>
      </c>
      <c r="J69" s="319">
        <f t="shared" si="14"/>
        <v>0</v>
      </c>
      <c r="K69" s="319">
        <f t="shared" si="14"/>
        <v>0</v>
      </c>
      <c r="L69" s="319">
        <f t="shared" si="14"/>
        <v>25</v>
      </c>
      <c r="M69" s="319">
        <f t="shared" si="14"/>
        <v>20</v>
      </c>
      <c r="N69" s="319">
        <f t="shared" si="14"/>
        <v>1.2999999999999998</v>
      </c>
      <c r="O69" s="319">
        <f t="shared" si="14"/>
        <v>1.8</v>
      </c>
      <c r="P69" s="319">
        <f t="shared" si="14"/>
        <v>1.5000000000000002</v>
      </c>
      <c r="Q69" s="319">
        <f t="shared" si="14"/>
        <v>0</v>
      </c>
      <c r="R69" s="319">
        <f t="shared" si="14"/>
        <v>0</v>
      </c>
      <c r="S69" s="319">
        <f t="shared" si="14"/>
        <v>13</v>
      </c>
      <c r="T69" s="319">
        <f t="shared" si="14"/>
        <v>8</v>
      </c>
      <c r="U69" s="319">
        <f t="shared" si="14"/>
        <v>4</v>
      </c>
      <c r="V69" s="319">
        <f t="shared" si="14"/>
        <v>0</v>
      </c>
    </row>
    <row r="70" spans="1:22" ht="31.5" customHeight="1" x14ac:dyDescent="0.35">
      <c r="A70" s="1853"/>
      <c r="B70" s="1857"/>
      <c r="C70" s="1858"/>
      <c r="D70" s="500" t="s">
        <v>129</v>
      </c>
      <c r="E70" s="319">
        <f t="shared" ref="E70" si="15">SUM(E9,E14,E19,E24,E29,E34,E39,E44,E49,E54,E59,E64)</f>
        <v>30</v>
      </c>
      <c r="F70" s="319">
        <f t="shared" ref="F70:V70" si="16">SUM(F9,F14,F19,F24,F29,F34,F39,F44,F49,F54,F59,F64)</f>
        <v>4</v>
      </c>
      <c r="G70" s="319">
        <f t="shared" si="16"/>
        <v>0</v>
      </c>
      <c r="H70" s="319">
        <f t="shared" si="16"/>
        <v>0</v>
      </c>
      <c r="I70" s="319">
        <f t="shared" si="16"/>
        <v>0</v>
      </c>
      <c r="J70" s="319">
        <f t="shared" si="16"/>
        <v>0</v>
      </c>
      <c r="K70" s="319">
        <f t="shared" si="16"/>
        <v>0</v>
      </c>
      <c r="L70" s="319">
        <f t="shared" si="16"/>
        <v>2</v>
      </c>
      <c r="M70" s="319">
        <f t="shared" si="16"/>
        <v>2</v>
      </c>
      <c r="N70" s="319">
        <f t="shared" si="16"/>
        <v>0</v>
      </c>
      <c r="O70" s="319">
        <f t="shared" si="16"/>
        <v>0</v>
      </c>
      <c r="P70" s="319">
        <f t="shared" si="16"/>
        <v>0</v>
      </c>
      <c r="Q70" s="319">
        <f t="shared" si="16"/>
        <v>0</v>
      </c>
      <c r="R70" s="319">
        <f t="shared" si="16"/>
        <v>0</v>
      </c>
      <c r="S70" s="319">
        <f t="shared" si="16"/>
        <v>16</v>
      </c>
      <c r="T70" s="319">
        <f t="shared" si="16"/>
        <v>0</v>
      </c>
      <c r="U70" s="319">
        <f t="shared" si="16"/>
        <v>0.5</v>
      </c>
      <c r="V70" s="319">
        <f t="shared" si="16"/>
        <v>0</v>
      </c>
    </row>
    <row r="71" spans="1:22" ht="31.5" customHeight="1" x14ac:dyDescent="0.35">
      <c r="A71" s="1853"/>
      <c r="B71" s="1857"/>
      <c r="C71" s="1858"/>
      <c r="D71" s="500" t="s">
        <v>335</v>
      </c>
      <c r="E71" s="319">
        <f>(E10+E15+E20+E25+E30+E35+E40+E45+E50+E55+E60+E65)</f>
        <v>29.6</v>
      </c>
      <c r="F71" s="319">
        <f t="shared" ref="F71:V71" si="17">(F10+F15+F20+F25+F30+F35+F40+F45+F50+F55+F60+F65)</f>
        <v>3.16</v>
      </c>
      <c r="G71" s="319">
        <f t="shared" si="17"/>
        <v>0</v>
      </c>
      <c r="H71" s="319">
        <f t="shared" si="17"/>
        <v>0</v>
      </c>
      <c r="I71" s="319">
        <f t="shared" si="17"/>
        <v>0</v>
      </c>
      <c r="J71" s="319">
        <f t="shared" si="17"/>
        <v>0</v>
      </c>
      <c r="K71" s="319">
        <f t="shared" si="17"/>
        <v>0</v>
      </c>
      <c r="L71" s="319">
        <f t="shared" si="17"/>
        <v>10.16</v>
      </c>
      <c r="M71" s="319">
        <f t="shared" si="17"/>
        <v>3.6</v>
      </c>
      <c r="N71" s="319">
        <f t="shared" si="17"/>
        <v>0.28799999999999998</v>
      </c>
      <c r="O71" s="319">
        <f t="shared" si="17"/>
        <v>0.44800000000000001</v>
      </c>
      <c r="P71" s="319">
        <f t="shared" si="17"/>
        <v>0.38800000000000001</v>
      </c>
      <c r="Q71" s="319">
        <f t="shared" si="17"/>
        <v>0</v>
      </c>
      <c r="R71" s="319">
        <f t="shared" si="17"/>
        <v>0</v>
      </c>
      <c r="S71" s="319">
        <f t="shared" si="17"/>
        <v>0.48</v>
      </c>
      <c r="T71" s="319">
        <f t="shared" si="17"/>
        <v>1.5920000000000001</v>
      </c>
      <c r="U71" s="319">
        <f t="shared" si="17"/>
        <v>0.75519999999999998</v>
      </c>
      <c r="V71" s="319">
        <f t="shared" si="17"/>
        <v>0</v>
      </c>
    </row>
    <row r="72" spans="1:22" ht="31.5" customHeight="1" x14ac:dyDescent="0.35">
      <c r="A72" s="1853"/>
      <c r="B72" s="1857"/>
      <c r="C72" s="1858"/>
      <c r="D72" s="500" t="s">
        <v>331</v>
      </c>
      <c r="E72" s="319">
        <f>(E68+E69+E70-E71)</f>
        <v>330.59999999999997</v>
      </c>
      <c r="F72" s="319">
        <f t="shared" ref="F72:V72" si="18">(F68+F69+F70-F71)</f>
        <v>22.52</v>
      </c>
      <c r="G72" s="319">
        <f t="shared" si="18"/>
        <v>0</v>
      </c>
      <c r="H72" s="319">
        <f t="shared" si="18"/>
        <v>0</v>
      </c>
      <c r="I72" s="319">
        <f t="shared" si="18"/>
        <v>0</v>
      </c>
      <c r="J72" s="319">
        <f t="shared" si="18"/>
        <v>0</v>
      </c>
      <c r="K72" s="319">
        <f t="shared" si="18"/>
        <v>0</v>
      </c>
      <c r="L72" s="319">
        <f t="shared" si="18"/>
        <v>20.080000000000002</v>
      </c>
      <c r="M72" s="319">
        <f t="shared" si="18"/>
        <v>20.52</v>
      </c>
      <c r="N72" s="319">
        <f t="shared" si="18"/>
        <v>1.1525999999999998</v>
      </c>
      <c r="O72" s="319">
        <f t="shared" si="18"/>
        <v>1.5529999999999999</v>
      </c>
      <c r="P72" s="319">
        <f t="shared" si="18"/>
        <v>1.2526000000000002</v>
      </c>
      <c r="Q72" s="319">
        <f t="shared" si="18"/>
        <v>0</v>
      </c>
      <c r="R72" s="319">
        <f t="shared" si="18"/>
        <v>0</v>
      </c>
      <c r="S72" s="319">
        <f t="shared" si="18"/>
        <v>29.529999999999998</v>
      </c>
      <c r="T72" s="319">
        <f t="shared" si="18"/>
        <v>8.4079999999999995</v>
      </c>
      <c r="U72" s="319">
        <f t="shared" si="18"/>
        <v>4.1071999999999997</v>
      </c>
      <c r="V72" s="319">
        <f t="shared" si="18"/>
        <v>0</v>
      </c>
    </row>
    <row r="73" spans="1:22" ht="31.5" customHeight="1" x14ac:dyDescent="0.35">
      <c r="A73" s="1853"/>
      <c r="B73" s="1857"/>
      <c r="C73" s="1858"/>
      <c r="D73" s="500" t="s">
        <v>130</v>
      </c>
      <c r="E73" s="319">
        <f t="shared" ref="E73:V73" si="19">SUM(E12,E17,E22,E27,E32,E37,E42,E47,E52,E57,E62,E67)</f>
        <v>309.70000000000005</v>
      </c>
      <c r="F73" s="319">
        <f t="shared" si="19"/>
        <v>20.8</v>
      </c>
      <c r="G73" s="319">
        <f t="shared" si="19"/>
        <v>0</v>
      </c>
      <c r="H73" s="319">
        <f t="shared" si="19"/>
        <v>0</v>
      </c>
      <c r="I73" s="319">
        <f t="shared" si="19"/>
        <v>0</v>
      </c>
      <c r="J73" s="319">
        <f t="shared" si="19"/>
        <v>0</v>
      </c>
      <c r="K73" s="319">
        <f t="shared" si="19"/>
        <v>0</v>
      </c>
      <c r="L73" s="319">
        <f t="shared" si="19"/>
        <v>19.86</v>
      </c>
      <c r="M73" s="319">
        <f t="shared" si="19"/>
        <v>21.28</v>
      </c>
      <c r="N73" s="319">
        <f t="shared" si="19"/>
        <v>0.9290999999999997</v>
      </c>
      <c r="O73" s="319">
        <f t="shared" si="19"/>
        <v>1.5485000000000004</v>
      </c>
      <c r="P73" s="319">
        <f t="shared" si="19"/>
        <v>0.9290999999999997</v>
      </c>
      <c r="Q73" s="319">
        <f t="shared" si="19"/>
        <v>0</v>
      </c>
      <c r="R73" s="319">
        <f t="shared" si="19"/>
        <v>0</v>
      </c>
      <c r="S73" s="319">
        <f t="shared" si="19"/>
        <v>15.484999999999999</v>
      </c>
      <c r="T73" s="319">
        <f t="shared" si="19"/>
        <v>6.1940000000000017</v>
      </c>
      <c r="U73" s="319">
        <f t="shared" si="19"/>
        <v>3.7163999999999988</v>
      </c>
      <c r="V73" s="319">
        <f t="shared" si="19"/>
        <v>0</v>
      </c>
    </row>
    <row r="74" spans="1:22" ht="31.5" customHeight="1" thickBot="1" x14ac:dyDescent="0.4">
      <c r="A74" s="1854"/>
      <c r="B74" s="1859"/>
      <c r="C74" s="1860"/>
      <c r="D74" s="501" t="s">
        <v>143</v>
      </c>
      <c r="E74" s="320">
        <f>E72-E73</f>
        <v>20.89999999999992</v>
      </c>
      <c r="F74" s="320">
        <f t="shared" ref="F74:V74" si="20">F72-F73</f>
        <v>1.7199999999999989</v>
      </c>
      <c r="G74" s="320">
        <f t="shared" si="20"/>
        <v>0</v>
      </c>
      <c r="H74" s="320">
        <f t="shared" si="20"/>
        <v>0</v>
      </c>
      <c r="I74" s="320">
        <f t="shared" si="20"/>
        <v>0</v>
      </c>
      <c r="J74" s="320">
        <f t="shared" si="20"/>
        <v>0</v>
      </c>
      <c r="K74" s="320">
        <f t="shared" si="20"/>
        <v>0</v>
      </c>
      <c r="L74" s="320">
        <f t="shared" si="20"/>
        <v>0.22000000000000242</v>
      </c>
      <c r="M74" s="320">
        <f t="shared" si="20"/>
        <v>-0.76000000000000156</v>
      </c>
      <c r="N74" s="320">
        <f t="shared" si="20"/>
        <v>0.22350000000000014</v>
      </c>
      <c r="O74" s="320">
        <f t="shared" si="20"/>
        <v>4.4999999999995044E-3</v>
      </c>
      <c r="P74" s="320">
        <f t="shared" si="20"/>
        <v>0.32350000000000045</v>
      </c>
      <c r="Q74" s="320">
        <f t="shared" si="20"/>
        <v>0</v>
      </c>
      <c r="R74" s="320">
        <f t="shared" si="20"/>
        <v>0</v>
      </c>
      <c r="S74" s="320">
        <f t="shared" si="20"/>
        <v>14.044999999999998</v>
      </c>
      <c r="T74" s="320">
        <f t="shared" si="20"/>
        <v>2.2139999999999977</v>
      </c>
      <c r="U74" s="320">
        <f t="shared" si="20"/>
        <v>0.39080000000000092</v>
      </c>
      <c r="V74" s="320">
        <f t="shared" si="20"/>
        <v>0</v>
      </c>
    </row>
    <row r="75" spans="1:22" ht="31.5" customHeight="1" x14ac:dyDescent="0.45">
      <c r="A75" s="502"/>
      <c r="B75" s="502"/>
      <c r="C75" s="502"/>
      <c r="D75" s="502"/>
      <c r="E75" s="503"/>
      <c r="F75" s="503"/>
      <c r="G75" s="503"/>
      <c r="H75" s="503"/>
      <c r="I75" s="503"/>
      <c r="J75" s="503"/>
      <c r="K75" s="503"/>
      <c r="L75" s="503"/>
      <c r="M75" s="503"/>
      <c r="N75" s="503"/>
      <c r="O75" s="503"/>
      <c r="P75" s="503"/>
      <c r="Q75" s="503"/>
      <c r="R75" s="503"/>
      <c r="S75" s="503"/>
      <c r="T75" s="503"/>
      <c r="U75" s="502"/>
      <c r="V75" s="502"/>
    </row>
  </sheetData>
  <sheetProtection algorithmName="SHA-512" hashValue="O98j+uWZAhrgPczdG4WUqgbij3H92GlAWTbTP2IdZsFsN5APDdl7OPk8D+D6pBWuY1luHhLnqWGZbDVUmXzKsQ==" saltValue="PymcVy+/s5RcgtbwvzC8ww==" spinCount="100000" sheet="1" objects="1" scenarios="1" selectLockedCells="1"/>
  <mergeCells count="47">
    <mergeCell ref="A3:V3"/>
    <mergeCell ref="A4:B4"/>
    <mergeCell ref="C4:G4"/>
    <mergeCell ref="U4:V4"/>
    <mergeCell ref="J4:K4"/>
    <mergeCell ref="A8:A12"/>
    <mergeCell ref="B8:B12"/>
    <mergeCell ref="C8:C12"/>
    <mergeCell ref="A13:A17"/>
    <mergeCell ref="B13:B17"/>
    <mergeCell ref="C13:C17"/>
    <mergeCell ref="A18:A22"/>
    <mergeCell ref="B18:B22"/>
    <mergeCell ref="C18:C22"/>
    <mergeCell ref="A23:A27"/>
    <mergeCell ref="B23:B27"/>
    <mergeCell ref="C23:C27"/>
    <mergeCell ref="A28:A32"/>
    <mergeCell ref="B28:B32"/>
    <mergeCell ref="C28:C32"/>
    <mergeCell ref="A33:A37"/>
    <mergeCell ref="B33:B37"/>
    <mergeCell ref="C33:C37"/>
    <mergeCell ref="B53:B57"/>
    <mergeCell ref="C53:C57"/>
    <mergeCell ref="A38:A42"/>
    <mergeCell ref="B38:B42"/>
    <mergeCell ref="C38:C42"/>
    <mergeCell ref="A43:A47"/>
    <mergeCell ref="B43:B47"/>
    <mergeCell ref="C43:C47"/>
    <mergeCell ref="A5:A6"/>
    <mergeCell ref="B5:B6"/>
    <mergeCell ref="C5:C6"/>
    <mergeCell ref="D5:D6"/>
    <mergeCell ref="A68:A74"/>
    <mergeCell ref="B68:C74"/>
    <mergeCell ref="A58:A62"/>
    <mergeCell ref="B58:B62"/>
    <mergeCell ref="C58:C62"/>
    <mergeCell ref="A63:A67"/>
    <mergeCell ref="B63:B67"/>
    <mergeCell ref="C63:C67"/>
    <mergeCell ref="A48:A52"/>
    <mergeCell ref="B48:B52"/>
    <mergeCell ref="C48:C52"/>
    <mergeCell ref="A53:A57"/>
  </mergeCells>
  <printOptions horizontalCentered="1"/>
  <pageMargins left="0.19685039370078741" right="0.19685039370078741" top="0.43307086614173229" bottom="0.19685039370078741" header="0.19685039370078741" footer="0.19685039370078741"/>
  <pageSetup paperSize="9" scale="54" fitToHeight="0" orientation="landscape" r:id="rId1"/>
  <rowBreaks count="2" manualBreakCount="2">
    <brk id="32" max="21" man="1"/>
    <brk id="57" max="2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C000"/>
    <pageSetUpPr fitToPage="1"/>
  </sheetPr>
  <dimension ref="B1:T39"/>
  <sheetViews>
    <sheetView showZeros="0" zoomScaleNormal="100" workbookViewId="0">
      <selection activeCell="D5" sqref="D5:J5"/>
    </sheetView>
  </sheetViews>
  <sheetFormatPr defaultRowHeight="30" customHeight="1" x14ac:dyDescent="0.45"/>
  <cols>
    <col min="1" max="1" width="6.5703125" style="1096" customWidth="1"/>
    <col min="2" max="2" width="7" style="1096" customWidth="1"/>
    <col min="3" max="3" width="18.140625" style="1096" customWidth="1"/>
    <col min="4" max="4" width="11" style="1096" customWidth="1"/>
    <col min="5" max="5" width="10.5703125" style="1096" customWidth="1"/>
    <col min="6" max="6" width="13.85546875" style="1096" customWidth="1"/>
    <col min="7" max="7" width="12.140625" style="1096" customWidth="1"/>
    <col min="8" max="8" width="12.28515625" style="1096" customWidth="1"/>
    <col min="9" max="9" width="10.42578125" style="1096" customWidth="1"/>
    <col min="10" max="10" width="12.85546875" style="1096" customWidth="1"/>
    <col min="11" max="11" width="13.85546875" style="1096" customWidth="1"/>
    <col min="12" max="12" width="12.7109375" style="1096" customWidth="1"/>
    <col min="13" max="13" width="14" style="1096" customWidth="1"/>
    <col min="14" max="14" width="6.5703125" style="1096" customWidth="1"/>
    <col min="15" max="18" width="9.140625" style="1096"/>
    <col min="19" max="19" width="6.28515625" style="1096" customWidth="1"/>
    <col min="20" max="20" width="10.42578125" style="1096" hidden="1" customWidth="1"/>
    <col min="21" max="16384" width="9.140625" style="1096"/>
  </cols>
  <sheetData>
    <row r="1" spans="2:20" ht="30" customHeight="1" thickBot="1" x14ac:dyDescent="0.5">
      <c r="B1" s="1878"/>
      <c r="C1" s="1878"/>
      <c r="D1" s="1878"/>
      <c r="E1" s="1878"/>
      <c r="F1" s="1878"/>
      <c r="G1" s="1878"/>
      <c r="H1" s="1878"/>
      <c r="I1" s="1878"/>
      <c r="J1" s="1878"/>
      <c r="K1" s="1878"/>
      <c r="L1" s="1878"/>
    </row>
    <row r="2" spans="2:20" ht="27.75" customHeight="1" x14ac:dyDescent="0.45">
      <c r="B2" s="1879" t="s">
        <v>109</v>
      </c>
      <c r="C2" s="1880"/>
      <c r="D2" s="1880"/>
      <c r="E2" s="1880"/>
      <c r="F2" s="1880"/>
      <c r="G2" s="1880"/>
      <c r="H2" s="1880"/>
      <c r="I2" s="1880"/>
      <c r="J2" s="1880"/>
      <c r="K2" s="1880"/>
      <c r="L2" s="1880"/>
      <c r="M2" s="1881"/>
    </row>
    <row r="3" spans="2:20" ht="26.25" customHeight="1" x14ac:dyDescent="0.45">
      <c r="B3" s="1882" t="s">
        <v>110</v>
      </c>
      <c r="C3" s="1883"/>
      <c r="D3" s="1883"/>
      <c r="E3" s="1883"/>
      <c r="F3" s="1883"/>
      <c r="G3" s="1883"/>
      <c r="H3" s="1883"/>
      <c r="I3" s="1883"/>
      <c r="J3" s="1883"/>
      <c r="K3" s="1883"/>
      <c r="L3" s="1883"/>
      <c r="M3" s="1884"/>
    </row>
    <row r="4" spans="2:20" ht="25.5" customHeight="1" x14ac:dyDescent="0.45">
      <c r="B4" s="1097"/>
      <c r="C4" s="1183">
        <f>VLOOKUP(C7,'साठा नोंदवही'!C8:Z19,21,0)</f>
        <v>0</v>
      </c>
      <c r="D4" s="1888" t="s">
        <v>736</v>
      </c>
      <c r="E4" s="1889"/>
      <c r="F4" s="1094">
        <f>VLOOKUP(C7,' प्रमाण निश्चिती '!B9:C20,2,0)</f>
        <v>0.1</v>
      </c>
      <c r="G4" s="1095" t="s">
        <v>81</v>
      </c>
      <c r="H4" s="1885" t="s">
        <v>112</v>
      </c>
      <c r="I4" s="1885"/>
      <c r="J4" s="1893" t="str">
        <f>'शाळा माहिती'!C17</f>
        <v>1 ते 5</v>
      </c>
      <c r="K4" s="1894"/>
      <c r="L4" s="1894"/>
      <c r="M4" s="1182">
        <f>VLOOKUP(C7,'साठा नोंदवही'!C44:Z55,21,0)</f>
        <v>0</v>
      </c>
    </row>
    <row r="5" spans="2:20" ht="30" customHeight="1" x14ac:dyDescent="0.45">
      <c r="B5" s="1172" t="s">
        <v>735</v>
      </c>
      <c r="C5" s="1886" t="str">
        <f>'शाळा माहिती'!D4</f>
        <v>जि.प.प्रा.शा.बोरजाई वस्ती</v>
      </c>
      <c r="D5" s="1886"/>
      <c r="E5" s="1887"/>
      <c r="F5" s="1171" t="s">
        <v>256</v>
      </c>
      <c r="G5" s="1890" t="str">
        <f>'शाळा माहिती'!D6</f>
        <v>जामगाव</v>
      </c>
      <c r="H5" s="1890"/>
      <c r="I5" s="1170" t="s">
        <v>377</v>
      </c>
      <c r="J5" s="1891" t="str">
        <f>'शाळा माहिती'!D7</f>
        <v>गंगापूर</v>
      </c>
      <c r="K5" s="1892"/>
      <c r="L5" s="1168" t="s">
        <v>378</v>
      </c>
      <c r="M5" s="1169" t="str">
        <f>'शाळा माहिती'!D8</f>
        <v>औरंगाबाद</v>
      </c>
    </row>
    <row r="6" spans="2:20" ht="69.75" customHeight="1" x14ac:dyDescent="0.45">
      <c r="B6" s="1098" t="s">
        <v>86</v>
      </c>
      <c r="C6" s="1099" t="s">
        <v>17</v>
      </c>
      <c r="D6" s="1099" t="s">
        <v>18</v>
      </c>
      <c r="E6" s="1099" t="s">
        <v>117</v>
      </c>
      <c r="F6" s="99" t="s">
        <v>314</v>
      </c>
      <c r="G6" s="99" t="s">
        <v>315</v>
      </c>
      <c r="H6" s="1099" t="s">
        <v>316</v>
      </c>
      <c r="I6" s="1099" t="s">
        <v>700</v>
      </c>
      <c r="J6" s="1099" t="s">
        <v>317</v>
      </c>
      <c r="K6" s="1099" t="s">
        <v>737</v>
      </c>
      <c r="L6" s="1099" t="s">
        <v>318</v>
      </c>
      <c r="M6" s="1100" t="s">
        <v>725</v>
      </c>
    </row>
    <row r="7" spans="2:20" ht="26.25" customHeight="1" x14ac:dyDescent="0.45">
      <c r="B7" s="1101" t="s">
        <v>106</v>
      </c>
      <c r="C7" s="1102" t="s">
        <v>39</v>
      </c>
      <c r="D7" s="1103">
        <v>2022</v>
      </c>
      <c r="E7" s="1104"/>
      <c r="F7" s="1105"/>
      <c r="G7" s="1106"/>
      <c r="H7" s="1105"/>
      <c r="I7" s="1105"/>
      <c r="J7" s="1105"/>
      <c r="K7" s="1105"/>
      <c r="L7" s="1105"/>
      <c r="M7" s="1107"/>
    </row>
    <row r="8" spans="2:20" ht="30" customHeight="1" x14ac:dyDescent="0.45">
      <c r="B8" s="1108">
        <v>1</v>
      </c>
      <c r="C8" s="1109">
        <f>DATE(D7,INDEX({4,5,6,7,8,9,10,11,12,1,2,3},MATCH(C7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44896</v>
      </c>
      <c r="D8" s="1110" t="str">
        <f>IF(C8="","",INDEX({"रवि";"सोम";"मंगळ";"बुध";"गुरू";"शुक्र";"शनि"},WEEKDAY(C8)))</f>
        <v>गुरू</v>
      </c>
      <c r="E8" s="1111">
        <f>HLOOKUP(C7,'दैनिक माहिती'!BF8:$BQ$40,2,0)</f>
        <v>22</v>
      </c>
      <c r="F8" s="1112">
        <f>VLOOKUP($C$7,'शिक्षक मानधन पावती'!$BF$50:$BH$61,3,0)</f>
        <v>45.599999999999959</v>
      </c>
      <c r="G8" s="1112" t="str">
        <f>IF($C$4=C8,VLOOKUP($C$7,'साठा नोंदवही'!$AY$31:$BA$64,3,0),"--")</f>
        <v>--</v>
      </c>
      <c r="H8" s="1112">
        <f>SUM(F8:G8)</f>
        <v>45.599999999999959</v>
      </c>
      <c r="I8" s="1111">
        <f>HLOOKUP(C7,'दैनिक माहिती'!$BF$83:$BQ$115,2,0)</f>
        <v>22</v>
      </c>
      <c r="J8" s="1112">
        <f>IFERROR(IF(I8&gt;0,I8*$F$4,"--"),"")</f>
        <v>2.2000000000000002</v>
      </c>
      <c r="K8" s="1112" t="str">
        <f>IF($M$4=C8,VLOOKUP($C$7,'साठा नोंदवही'!$C$44:$Z$55,3,0),"--")</f>
        <v>--</v>
      </c>
      <c r="L8" s="1112">
        <f>IFERROR(IF(I8&gt;0,AVERAGE(H8-T8),"--"),"")</f>
        <v>43.399999999999956</v>
      </c>
      <c r="M8" s="1113"/>
      <c r="T8" s="1181">
        <f>SUM(J8:K8)</f>
        <v>2.2000000000000002</v>
      </c>
    </row>
    <row r="9" spans="2:20" ht="30" customHeight="1" x14ac:dyDescent="0.45">
      <c r="B9" s="1108">
        <v>2</v>
      </c>
      <c r="C9" s="1109">
        <f>C8+1</f>
        <v>44897</v>
      </c>
      <c r="D9" s="1114" t="str">
        <f>IF(C9="","",INDEX({"रवि";"सोम";"मंगळ";"बुध";"गुरू";"शुक्र";"शनि"},WEEKDAY(C9)))</f>
        <v>शुक्र</v>
      </c>
      <c r="E9" s="1111">
        <f>HLOOKUP(C7,'दैनिक माहिती'!BF8:$BQ$40,3,0)</f>
        <v>21</v>
      </c>
      <c r="F9" s="1112">
        <f>AVERAGE(H8-T8)</f>
        <v>43.399999999999956</v>
      </c>
      <c r="G9" s="1112" t="str">
        <f>IF($C$4=C9,VLOOKUP($C$7,'साठा नोंदवही'!$AY$31:$BA$64,3,0),"--")</f>
        <v>--</v>
      </c>
      <c r="H9" s="1112">
        <f>SUM(F9:G9)</f>
        <v>43.399999999999956</v>
      </c>
      <c r="I9" s="1111">
        <f>HLOOKUP(C7,'दैनिक माहिती'!$BF$83:$BQ$115,3,0)</f>
        <v>21</v>
      </c>
      <c r="J9" s="1112">
        <f t="shared" ref="J9:J38" si="0">IFERROR(IF(I9&gt;0,I9*$F$4,"--"),"")</f>
        <v>2.1</v>
      </c>
      <c r="K9" s="1112" t="str">
        <f>IF($M$4=C9,VLOOKUP($C$7,'साठा नोंदवही'!$C$44:$Z$55,3,0),"--")</f>
        <v>--</v>
      </c>
      <c r="L9" s="1112">
        <f t="shared" ref="L9:L38" si="1">IFERROR(IF(I9&gt;0,AVERAGE(H9-T9),"--"),"")</f>
        <v>41.299999999999955</v>
      </c>
      <c r="M9" s="1113"/>
      <c r="T9" s="1181">
        <f t="shared" ref="T9:T39" si="2">SUM(J9:K9)</f>
        <v>2.1</v>
      </c>
    </row>
    <row r="10" spans="2:20" ht="30" customHeight="1" x14ac:dyDescent="0.45">
      <c r="B10" s="1108">
        <v>3</v>
      </c>
      <c r="C10" s="1109">
        <f t="shared" ref="C10:C38" si="3">C9+1</f>
        <v>44898</v>
      </c>
      <c r="D10" s="1114" t="str">
        <f>IF(C10="","",INDEX({"रवि";"सोम";"मंगळ";"बुध";"गुरू";"शुक्र";"शनि"},WEEKDAY(C10)))</f>
        <v>शनि</v>
      </c>
      <c r="E10" s="1111">
        <f>HLOOKUP(C7,'दैनिक माहिती'!BF8:$BQ$40,4,0)</f>
        <v>21</v>
      </c>
      <c r="F10" s="1112">
        <f t="shared" ref="F10:F38" si="4">AVERAGE(H9-T9)</f>
        <v>41.299999999999955</v>
      </c>
      <c r="G10" s="1112" t="str">
        <f>IF($C$4=C10,VLOOKUP($C$7,'साठा नोंदवही'!$AY$31:$BA$64,3,0),"--")</f>
        <v>--</v>
      </c>
      <c r="H10" s="1112">
        <f t="shared" ref="H10:H38" si="5">SUM(F10:G10)</f>
        <v>41.299999999999955</v>
      </c>
      <c r="I10" s="1111">
        <f>HLOOKUP(C7,'दैनिक माहिती'!$BF$83:$BQ$115,4,0)</f>
        <v>21</v>
      </c>
      <c r="J10" s="1112">
        <f t="shared" si="0"/>
        <v>2.1</v>
      </c>
      <c r="K10" s="1112" t="str">
        <f>IF($M$4=C10,VLOOKUP($C$7,'साठा नोंदवही'!$C$44:$Z$55,3,0),"--")</f>
        <v>--</v>
      </c>
      <c r="L10" s="1112">
        <f t="shared" si="1"/>
        <v>39.199999999999953</v>
      </c>
      <c r="M10" s="1113"/>
      <c r="T10" s="1181">
        <f t="shared" si="2"/>
        <v>2.1</v>
      </c>
    </row>
    <row r="11" spans="2:20" ht="30" customHeight="1" x14ac:dyDescent="0.45">
      <c r="B11" s="1108">
        <v>4</v>
      </c>
      <c r="C11" s="1109">
        <f t="shared" si="3"/>
        <v>44899</v>
      </c>
      <c r="D11" s="1114" t="str">
        <f>IF(C11="","",INDEX({"रवि";"सोम";"मंगळ";"बुध";"गुरू";"शुक्र";"शनि"},WEEKDAY(C11)))</f>
        <v>रवि</v>
      </c>
      <c r="E11" s="1111">
        <f>HLOOKUP(C7,'दैनिक माहिती'!BF8:$BQ$40,5,0)</f>
        <v>0</v>
      </c>
      <c r="F11" s="1112">
        <f t="shared" si="4"/>
        <v>39.199999999999953</v>
      </c>
      <c r="G11" s="1112" t="str">
        <f>IF($C$4=C11,VLOOKUP($C$7,'साठा नोंदवही'!$AY$31:$BA$64,3,0),"--")</f>
        <v>--</v>
      </c>
      <c r="H11" s="1112">
        <f t="shared" si="5"/>
        <v>39.199999999999953</v>
      </c>
      <c r="I11" s="1111">
        <f>HLOOKUP(C7,'दैनिक माहिती'!$BF$83:$BQ$115,5,0)</f>
        <v>0</v>
      </c>
      <c r="J11" s="1112" t="str">
        <f t="shared" si="0"/>
        <v>--</v>
      </c>
      <c r="K11" s="1112" t="str">
        <f>IF($M$4=C11,VLOOKUP($C$7,'साठा नोंदवही'!$C$44:$Z$55,3,0),"--")</f>
        <v>--</v>
      </c>
      <c r="L11" s="1112" t="str">
        <f t="shared" si="1"/>
        <v>--</v>
      </c>
      <c r="M11" s="1113"/>
      <c r="T11" s="1181">
        <f t="shared" si="2"/>
        <v>0</v>
      </c>
    </row>
    <row r="12" spans="2:20" ht="30" customHeight="1" x14ac:dyDescent="0.45">
      <c r="B12" s="1108">
        <v>5</v>
      </c>
      <c r="C12" s="1109">
        <f t="shared" si="3"/>
        <v>44900</v>
      </c>
      <c r="D12" s="1114" t="str">
        <f>IF(C12="","",INDEX({"रवि";"सोम";"मंगळ";"बुध";"गुरू";"शुक्र";"शनि"},WEEKDAY(C12)))</f>
        <v>सोम</v>
      </c>
      <c r="E12" s="1111">
        <f>HLOOKUP(C7,'दैनिक माहिती'!BF8:$BQ$40,6,0)</f>
        <v>21</v>
      </c>
      <c r="F12" s="1112">
        <f t="shared" si="4"/>
        <v>39.199999999999953</v>
      </c>
      <c r="G12" s="1112" t="str">
        <f>IF($C$4=C12,VLOOKUP($C$7,'साठा नोंदवही'!$AY$31:$BA$64,3,0),"--")</f>
        <v>--</v>
      </c>
      <c r="H12" s="1112">
        <f t="shared" si="5"/>
        <v>39.199999999999953</v>
      </c>
      <c r="I12" s="1111">
        <f>HLOOKUP(C7,'दैनिक माहिती'!$BF$83:$BQ$115,6,0)</f>
        <v>21</v>
      </c>
      <c r="J12" s="1112">
        <f t="shared" si="0"/>
        <v>2.1</v>
      </c>
      <c r="K12" s="1112" t="str">
        <f>IF($M$4=C12,VLOOKUP($C$7,'साठा नोंदवही'!$C$44:$Z$55,3,0),"--")</f>
        <v>--</v>
      </c>
      <c r="L12" s="1112">
        <f t="shared" si="1"/>
        <v>37.099999999999952</v>
      </c>
      <c r="M12" s="1113"/>
      <c r="T12" s="1181">
        <f t="shared" si="2"/>
        <v>2.1</v>
      </c>
    </row>
    <row r="13" spans="2:20" ht="30" customHeight="1" x14ac:dyDescent="0.45">
      <c r="B13" s="1108">
        <v>6</v>
      </c>
      <c r="C13" s="1109">
        <f t="shared" si="3"/>
        <v>44901</v>
      </c>
      <c r="D13" s="1114" t="str">
        <f>IF(C13="","",INDEX({"रवि";"सोम";"मंगळ";"बुध";"गुरू";"शुक्र";"शनि"},WEEKDAY(C13)))</f>
        <v>मंगळ</v>
      </c>
      <c r="E13" s="1111">
        <f>HLOOKUP(C7,'दैनिक माहिती'!BF8:$BQ$40,7,0)</f>
        <v>0</v>
      </c>
      <c r="F13" s="1112">
        <f t="shared" si="4"/>
        <v>37.099999999999952</v>
      </c>
      <c r="G13" s="1112" t="str">
        <f>IF($C$4=C13,VLOOKUP($C$7,'साठा नोंदवही'!$AY$31:$BA$64,3,0),"--")</f>
        <v>--</v>
      </c>
      <c r="H13" s="1112">
        <f t="shared" si="5"/>
        <v>37.099999999999952</v>
      </c>
      <c r="I13" s="1111">
        <f>HLOOKUP(C7,'दैनिक माहिती'!$BF$83:$BQ$115,7,0)</f>
        <v>0</v>
      </c>
      <c r="J13" s="1112" t="str">
        <f t="shared" si="0"/>
        <v>--</v>
      </c>
      <c r="K13" s="1112" t="str">
        <f>IF($M$4=C13,VLOOKUP($C$7,'साठा नोंदवही'!$C$44:$Z$55,3,0),"--")</f>
        <v>--</v>
      </c>
      <c r="L13" s="1112" t="str">
        <f t="shared" si="1"/>
        <v>--</v>
      </c>
      <c r="M13" s="1113"/>
      <c r="P13" s="803"/>
      <c r="T13" s="1181">
        <f t="shared" si="2"/>
        <v>0</v>
      </c>
    </row>
    <row r="14" spans="2:20" ht="30" customHeight="1" x14ac:dyDescent="0.45">
      <c r="B14" s="1108">
        <v>7</v>
      </c>
      <c r="C14" s="1109">
        <f t="shared" si="3"/>
        <v>44902</v>
      </c>
      <c r="D14" s="1114" t="str">
        <f>IF(C14="","",INDEX({"रवि";"सोम";"मंगळ";"बुध";"गुरू";"शुक्र";"शनि"},WEEKDAY(C14)))</f>
        <v>बुध</v>
      </c>
      <c r="E14" s="1111">
        <f>HLOOKUP(C7,'दैनिक माहिती'!BF8:$BQ$40,8,0)</f>
        <v>21</v>
      </c>
      <c r="F14" s="1112">
        <f t="shared" si="4"/>
        <v>37.099999999999952</v>
      </c>
      <c r="G14" s="1112" t="str">
        <f>IF($C$4=C14,VLOOKUP($C$7,'साठा नोंदवही'!$AY$31:$BA$64,3,0),"--")</f>
        <v>--</v>
      </c>
      <c r="H14" s="1112">
        <f t="shared" si="5"/>
        <v>37.099999999999952</v>
      </c>
      <c r="I14" s="1111">
        <f>HLOOKUP(C7,'दैनिक माहिती'!$BF$83:$BQ$115,8,0)</f>
        <v>21</v>
      </c>
      <c r="J14" s="1112">
        <f t="shared" si="0"/>
        <v>2.1</v>
      </c>
      <c r="K14" s="1112" t="str">
        <f>IF($M$4=C14,VLOOKUP($C$7,'साठा नोंदवही'!$C$44:$Z$55,3,0),"--")</f>
        <v>--</v>
      </c>
      <c r="L14" s="1112">
        <f t="shared" si="1"/>
        <v>34.99999999999995</v>
      </c>
      <c r="M14" s="1113"/>
      <c r="P14" s="803"/>
      <c r="T14" s="1181">
        <f t="shared" si="2"/>
        <v>2.1</v>
      </c>
    </row>
    <row r="15" spans="2:20" ht="30" customHeight="1" x14ac:dyDescent="0.45">
      <c r="B15" s="1108">
        <v>8</v>
      </c>
      <c r="C15" s="1109">
        <f t="shared" si="3"/>
        <v>44903</v>
      </c>
      <c r="D15" s="1114" t="str">
        <f>IF(C15="","",INDEX({"रवि";"सोम";"मंगळ";"बुध";"गुरू";"शुक्र";"शनि"},WEEKDAY(C15)))</f>
        <v>गुरू</v>
      </c>
      <c r="E15" s="1111">
        <f>HLOOKUP(C7,'दैनिक माहिती'!BF8:$BQ$40,9,0)</f>
        <v>21</v>
      </c>
      <c r="F15" s="1112">
        <f t="shared" si="4"/>
        <v>34.99999999999995</v>
      </c>
      <c r="G15" s="1112" t="str">
        <f>IF($C$4=C15,VLOOKUP($C$7,'साठा नोंदवही'!$AY$31:$BA$64,3,0),"--")</f>
        <v>--</v>
      </c>
      <c r="H15" s="1112">
        <f t="shared" si="5"/>
        <v>34.99999999999995</v>
      </c>
      <c r="I15" s="1111">
        <f>HLOOKUP(C7,'दैनिक माहिती'!$BF$83:$BQ$115,9,0)</f>
        <v>21</v>
      </c>
      <c r="J15" s="1112">
        <f t="shared" si="0"/>
        <v>2.1</v>
      </c>
      <c r="K15" s="1112" t="str">
        <f>IF($M$4=C15,VLOOKUP($C$7,'साठा नोंदवही'!$C$44:$Z$55,3,0),"--")</f>
        <v>--</v>
      </c>
      <c r="L15" s="1112">
        <f t="shared" si="1"/>
        <v>32.899999999999949</v>
      </c>
      <c r="M15" s="1113"/>
      <c r="P15" s="803"/>
      <c r="T15" s="1181">
        <f t="shared" si="2"/>
        <v>2.1</v>
      </c>
    </row>
    <row r="16" spans="2:20" ht="30" customHeight="1" x14ac:dyDescent="0.45">
      <c r="B16" s="1108">
        <v>9</v>
      </c>
      <c r="C16" s="1109">
        <f t="shared" si="3"/>
        <v>44904</v>
      </c>
      <c r="D16" s="1114" t="str">
        <f>IF(C16="","",INDEX({"रवि";"सोम";"मंगळ";"बुध";"गुरू";"शुक्र";"शनि"},WEEKDAY(C16)))</f>
        <v>शुक्र</v>
      </c>
      <c r="E16" s="1111">
        <f>HLOOKUP(C7,'दैनिक माहिती'!BF8:$BQ$40,10,0)</f>
        <v>21</v>
      </c>
      <c r="F16" s="1112">
        <f t="shared" si="4"/>
        <v>32.899999999999949</v>
      </c>
      <c r="G16" s="1112" t="str">
        <f>IF($C$4=C16,VLOOKUP($C$7,'साठा नोंदवही'!$AY$31:$BA$64,3,0),"--")</f>
        <v>--</v>
      </c>
      <c r="H16" s="1112">
        <f t="shared" si="5"/>
        <v>32.899999999999949</v>
      </c>
      <c r="I16" s="1111">
        <f>HLOOKUP(C7,'दैनिक माहिती'!$BF$83:$BQ$115,10,0)</f>
        <v>21</v>
      </c>
      <c r="J16" s="1112">
        <f t="shared" si="0"/>
        <v>2.1</v>
      </c>
      <c r="K16" s="1112" t="str">
        <f>IF($M$4=C16,VLOOKUP($C$7,'साठा नोंदवही'!$C$44:$Z$55,3,0),"--")</f>
        <v>--</v>
      </c>
      <c r="L16" s="1112">
        <f t="shared" si="1"/>
        <v>30.799999999999947</v>
      </c>
      <c r="M16" s="1113"/>
      <c r="P16" s="803"/>
      <c r="T16" s="1181">
        <f t="shared" si="2"/>
        <v>2.1</v>
      </c>
    </row>
    <row r="17" spans="2:20" ht="30" customHeight="1" x14ac:dyDescent="0.45">
      <c r="B17" s="1108">
        <v>10</v>
      </c>
      <c r="C17" s="1109">
        <f t="shared" si="3"/>
        <v>44905</v>
      </c>
      <c r="D17" s="1114" t="str">
        <f>IF(C17="","",INDEX({"रवि";"सोम";"मंगळ";"बुध";"गुरू";"शुक्र";"शनि"},WEEKDAY(C17)))</f>
        <v>शनि</v>
      </c>
      <c r="E17" s="1111">
        <f>HLOOKUP(C7,'दैनिक माहिती'!BF8:$BQ$40,11,0)</f>
        <v>21</v>
      </c>
      <c r="F17" s="1112">
        <f t="shared" si="4"/>
        <v>30.799999999999947</v>
      </c>
      <c r="G17" s="1112" t="str">
        <f>IF($C$4=C17,VLOOKUP($C$7,'साठा नोंदवही'!$AY$31:$BA$64,3,0),"--")</f>
        <v>--</v>
      </c>
      <c r="H17" s="1112">
        <f t="shared" si="5"/>
        <v>30.799999999999947</v>
      </c>
      <c r="I17" s="1111">
        <f>HLOOKUP(C7,'दैनिक माहिती'!$BF$83:$BQ$115,11,0)</f>
        <v>21</v>
      </c>
      <c r="J17" s="1112">
        <f t="shared" si="0"/>
        <v>2.1</v>
      </c>
      <c r="K17" s="1112" t="str">
        <f>IF($M$4=C17,VLOOKUP($C$7,'साठा नोंदवही'!$C$44:$Z$55,3,0),"--")</f>
        <v>--</v>
      </c>
      <c r="L17" s="1112">
        <f t="shared" si="1"/>
        <v>28.699999999999946</v>
      </c>
      <c r="M17" s="1113"/>
      <c r="T17" s="1181">
        <f t="shared" si="2"/>
        <v>2.1</v>
      </c>
    </row>
    <row r="18" spans="2:20" ht="30" customHeight="1" x14ac:dyDescent="0.45">
      <c r="B18" s="1108">
        <v>11</v>
      </c>
      <c r="C18" s="1109">
        <f t="shared" si="3"/>
        <v>44906</v>
      </c>
      <c r="D18" s="1114" t="str">
        <f>IF(C18="","",INDEX({"रवि";"सोम";"मंगळ";"बुध";"गुरू";"शुक्र";"शनि"},WEEKDAY(C18)))</f>
        <v>रवि</v>
      </c>
      <c r="E18" s="1111">
        <f>HLOOKUP(C7,'दैनिक माहिती'!BF8:$BQ$40,12,0)</f>
        <v>0</v>
      </c>
      <c r="F18" s="1112">
        <f t="shared" si="4"/>
        <v>28.699999999999946</v>
      </c>
      <c r="G18" s="1112" t="str">
        <f>IF($C$4=C18,VLOOKUP($C$7,'साठा नोंदवही'!$AY$31:$BA$64,3,0),"--")</f>
        <v>--</v>
      </c>
      <c r="H18" s="1112">
        <f t="shared" si="5"/>
        <v>28.699999999999946</v>
      </c>
      <c r="I18" s="1111">
        <f>HLOOKUP(C7,'दैनिक माहिती'!$BF$83:$BQ$115,12,0)</f>
        <v>0</v>
      </c>
      <c r="J18" s="1112" t="str">
        <f t="shared" si="0"/>
        <v>--</v>
      </c>
      <c r="K18" s="1112" t="str">
        <f>IF($M$4=C18,VLOOKUP($C$7,'साठा नोंदवही'!$C$44:$Z$55,3,0),"--")</f>
        <v>--</v>
      </c>
      <c r="L18" s="1112" t="str">
        <f t="shared" si="1"/>
        <v>--</v>
      </c>
      <c r="M18" s="1113"/>
      <c r="T18" s="1181">
        <f t="shared" si="2"/>
        <v>0</v>
      </c>
    </row>
    <row r="19" spans="2:20" ht="30" customHeight="1" x14ac:dyDescent="0.45">
      <c r="B19" s="1108">
        <v>12</v>
      </c>
      <c r="C19" s="1109">
        <f t="shared" si="3"/>
        <v>44907</v>
      </c>
      <c r="D19" s="1114" t="str">
        <f>IF(C19="","",INDEX({"रवि";"सोम";"मंगळ";"बुध";"गुरू";"शुक्र";"शनि"},WEEKDAY(C19)))</f>
        <v>सोम</v>
      </c>
      <c r="E19" s="1111">
        <f>HLOOKUP(C7,'दैनिक माहिती'!BF8:$BQ$40,13,0)</f>
        <v>21</v>
      </c>
      <c r="F19" s="1112">
        <f t="shared" si="4"/>
        <v>28.699999999999946</v>
      </c>
      <c r="G19" s="1112" t="str">
        <f>IF($C$4=C19,VLOOKUP($C$7,'साठा नोंदवही'!$AY$31:$BA$64,3,0),"--")</f>
        <v>--</v>
      </c>
      <c r="H19" s="1112">
        <f t="shared" si="5"/>
        <v>28.699999999999946</v>
      </c>
      <c r="I19" s="1111">
        <f>HLOOKUP(C7,'दैनिक माहिती'!$BF$83:$BQ$115,13,0)</f>
        <v>21</v>
      </c>
      <c r="J19" s="1112">
        <f t="shared" si="0"/>
        <v>2.1</v>
      </c>
      <c r="K19" s="1112" t="str">
        <f>IF($M$4=C19,VLOOKUP($C$7,'साठा नोंदवही'!$C$44:$Z$55,3,0),"--")</f>
        <v>--</v>
      </c>
      <c r="L19" s="1112">
        <f t="shared" si="1"/>
        <v>26.599999999999945</v>
      </c>
      <c r="M19" s="1113"/>
      <c r="T19" s="1181">
        <f t="shared" si="2"/>
        <v>2.1</v>
      </c>
    </row>
    <row r="20" spans="2:20" ht="30" customHeight="1" x14ac:dyDescent="0.45">
      <c r="B20" s="1108">
        <v>13</v>
      </c>
      <c r="C20" s="1109">
        <f t="shared" si="3"/>
        <v>44908</v>
      </c>
      <c r="D20" s="1114" t="str">
        <f>IF(C20="","",INDEX({"रवि";"सोम";"मंगळ";"बुध";"गुरू";"शुक्र";"शनि"},WEEKDAY(C20)))</f>
        <v>मंगळ</v>
      </c>
      <c r="E20" s="1111">
        <f>HLOOKUP(C7,'दैनिक माहिती'!BF8:$BQ$40,14,0)</f>
        <v>21</v>
      </c>
      <c r="F20" s="1112">
        <f t="shared" si="4"/>
        <v>26.599999999999945</v>
      </c>
      <c r="G20" s="1112" t="str">
        <f>IF($C$4=C20,VLOOKUP($C$7,'साठा नोंदवही'!$AY$31:$BA$64,3,0),"--")</f>
        <v>--</v>
      </c>
      <c r="H20" s="1112">
        <f t="shared" si="5"/>
        <v>26.599999999999945</v>
      </c>
      <c r="I20" s="1111">
        <f>HLOOKUP(C7,'दैनिक माहिती'!$BF$83:$BQ$115,14,0)</f>
        <v>21</v>
      </c>
      <c r="J20" s="1112">
        <f t="shared" si="0"/>
        <v>2.1</v>
      </c>
      <c r="K20" s="1112" t="str">
        <f>IF($M$4=C20,VLOOKUP($C$7,'साठा नोंदवही'!$C$44:$Z$55,3,0),"--")</f>
        <v>--</v>
      </c>
      <c r="L20" s="1112">
        <f t="shared" si="1"/>
        <v>24.499999999999943</v>
      </c>
      <c r="M20" s="1113"/>
      <c r="T20" s="1181">
        <f t="shared" si="2"/>
        <v>2.1</v>
      </c>
    </row>
    <row r="21" spans="2:20" ht="30" customHeight="1" x14ac:dyDescent="0.45">
      <c r="B21" s="1108">
        <v>14</v>
      </c>
      <c r="C21" s="1109">
        <f t="shared" si="3"/>
        <v>44909</v>
      </c>
      <c r="D21" s="1114" t="str">
        <f>IF(C21="","",INDEX({"रवि";"सोम";"मंगळ";"बुध";"गुरू";"शुक्र";"शनि"},WEEKDAY(C21)))</f>
        <v>बुध</v>
      </c>
      <c r="E21" s="1111">
        <f>HLOOKUP(C7,'दैनिक माहिती'!BF8:$BQ$40,15,0)</f>
        <v>21</v>
      </c>
      <c r="F21" s="1112">
        <f t="shared" si="4"/>
        <v>24.499999999999943</v>
      </c>
      <c r="G21" s="1112" t="str">
        <f>IF($C$4=C21,VLOOKUP($C$7,'साठा नोंदवही'!$AY$31:$BA$64,3,0),"--")</f>
        <v>--</v>
      </c>
      <c r="H21" s="1112">
        <f t="shared" si="5"/>
        <v>24.499999999999943</v>
      </c>
      <c r="I21" s="1111">
        <f>HLOOKUP(C7,'दैनिक माहिती'!$BF$83:$BQ$115,15,0)</f>
        <v>21</v>
      </c>
      <c r="J21" s="1112">
        <f t="shared" si="0"/>
        <v>2.1</v>
      </c>
      <c r="K21" s="1112" t="str">
        <f>IF($M$4=C21,VLOOKUP($C$7,'साठा नोंदवही'!$C$44:$Z$55,3,0),"--")</f>
        <v>--</v>
      </c>
      <c r="L21" s="1112">
        <f t="shared" si="1"/>
        <v>22.399999999999942</v>
      </c>
      <c r="M21" s="1113"/>
      <c r="T21" s="1181">
        <f t="shared" si="2"/>
        <v>2.1</v>
      </c>
    </row>
    <row r="22" spans="2:20" ht="30" customHeight="1" x14ac:dyDescent="0.45">
      <c r="B22" s="1108">
        <v>15</v>
      </c>
      <c r="C22" s="1109">
        <f t="shared" si="3"/>
        <v>44910</v>
      </c>
      <c r="D22" s="1114" t="str">
        <f>IF(C22="","",INDEX({"रवि";"सोम";"मंगळ";"बुध";"गुरू";"शुक्र";"शनि"},WEEKDAY(C22)))</f>
        <v>गुरू</v>
      </c>
      <c r="E22" s="1111">
        <f>HLOOKUP(C7,'दैनिक माहिती'!BF8:$BQ$40,16,0)</f>
        <v>21</v>
      </c>
      <c r="F22" s="1112">
        <f t="shared" si="4"/>
        <v>22.399999999999942</v>
      </c>
      <c r="G22" s="1112" t="str">
        <f>IF($C$4=C22,VLOOKUP($C$7,'साठा नोंदवही'!$AY$31:$BA$64,3,0),"--")</f>
        <v>--</v>
      </c>
      <c r="H22" s="1112">
        <f t="shared" si="5"/>
        <v>22.399999999999942</v>
      </c>
      <c r="I22" s="1111">
        <f>HLOOKUP(C7,'दैनिक माहिती'!$BF$83:$BQ$115,16,0)</f>
        <v>21</v>
      </c>
      <c r="J22" s="1112">
        <f t="shared" si="0"/>
        <v>2.1</v>
      </c>
      <c r="K22" s="1112" t="str">
        <f>IF($M$4=C22,VLOOKUP($C$7,'साठा नोंदवही'!$C$44:$Z$55,3,0),"--")</f>
        <v>--</v>
      </c>
      <c r="L22" s="1112">
        <f t="shared" si="1"/>
        <v>20.29999999999994</v>
      </c>
      <c r="M22" s="1113"/>
      <c r="T22" s="1181">
        <f t="shared" si="2"/>
        <v>2.1</v>
      </c>
    </row>
    <row r="23" spans="2:20" ht="30" customHeight="1" x14ac:dyDescent="0.45">
      <c r="B23" s="1108">
        <v>16</v>
      </c>
      <c r="C23" s="1109">
        <f>C22+1</f>
        <v>44911</v>
      </c>
      <c r="D23" s="1114" t="str">
        <f>IF(C23="","",INDEX({"रवि";"सोम";"मंगळ";"बुध";"गुरू";"शुक्र";"शनि"},WEEKDAY(C23)))</f>
        <v>शुक्र</v>
      </c>
      <c r="E23" s="1111">
        <f>HLOOKUP(C7,'दैनिक माहिती'!BF8:$BQ$40,17,0)</f>
        <v>21</v>
      </c>
      <c r="F23" s="1112">
        <f t="shared" si="4"/>
        <v>20.29999999999994</v>
      </c>
      <c r="G23" s="1112" t="str">
        <f>IF($C$4=C23,VLOOKUP($C$7,'साठा नोंदवही'!$AY$31:$BA$64,3,0),"--")</f>
        <v>--</v>
      </c>
      <c r="H23" s="1112">
        <f t="shared" si="5"/>
        <v>20.29999999999994</v>
      </c>
      <c r="I23" s="1111">
        <f>HLOOKUP(C7,'दैनिक माहिती'!$BF$83:$BQ$115,17,0)</f>
        <v>21</v>
      </c>
      <c r="J23" s="1112">
        <f t="shared" si="0"/>
        <v>2.1</v>
      </c>
      <c r="K23" s="1112" t="str">
        <f>IF($M$4=C23,VLOOKUP($C$7,'साठा नोंदवही'!$C$44:$Z$55,3,0),"--")</f>
        <v>--</v>
      </c>
      <c r="L23" s="1112">
        <f t="shared" si="1"/>
        <v>18.199999999999939</v>
      </c>
      <c r="M23" s="1113"/>
      <c r="T23" s="1181">
        <f t="shared" si="2"/>
        <v>2.1</v>
      </c>
    </row>
    <row r="24" spans="2:20" ht="30" customHeight="1" x14ac:dyDescent="0.45">
      <c r="B24" s="1108">
        <v>17</v>
      </c>
      <c r="C24" s="1109">
        <f t="shared" si="3"/>
        <v>44912</v>
      </c>
      <c r="D24" s="1114" t="str">
        <f>IF(C24="","",INDEX({"रवि";"सोम";"मंगळ";"बुध";"गुरू";"शुक्र";"शनि"},WEEKDAY(C24)))</f>
        <v>शनि</v>
      </c>
      <c r="E24" s="1111">
        <f>HLOOKUP(C7,'दैनिक माहिती'!BF8:$BQ$40,18,0)</f>
        <v>21</v>
      </c>
      <c r="F24" s="1112">
        <f t="shared" si="4"/>
        <v>18.199999999999939</v>
      </c>
      <c r="G24" s="1112" t="str">
        <f>IF($C$4=C24,VLOOKUP($C$7,'साठा नोंदवही'!$AY$31:$BA$64,3,0),"--")</f>
        <v>--</v>
      </c>
      <c r="H24" s="1112">
        <f t="shared" si="5"/>
        <v>18.199999999999939</v>
      </c>
      <c r="I24" s="1111">
        <f>HLOOKUP(C7,'दैनिक माहिती'!$BF$83:$BQ$115,18,0)</f>
        <v>21</v>
      </c>
      <c r="J24" s="1112">
        <f t="shared" si="0"/>
        <v>2.1</v>
      </c>
      <c r="K24" s="1112" t="str">
        <f>IF($M$4=C24,VLOOKUP($C$7,'साठा नोंदवही'!$C$44:$Z$55,3,0),"--")</f>
        <v>--</v>
      </c>
      <c r="L24" s="1112">
        <f t="shared" si="1"/>
        <v>16.099999999999937</v>
      </c>
      <c r="M24" s="1113"/>
      <c r="T24" s="1181">
        <f t="shared" si="2"/>
        <v>2.1</v>
      </c>
    </row>
    <row r="25" spans="2:20" ht="30" customHeight="1" x14ac:dyDescent="0.45">
      <c r="B25" s="1108">
        <v>18</v>
      </c>
      <c r="C25" s="1109">
        <f t="shared" si="3"/>
        <v>44913</v>
      </c>
      <c r="D25" s="1114" t="str">
        <f>IF(C25="","",INDEX({"रवि";"सोम";"मंगळ";"बुध";"गुरू";"शुक्र";"शनि"},WEEKDAY(C25)))</f>
        <v>रवि</v>
      </c>
      <c r="E25" s="1111">
        <f>HLOOKUP(C7,'दैनिक माहिती'!BF8:$BQ$40,19,0)</f>
        <v>0</v>
      </c>
      <c r="F25" s="1112">
        <f t="shared" si="4"/>
        <v>16.099999999999937</v>
      </c>
      <c r="G25" s="1112" t="str">
        <f>IF($C$4=C25,VLOOKUP($C$7,'साठा नोंदवही'!$AY$31:$BA$64,3,0),"--")</f>
        <v>--</v>
      </c>
      <c r="H25" s="1112">
        <f t="shared" si="5"/>
        <v>16.099999999999937</v>
      </c>
      <c r="I25" s="1111">
        <f>HLOOKUP(C7,'दैनिक माहिती'!$BF$83:$BQ$115,19,0)</f>
        <v>0</v>
      </c>
      <c r="J25" s="1112" t="str">
        <f t="shared" si="0"/>
        <v>--</v>
      </c>
      <c r="K25" s="1112" t="str">
        <f>IF($M$4=C25,VLOOKUP($C$7,'साठा नोंदवही'!$C$44:$Z$55,3,0),"--")</f>
        <v>--</v>
      </c>
      <c r="L25" s="1112" t="str">
        <f t="shared" si="1"/>
        <v>--</v>
      </c>
      <c r="M25" s="1113"/>
      <c r="T25" s="1181">
        <f t="shared" si="2"/>
        <v>0</v>
      </c>
    </row>
    <row r="26" spans="2:20" ht="30" customHeight="1" x14ac:dyDescent="0.45">
      <c r="B26" s="1108">
        <v>19</v>
      </c>
      <c r="C26" s="1109">
        <f t="shared" si="3"/>
        <v>44914</v>
      </c>
      <c r="D26" s="1114" t="str">
        <f>IF(C26="","",INDEX({"रवि";"सोम";"मंगळ";"बुध";"गुरू";"शुक्र";"शनि"},WEEKDAY(C26)))</f>
        <v>सोम</v>
      </c>
      <c r="E26" s="1111">
        <f>HLOOKUP(C7,'दैनिक माहिती'!BF8:$BQ$40,20,0)</f>
        <v>21</v>
      </c>
      <c r="F26" s="1112">
        <f t="shared" si="4"/>
        <v>16.099999999999937</v>
      </c>
      <c r="G26" s="1112" t="str">
        <f>IF($C$4=C26,VLOOKUP($C$7,'साठा नोंदवही'!$AY$31:$BA$64,3,0),"--")</f>
        <v>--</v>
      </c>
      <c r="H26" s="1112">
        <f t="shared" si="5"/>
        <v>16.099999999999937</v>
      </c>
      <c r="I26" s="1111">
        <f>HLOOKUP(C7,'दैनिक माहिती'!$BF$83:$BQ$115,20,0)</f>
        <v>21</v>
      </c>
      <c r="J26" s="1112">
        <f t="shared" si="0"/>
        <v>2.1</v>
      </c>
      <c r="K26" s="1112" t="str">
        <f>IF($M$4=C26,VLOOKUP($C$7,'साठा नोंदवही'!$C$44:$Z$55,3,0),"--")</f>
        <v>--</v>
      </c>
      <c r="L26" s="1112">
        <f t="shared" si="1"/>
        <v>13.999999999999938</v>
      </c>
      <c r="M26" s="1113"/>
      <c r="T26" s="1181">
        <f t="shared" si="2"/>
        <v>2.1</v>
      </c>
    </row>
    <row r="27" spans="2:20" ht="30" customHeight="1" x14ac:dyDescent="0.45">
      <c r="B27" s="1108">
        <v>20</v>
      </c>
      <c r="C27" s="1109">
        <f t="shared" si="3"/>
        <v>44915</v>
      </c>
      <c r="D27" s="1114" t="str">
        <f>IF(C27="","",INDEX({"रवि";"सोम";"मंगळ";"बुध";"गुरू";"शुक्र";"शनि"},WEEKDAY(C27)))</f>
        <v>मंगळ</v>
      </c>
      <c r="E27" s="1111">
        <f>HLOOKUP(C7,'दैनिक माहिती'!BF8:$BQ$40,21,0)</f>
        <v>21</v>
      </c>
      <c r="F27" s="1112">
        <f t="shared" si="4"/>
        <v>13.999999999999938</v>
      </c>
      <c r="G27" s="1112" t="str">
        <f>IF($C$4=C27,VLOOKUP($C$7,'साठा नोंदवही'!$AY$31:$BA$64,3,0),"--")</f>
        <v>--</v>
      </c>
      <c r="H27" s="1112">
        <f t="shared" si="5"/>
        <v>13.999999999999938</v>
      </c>
      <c r="I27" s="1111">
        <f>HLOOKUP(C7,'दैनिक माहिती'!$BF$83:$BQ$115,21,0)</f>
        <v>21</v>
      </c>
      <c r="J27" s="1112">
        <f t="shared" si="0"/>
        <v>2.1</v>
      </c>
      <c r="K27" s="1112" t="str">
        <f>IF($M$4=C27,VLOOKUP($C$7,'साठा नोंदवही'!$C$44:$Z$55,3,0),"--")</f>
        <v>--</v>
      </c>
      <c r="L27" s="1112">
        <f t="shared" si="1"/>
        <v>11.899999999999938</v>
      </c>
      <c r="M27" s="1113"/>
      <c r="T27" s="1181">
        <f t="shared" si="2"/>
        <v>2.1</v>
      </c>
    </row>
    <row r="28" spans="2:20" ht="30" customHeight="1" x14ac:dyDescent="0.45">
      <c r="B28" s="1108">
        <v>21</v>
      </c>
      <c r="C28" s="1109">
        <f t="shared" si="3"/>
        <v>44916</v>
      </c>
      <c r="D28" s="1114" t="str">
        <f>IF(C28="","",INDEX({"रवि";"सोम";"मंगळ";"बुध";"गुरू";"शुक्र";"शनि"},WEEKDAY(C28)))</f>
        <v>बुध</v>
      </c>
      <c r="E28" s="1111">
        <f>HLOOKUP(C7,'दैनिक माहिती'!BF8:$BQ$40,22,0)</f>
        <v>21</v>
      </c>
      <c r="F28" s="1112">
        <f t="shared" si="4"/>
        <v>11.899999999999938</v>
      </c>
      <c r="G28" s="1112" t="str">
        <f>IF($C$4=C28,VLOOKUP($C$7,'साठा नोंदवही'!$AY$31:$BA$64,3,0),"--")</f>
        <v>--</v>
      </c>
      <c r="H28" s="1112">
        <f t="shared" si="5"/>
        <v>11.899999999999938</v>
      </c>
      <c r="I28" s="1111">
        <f>HLOOKUP(C7,'दैनिक माहिती'!$BF$83:$BQ$115,22,0)</f>
        <v>21</v>
      </c>
      <c r="J28" s="1112">
        <f t="shared" si="0"/>
        <v>2.1</v>
      </c>
      <c r="K28" s="1112" t="str">
        <f>IF($M$4=C28,VLOOKUP($C$7,'साठा नोंदवही'!$C$44:$Z$55,3,0),"--")</f>
        <v>--</v>
      </c>
      <c r="L28" s="1112">
        <f t="shared" si="1"/>
        <v>9.7999999999999385</v>
      </c>
      <c r="M28" s="1113"/>
      <c r="T28" s="1181">
        <f t="shared" si="2"/>
        <v>2.1</v>
      </c>
    </row>
    <row r="29" spans="2:20" ht="30" customHeight="1" x14ac:dyDescent="0.45">
      <c r="B29" s="1108">
        <v>22</v>
      </c>
      <c r="C29" s="1109">
        <f t="shared" si="3"/>
        <v>44917</v>
      </c>
      <c r="D29" s="1114" t="str">
        <f>IF(C29="","",INDEX({"रवि";"सोम";"मंगळ";"बुध";"गुरू";"शुक्र";"शनि"},WEEKDAY(C29)))</f>
        <v>गुरू</v>
      </c>
      <c r="E29" s="1111">
        <f>HLOOKUP(C7,'दैनिक माहिती'!BF8:$BQ$40,23,0)</f>
        <v>21</v>
      </c>
      <c r="F29" s="1112">
        <f t="shared" si="4"/>
        <v>9.7999999999999385</v>
      </c>
      <c r="G29" s="1112" t="str">
        <f>IF($C$4=C29,VLOOKUP($C$7,'साठा नोंदवही'!$AY$31:$BA$64,3,0),"--")</f>
        <v>--</v>
      </c>
      <c r="H29" s="1112">
        <f t="shared" si="5"/>
        <v>9.7999999999999385</v>
      </c>
      <c r="I29" s="1111">
        <f>HLOOKUP(C7,'दैनिक माहिती'!$BF$83:$BQ$115,23,0)</f>
        <v>21</v>
      </c>
      <c r="J29" s="1112">
        <f t="shared" si="0"/>
        <v>2.1</v>
      </c>
      <c r="K29" s="1112" t="str">
        <f>IF($M$4=C29,VLOOKUP($C$7,'साठा नोंदवही'!$C$44:$Z$55,3,0),"--")</f>
        <v>--</v>
      </c>
      <c r="L29" s="1112">
        <f t="shared" si="1"/>
        <v>7.6999999999999389</v>
      </c>
      <c r="M29" s="1113"/>
      <c r="T29" s="1181">
        <f t="shared" si="2"/>
        <v>2.1</v>
      </c>
    </row>
    <row r="30" spans="2:20" ht="30" customHeight="1" x14ac:dyDescent="0.45">
      <c r="B30" s="1108">
        <v>23</v>
      </c>
      <c r="C30" s="1109">
        <f t="shared" si="3"/>
        <v>44918</v>
      </c>
      <c r="D30" s="1114" t="str">
        <f>IF(C30="","",INDEX({"रवि";"सोम";"मंगळ";"बुध";"गुरू";"शुक्र";"शनि"},WEEKDAY(C30)))</f>
        <v>शुक्र</v>
      </c>
      <c r="E30" s="1111">
        <f>HLOOKUP(C7,'दैनिक माहिती'!BF8:$BQ$40,24,0)</f>
        <v>21</v>
      </c>
      <c r="F30" s="1112">
        <f t="shared" si="4"/>
        <v>7.6999999999999389</v>
      </c>
      <c r="G30" s="1112" t="str">
        <f>IF($C$4=C30,VLOOKUP($C$7,'साठा नोंदवही'!$AY$31:$BA$64,3,0),"--")</f>
        <v>--</v>
      </c>
      <c r="H30" s="1112">
        <f t="shared" si="5"/>
        <v>7.6999999999999389</v>
      </c>
      <c r="I30" s="1111">
        <f>HLOOKUP(C7,'दैनिक माहिती'!$BF$83:$BQ$115,24,0)</f>
        <v>21</v>
      </c>
      <c r="J30" s="1112">
        <f t="shared" si="0"/>
        <v>2.1</v>
      </c>
      <c r="K30" s="1112" t="str">
        <f>IF($M$4=C30,VLOOKUP($C$7,'साठा नोंदवही'!$C$44:$Z$55,3,0),"--")</f>
        <v>--</v>
      </c>
      <c r="L30" s="1112">
        <f t="shared" si="1"/>
        <v>5.5999999999999392</v>
      </c>
      <c r="M30" s="1113"/>
      <c r="T30" s="1181">
        <f t="shared" si="2"/>
        <v>2.1</v>
      </c>
    </row>
    <row r="31" spans="2:20" ht="30" customHeight="1" x14ac:dyDescent="0.45">
      <c r="B31" s="1108">
        <v>24</v>
      </c>
      <c r="C31" s="1109">
        <f t="shared" si="3"/>
        <v>44919</v>
      </c>
      <c r="D31" s="1114" t="str">
        <f>IF(C31="","",INDEX({"रवि";"सोम";"मंगळ";"बुध";"गुरू";"शुक्र";"शनि"},WEEKDAY(C31)))</f>
        <v>शनि</v>
      </c>
      <c r="E31" s="1111">
        <f>HLOOKUP(C7,'दैनिक माहिती'!BF8:$BQ$40,25,0)</f>
        <v>21</v>
      </c>
      <c r="F31" s="1112">
        <f t="shared" si="4"/>
        <v>5.5999999999999392</v>
      </c>
      <c r="G31" s="1112" t="str">
        <f>IF($C$4=C31,VLOOKUP($C$7,'साठा नोंदवही'!$AY$31:$BA$64,3,0),"--")</f>
        <v>--</v>
      </c>
      <c r="H31" s="1112">
        <f t="shared" si="5"/>
        <v>5.5999999999999392</v>
      </c>
      <c r="I31" s="1111">
        <f>HLOOKUP(C7,'दैनिक माहिती'!$BF$83:$BQ$115,25,0)</f>
        <v>21</v>
      </c>
      <c r="J31" s="1112">
        <f t="shared" si="0"/>
        <v>2.1</v>
      </c>
      <c r="K31" s="1112" t="str">
        <f>IF($M$4=C31,VLOOKUP($C$7,'साठा नोंदवही'!$C$44:$Z$55,3,0),"--")</f>
        <v>--</v>
      </c>
      <c r="L31" s="1112">
        <f t="shared" si="1"/>
        <v>3.4999999999999392</v>
      </c>
      <c r="M31" s="1113"/>
      <c r="T31" s="1181">
        <f t="shared" si="2"/>
        <v>2.1</v>
      </c>
    </row>
    <row r="32" spans="2:20" ht="30" customHeight="1" x14ac:dyDescent="0.45">
      <c r="B32" s="1108">
        <v>25</v>
      </c>
      <c r="C32" s="1109">
        <f t="shared" si="3"/>
        <v>44920</v>
      </c>
      <c r="D32" s="1114" t="str">
        <f>IF(C32="","",INDEX({"रवि";"सोम";"मंगळ";"बुध";"गुरू";"शुक्र";"शनि"},WEEKDAY(C32)))</f>
        <v>रवि</v>
      </c>
      <c r="E32" s="1111">
        <f>HLOOKUP(C7,'दैनिक माहिती'!BF8:$BQ$40,26,0)</f>
        <v>0</v>
      </c>
      <c r="F32" s="1112">
        <f t="shared" si="4"/>
        <v>3.4999999999999392</v>
      </c>
      <c r="G32" s="1112" t="str">
        <f>IF($C$4=C32,VLOOKUP($C$7,'साठा नोंदवही'!$AY$31:$BA$64,3,0),"--")</f>
        <v>--</v>
      </c>
      <c r="H32" s="1112">
        <f t="shared" si="5"/>
        <v>3.4999999999999392</v>
      </c>
      <c r="I32" s="1111">
        <f>HLOOKUP(C7,'दैनिक माहिती'!$BF$83:$BQ$115,26,0)</f>
        <v>0</v>
      </c>
      <c r="J32" s="1112" t="str">
        <f t="shared" si="0"/>
        <v>--</v>
      </c>
      <c r="K32" s="1112" t="str">
        <f>IF($M$4=C32,VLOOKUP($C$7,'साठा नोंदवही'!$C$44:$Z$55,3,0),"--")</f>
        <v>--</v>
      </c>
      <c r="L32" s="1112" t="str">
        <f t="shared" si="1"/>
        <v>--</v>
      </c>
      <c r="M32" s="1113"/>
      <c r="T32" s="1181">
        <f t="shared" si="2"/>
        <v>0</v>
      </c>
    </row>
    <row r="33" spans="2:20" ht="30" customHeight="1" x14ac:dyDescent="0.45">
      <c r="B33" s="1108">
        <v>26</v>
      </c>
      <c r="C33" s="1109">
        <f t="shared" si="3"/>
        <v>44921</v>
      </c>
      <c r="D33" s="1114" t="str">
        <f>IF(C33="","",INDEX({"रवि";"सोम";"मंगळ";"बुध";"गुरू";"शुक्र";"शनि"},WEEKDAY(C33)))</f>
        <v>सोम</v>
      </c>
      <c r="E33" s="1111">
        <f>HLOOKUP(C7,'दैनिक माहिती'!BF8:$BQ$40,27,0)</f>
        <v>21</v>
      </c>
      <c r="F33" s="1112">
        <f t="shared" si="4"/>
        <v>3.4999999999999392</v>
      </c>
      <c r="G33" s="1112" t="str">
        <f>IF($C$4=C33,VLOOKUP($C$7,'साठा नोंदवही'!$AY$31:$BA$64,3,0),"--")</f>
        <v>--</v>
      </c>
      <c r="H33" s="1112">
        <f t="shared" si="5"/>
        <v>3.4999999999999392</v>
      </c>
      <c r="I33" s="1111">
        <f>HLOOKUP(C7,'दैनिक माहिती'!$BF$83:$BQ$115,27,0)</f>
        <v>21</v>
      </c>
      <c r="J33" s="1112">
        <f t="shared" si="0"/>
        <v>2.1</v>
      </c>
      <c r="K33" s="1112" t="str">
        <f>IF($M$4=C33,VLOOKUP($C$7,'साठा नोंदवही'!$C$44:$Z$55,3,0),"--")</f>
        <v>--</v>
      </c>
      <c r="L33" s="1112">
        <f t="shared" si="1"/>
        <v>1.3999999999999391</v>
      </c>
      <c r="M33" s="1113"/>
      <c r="T33" s="1181">
        <f t="shared" si="2"/>
        <v>2.1</v>
      </c>
    </row>
    <row r="34" spans="2:20" ht="30" customHeight="1" x14ac:dyDescent="0.45">
      <c r="B34" s="1108">
        <v>27</v>
      </c>
      <c r="C34" s="1109">
        <f t="shared" si="3"/>
        <v>44922</v>
      </c>
      <c r="D34" s="1114" t="str">
        <f>IF(C34="","",INDEX({"रवि";"सोम";"मंगळ";"बुध";"गुरू";"शुक्र";"शनि"},WEEKDAY(C34)))</f>
        <v>मंगळ</v>
      </c>
      <c r="E34" s="1111">
        <f>HLOOKUP(C7,'दैनिक माहिती'!BF8:$BQ$40,28,0)</f>
        <v>21</v>
      </c>
      <c r="F34" s="1112">
        <f t="shared" si="4"/>
        <v>1.3999999999999391</v>
      </c>
      <c r="G34" s="1112" t="str">
        <f>IF($C$4=C34,VLOOKUP($C$7,'साठा नोंदवही'!$AY$31:$BA$64,3,0),"--")</f>
        <v>--</v>
      </c>
      <c r="H34" s="1112">
        <f t="shared" si="5"/>
        <v>1.3999999999999391</v>
      </c>
      <c r="I34" s="1111">
        <f>HLOOKUP(C7,'दैनिक माहिती'!$BF$83:$BQ$115,28,0)</f>
        <v>21</v>
      </c>
      <c r="J34" s="1112">
        <f t="shared" si="0"/>
        <v>2.1</v>
      </c>
      <c r="K34" s="1112" t="str">
        <f>IF($M$4=C34,VLOOKUP($C$7,'साठा नोंदवही'!$C$44:$Z$55,3,0),"--")</f>
        <v>--</v>
      </c>
      <c r="L34" s="1112">
        <f t="shared" si="1"/>
        <v>-0.70000000000006102</v>
      </c>
      <c r="M34" s="1113"/>
      <c r="T34" s="1181">
        <f t="shared" si="2"/>
        <v>2.1</v>
      </c>
    </row>
    <row r="35" spans="2:20" ht="30" customHeight="1" x14ac:dyDescent="0.45">
      <c r="B35" s="1108">
        <v>28</v>
      </c>
      <c r="C35" s="1109">
        <f t="shared" si="3"/>
        <v>44923</v>
      </c>
      <c r="D35" s="1114" t="str">
        <f>IF(C35="","",INDEX({"रवि";"सोम";"मंगळ";"बुध";"गुरू";"शुक्र";"शनि"},WEEKDAY(C35)))</f>
        <v>बुध</v>
      </c>
      <c r="E35" s="1111">
        <f>HLOOKUP(C7,'दैनिक माहिती'!BF8:$BQ$40,29,0)</f>
        <v>21</v>
      </c>
      <c r="F35" s="1112">
        <f t="shared" si="4"/>
        <v>-0.70000000000006102</v>
      </c>
      <c r="G35" s="1112" t="str">
        <f>IF($C$4=C35,VLOOKUP($C$7,'साठा नोंदवही'!$AY$31:$BA$64,3,0),"--")</f>
        <v>--</v>
      </c>
      <c r="H35" s="1112">
        <f t="shared" si="5"/>
        <v>-0.70000000000006102</v>
      </c>
      <c r="I35" s="1111">
        <f>HLOOKUP(C7,'दैनिक माहिती'!$BF$83:$BQ$115,29,0)</f>
        <v>21</v>
      </c>
      <c r="J35" s="1112">
        <f t="shared" si="0"/>
        <v>2.1</v>
      </c>
      <c r="K35" s="1112" t="str">
        <f>IF($M$4=C35,VLOOKUP($C$7,'साठा नोंदवही'!$C$44:$Z$55,3,0),"--")</f>
        <v>--</v>
      </c>
      <c r="L35" s="1112">
        <f t="shared" si="1"/>
        <v>-2.8000000000000611</v>
      </c>
      <c r="M35" s="1113"/>
      <c r="T35" s="1181">
        <f t="shared" si="2"/>
        <v>2.1</v>
      </c>
    </row>
    <row r="36" spans="2:20" ht="30" customHeight="1" x14ac:dyDescent="0.45">
      <c r="B36" s="1108">
        <v>29</v>
      </c>
      <c r="C36" s="1109">
        <f t="shared" si="3"/>
        <v>44924</v>
      </c>
      <c r="D36" s="1114" t="str">
        <f>IF(C36="","",INDEX({"रवि";"सोम";"मंगळ";"बुध";"गुरू";"शुक्र";"शनि"},WEEKDAY(C36)))</f>
        <v>गुरू</v>
      </c>
      <c r="E36" s="1111">
        <f>HLOOKUP(C7,'दैनिक माहिती'!BF8:$BQ$40,30,0)</f>
        <v>21</v>
      </c>
      <c r="F36" s="1112">
        <f t="shared" si="4"/>
        <v>-2.8000000000000611</v>
      </c>
      <c r="G36" s="1112" t="str">
        <f>IF($C$4=C36,VLOOKUP($C$7,'साठा नोंदवही'!$AY$31:$BA$64,3,0),"--")</f>
        <v>--</v>
      </c>
      <c r="H36" s="1112">
        <f t="shared" si="5"/>
        <v>-2.8000000000000611</v>
      </c>
      <c r="I36" s="1111">
        <f>HLOOKUP(C7,'दैनिक माहिती'!$BF$83:$BQ$115,30,0)</f>
        <v>21</v>
      </c>
      <c r="J36" s="1112">
        <f t="shared" si="0"/>
        <v>2.1</v>
      </c>
      <c r="K36" s="1112" t="str">
        <f>IF($M$4=C36,VLOOKUP($C$7,'साठा नोंदवही'!$C$44:$Z$55,3,0),"--")</f>
        <v>--</v>
      </c>
      <c r="L36" s="1112">
        <f t="shared" si="1"/>
        <v>-4.9000000000000608</v>
      </c>
      <c r="M36" s="1113"/>
      <c r="T36" s="1181">
        <f t="shared" si="2"/>
        <v>2.1</v>
      </c>
    </row>
    <row r="37" spans="2:20" ht="30" customHeight="1" x14ac:dyDescent="0.45">
      <c r="B37" s="1108">
        <v>30</v>
      </c>
      <c r="C37" s="1109">
        <f t="shared" si="3"/>
        <v>44925</v>
      </c>
      <c r="D37" s="1114" t="str">
        <f>IF(C37="","",INDEX({"रवि";"सोम";"मंगळ";"बुध";"गुरू";"शुक्र";"शनि"},WEEKDAY(C37)))</f>
        <v>शुक्र</v>
      </c>
      <c r="E37" s="1111">
        <f>HLOOKUP(C7,'दैनिक माहिती'!BF8:$BQ$40,31,0)</f>
        <v>21</v>
      </c>
      <c r="F37" s="1112">
        <f t="shared" si="4"/>
        <v>-4.9000000000000608</v>
      </c>
      <c r="G37" s="1112" t="str">
        <f>IF($C$4=C37,VLOOKUP($C$7,'साठा नोंदवही'!$AY$31:$BA$64,3,0),"--")</f>
        <v>--</v>
      </c>
      <c r="H37" s="1112">
        <f t="shared" si="5"/>
        <v>-4.9000000000000608</v>
      </c>
      <c r="I37" s="1111">
        <f>HLOOKUP(C7,'दैनिक माहिती'!$BF$83:$BQ$115,31,0)</f>
        <v>21</v>
      </c>
      <c r="J37" s="1112">
        <f t="shared" si="0"/>
        <v>2.1</v>
      </c>
      <c r="K37" s="1112" t="str">
        <f>IF($M$4=C37,VLOOKUP($C$7,'साठा नोंदवही'!$C$44:$Z$55,3,0),"--")</f>
        <v>--</v>
      </c>
      <c r="L37" s="1112">
        <f t="shared" si="1"/>
        <v>-7.0000000000000604</v>
      </c>
      <c r="M37" s="1113"/>
      <c r="T37" s="1181">
        <f t="shared" si="2"/>
        <v>2.1</v>
      </c>
    </row>
    <row r="38" spans="2:20" ht="30" customHeight="1" thickBot="1" x14ac:dyDescent="0.5">
      <c r="B38" s="1115">
        <v>31</v>
      </c>
      <c r="C38" s="1116">
        <f t="shared" si="3"/>
        <v>44926</v>
      </c>
      <c r="D38" s="1117" t="str">
        <f>IF(C38="","",INDEX({"रवि";"सोम";"मंगळ";"बुध";"गुरू";"शुक्र";"शनि"},WEEKDAY(C38)))</f>
        <v>शनि</v>
      </c>
      <c r="E38" s="1118">
        <f>HLOOKUP(C7,'दैनिक माहिती'!BF8:$BQ$40,32,0)</f>
        <v>21</v>
      </c>
      <c r="F38" s="1112">
        <f t="shared" si="4"/>
        <v>-7.0000000000000604</v>
      </c>
      <c r="G38" s="1112" t="str">
        <f>IF($C$4=C38,VLOOKUP($C$7,'साठा नोंदवही'!$AY$31:$BA$64,3,0),"--")</f>
        <v>--</v>
      </c>
      <c r="H38" s="1112">
        <f t="shared" si="5"/>
        <v>-7.0000000000000604</v>
      </c>
      <c r="I38" s="1118">
        <f>HLOOKUP(C7,'दैनिक माहिती'!$BF$83:$BQ$115,32,0)</f>
        <v>21</v>
      </c>
      <c r="J38" s="1112">
        <f t="shared" si="0"/>
        <v>2.1</v>
      </c>
      <c r="K38" s="1112" t="str">
        <f>IF($M$4=C38,VLOOKUP($C$7,'साठा नोंदवही'!$C$44:$Z$55,3,0),"--")</f>
        <v>--</v>
      </c>
      <c r="L38" s="1112">
        <f t="shared" si="1"/>
        <v>-9.10000000000006</v>
      </c>
      <c r="M38" s="1119"/>
      <c r="T38" s="1181">
        <f t="shared" si="2"/>
        <v>2.1</v>
      </c>
    </row>
    <row r="39" spans="2:20" ht="30" customHeight="1" thickBot="1" x14ac:dyDescent="0.5">
      <c r="B39" s="1875" t="s">
        <v>35</v>
      </c>
      <c r="C39" s="1876"/>
      <c r="D39" s="1877"/>
      <c r="E39" s="1120">
        <f>SUM(E8:E38)</f>
        <v>547</v>
      </c>
      <c r="F39" s="1121">
        <f>F8</f>
        <v>45.599999999999959</v>
      </c>
      <c r="G39" s="1122">
        <f t="shared" ref="G39" si="6">SUM(G8:G38)</f>
        <v>0</v>
      </c>
      <c r="H39" s="1122">
        <f>SUM(F39,G39)</f>
        <v>45.599999999999959</v>
      </c>
      <c r="I39" s="1123">
        <f>SUM(I8:I38)</f>
        <v>547</v>
      </c>
      <c r="J39" s="1122">
        <f>SUM(J8:J38)</f>
        <v>54.700000000000024</v>
      </c>
      <c r="K39" s="1122">
        <f>SUM(K8:K38)</f>
        <v>0</v>
      </c>
      <c r="L39" s="1124">
        <f>IFERROR(IF(I39&gt;0,AVERAGE(H39-T39),""),"")</f>
        <v>-9.1000000000000654</v>
      </c>
      <c r="M39" s="1125"/>
      <c r="T39" s="1181">
        <f t="shared" si="2"/>
        <v>54.700000000000024</v>
      </c>
    </row>
  </sheetData>
  <sheetProtection algorithmName="SHA-512" hashValue="nohSgDJ4FEN+xYw7cDfflVbzes05bUMlaUL0y4Cx1i+rWfE3LMPBcj8+mUqomy98ELsN/JuqdJKQmASltDbYpA==" saltValue="4Uz8K4L19TE3uGvMPTIKZA==" spinCount="100000" sheet="1" objects="1" scenarios="1" selectLockedCells="1"/>
  <mergeCells count="10">
    <mergeCell ref="B39:D39"/>
    <mergeCell ref="B1:L1"/>
    <mergeCell ref="B2:M2"/>
    <mergeCell ref="B3:M3"/>
    <mergeCell ref="H4:I4"/>
    <mergeCell ref="C5:E5"/>
    <mergeCell ref="D4:E4"/>
    <mergeCell ref="G5:H5"/>
    <mergeCell ref="J5:K5"/>
    <mergeCell ref="J4:L4"/>
  </mergeCells>
  <dataValidations count="1">
    <dataValidation type="list" allowBlank="1" showInputMessage="1" showErrorMessage="1" sqref="C7">
      <formula1>"एप्रिल,मे,जून,जुलै,ऑगस्ट,सप्टेंबर,ऑक्टोबर,नोव्हेंबर,डिसेंबर,जानेवारी,फेब्रुवारी,मार्च"</formula1>
    </dataValidation>
  </dataValidations>
  <printOptions horizontalCentered="1"/>
  <pageMargins left="0.31496062992125984" right="0.31496062992125984" top="0.43307086614173229" bottom="0.31496062992125984" header="0.31496062992125984" footer="0.31496062992125984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D7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  <pageSetUpPr fitToPage="1"/>
  </sheetPr>
  <dimension ref="A4:AF63"/>
  <sheetViews>
    <sheetView showZeros="0" zoomScale="90" zoomScaleNormal="90" workbookViewId="0">
      <selection activeCell="D5" sqref="D5:J5"/>
    </sheetView>
  </sheetViews>
  <sheetFormatPr defaultRowHeight="15" x14ac:dyDescent="0.25"/>
  <cols>
    <col min="1" max="1" width="5.28515625" customWidth="1"/>
    <col min="2" max="2" width="6.140625" style="454" customWidth="1"/>
    <col min="3" max="3" width="11.85546875" customWidth="1"/>
    <col min="4" max="4" width="11.5703125" customWidth="1"/>
    <col min="5" max="5" width="16.5703125" customWidth="1"/>
    <col min="6" max="6" width="9.42578125" customWidth="1"/>
    <col min="7" max="7" width="9" customWidth="1"/>
    <col min="9" max="9" width="10.42578125" style="454" customWidth="1"/>
    <col min="12" max="12" width="10" customWidth="1"/>
    <col min="17" max="17" width="9.28515625" customWidth="1"/>
    <col min="18" max="18" width="10.28515625" customWidth="1"/>
    <col min="23" max="23" width="10.85546875" customWidth="1"/>
    <col min="27" max="27" width="11.85546875" customWidth="1"/>
    <col min="28" max="28" width="10.42578125" customWidth="1"/>
    <col min="29" max="30" width="10.5703125" customWidth="1"/>
    <col min="31" max="31" width="11.7109375" customWidth="1"/>
  </cols>
  <sheetData>
    <row r="4" spans="1:32" ht="16.5" customHeight="1" thickBot="1" x14ac:dyDescent="0.3">
      <c r="B4" s="453"/>
    </row>
    <row r="5" spans="1:32" ht="33.75" customHeight="1" thickBot="1" x14ac:dyDescent="0.55000000000000004">
      <c r="A5" s="455"/>
      <c r="B5" s="1631" t="s">
        <v>96</v>
      </c>
      <c r="C5" s="1632"/>
      <c r="D5" s="1633"/>
      <c r="E5" s="35" t="s">
        <v>39</v>
      </c>
      <c r="F5" s="1899">
        <v>2022</v>
      </c>
      <c r="G5" s="1900"/>
      <c r="H5" s="1901"/>
      <c r="I5" s="1640" t="s">
        <v>285</v>
      </c>
      <c r="J5" s="1641"/>
      <c r="K5" s="1641"/>
      <c r="L5" s="1641"/>
      <c r="M5" s="1641"/>
      <c r="N5" s="1641"/>
      <c r="O5" s="34" t="s">
        <v>284</v>
      </c>
      <c r="P5" s="1671" t="str">
        <f>'शाळा माहिती'!C18</f>
        <v>6 ते 8</v>
      </c>
      <c r="Q5" s="1672"/>
      <c r="R5" s="1659" t="str">
        <f>'शाळा माहिती'!D4</f>
        <v>जि.प.प्रा.शा.बोरजाई वस्ती</v>
      </c>
      <c r="S5" s="1660"/>
      <c r="T5" s="1660"/>
      <c r="U5" s="1660"/>
      <c r="V5" s="1660"/>
      <c r="W5" s="1660"/>
      <c r="X5" s="1660"/>
      <c r="Y5" s="1660"/>
      <c r="Z5" s="1660"/>
      <c r="AA5" s="1661"/>
      <c r="AB5" s="1661"/>
      <c r="AC5" s="1661"/>
      <c r="AD5" s="1661"/>
      <c r="AE5" s="1662"/>
    </row>
    <row r="6" spans="1:32" ht="66" thickBot="1" x14ac:dyDescent="0.3">
      <c r="A6" s="455"/>
      <c r="B6" s="1687" t="s">
        <v>86</v>
      </c>
      <c r="C6" s="1663" t="s">
        <v>17</v>
      </c>
      <c r="D6" s="1664" t="s">
        <v>18</v>
      </c>
      <c r="E6" s="1665" t="s">
        <v>32</v>
      </c>
      <c r="F6" s="1688" t="s">
        <v>107</v>
      </c>
      <c r="G6" s="1667" t="s">
        <v>19</v>
      </c>
      <c r="H6" s="1669" t="s">
        <v>93</v>
      </c>
      <c r="I6" s="46" t="str">
        <f>'साठा नोंदवही'!E5</f>
        <v>तांदूळ</v>
      </c>
      <c r="J6" s="46" t="str">
        <f>'साठा नोंदवही'!F5</f>
        <v>मुगडाळ</v>
      </c>
      <c r="K6" s="46" t="str">
        <f>'साठा नोंदवही'!G5</f>
        <v>तुरडाळ</v>
      </c>
      <c r="L6" s="46" t="str">
        <f>'साठा नोंदवही'!H5</f>
        <v>मसूरडाळ</v>
      </c>
      <c r="M6" s="46" t="str">
        <f>'साठा नोंदवही'!I5</f>
        <v>मटकी</v>
      </c>
      <c r="N6" s="46" t="str">
        <f>'साठा नोंदवही'!J5</f>
        <v>मुग</v>
      </c>
      <c r="O6" s="46" t="str">
        <f>'साठा नोंदवही'!K5</f>
        <v>चवळी</v>
      </c>
      <c r="P6" s="46" t="str">
        <f>'साठा नोंदवही'!L5</f>
        <v>हरभरा</v>
      </c>
      <c r="Q6" s="46" t="str">
        <f>'साठा नोंदवही'!M5</f>
        <v>वाटाणा</v>
      </c>
      <c r="R6" s="47" t="str">
        <f>'साठा नोंदवही'!N5</f>
        <v>जिरे</v>
      </c>
      <c r="S6" s="48" t="str">
        <f>'साठा नोंदवही'!O5</f>
        <v>मोहरी</v>
      </c>
      <c r="T6" s="48" t="str">
        <f>'साठा नोंदवही'!P5</f>
        <v>हळद</v>
      </c>
      <c r="U6" s="48" t="str">
        <f>'साठा नोंदवही'!Q5</f>
        <v>मिरची पावडर</v>
      </c>
      <c r="V6" s="48" t="str">
        <f>'साठा नोंदवही'!R5</f>
        <v>गरम मसाला</v>
      </c>
      <c r="W6" s="48" t="str">
        <f>'साठा नोंदवही'!S5</f>
        <v>सोयाबीन तेल</v>
      </c>
      <c r="X6" s="48" t="str">
        <f>'साठा नोंदवही'!T5</f>
        <v>मीठ</v>
      </c>
      <c r="Y6" s="48" t="str">
        <f>'साठा नोंदवही'!U5</f>
        <v>कांदा लसून मसाला</v>
      </c>
      <c r="Z6" s="49">
        <f>'साठा नोंदवही'!V5</f>
        <v>0</v>
      </c>
      <c r="AA6" s="1220" t="s">
        <v>98</v>
      </c>
      <c r="AB6" s="1214" t="s">
        <v>60</v>
      </c>
      <c r="AC6" s="1214" t="s">
        <v>99</v>
      </c>
      <c r="AD6" s="1221" t="s">
        <v>738</v>
      </c>
      <c r="AE6" s="1222" t="s">
        <v>100</v>
      </c>
    </row>
    <row r="7" spans="1:32" ht="20.25" customHeight="1" thickBot="1" x14ac:dyDescent="0.3">
      <c r="A7" s="455"/>
      <c r="B7" s="1687"/>
      <c r="C7" s="1663"/>
      <c r="D7" s="1664"/>
      <c r="E7" s="1666"/>
      <c r="F7" s="1689"/>
      <c r="G7" s="1668"/>
      <c r="H7" s="1670"/>
      <c r="I7" s="22" t="s">
        <v>81</v>
      </c>
      <c r="J7" s="22" t="s">
        <v>81</v>
      </c>
      <c r="K7" s="22" t="s">
        <v>81</v>
      </c>
      <c r="L7" s="22" t="s">
        <v>81</v>
      </c>
      <c r="M7" s="22" t="s">
        <v>81</v>
      </c>
      <c r="N7" s="22" t="s">
        <v>81</v>
      </c>
      <c r="O7" s="22" t="s">
        <v>81</v>
      </c>
      <c r="P7" s="22" t="s">
        <v>81</v>
      </c>
      <c r="Q7" s="22" t="s">
        <v>81</v>
      </c>
      <c r="R7" s="22" t="s">
        <v>81</v>
      </c>
      <c r="S7" s="22" t="s">
        <v>81</v>
      </c>
      <c r="T7" s="22" t="s">
        <v>81</v>
      </c>
      <c r="U7" s="22" t="s">
        <v>81</v>
      </c>
      <c r="V7" s="22" t="s">
        <v>81</v>
      </c>
      <c r="W7" s="22" t="s">
        <v>215</v>
      </c>
      <c r="X7" s="22" t="s">
        <v>81</v>
      </c>
      <c r="Y7" s="22" t="s">
        <v>81</v>
      </c>
      <c r="Z7" s="22" t="s">
        <v>81</v>
      </c>
      <c r="AA7" s="1217" t="s">
        <v>214</v>
      </c>
      <c r="AB7" s="1218" t="s">
        <v>214</v>
      </c>
      <c r="AC7" s="1219" t="s">
        <v>214</v>
      </c>
      <c r="AD7" s="1217" t="s">
        <v>214</v>
      </c>
      <c r="AE7" s="1218" t="s">
        <v>214</v>
      </c>
      <c r="AF7" s="1215"/>
    </row>
    <row r="8" spans="1:32" ht="20.25" customHeight="1" thickBot="1" x14ac:dyDescent="0.3">
      <c r="B8" s="8"/>
      <c r="C8" s="9"/>
      <c r="D8" s="10"/>
      <c r="E8" s="1637" t="s">
        <v>216</v>
      </c>
      <c r="F8" s="1638"/>
      <c r="G8" s="1638"/>
      <c r="H8" s="1898"/>
      <c r="I8" s="851">
        <f>VLOOKUP(E5,' प्रमाण निश्चिती '!B28:Y39,2,0)</f>
        <v>0.15</v>
      </c>
      <c r="J8" s="51">
        <f>VLOOKUP(E5,' प्रमाण निश्चिती '!B28:Y39,3,0)</f>
        <v>0.03</v>
      </c>
      <c r="K8" s="51">
        <f>VLOOKUP(E5,' प्रमाण निश्चिती '!B28:Y39,4,0)</f>
        <v>0.03</v>
      </c>
      <c r="L8" s="51">
        <f>VLOOKUP(E5,' प्रमाण निश्चिती '!B28:Y39,5,0)</f>
        <v>0.03</v>
      </c>
      <c r="M8" s="51">
        <f>VLOOKUP(E5,' प्रमाण निश्चिती '!B28:Y39,6,0)</f>
        <v>0.03</v>
      </c>
      <c r="N8" s="51">
        <f>VLOOKUP(E5,' प्रमाण निश्चिती '!B28:Y39,7,0)</f>
        <v>0.03</v>
      </c>
      <c r="O8" s="51">
        <f>VLOOKUP(E5,' प्रमाण निश्चिती '!B28:Y39,8,0)</f>
        <v>0.03</v>
      </c>
      <c r="P8" s="51">
        <f>VLOOKUP(E5,' प्रमाण निश्चिती '!B28:Y39,9,0)</f>
        <v>0.03</v>
      </c>
      <c r="Q8" s="52">
        <f>VLOOKUP(E5,' प्रमाण निश्चिती '!B28:Y39,10,0)</f>
        <v>0.03</v>
      </c>
      <c r="R8" s="53">
        <f>VLOOKUP(E5,' प्रमाण निश्चिती '!B28:Y39,11,0)</f>
        <v>2.0000000000000001E-4</v>
      </c>
      <c r="S8" s="54">
        <f>VLOOKUP(E5,' प्रमाण निश्चिती '!B28:Y39,12,0)</f>
        <v>2.0000000000000001E-4</v>
      </c>
      <c r="T8" s="54">
        <f>VLOOKUP(E5,' प्रमाण निश्चिती '!B28:Y39,13,0)</f>
        <v>1E-3</v>
      </c>
      <c r="U8" s="54">
        <f>VLOOKUP(E5,' प्रमाण निश्चिती '!B28:Y39,14,0)</f>
        <v>0</v>
      </c>
      <c r="V8" s="54">
        <f>VLOOKUP(E5,' प्रमाण निश्चिती '!B28:Y39,15,0)</f>
        <v>0</v>
      </c>
      <c r="W8" s="54">
        <f>VLOOKUP(E5,' प्रमाण निश्चिती '!B28:Y39,16,0)</f>
        <v>7.4999999999999997E-3</v>
      </c>
      <c r="X8" s="54">
        <f>VLOOKUP(E5,' प्रमाण निश्चिती '!B28:Y39,17,0)</f>
        <v>2E-3</v>
      </c>
      <c r="Y8" s="54">
        <f>VLOOKUP(E5,' प्रमाण निश्चिती '!B28:Y39,18,0)</f>
        <v>1.5E-3</v>
      </c>
      <c r="Z8" s="55">
        <f>VLOOKUP(E5,' प्रमाण निश्चिती '!B28:Y39,19,0)</f>
        <v>0</v>
      </c>
      <c r="AA8" s="56">
        <f>VLOOKUP(E5,' प्रमाण निश्चिती '!B28:Y39,20,0)</f>
        <v>1.1399999999999999</v>
      </c>
      <c r="AB8" s="57">
        <f>VLOOKUP(E5,' प्रमाण निश्चिती '!B28:Y39,21,0)</f>
        <v>0.88</v>
      </c>
      <c r="AC8" s="57">
        <f>VLOOKUP(E5,' प्रमाण निश्चिती '!B28:Y39,22,0)</f>
        <v>0.82</v>
      </c>
      <c r="AD8" s="1209">
        <f>VLOOKUP(E5,' प्रमाण निश्चिती '!B28:Y39,23,0)</f>
        <v>1.18</v>
      </c>
      <c r="AE8" s="1216">
        <f>VLOOKUP(E5,' प्रमाण निश्चिती '!B28:Y39,24,0)</f>
        <v>4.0199999999999996</v>
      </c>
    </row>
    <row r="9" spans="1:32" ht="24" customHeight="1" x14ac:dyDescent="0.25">
      <c r="B9" s="11"/>
      <c r="C9" s="1648" t="s">
        <v>286</v>
      </c>
      <c r="D9" s="1649"/>
      <c r="E9" s="1650" t="s">
        <v>101</v>
      </c>
      <c r="F9" s="1651"/>
      <c r="G9" s="1651"/>
      <c r="H9" s="1651"/>
      <c r="I9" s="849">
        <f>VLOOKUP(E5,'शिक्षक मानधन पावती'!BF128:BY139,3,0)</f>
        <v>0</v>
      </c>
      <c r="J9" s="846">
        <f>VLOOKUP(E5,'शिक्षक मानधन पावती'!BF128:BY139,4,0)</f>
        <v>0</v>
      </c>
      <c r="K9" s="846">
        <f>VLOOKUP(E5,'शिक्षक मानधन पावती'!BF128:BY139,5,0)</f>
        <v>0</v>
      </c>
      <c r="L9" s="846">
        <f>VLOOKUP(E5,'शिक्षक मानधन पावती'!BF128:BY139,6,0)</f>
        <v>0</v>
      </c>
      <c r="M9" s="846">
        <f>VLOOKUP(E5,'शिक्षक मानधन पावती'!BF128:BY139,7,0)</f>
        <v>0</v>
      </c>
      <c r="N9" s="846">
        <f>VLOOKUP(E5,'शिक्षक मानधन पावती'!BF128:BY139,8,0)</f>
        <v>0</v>
      </c>
      <c r="O9" s="846">
        <f>VLOOKUP(E5,'शिक्षक मानधन पावती'!BF128:BY139,9,0)</f>
        <v>0</v>
      </c>
      <c r="P9" s="846">
        <f>VLOOKUP(E5,'शिक्षक मानधन पावती'!BF128:BY139,10,0)</f>
        <v>0</v>
      </c>
      <c r="Q9" s="846">
        <f>VLOOKUP(E5,'शिक्षक मानधन पावती'!BF128:BY139,11,0)</f>
        <v>0</v>
      </c>
      <c r="R9" s="846">
        <f>VLOOKUP(E5,'शिक्षक मानधन पावती'!BF128:BY139,12,0)</f>
        <v>0</v>
      </c>
      <c r="S9" s="846">
        <f>VLOOKUP(E5,'शिक्षक मानधन पावती'!BF128:BY139,13,0)</f>
        <v>0</v>
      </c>
      <c r="T9" s="846">
        <f>VLOOKUP(E5,'शिक्षक मानधन पावती'!BF128:BY139,14,0)</f>
        <v>0</v>
      </c>
      <c r="U9" s="846">
        <f>VLOOKUP(E5,'शिक्षक मानधन पावती'!BF128:BY139,15,0)</f>
        <v>0</v>
      </c>
      <c r="V9" s="846">
        <f>VLOOKUP(E5,'शिक्षक मानधन पावती'!BF128:BY139,16,0)</f>
        <v>0</v>
      </c>
      <c r="W9" s="846">
        <f>VLOOKUP(E5,'शिक्षक मानधन पावती'!BF128:BY139,17,0)</f>
        <v>0</v>
      </c>
      <c r="X9" s="846">
        <f>VLOOKUP(E5,'शिक्षक मानधन पावती'!BF128:BY139,18,0)</f>
        <v>0</v>
      </c>
      <c r="Y9" s="846">
        <f>VLOOKUP(E5,'शिक्षक मानधन पावती'!BF128:BY139,19,0)</f>
        <v>0</v>
      </c>
      <c r="Z9" s="852">
        <f>VLOOKUP(E5,'शिक्षक मानधन पावती'!BF128:BY139,20,0)</f>
        <v>0</v>
      </c>
      <c r="AA9" s="1675"/>
      <c r="AB9" s="1676"/>
      <c r="AC9" s="1676"/>
      <c r="AD9" s="1676"/>
      <c r="AE9" s="1677"/>
    </row>
    <row r="10" spans="1:32" ht="24.75" customHeight="1" thickBot="1" x14ac:dyDescent="0.3">
      <c r="B10" s="1646"/>
      <c r="C10" s="1642" t="str">
        <f>'शाळा माहिती'!C18</f>
        <v>6 ते 8</v>
      </c>
      <c r="D10" s="1643"/>
      <c r="E10" s="1895" t="s">
        <v>102</v>
      </c>
      <c r="F10" s="1896"/>
      <c r="G10" s="1896"/>
      <c r="H10" s="1896"/>
      <c r="I10" s="850">
        <f>VLOOKUP(E5,'साठा नोंदवही'!AY101:BR134,3,0)</f>
        <v>0</v>
      </c>
      <c r="J10" s="847">
        <f>VLOOKUP(E5,'साठा नोंदवही'!AY101:BR134,4,0)</f>
        <v>0</v>
      </c>
      <c r="K10" s="847">
        <f>VLOOKUP(E5,'साठा नोंदवही'!AY101:BR134,5,0)</f>
        <v>0</v>
      </c>
      <c r="L10" s="847">
        <f>VLOOKUP(E5,'साठा नोंदवही'!AY101:BR134,6,0)</f>
        <v>0</v>
      </c>
      <c r="M10" s="847">
        <f>VLOOKUP(E5,'साठा नोंदवही'!AY101:BR134,7,0)</f>
        <v>0</v>
      </c>
      <c r="N10" s="847">
        <f>VLOOKUP(E5,'साठा नोंदवही'!AY101:BR134,8,0)</f>
        <v>0</v>
      </c>
      <c r="O10" s="847">
        <f>VLOOKUP(E5,'साठा नोंदवही'!AY101:BR134,9,0)</f>
        <v>0</v>
      </c>
      <c r="P10" s="847">
        <f>VLOOKUP(E5,'साठा नोंदवही'!AY101:BR134,10,0)</f>
        <v>0</v>
      </c>
      <c r="Q10" s="847">
        <f>VLOOKUP(E5,'साठा नोंदवही'!AY101:BR134,11,0)</f>
        <v>0</v>
      </c>
      <c r="R10" s="847">
        <f>VLOOKUP(E5,'साठा नोंदवही'!AY101:BR134,12,0)</f>
        <v>0</v>
      </c>
      <c r="S10" s="847">
        <f>VLOOKUP(E5,'साठा नोंदवही'!AY101:BR134,13,0)</f>
        <v>0</v>
      </c>
      <c r="T10" s="847">
        <f>VLOOKUP(E5,'साठा नोंदवही'!AY101:BR134,14,0)</f>
        <v>0</v>
      </c>
      <c r="U10" s="847">
        <f>VLOOKUP(E5,'साठा नोंदवही'!AY101:BR134,15,0)</f>
        <v>0</v>
      </c>
      <c r="V10" s="847">
        <f>VLOOKUP(E5,'साठा नोंदवही'!AY101:BR134,16,0)</f>
        <v>0</v>
      </c>
      <c r="W10" s="847">
        <f>VLOOKUP(E5,'साठा नोंदवही'!AY101:BR134,17,0)</f>
        <v>0</v>
      </c>
      <c r="X10" s="847">
        <f>VLOOKUP(E5,'साठा नोंदवही'!AY101:BR134,18,0)</f>
        <v>0</v>
      </c>
      <c r="Y10" s="847">
        <f>VLOOKUP(E5,'साठा नोंदवही'!AY101:BR134,19,0)</f>
        <v>0</v>
      </c>
      <c r="Z10" s="853">
        <f>VLOOKUP(E5,'साठा नोंदवही'!AY101:BR134,20,0)</f>
        <v>0</v>
      </c>
      <c r="AA10" s="1678"/>
      <c r="AB10" s="1679"/>
      <c r="AC10" s="1679"/>
      <c r="AD10" s="1679"/>
      <c r="AE10" s="1680"/>
    </row>
    <row r="11" spans="1:32" ht="24.75" customHeight="1" thickBot="1" x14ac:dyDescent="0.3">
      <c r="B11" s="1646"/>
      <c r="C11" s="1642"/>
      <c r="D11" s="1642"/>
      <c r="E11" s="1694" t="s">
        <v>328</v>
      </c>
      <c r="F11" s="1695"/>
      <c r="G11" s="1695"/>
      <c r="H11" s="1897"/>
      <c r="I11" s="146">
        <f>VLOOKUP(E5,'साठा नोंदवही'!C99:V110,3,0)</f>
        <v>0</v>
      </c>
      <c r="J11" s="848">
        <f>VLOOKUP(E5,'साठा नोंदवही'!C99:V110,4,0)</f>
        <v>0</v>
      </c>
      <c r="K11" s="848">
        <f>VLOOKUP(E5,'साठा नोंदवही'!C99:V110,5,0)</f>
        <v>0</v>
      </c>
      <c r="L11" s="848">
        <f>VLOOKUP(E5,'साठा नोंदवही'!C99:V110,6,0)</f>
        <v>0</v>
      </c>
      <c r="M11" s="848">
        <f>VLOOKUP(E5,'साठा नोंदवही'!C99:V110,7,0)</f>
        <v>0</v>
      </c>
      <c r="N11" s="848">
        <f>VLOOKUP(E5,'साठा नोंदवही'!C99:V110,8,0)</f>
        <v>0</v>
      </c>
      <c r="O11" s="848">
        <f>VLOOKUP(E5,'साठा नोंदवही'!C99:V110,9,0)</f>
        <v>0</v>
      </c>
      <c r="P11" s="848">
        <f>VLOOKUP(E5,'साठा नोंदवही'!C99:V110,10,0)</f>
        <v>0</v>
      </c>
      <c r="Q11" s="848">
        <f>VLOOKUP(E5,'साठा नोंदवही'!C99:V110,11,0)</f>
        <v>0</v>
      </c>
      <c r="R11" s="848">
        <f>VLOOKUP(E5,'साठा नोंदवही'!C99:V110,12,0)</f>
        <v>0</v>
      </c>
      <c r="S11" s="848">
        <f>VLOOKUP(E5,'साठा नोंदवही'!C99:V110,13,0)</f>
        <v>0</v>
      </c>
      <c r="T11" s="848">
        <f>VLOOKUP(E5,'साठा नोंदवही'!C99:V110,14,0)</f>
        <v>0</v>
      </c>
      <c r="U11" s="848">
        <f>VLOOKUP(E5,'साठा नोंदवही'!C99:V110,15,0)</f>
        <v>0</v>
      </c>
      <c r="V11" s="848">
        <f>VLOOKUP(E5,'साठा नोंदवही'!C99:V110,16,0)</f>
        <v>0</v>
      </c>
      <c r="W11" s="848">
        <f>VLOOKUP(E5,'साठा नोंदवही'!C99:V110,17,0)</f>
        <v>0</v>
      </c>
      <c r="X11" s="848">
        <f>VLOOKUP(E5,'साठा नोंदवही'!C99:V110,18,0)</f>
        <v>0</v>
      </c>
      <c r="Y11" s="848">
        <f>VLOOKUP(E5,'साठा नोंदवही'!C99:V110,19,0)</f>
        <v>0</v>
      </c>
      <c r="Z11" s="854">
        <f>VLOOKUP(E5,'साठा नोंदवही'!C99:V110,20,0)</f>
        <v>0</v>
      </c>
      <c r="AA11" s="1678"/>
      <c r="AB11" s="1679"/>
      <c r="AC11" s="1679"/>
      <c r="AD11" s="1679"/>
      <c r="AE11" s="1680"/>
    </row>
    <row r="12" spans="1:32" ht="24.75" customHeight="1" thickBot="1" x14ac:dyDescent="0.3">
      <c r="B12" s="1647"/>
      <c r="C12" s="1644"/>
      <c r="D12" s="1645"/>
      <c r="E12" s="1656" t="s">
        <v>103</v>
      </c>
      <c r="F12" s="1657"/>
      <c r="G12" s="1657"/>
      <c r="H12" s="1657"/>
      <c r="I12" s="855">
        <f>(I9+I10-I11)</f>
        <v>0</v>
      </c>
      <c r="J12" s="856">
        <f t="shared" ref="J12:Z12" si="0">(J9+J10-J11)</f>
        <v>0</v>
      </c>
      <c r="K12" s="856">
        <f t="shared" si="0"/>
        <v>0</v>
      </c>
      <c r="L12" s="856">
        <f t="shared" si="0"/>
        <v>0</v>
      </c>
      <c r="M12" s="856">
        <f t="shared" si="0"/>
        <v>0</v>
      </c>
      <c r="N12" s="856">
        <f t="shared" si="0"/>
        <v>0</v>
      </c>
      <c r="O12" s="856">
        <f t="shared" si="0"/>
        <v>0</v>
      </c>
      <c r="P12" s="856">
        <f t="shared" si="0"/>
        <v>0</v>
      </c>
      <c r="Q12" s="856">
        <f t="shared" si="0"/>
        <v>0</v>
      </c>
      <c r="R12" s="856">
        <f t="shared" si="0"/>
        <v>0</v>
      </c>
      <c r="S12" s="856">
        <f t="shared" si="0"/>
        <v>0</v>
      </c>
      <c r="T12" s="856">
        <f t="shared" si="0"/>
        <v>0</v>
      </c>
      <c r="U12" s="856">
        <f t="shared" si="0"/>
        <v>0</v>
      </c>
      <c r="V12" s="856">
        <f t="shared" si="0"/>
        <v>0</v>
      </c>
      <c r="W12" s="856">
        <f t="shared" si="0"/>
        <v>0</v>
      </c>
      <c r="X12" s="856">
        <f t="shared" si="0"/>
        <v>0</v>
      </c>
      <c r="Y12" s="856">
        <f t="shared" si="0"/>
        <v>0</v>
      </c>
      <c r="Z12" s="857">
        <f t="shared" si="0"/>
        <v>0</v>
      </c>
      <c r="AA12" s="1681"/>
      <c r="AB12" s="1682"/>
      <c r="AC12" s="1682"/>
      <c r="AD12" s="1682"/>
      <c r="AE12" s="1683"/>
    </row>
    <row r="13" spans="1:32" ht="22.5" thickBot="1" x14ac:dyDescent="0.3">
      <c r="A13" s="455"/>
      <c r="B13" s="456">
        <v>1</v>
      </c>
      <c r="C13" s="72">
        <f>DATE(F5,INDEX({1,2,3,4,5,6,7,8,9,10,11,12},MATCH(E5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44896</v>
      </c>
      <c r="D13" s="73" t="str">
        <f>IF(C13="","",INDEX({"रवि";"सोम";"मंगळ";"बुध";"गुरू";"शुक्र";"शनि"},WEEKDAY(C13)))</f>
        <v>गुरू</v>
      </c>
      <c r="E13" s="89">
        <f>HLOOKUP(E5,'दैनिक माहिती'!BF268:BQ299,2,0)</f>
        <v>0</v>
      </c>
      <c r="F13" s="74">
        <f>HLOOKUP(E5,'दैनिक माहिती'!BF156:BQ188,2,0)</f>
        <v>0</v>
      </c>
      <c r="G13" s="75">
        <f>HLOOKUP(E5,'दैनिक माहिती'!BF194:BQ226,2,0)</f>
        <v>0</v>
      </c>
      <c r="H13" s="76">
        <f>HLOOKUP(E5,'दैनिक माहिती'!BF231:BQ263,2,0)</f>
        <v>0</v>
      </c>
      <c r="I13" s="77">
        <f>(H13*$I$8)</f>
        <v>0</v>
      </c>
      <c r="J13" s="78">
        <f>IF(E13=$J$6,H13*$J$8,0)</f>
        <v>0</v>
      </c>
      <c r="K13" s="78">
        <f>IF(E13=$K$6,H13*$K$8,0)</f>
        <v>0</v>
      </c>
      <c r="L13" s="78">
        <f>IF(E13=$L$6,H13*$L$8,0)</f>
        <v>0</v>
      </c>
      <c r="M13" s="78">
        <f>IF(E13=$M$6,H13*$M$8,0)</f>
        <v>0</v>
      </c>
      <c r="N13" s="78">
        <f>IF(E13=$N$6,H13*$N$8,0)</f>
        <v>0</v>
      </c>
      <c r="O13" s="78">
        <f>IF(E13=$O$6,H13*$O$8,0)</f>
        <v>0</v>
      </c>
      <c r="P13" s="78">
        <f>IF(E13=$P$6,H13*$P$8,0)</f>
        <v>0</v>
      </c>
      <c r="Q13" s="78">
        <f>IF(E13=$Q$6,H13*$Q$8,0)</f>
        <v>0</v>
      </c>
      <c r="R13" s="79">
        <f>$R$8*H13</f>
        <v>0</v>
      </c>
      <c r="S13" s="80">
        <f>$S$8*H13</f>
        <v>0</v>
      </c>
      <c r="T13" s="80">
        <f>$T$8*H13</f>
        <v>0</v>
      </c>
      <c r="U13" s="80">
        <f>$U$8*H13</f>
        <v>0</v>
      </c>
      <c r="V13" s="80">
        <f>$V$8*H13</f>
        <v>0</v>
      </c>
      <c r="W13" s="80">
        <f>$W$8*H13</f>
        <v>0</v>
      </c>
      <c r="X13" s="81">
        <f>$X$8*H13</f>
        <v>0</v>
      </c>
      <c r="Y13" s="81">
        <f>$Y$8*H13</f>
        <v>0</v>
      </c>
      <c r="Z13" s="81">
        <f>$Z$8*H13</f>
        <v>0</v>
      </c>
      <c r="AA13" s="82">
        <f>$AA$8*H13</f>
        <v>0</v>
      </c>
      <c r="AB13" s="83">
        <f>$AB$8*H13</f>
        <v>0</v>
      </c>
      <c r="AC13" s="83">
        <f>$AC$8*H13</f>
        <v>0</v>
      </c>
      <c r="AD13" s="1210">
        <f>$AD$8*H13</f>
        <v>0</v>
      </c>
      <c r="AE13" s="91">
        <f>$AE$8*H13</f>
        <v>0</v>
      </c>
    </row>
    <row r="14" spans="1:32" ht="22.5" thickBot="1" x14ac:dyDescent="0.3">
      <c r="A14" s="455"/>
      <c r="B14" s="457">
        <v>2</v>
      </c>
      <c r="C14" s="72">
        <f>C13+1</f>
        <v>44897</v>
      </c>
      <c r="D14" s="73" t="str">
        <f>IF(C14="","",INDEX({"रवि";"सोम";"मंगळ";"बुध";"गुरू";"शुक्र";"शनि"},WEEKDAY(C14)))</f>
        <v>शुक्र</v>
      </c>
      <c r="E14" s="89">
        <f>HLOOKUP(E5,'दैनिक माहिती'!BF268:BQ299,3,0)</f>
        <v>0</v>
      </c>
      <c r="F14" s="74">
        <f>HLOOKUP(E5,'दैनिक माहिती'!BF156:BQ188,3,0)</f>
        <v>0</v>
      </c>
      <c r="G14" s="75">
        <f>HLOOKUP(E5,'दैनिक माहिती'!BF194:BQ226,3,0)</f>
        <v>0</v>
      </c>
      <c r="H14" s="76">
        <f>HLOOKUP(E5,'दैनिक माहिती'!BF231:BQ263,3,0)</f>
        <v>0</v>
      </c>
      <c r="I14" s="77">
        <f t="shared" ref="I14:I43" si="1">(H14*$I$8)</f>
        <v>0</v>
      </c>
      <c r="J14" s="78">
        <f t="shared" ref="J14:J43" si="2">IF(E14=$J$6,H14*$J$8,0)</f>
        <v>0</v>
      </c>
      <c r="K14" s="78">
        <f t="shared" ref="K14:K43" si="3">IF(E14=$K$6,H14*$K$8,0)</f>
        <v>0</v>
      </c>
      <c r="L14" s="78">
        <f t="shared" ref="L14:L43" si="4">IF(E14=$L$6,H14*$L$8,0)</f>
        <v>0</v>
      </c>
      <c r="M14" s="78">
        <f t="shared" ref="M14:M43" si="5">IF(E14=$M$6,H14*$M$8,0)</f>
        <v>0</v>
      </c>
      <c r="N14" s="78">
        <f t="shared" ref="N14:N43" si="6">IF(E14=$N$6,H14*$N$8,0)</f>
        <v>0</v>
      </c>
      <c r="O14" s="78">
        <f t="shared" ref="O14:O43" si="7">IF(E14=$O$6,H14*$O$8,0)</f>
        <v>0</v>
      </c>
      <c r="P14" s="78">
        <f t="shared" ref="P14:P43" si="8">IF(E14=$P$6,H14*$P$8,0)</f>
        <v>0</v>
      </c>
      <c r="Q14" s="78">
        <f t="shared" ref="Q14:Q43" si="9">IF(E14=$Q$6,H14*$Q$8,0)</f>
        <v>0</v>
      </c>
      <c r="R14" s="79">
        <f t="shared" ref="R14:R43" si="10">$R$8*H14</f>
        <v>0</v>
      </c>
      <c r="S14" s="80">
        <f t="shared" ref="S14:S43" si="11">$S$8*H14</f>
        <v>0</v>
      </c>
      <c r="T14" s="80">
        <f t="shared" ref="T14:T43" si="12">$T$8*H14</f>
        <v>0</v>
      </c>
      <c r="U14" s="80">
        <f t="shared" ref="U14:U43" si="13">$U$8*H14</f>
        <v>0</v>
      </c>
      <c r="V14" s="80">
        <f t="shared" ref="V14:V43" si="14">$V$8*H14</f>
        <v>0</v>
      </c>
      <c r="W14" s="80">
        <f t="shared" ref="W14:W43" si="15">$W$8*H14</f>
        <v>0</v>
      </c>
      <c r="X14" s="81">
        <f t="shared" ref="X14:X43" si="16">$X$8*H14</f>
        <v>0</v>
      </c>
      <c r="Y14" s="81">
        <f t="shared" ref="Y14:Y43" si="17">$Y$8*H14</f>
        <v>0</v>
      </c>
      <c r="Z14" s="81">
        <f t="shared" ref="Z14:Z43" si="18">$Z$8*H14</f>
        <v>0</v>
      </c>
      <c r="AA14" s="82">
        <f t="shared" ref="AA14:AA43" si="19">$AA$8*H14</f>
        <v>0</v>
      </c>
      <c r="AB14" s="83">
        <f t="shared" ref="AB14:AB43" si="20">$AB$8*H14</f>
        <v>0</v>
      </c>
      <c r="AC14" s="83">
        <f t="shared" ref="AC14:AC43" si="21">$AC$8*H14</f>
        <v>0</v>
      </c>
      <c r="AD14" s="1210">
        <f t="shared" ref="AD14:AD43" si="22">$AD$8*H14</f>
        <v>0</v>
      </c>
      <c r="AE14" s="91">
        <f t="shared" ref="AE14:AE43" si="23">$AE$8*H14</f>
        <v>0</v>
      </c>
    </row>
    <row r="15" spans="1:32" ht="22.5" thickBot="1" x14ac:dyDescent="0.3">
      <c r="A15" s="455"/>
      <c r="B15" s="457">
        <v>3</v>
      </c>
      <c r="C15" s="72">
        <f t="shared" ref="C15:C43" si="24">C14+1</f>
        <v>44898</v>
      </c>
      <c r="D15" s="73" t="str">
        <f>IF(C15="","",INDEX({"रवि";"सोम";"मंगळ";"बुध";"गुरू";"शुक्र";"शनि"},WEEKDAY(C15)))</f>
        <v>शनि</v>
      </c>
      <c r="E15" s="89">
        <f>HLOOKUP(E5,'दैनिक माहिती'!BF268:BQ299,4,0)</f>
        <v>0</v>
      </c>
      <c r="F15" s="74">
        <f>HLOOKUP(E5,'दैनिक माहिती'!BF156:BQ188,4,0)</f>
        <v>0</v>
      </c>
      <c r="G15" s="75">
        <f>HLOOKUP(E5,'दैनिक माहिती'!BF194:BQ226,4,0)</f>
        <v>0</v>
      </c>
      <c r="H15" s="76">
        <f>HLOOKUP(E5,'दैनिक माहिती'!BF231:BQ263,4,0)</f>
        <v>0</v>
      </c>
      <c r="I15" s="77">
        <f t="shared" si="1"/>
        <v>0</v>
      </c>
      <c r="J15" s="78">
        <f t="shared" si="2"/>
        <v>0</v>
      </c>
      <c r="K15" s="78">
        <f t="shared" si="3"/>
        <v>0</v>
      </c>
      <c r="L15" s="78">
        <f t="shared" si="4"/>
        <v>0</v>
      </c>
      <c r="M15" s="78">
        <f t="shared" si="5"/>
        <v>0</v>
      </c>
      <c r="N15" s="78">
        <f t="shared" si="6"/>
        <v>0</v>
      </c>
      <c r="O15" s="78">
        <f t="shared" si="7"/>
        <v>0</v>
      </c>
      <c r="P15" s="78">
        <f t="shared" si="8"/>
        <v>0</v>
      </c>
      <c r="Q15" s="78">
        <f t="shared" si="9"/>
        <v>0</v>
      </c>
      <c r="R15" s="79">
        <f t="shared" si="10"/>
        <v>0</v>
      </c>
      <c r="S15" s="80">
        <f t="shared" si="11"/>
        <v>0</v>
      </c>
      <c r="T15" s="80">
        <f t="shared" si="12"/>
        <v>0</v>
      </c>
      <c r="U15" s="80">
        <f t="shared" si="13"/>
        <v>0</v>
      </c>
      <c r="V15" s="80">
        <f t="shared" si="14"/>
        <v>0</v>
      </c>
      <c r="W15" s="80">
        <f t="shared" si="15"/>
        <v>0</v>
      </c>
      <c r="X15" s="81">
        <f t="shared" si="16"/>
        <v>0</v>
      </c>
      <c r="Y15" s="81">
        <f t="shared" si="17"/>
        <v>0</v>
      </c>
      <c r="Z15" s="81">
        <f t="shared" si="18"/>
        <v>0</v>
      </c>
      <c r="AA15" s="82">
        <f t="shared" si="19"/>
        <v>0</v>
      </c>
      <c r="AB15" s="83">
        <f t="shared" si="20"/>
        <v>0</v>
      </c>
      <c r="AC15" s="83">
        <f t="shared" si="21"/>
        <v>0</v>
      </c>
      <c r="AD15" s="1210">
        <f t="shared" si="22"/>
        <v>0</v>
      </c>
      <c r="AE15" s="91">
        <f t="shared" si="23"/>
        <v>0</v>
      </c>
    </row>
    <row r="16" spans="1:32" ht="22.5" thickBot="1" x14ac:dyDescent="0.3">
      <c r="A16" s="455"/>
      <c r="B16" s="457">
        <v>4</v>
      </c>
      <c r="C16" s="72">
        <f t="shared" si="24"/>
        <v>44899</v>
      </c>
      <c r="D16" s="73" t="str">
        <f>IF(C16="","",INDEX({"रवि";"सोम";"मंगळ";"बुध";"गुरू";"शुक्र";"शनि"},WEEKDAY(C16)))</f>
        <v>रवि</v>
      </c>
      <c r="E16" s="89">
        <f>HLOOKUP(E5,'दैनिक माहिती'!BF268:BQ299,5,0)</f>
        <v>0</v>
      </c>
      <c r="F16" s="74">
        <f>HLOOKUP(E5,'दैनिक माहिती'!BF156:BQ188,5,0)</f>
        <v>0</v>
      </c>
      <c r="G16" s="75">
        <f>HLOOKUP(E5,'दैनिक माहिती'!BF194:BQ226,5,0)</f>
        <v>0</v>
      </c>
      <c r="H16" s="76">
        <f>HLOOKUP(E5,'दैनिक माहिती'!BF231:BQ263,5,0)</f>
        <v>0</v>
      </c>
      <c r="I16" s="77">
        <f t="shared" si="1"/>
        <v>0</v>
      </c>
      <c r="J16" s="78">
        <f t="shared" si="2"/>
        <v>0</v>
      </c>
      <c r="K16" s="78">
        <f t="shared" si="3"/>
        <v>0</v>
      </c>
      <c r="L16" s="78">
        <f t="shared" si="4"/>
        <v>0</v>
      </c>
      <c r="M16" s="78">
        <f t="shared" si="5"/>
        <v>0</v>
      </c>
      <c r="N16" s="78">
        <f t="shared" si="6"/>
        <v>0</v>
      </c>
      <c r="O16" s="78">
        <f t="shared" si="7"/>
        <v>0</v>
      </c>
      <c r="P16" s="78">
        <f t="shared" si="8"/>
        <v>0</v>
      </c>
      <c r="Q16" s="78">
        <f t="shared" si="9"/>
        <v>0</v>
      </c>
      <c r="R16" s="79">
        <f t="shared" si="10"/>
        <v>0</v>
      </c>
      <c r="S16" s="80">
        <f t="shared" si="11"/>
        <v>0</v>
      </c>
      <c r="T16" s="80">
        <f t="shared" si="12"/>
        <v>0</v>
      </c>
      <c r="U16" s="80">
        <f t="shared" si="13"/>
        <v>0</v>
      </c>
      <c r="V16" s="80">
        <f t="shared" si="14"/>
        <v>0</v>
      </c>
      <c r="W16" s="80">
        <f t="shared" si="15"/>
        <v>0</v>
      </c>
      <c r="X16" s="81">
        <f t="shared" si="16"/>
        <v>0</v>
      </c>
      <c r="Y16" s="81">
        <f t="shared" si="17"/>
        <v>0</v>
      </c>
      <c r="Z16" s="81">
        <f t="shared" si="18"/>
        <v>0</v>
      </c>
      <c r="AA16" s="82">
        <f t="shared" si="19"/>
        <v>0</v>
      </c>
      <c r="AB16" s="83">
        <f t="shared" si="20"/>
        <v>0</v>
      </c>
      <c r="AC16" s="83">
        <f t="shared" si="21"/>
        <v>0</v>
      </c>
      <c r="AD16" s="1210">
        <f t="shared" si="22"/>
        <v>0</v>
      </c>
      <c r="AE16" s="91">
        <f t="shared" si="23"/>
        <v>0</v>
      </c>
    </row>
    <row r="17" spans="1:31" ht="22.5" thickBot="1" x14ac:dyDescent="0.3">
      <c r="A17" s="455"/>
      <c r="B17" s="457">
        <v>5</v>
      </c>
      <c r="C17" s="72">
        <f t="shared" si="24"/>
        <v>44900</v>
      </c>
      <c r="D17" s="73" t="str">
        <f>IF(C17="","",INDEX({"रवि";"सोम";"मंगळ";"बुध";"गुरू";"शुक्र";"शनि"},WEEKDAY(C17)))</f>
        <v>सोम</v>
      </c>
      <c r="E17" s="89">
        <f>HLOOKUP(E5,'दैनिक माहिती'!BF268:BQ299,6,0)</f>
        <v>0</v>
      </c>
      <c r="F17" s="74">
        <f>HLOOKUP(E5,'दैनिक माहिती'!BF156:BQ188,6,0)</f>
        <v>0</v>
      </c>
      <c r="G17" s="75">
        <f>HLOOKUP(E5,'दैनिक माहिती'!BF194:BQ226,6,0)</f>
        <v>0</v>
      </c>
      <c r="H17" s="76">
        <f>HLOOKUP(E5,'दैनिक माहिती'!BF231:BQ263,6,0)</f>
        <v>0</v>
      </c>
      <c r="I17" s="77">
        <f t="shared" si="1"/>
        <v>0</v>
      </c>
      <c r="J17" s="78">
        <f t="shared" si="2"/>
        <v>0</v>
      </c>
      <c r="K17" s="78">
        <f t="shared" si="3"/>
        <v>0</v>
      </c>
      <c r="L17" s="78">
        <f t="shared" si="4"/>
        <v>0</v>
      </c>
      <c r="M17" s="78">
        <f t="shared" si="5"/>
        <v>0</v>
      </c>
      <c r="N17" s="78">
        <f t="shared" si="6"/>
        <v>0</v>
      </c>
      <c r="O17" s="78">
        <f t="shared" si="7"/>
        <v>0</v>
      </c>
      <c r="P17" s="78">
        <f t="shared" si="8"/>
        <v>0</v>
      </c>
      <c r="Q17" s="78">
        <f t="shared" si="9"/>
        <v>0</v>
      </c>
      <c r="R17" s="79">
        <f t="shared" si="10"/>
        <v>0</v>
      </c>
      <c r="S17" s="80">
        <f t="shared" si="11"/>
        <v>0</v>
      </c>
      <c r="T17" s="80">
        <f t="shared" si="12"/>
        <v>0</v>
      </c>
      <c r="U17" s="80">
        <f t="shared" si="13"/>
        <v>0</v>
      </c>
      <c r="V17" s="80">
        <f t="shared" si="14"/>
        <v>0</v>
      </c>
      <c r="W17" s="80">
        <f t="shared" si="15"/>
        <v>0</v>
      </c>
      <c r="X17" s="81">
        <f t="shared" si="16"/>
        <v>0</v>
      </c>
      <c r="Y17" s="81">
        <f t="shared" si="17"/>
        <v>0</v>
      </c>
      <c r="Z17" s="81">
        <f t="shared" si="18"/>
        <v>0</v>
      </c>
      <c r="AA17" s="82">
        <f t="shared" si="19"/>
        <v>0</v>
      </c>
      <c r="AB17" s="83">
        <f t="shared" si="20"/>
        <v>0</v>
      </c>
      <c r="AC17" s="83">
        <f t="shared" si="21"/>
        <v>0</v>
      </c>
      <c r="AD17" s="1210">
        <f t="shared" si="22"/>
        <v>0</v>
      </c>
      <c r="AE17" s="91">
        <f t="shared" si="23"/>
        <v>0</v>
      </c>
    </row>
    <row r="18" spans="1:31" ht="22.5" thickBot="1" x14ac:dyDescent="0.3">
      <c r="A18" s="455"/>
      <c r="B18" s="457">
        <v>6</v>
      </c>
      <c r="C18" s="72">
        <f t="shared" si="24"/>
        <v>44901</v>
      </c>
      <c r="D18" s="73" t="str">
        <f>IF(C18="","",INDEX({"रवि";"सोम";"मंगळ";"बुध";"गुरू";"शुक्र";"शनि"},WEEKDAY(C18)))</f>
        <v>मंगळ</v>
      </c>
      <c r="E18" s="89">
        <f>HLOOKUP(E5,'दैनिक माहिती'!BF268:BQ299,7,0)</f>
        <v>0</v>
      </c>
      <c r="F18" s="74">
        <f>HLOOKUP(E5,'दैनिक माहिती'!BF156:BQ188,7,0)</f>
        <v>0</v>
      </c>
      <c r="G18" s="75">
        <f>HLOOKUP(E5,'दैनिक माहिती'!BF194:BQ226,7,0)</f>
        <v>0</v>
      </c>
      <c r="H18" s="76">
        <f>HLOOKUP(E5,'दैनिक माहिती'!BF231:BQ263,7,0)</f>
        <v>0</v>
      </c>
      <c r="I18" s="77">
        <f t="shared" si="1"/>
        <v>0</v>
      </c>
      <c r="J18" s="78">
        <f t="shared" si="2"/>
        <v>0</v>
      </c>
      <c r="K18" s="78">
        <f t="shared" si="3"/>
        <v>0</v>
      </c>
      <c r="L18" s="78">
        <f t="shared" si="4"/>
        <v>0</v>
      </c>
      <c r="M18" s="78">
        <f t="shared" si="5"/>
        <v>0</v>
      </c>
      <c r="N18" s="78">
        <f t="shared" si="6"/>
        <v>0</v>
      </c>
      <c r="O18" s="78">
        <f t="shared" si="7"/>
        <v>0</v>
      </c>
      <c r="P18" s="78">
        <f t="shared" si="8"/>
        <v>0</v>
      </c>
      <c r="Q18" s="78">
        <f t="shared" si="9"/>
        <v>0</v>
      </c>
      <c r="R18" s="79">
        <f t="shared" si="10"/>
        <v>0</v>
      </c>
      <c r="S18" s="80">
        <f t="shared" si="11"/>
        <v>0</v>
      </c>
      <c r="T18" s="80">
        <f t="shared" si="12"/>
        <v>0</v>
      </c>
      <c r="U18" s="80">
        <f t="shared" si="13"/>
        <v>0</v>
      </c>
      <c r="V18" s="80">
        <f t="shared" si="14"/>
        <v>0</v>
      </c>
      <c r="W18" s="80">
        <f t="shared" si="15"/>
        <v>0</v>
      </c>
      <c r="X18" s="81">
        <f t="shared" si="16"/>
        <v>0</v>
      </c>
      <c r="Y18" s="81">
        <f t="shared" si="17"/>
        <v>0</v>
      </c>
      <c r="Z18" s="81">
        <f t="shared" si="18"/>
        <v>0</v>
      </c>
      <c r="AA18" s="82">
        <f t="shared" si="19"/>
        <v>0</v>
      </c>
      <c r="AB18" s="83">
        <f t="shared" si="20"/>
        <v>0</v>
      </c>
      <c r="AC18" s="83">
        <f t="shared" si="21"/>
        <v>0</v>
      </c>
      <c r="AD18" s="1210">
        <f t="shared" si="22"/>
        <v>0</v>
      </c>
      <c r="AE18" s="91">
        <f t="shared" si="23"/>
        <v>0</v>
      </c>
    </row>
    <row r="19" spans="1:31" ht="22.5" thickBot="1" x14ac:dyDescent="0.3">
      <c r="A19" s="455"/>
      <c r="B19" s="457">
        <v>7</v>
      </c>
      <c r="C19" s="72">
        <f t="shared" si="24"/>
        <v>44902</v>
      </c>
      <c r="D19" s="73" t="str">
        <f>IF(C19="","",INDEX({"रवि";"सोम";"मंगळ";"बुध";"गुरू";"शुक्र";"शनि"},WEEKDAY(C19)))</f>
        <v>बुध</v>
      </c>
      <c r="E19" s="89">
        <f>HLOOKUP(E5,'दैनिक माहिती'!BF268:BQ299,8,0)</f>
        <v>0</v>
      </c>
      <c r="F19" s="74">
        <f>HLOOKUP(E5,'दैनिक माहिती'!BF156:BQ188,8,0)</f>
        <v>0</v>
      </c>
      <c r="G19" s="75">
        <f>HLOOKUP(E5,'दैनिक माहिती'!BF194:BQ226,8,0)</f>
        <v>0</v>
      </c>
      <c r="H19" s="76">
        <f>HLOOKUP(E5,'दैनिक माहिती'!BF231:BQ263,8,0)</f>
        <v>0</v>
      </c>
      <c r="I19" s="77">
        <f t="shared" si="1"/>
        <v>0</v>
      </c>
      <c r="J19" s="78">
        <f t="shared" si="2"/>
        <v>0</v>
      </c>
      <c r="K19" s="78">
        <f t="shared" si="3"/>
        <v>0</v>
      </c>
      <c r="L19" s="78">
        <f t="shared" si="4"/>
        <v>0</v>
      </c>
      <c r="M19" s="78">
        <f t="shared" si="5"/>
        <v>0</v>
      </c>
      <c r="N19" s="78">
        <f t="shared" si="6"/>
        <v>0</v>
      </c>
      <c r="O19" s="78">
        <f t="shared" si="7"/>
        <v>0</v>
      </c>
      <c r="P19" s="78">
        <f t="shared" si="8"/>
        <v>0</v>
      </c>
      <c r="Q19" s="78">
        <f t="shared" si="9"/>
        <v>0</v>
      </c>
      <c r="R19" s="79">
        <f t="shared" si="10"/>
        <v>0</v>
      </c>
      <c r="S19" s="80">
        <f t="shared" si="11"/>
        <v>0</v>
      </c>
      <c r="T19" s="80">
        <f t="shared" si="12"/>
        <v>0</v>
      </c>
      <c r="U19" s="80">
        <f t="shared" si="13"/>
        <v>0</v>
      </c>
      <c r="V19" s="80">
        <f t="shared" si="14"/>
        <v>0</v>
      </c>
      <c r="W19" s="80">
        <f t="shared" si="15"/>
        <v>0</v>
      </c>
      <c r="X19" s="81">
        <f t="shared" si="16"/>
        <v>0</v>
      </c>
      <c r="Y19" s="81">
        <f t="shared" si="17"/>
        <v>0</v>
      </c>
      <c r="Z19" s="81">
        <f t="shared" si="18"/>
        <v>0</v>
      </c>
      <c r="AA19" s="82">
        <f t="shared" si="19"/>
        <v>0</v>
      </c>
      <c r="AB19" s="83">
        <f t="shared" si="20"/>
        <v>0</v>
      </c>
      <c r="AC19" s="83">
        <f t="shared" si="21"/>
        <v>0</v>
      </c>
      <c r="AD19" s="1210">
        <f t="shared" si="22"/>
        <v>0</v>
      </c>
      <c r="AE19" s="91">
        <f t="shared" si="23"/>
        <v>0</v>
      </c>
    </row>
    <row r="20" spans="1:31" ht="22.5" thickBot="1" x14ac:dyDescent="0.3">
      <c r="A20" s="455"/>
      <c r="B20" s="457">
        <v>8</v>
      </c>
      <c r="C20" s="72">
        <f t="shared" si="24"/>
        <v>44903</v>
      </c>
      <c r="D20" s="73" t="str">
        <f>IF(C20="","",INDEX({"रवि";"सोम";"मंगळ";"बुध";"गुरू";"शुक्र";"शनि"},WEEKDAY(C20)))</f>
        <v>गुरू</v>
      </c>
      <c r="E20" s="89">
        <f>HLOOKUP(E5,'दैनिक माहिती'!BF268:BQ299,9,0)</f>
        <v>0</v>
      </c>
      <c r="F20" s="74">
        <f>HLOOKUP(E5,'दैनिक माहिती'!BF156:BQ188,9,0)</f>
        <v>0</v>
      </c>
      <c r="G20" s="75">
        <f>HLOOKUP(E5,'दैनिक माहिती'!BF194:BQ226,9,0)</f>
        <v>0</v>
      </c>
      <c r="H20" s="76">
        <f>HLOOKUP(E5,'दैनिक माहिती'!BF231:BQ263,9,0)</f>
        <v>0</v>
      </c>
      <c r="I20" s="77">
        <f t="shared" si="1"/>
        <v>0</v>
      </c>
      <c r="J20" s="78">
        <f t="shared" si="2"/>
        <v>0</v>
      </c>
      <c r="K20" s="78">
        <f t="shared" si="3"/>
        <v>0</v>
      </c>
      <c r="L20" s="78">
        <f t="shared" si="4"/>
        <v>0</v>
      </c>
      <c r="M20" s="78">
        <f t="shared" si="5"/>
        <v>0</v>
      </c>
      <c r="N20" s="78">
        <f t="shared" si="6"/>
        <v>0</v>
      </c>
      <c r="O20" s="78">
        <f t="shared" si="7"/>
        <v>0</v>
      </c>
      <c r="P20" s="78">
        <f t="shared" si="8"/>
        <v>0</v>
      </c>
      <c r="Q20" s="78">
        <f t="shared" si="9"/>
        <v>0</v>
      </c>
      <c r="R20" s="79">
        <f t="shared" si="10"/>
        <v>0</v>
      </c>
      <c r="S20" s="80">
        <f t="shared" si="11"/>
        <v>0</v>
      </c>
      <c r="T20" s="80">
        <f t="shared" si="12"/>
        <v>0</v>
      </c>
      <c r="U20" s="80">
        <f t="shared" si="13"/>
        <v>0</v>
      </c>
      <c r="V20" s="80">
        <f t="shared" si="14"/>
        <v>0</v>
      </c>
      <c r="W20" s="80">
        <f t="shared" si="15"/>
        <v>0</v>
      </c>
      <c r="X20" s="81">
        <f t="shared" si="16"/>
        <v>0</v>
      </c>
      <c r="Y20" s="81">
        <f t="shared" si="17"/>
        <v>0</v>
      </c>
      <c r="Z20" s="81">
        <f t="shared" si="18"/>
        <v>0</v>
      </c>
      <c r="AA20" s="82">
        <f t="shared" si="19"/>
        <v>0</v>
      </c>
      <c r="AB20" s="83">
        <f t="shared" si="20"/>
        <v>0</v>
      </c>
      <c r="AC20" s="83">
        <f t="shared" si="21"/>
        <v>0</v>
      </c>
      <c r="AD20" s="1210">
        <f t="shared" si="22"/>
        <v>0</v>
      </c>
      <c r="AE20" s="91">
        <f t="shared" si="23"/>
        <v>0</v>
      </c>
    </row>
    <row r="21" spans="1:31" ht="22.5" thickBot="1" x14ac:dyDescent="0.3">
      <c r="A21" s="455"/>
      <c r="B21" s="457">
        <v>9</v>
      </c>
      <c r="C21" s="72">
        <f t="shared" si="24"/>
        <v>44904</v>
      </c>
      <c r="D21" s="73" t="str">
        <f>IF(C21="","",INDEX({"रवि";"सोम";"मंगळ";"बुध";"गुरू";"शुक्र";"शनि"},WEEKDAY(C21)))</f>
        <v>शुक्र</v>
      </c>
      <c r="E21" s="89">
        <f>HLOOKUP(E5,'दैनिक माहिती'!BF268:BQ299,10,0)</f>
        <v>0</v>
      </c>
      <c r="F21" s="74">
        <f>HLOOKUP(E5,'दैनिक माहिती'!BF156:BQ188,10,0)</f>
        <v>0</v>
      </c>
      <c r="G21" s="75">
        <f>HLOOKUP(E5,'दैनिक माहिती'!BF194:BQ226,10,0)</f>
        <v>0</v>
      </c>
      <c r="H21" s="76">
        <f>HLOOKUP(E5,'दैनिक माहिती'!BF231:BQ263,10,0)</f>
        <v>0</v>
      </c>
      <c r="I21" s="77">
        <f t="shared" si="1"/>
        <v>0</v>
      </c>
      <c r="J21" s="78">
        <f t="shared" si="2"/>
        <v>0</v>
      </c>
      <c r="K21" s="78">
        <f t="shared" si="3"/>
        <v>0</v>
      </c>
      <c r="L21" s="78">
        <f t="shared" si="4"/>
        <v>0</v>
      </c>
      <c r="M21" s="78">
        <f t="shared" si="5"/>
        <v>0</v>
      </c>
      <c r="N21" s="78">
        <f t="shared" si="6"/>
        <v>0</v>
      </c>
      <c r="O21" s="78">
        <f t="shared" si="7"/>
        <v>0</v>
      </c>
      <c r="P21" s="78">
        <f t="shared" si="8"/>
        <v>0</v>
      </c>
      <c r="Q21" s="78">
        <f t="shared" si="9"/>
        <v>0</v>
      </c>
      <c r="R21" s="79">
        <f t="shared" si="10"/>
        <v>0</v>
      </c>
      <c r="S21" s="80">
        <f t="shared" si="11"/>
        <v>0</v>
      </c>
      <c r="T21" s="80">
        <f t="shared" si="12"/>
        <v>0</v>
      </c>
      <c r="U21" s="80">
        <f t="shared" si="13"/>
        <v>0</v>
      </c>
      <c r="V21" s="80">
        <f t="shared" si="14"/>
        <v>0</v>
      </c>
      <c r="W21" s="80">
        <f t="shared" si="15"/>
        <v>0</v>
      </c>
      <c r="X21" s="81">
        <f t="shared" si="16"/>
        <v>0</v>
      </c>
      <c r="Y21" s="81">
        <f t="shared" si="17"/>
        <v>0</v>
      </c>
      <c r="Z21" s="81">
        <f t="shared" si="18"/>
        <v>0</v>
      </c>
      <c r="AA21" s="82">
        <f t="shared" si="19"/>
        <v>0</v>
      </c>
      <c r="AB21" s="83">
        <f t="shared" si="20"/>
        <v>0</v>
      </c>
      <c r="AC21" s="83">
        <f t="shared" si="21"/>
        <v>0</v>
      </c>
      <c r="AD21" s="1210">
        <f t="shared" si="22"/>
        <v>0</v>
      </c>
      <c r="AE21" s="91">
        <f t="shared" si="23"/>
        <v>0</v>
      </c>
    </row>
    <row r="22" spans="1:31" ht="22.5" thickBot="1" x14ac:dyDescent="0.3">
      <c r="A22" s="455"/>
      <c r="B22" s="457">
        <v>10</v>
      </c>
      <c r="C22" s="72">
        <f t="shared" si="24"/>
        <v>44905</v>
      </c>
      <c r="D22" s="73" t="str">
        <f>IF(C22="","",INDEX({"रवि";"सोम";"मंगळ";"बुध";"गुरू";"शुक्र";"शनि"},WEEKDAY(C22)))</f>
        <v>शनि</v>
      </c>
      <c r="E22" s="89">
        <f>HLOOKUP(E5,'दैनिक माहिती'!BF268:BQ299,11,0)</f>
        <v>0</v>
      </c>
      <c r="F22" s="74">
        <f>HLOOKUP(E5,'दैनिक माहिती'!BF156:BQ188,11,0)</f>
        <v>0</v>
      </c>
      <c r="G22" s="75">
        <f>HLOOKUP(E5,'दैनिक माहिती'!BF194:BQ226,11,0)</f>
        <v>0</v>
      </c>
      <c r="H22" s="76">
        <f>HLOOKUP(E5,'दैनिक माहिती'!BF231:BQ263,11,0)</f>
        <v>0</v>
      </c>
      <c r="I22" s="77">
        <f t="shared" si="1"/>
        <v>0</v>
      </c>
      <c r="J22" s="78">
        <f t="shared" si="2"/>
        <v>0</v>
      </c>
      <c r="K22" s="78">
        <f t="shared" si="3"/>
        <v>0</v>
      </c>
      <c r="L22" s="78">
        <f t="shared" si="4"/>
        <v>0</v>
      </c>
      <c r="M22" s="78">
        <f t="shared" si="5"/>
        <v>0</v>
      </c>
      <c r="N22" s="78">
        <f t="shared" si="6"/>
        <v>0</v>
      </c>
      <c r="O22" s="78">
        <f t="shared" si="7"/>
        <v>0</v>
      </c>
      <c r="P22" s="78">
        <f t="shared" si="8"/>
        <v>0</v>
      </c>
      <c r="Q22" s="78">
        <f t="shared" si="9"/>
        <v>0</v>
      </c>
      <c r="R22" s="79">
        <f t="shared" si="10"/>
        <v>0</v>
      </c>
      <c r="S22" s="80">
        <f t="shared" si="11"/>
        <v>0</v>
      </c>
      <c r="T22" s="80">
        <f t="shared" si="12"/>
        <v>0</v>
      </c>
      <c r="U22" s="80">
        <f t="shared" si="13"/>
        <v>0</v>
      </c>
      <c r="V22" s="80">
        <f t="shared" si="14"/>
        <v>0</v>
      </c>
      <c r="W22" s="80">
        <f t="shared" si="15"/>
        <v>0</v>
      </c>
      <c r="X22" s="81">
        <f t="shared" si="16"/>
        <v>0</v>
      </c>
      <c r="Y22" s="81">
        <f t="shared" si="17"/>
        <v>0</v>
      </c>
      <c r="Z22" s="81">
        <f t="shared" si="18"/>
        <v>0</v>
      </c>
      <c r="AA22" s="82">
        <f t="shared" si="19"/>
        <v>0</v>
      </c>
      <c r="AB22" s="83">
        <f t="shared" si="20"/>
        <v>0</v>
      </c>
      <c r="AC22" s="83">
        <f t="shared" si="21"/>
        <v>0</v>
      </c>
      <c r="AD22" s="1210">
        <f t="shared" si="22"/>
        <v>0</v>
      </c>
      <c r="AE22" s="91">
        <f t="shared" si="23"/>
        <v>0</v>
      </c>
    </row>
    <row r="23" spans="1:31" ht="22.5" thickBot="1" x14ac:dyDescent="0.3">
      <c r="A23" s="455"/>
      <c r="B23" s="457">
        <v>11</v>
      </c>
      <c r="C23" s="72">
        <f t="shared" si="24"/>
        <v>44906</v>
      </c>
      <c r="D23" s="73" t="str">
        <f>IF(C23="","",INDEX({"रवि";"सोम";"मंगळ";"बुध";"गुरू";"शुक्र";"शनि"},WEEKDAY(C23)))</f>
        <v>रवि</v>
      </c>
      <c r="E23" s="89">
        <f>HLOOKUP(E5,'दैनिक माहिती'!BF268:BQ299,12,0)</f>
        <v>0</v>
      </c>
      <c r="F23" s="74">
        <f>HLOOKUP(E5,'दैनिक माहिती'!BF156:BQ188,12,0)</f>
        <v>0</v>
      </c>
      <c r="G23" s="75">
        <f>HLOOKUP(E5,'दैनिक माहिती'!BF194:BQ226,12,0)</f>
        <v>0</v>
      </c>
      <c r="H23" s="76">
        <f>HLOOKUP(E5,'दैनिक माहिती'!BF231:BQ263,12,0)</f>
        <v>0</v>
      </c>
      <c r="I23" s="77">
        <f t="shared" si="1"/>
        <v>0</v>
      </c>
      <c r="J23" s="78">
        <f t="shared" si="2"/>
        <v>0</v>
      </c>
      <c r="K23" s="78">
        <f t="shared" si="3"/>
        <v>0</v>
      </c>
      <c r="L23" s="78">
        <f t="shared" si="4"/>
        <v>0</v>
      </c>
      <c r="M23" s="78">
        <f t="shared" si="5"/>
        <v>0</v>
      </c>
      <c r="N23" s="78">
        <f t="shared" si="6"/>
        <v>0</v>
      </c>
      <c r="O23" s="78">
        <f t="shared" si="7"/>
        <v>0</v>
      </c>
      <c r="P23" s="78">
        <f t="shared" si="8"/>
        <v>0</v>
      </c>
      <c r="Q23" s="78">
        <f t="shared" si="9"/>
        <v>0</v>
      </c>
      <c r="R23" s="79">
        <f t="shared" si="10"/>
        <v>0</v>
      </c>
      <c r="S23" s="80">
        <f t="shared" si="11"/>
        <v>0</v>
      </c>
      <c r="T23" s="80">
        <f t="shared" si="12"/>
        <v>0</v>
      </c>
      <c r="U23" s="80">
        <f t="shared" si="13"/>
        <v>0</v>
      </c>
      <c r="V23" s="80">
        <f t="shared" si="14"/>
        <v>0</v>
      </c>
      <c r="W23" s="80">
        <f t="shared" si="15"/>
        <v>0</v>
      </c>
      <c r="X23" s="81">
        <f t="shared" si="16"/>
        <v>0</v>
      </c>
      <c r="Y23" s="81">
        <f t="shared" si="17"/>
        <v>0</v>
      </c>
      <c r="Z23" s="81">
        <f t="shared" si="18"/>
        <v>0</v>
      </c>
      <c r="AA23" s="82">
        <f t="shared" si="19"/>
        <v>0</v>
      </c>
      <c r="AB23" s="83">
        <f t="shared" si="20"/>
        <v>0</v>
      </c>
      <c r="AC23" s="83">
        <f t="shared" si="21"/>
        <v>0</v>
      </c>
      <c r="AD23" s="1210">
        <f t="shared" si="22"/>
        <v>0</v>
      </c>
      <c r="AE23" s="91">
        <f t="shared" si="23"/>
        <v>0</v>
      </c>
    </row>
    <row r="24" spans="1:31" ht="22.5" thickBot="1" x14ac:dyDescent="0.3">
      <c r="A24" s="455"/>
      <c r="B24" s="457">
        <v>12</v>
      </c>
      <c r="C24" s="72">
        <f t="shared" si="24"/>
        <v>44907</v>
      </c>
      <c r="D24" s="73" t="str">
        <f>IF(C24="","",INDEX({"रवि";"सोम";"मंगळ";"बुध";"गुरू";"शुक्र";"शनि"},WEEKDAY(C24)))</f>
        <v>सोम</v>
      </c>
      <c r="E24" s="89">
        <f>HLOOKUP(E5,'दैनिक माहिती'!BF268:BQ299,13,0)</f>
        <v>0</v>
      </c>
      <c r="F24" s="74">
        <f>HLOOKUP(E5,'दैनिक माहिती'!BF156:BQ188,13,0)</f>
        <v>0</v>
      </c>
      <c r="G24" s="75">
        <f>HLOOKUP(E5,'दैनिक माहिती'!BF194:BQ226,13,0)</f>
        <v>0</v>
      </c>
      <c r="H24" s="76">
        <f>HLOOKUP(E5,'दैनिक माहिती'!BF231:BQ263,13,0)</f>
        <v>0</v>
      </c>
      <c r="I24" s="77">
        <f t="shared" si="1"/>
        <v>0</v>
      </c>
      <c r="J24" s="78">
        <f t="shared" si="2"/>
        <v>0</v>
      </c>
      <c r="K24" s="78">
        <f t="shared" si="3"/>
        <v>0</v>
      </c>
      <c r="L24" s="78">
        <f t="shared" si="4"/>
        <v>0</v>
      </c>
      <c r="M24" s="78">
        <f t="shared" si="5"/>
        <v>0</v>
      </c>
      <c r="N24" s="78">
        <f t="shared" si="6"/>
        <v>0</v>
      </c>
      <c r="O24" s="78">
        <f t="shared" si="7"/>
        <v>0</v>
      </c>
      <c r="P24" s="78">
        <f t="shared" si="8"/>
        <v>0</v>
      </c>
      <c r="Q24" s="78">
        <f t="shared" si="9"/>
        <v>0</v>
      </c>
      <c r="R24" s="79">
        <f t="shared" si="10"/>
        <v>0</v>
      </c>
      <c r="S24" s="80">
        <f t="shared" si="11"/>
        <v>0</v>
      </c>
      <c r="T24" s="80">
        <f t="shared" si="12"/>
        <v>0</v>
      </c>
      <c r="U24" s="80">
        <f t="shared" si="13"/>
        <v>0</v>
      </c>
      <c r="V24" s="80">
        <f t="shared" si="14"/>
        <v>0</v>
      </c>
      <c r="W24" s="80">
        <f t="shared" si="15"/>
        <v>0</v>
      </c>
      <c r="X24" s="81">
        <f t="shared" si="16"/>
        <v>0</v>
      </c>
      <c r="Y24" s="81">
        <f t="shared" si="17"/>
        <v>0</v>
      </c>
      <c r="Z24" s="81">
        <f t="shared" si="18"/>
        <v>0</v>
      </c>
      <c r="AA24" s="82">
        <f t="shared" si="19"/>
        <v>0</v>
      </c>
      <c r="AB24" s="83">
        <f t="shared" si="20"/>
        <v>0</v>
      </c>
      <c r="AC24" s="83">
        <f t="shared" si="21"/>
        <v>0</v>
      </c>
      <c r="AD24" s="1210">
        <f t="shared" si="22"/>
        <v>0</v>
      </c>
      <c r="AE24" s="91">
        <f t="shared" si="23"/>
        <v>0</v>
      </c>
    </row>
    <row r="25" spans="1:31" ht="22.5" thickBot="1" x14ac:dyDescent="0.3">
      <c r="A25" s="455"/>
      <c r="B25" s="457">
        <v>13</v>
      </c>
      <c r="C25" s="72">
        <f t="shared" si="24"/>
        <v>44908</v>
      </c>
      <c r="D25" s="73" t="str">
        <f>IF(C25="","",INDEX({"रवि";"सोम";"मंगळ";"बुध";"गुरू";"शुक्र";"शनि"},WEEKDAY(C25)))</f>
        <v>मंगळ</v>
      </c>
      <c r="E25" s="89">
        <f>HLOOKUP(E5,'दैनिक माहिती'!BF268:BQ299,14,0)</f>
        <v>0</v>
      </c>
      <c r="F25" s="74">
        <f>HLOOKUP(E5,'दैनिक माहिती'!BF156:BQ188,14,0)</f>
        <v>0</v>
      </c>
      <c r="G25" s="75">
        <f>HLOOKUP(E5,'दैनिक माहिती'!BF194:BQ226,14,0)</f>
        <v>0</v>
      </c>
      <c r="H25" s="76">
        <f>HLOOKUP(E5,'दैनिक माहिती'!BF231:BQ263,14,0)</f>
        <v>0</v>
      </c>
      <c r="I25" s="77">
        <f t="shared" si="1"/>
        <v>0</v>
      </c>
      <c r="J25" s="78">
        <f t="shared" si="2"/>
        <v>0</v>
      </c>
      <c r="K25" s="78">
        <f t="shared" si="3"/>
        <v>0</v>
      </c>
      <c r="L25" s="78">
        <f t="shared" si="4"/>
        <v>0</v>
      </c>
      <c r="M25" s="78">
        <f t="shared" si="5"/>
        <v>0</v>
      </c>
      <c r="N25" s="78">
        <f t="shared" si="6"/>
        <v>0</v>
      </c>
      <c r="O25" s="78">
        <f t="shared" si="7"/>
        <v>0</v>
      </c>
      <c r="P25" s="78">
        <f t="shared" si="8"/>
        <v>0</v>
      </c>
      <c r="Q25" s="78">
        <f t="shared" si="9"/>
        <v>0</v>
      </c>
      <c r="R25" s="79">
        <f t="shared" si="10"/>
        <v>0</v>
      </c>
      <c r="S25" s="80">
        <f t="shared" si="11"/>
        <v>0</v>
      </c>
      <c r="T25" s="80">
        <f t="shared" si="12"/>
        <v>0</v>
      </c>
      <c r="U25" s="80">
        <f t="shared" si="13"/>
        <v>0</v>
      </c>
      <c r="V25" s="80">
        <f t="shared" si="14"/>
        <v>0</v>
      </c>
      <c r="W25" s="80">
        <f t="shared" si="15"/>
        <v>0</v>
      </c>
      <c r="X25" s="81">
        <f t="shared" si="16"/>
        <v>0</v>
      </c>
      <c r="Y25" s="81">
        <f t="shared" si="17"/>
        <v>0</v>
      </c>
      <c r="Z25" s="81">
        <f t="shared" si="18"/>
        <v>0</v>
      </c>
      <c r="AA25" s="82">
        <f t="shared" si="19"/>
        <v>0</v>
      </c>
      <c r="AB25" s="83">
        <f t="shared" si="20"/>
        <v>0</v>
      </c>
      <c r="AC25" s="83">
        <f t="shared" si="21"/>
        <v>0</v>
      </c>
      <c r="AD25" s="1210">
        <f t="shared" si="22"/>
        <v>0</v>
      </c>
      <c r="AE25" s="91">
        <f t="shared" si="23"/>
        <v>0</v>
      </c>
    </row>
    <row r="26" spans="1:31" ht="22.5" thickBot="1" x14ac:dyDescent="0.3">
      <c r="A26" s="455"/>
      <c r="B26" s="457">
        <v>14</v>
      </c>
      <c r="C26" s="72">
        <f t="shared" si="24"/>
        <v>44909</v>
      </c>
      <c r="D26" s="73" t="str">
        <f>IF(C26="","",INDEX({"रवि";"सोम";"मंगळ";"बुध";"गुरू";"शुक्र";"शनि"},WEEKDAY(C26)))</f>
        <v>बुध</v>
      </c>
      <c r="E26" s="89">
        <f>HLOOKUP(E5,'दैनिक माहिती'!BF268:BQ299,15,0)</f>
        <v>0</v>
      </c>
      <c r="F26" s="74">
        <f>HLOOKUP(E5,'दैनिक माहिती'!BF156:BQ188,15,0)</f>
        <v>0</v>
      </c>
      <c r="G26" s="75">
        <f>HLOOKUP(E5,'दैनिक माहिती'!BF194:BQ226,15,0)</f>
        <v>0</v>
      </c>
      <c r="H26" s="76">
        <f>HLOOKUP(E5,'दैनिक माहिती'!BF231:BQ263,15,0)</f>
        <v>0</v>
      </c>
      <c r="I26" s="77">
        <f t="shared" si="1"/>
        <v>0</v>
      </c>
      <c r="J26" s="78">
        <f t="shared" si="2"/>
        <v>0</v>
      </c>
      <c r="K26" s="78">
        <f t="shared" si="3"/>
        <v>0</v>
      </c>
      <c r="L26" s="78">
        <f t="shared" si="4"/>
        <v>0</v>
      </c>
      <c r="M26" s="78">
        <f t="shared" si="5"/>
        <v>0</v>
      </c>
      <c r="N26" s="78">
        <f t="shared" si="6"/>
        <v>0</v>
      </c>
      <c r="O26" s="78">
        <f t="shared" si="7"/>
        <v>0</v>
      </c>
      <c r="P26" s="78">
        <f t="shared" si="8"/>
        <v>0</v>
      </c>
      <c r="Q26" s="78">
        <f t="shared" si="9"/>
        <v>0</v>
      </c>
      <c r="R26" s="79">
        <f t="shared" si="10"/>
        <v>0</v>
      </c>
      <c r="S26" s="80">
        <f t="shared" si="11"/>
        <v>0</v>
      </c>
      <c r="T26" s="80">
        <f t="shared" si="12"/>
        <v>0</v>
      </c>
      <c r="U26" s="80">
        <f t="shared" si="13"/>
        <v>0</v>
      </c>
      <c r="V26" s="80">
        <f t="shared" si="14"/>
        <v>0</v>
      </c>
      <c r="W26" s="80">
        <f t="shared" si="15"/>
        <v>0</v>
      </c>
      <c r="X26" s="81">
        <f t="shared" si="16"/>
        <v>0</v>
      </c>
      <c r="Y26" s="81">
        <f t="shared" si="17"/>
        <v>0</v>
      </c>
      <c r="Z26" s="81">
        <f t="shared" si="18"/>
        <v>0</v>
      </c>
      <c r="AA26" s="82">
        <f t="shared" si="19"/>
        <v>0</v>
      </c>
      <c r="AB26" s="83">
        <f t="shared" si="20"/>
        <v>0</v>
      </c>
      <c r="AC26" s="83">
        <f t="shared" si="21"/>
        <v>0</v>
      </c>
      <c r="AD26" s="1210">
        <f t="shared" si="22"/>
        <v>0</v>
      </c>
      <c r="AE26" s="91">
        <f t="shared" si="23"/>
        <v>0</v>
      </c>
    </row>
    <row r="27" spans="1:31" ht="22.5" thickBot="1" x14ac:dyDescent="0.3">
      <c r="A27" s="455"/>
      <c r="B27" s="457">
        <v>15</v>
      </c>
      <c r="C27" s="72">
        <f t="shared" si="24"/>
        <v>44910</v>
      </c>
      <c r="D27" s="73" t="str">
        <f>IF(C27="","",INDEX({"रवि";"सोम";"मंगळ";"बुध";"गुरू";"शुक्र";"शनि"},WEEKDAY(C27)))</f>
        <v>गुरू</v>
      </c>
      <c r="E27" s="89">
        <f>HLOOKUP(E5,'दैनिक माहिती'!BF268:BQ299,16,0)</f>
        <v>0</v>
      </c>
      <c r="F27" s="74">
        <f>HLOOKUP(E5,'दैनिक माहिती'!BF156:BQ188,16,0)</f>
        <v>0</v>
      </c>
      <c r="G27" s="75">
        <f>HLOOKUP(E5,'दैनिक माहिती'!BF194:BQ226,16,0)</f>
        <v>0</v>
      </c>
      <c r="H27" s="76">
        <f>HLOOKUP(E5,'दैनिक माहिती'!BF231:BQ263,16,0)</f>
        <v>0</v>
      </c>
      <c r="I27" s="77">
        <f t="shared" si="1"/>
        <v>0</v>
      </c>
      <c r="J27" s="78">
        <f t="shared" si="2"/>
        <v>0</v>
      </c>
      <c r="K27" s="78">
        <f t="shared" si="3"/>
        <v>0</v>
      </c>
      <c r="L27" s="78">
        <f t="shared" si="4"/>
        <v>0</v>
      </c>
      <c r="M27" s="78">
        <f t="shared" si="5"/>
        <v>0</v>
      </c>
      <c r="N27" s="78">
        <f t="shared" si="6"/>
        <v>0</v>
      </c>
      <c r="O27" s="78">
        <f t="shared" si="7"/>
        <v>0</v>
      </c>
      <c r="P27" s="78">
        <f t="shared" si="8"/>
        <v>0</v>
      </c>
      <c r="Q27" s="78">
        <f t="shared" si="9"/>
        <v>0</v>
      </c>
      <c r="R27" s="79">
        <f t="shared" si="10"/>
        <v>0</v>
      </c>
      <c r="S27" s="80">
        <f t="shared" si="11"/>
        <v>0</v>
      </c>
      <c r="T27" s="80">
        <f t="shared" si="12"/>
        <v>0</v>
      </c>
      <c r="U27" s="80">
        <f t="shared" si="13"/>
        <v>0</v>
      </c>
      <c r="V27" s="80">
        <f t="shared" si="14"/>
        <v>0</v>
      </c>
      <c r="W27" s="80">
        <f t="shared" si="15"/>
        <v>0</v>
      </c>
      <c r="X27" s="81">
        <f t="shared" si="16"/>
        <v>0</v>
      </c>
      <c r="Y27" s="81">
        <f t="shared" si="17"/>
        <v>0</v>
      </c>
      <c r="Z27" s="81">
        <f t="shared" si="18"/>
        <v>0</v>
      </c>
      <c r="AA27" s="82">
        <f t="shared" si="19"/>
        <v>0</v>
      </c>
      <c r="AB27" s="83">
        <f t="shared" si="20"/>
        <v>0</v>
      </c>
      <c r="AC27" s="83">
        <f t="shared" si="21"/>
        <v>0</v>
      </c>
      <c r="AD27" s="1210">
        <f t="shared" si="22"/>
        <v>0</v>
      </c>
      <c r="AE27" s="91">
        <f t="shared" si="23"/>
        <v>0</v>
      </c>
    </row>
    <row r="28" spans="1:31" ht="22.5" thickBot="1" x14ac:dyDescent="0.3">
      <c r="A28" s="455"/>
      <c r="B28" s="457">
        <v>16</v>
      </c>
      <c r="C28" s="72">
        <f t="shared" si="24"/>
        <v>44911</v>
      </c>
      <c r="D28" s="73" t="str">
        <f>IF(C28="","",INDEX({"रवि";"सोम";"मंगळ";"बुध";"गुरू";"शुक्र";"शनि"},WEEKDAY(C28)))</f>
        <v>शुक्र</v>
      </c>
      <c r="E28" s="89">
        <f>HLOOKUP(E5,'दैनिक माहिती'!BF268:BQ299,17,0)</f>
        <v>0</v>
      </c>
      <c r="F28" s="74">
        <f>HLOOKUP(E5,'दैनिक माहिती'!BF156:BQ188,17,0)</f>
        <v>0</v>
      </c>
      <c r="G28" s="75">
        <f>HLOOKUP(E5,'दैनिक माहिती'!BF194:BQ226,17,0)</f>
        <v>0</v>
      </c>
      <c r="H28" s="76">
        <f>HLOOKUP(E5,'दैनिक माहिती'!BF231:BQ263,17,0)</f>
        <v>0</v>
      </c>
      <c r="I28" s="77">
        <f t="shared" si="1"/>
        <v>0</v>
      </c>
      <c r="J28" s="78">
        <f t="shared" si="2"/>
        <v>0</v>
      </c>
      <c r="K28" s="78">
        <f t="shared" si="3"/>
        <v>0</v>
      </c>
      <c r="L28" s="78">
        <f t="shared" si="4"/>
        <v>0</v>
      </c>
      <c r="M28" s="78">
        <f t="shared" si="5"/>
        <v>0</v>
      </c>
      <c r="N28" s="78">
        <f t="shared" si="6"/>
        <v>0</v>
      </c>
      <c r="O28" s="78">
        <f t="shared" si="7"/>
        <v>0</v>
      </c>
      <c r="P28" s="78">
        <f t="shared" si="8"/>
        <v>0</v>
      </c>
      <c r="Q28" s="78">
        <f t="shared" si="9"/>
        <v>0</v>
      </c>
      <c r="R28" s="79">
        <f t="shared" si="10"/>
        <v>0</v>
      </c>
      <c r="S28" s="80">
        <f t="shared" si="11"/>
        <v>0</v>
      </c>
      <c r="T28" s="80">
        <f t="shared" si="12"/>
        <v>0</v>
      </c>
      <c r="U28" s="80">
        <f t="shared" si="13"/>
        <v>0</v>
      </c>
      <c r="V28" s="80">
        <f t="shared" si="14"/>
        <v>0</v>
      </c>
      <c r="W28" s="80">
        <f t="shared" si="15"/>
        <v>0</v>
      </c>
      <c r="X28" s="81">
        <f t="shared" si="16"/>
        <v>0</v>
      </c>
      <c r="Y28" s="81">
        <f t="shared" si="17"/>
        <v>0</v>
      </c>
      <c r="Z28" s="81">
        <f t="shared" si="18"/>
        <v>0</v>
      </c>
      <c r="AA28" s="82">
        <f t="shared" si="19"/>
        <v>0</v>
      </c>
      <c r="AB28" s="83">
        <f t="shared" si="20"/>
        <v>0</v>
      </c>
      <c r="AC28" s="83">
        <f t="shared" si="21"/>
        <v>0</v>
      </c>
      <c r="AD28" s="1210">
        <f t="shared" si="22"/>
        <v>0</v>
      </c>
      <c r="AE28" s="91">
        <f t="shared" si="23"/>
        <v>0</v>
      </c>
    </row>
    <row r="29" spans="1:31" ht="22.5" thickBot="1" x14ac:dyDescent="0.3">
      <c r="A29" s="455"/>
      <c r="B29" s="457">
        <v>17</v>
      </c>
      <c r="C29" s="72">
        <f t="shared" si="24"/>
        <v>44912</v>
      </c>
      <c r="D29" s="73" t="str">
        <f>IF(C29="","",INDEX({"रवि";"सोम";"मंगळ";"बुध";"गुरू";"शुक्र";"शनि"},WEEKDAY(C29)))</f>
        <v>शनि</v>
      </c>
      <c r="E29" s="89">
        <f>HLOOKUP(E5,'दैनिक माहिती'!BF268:BQ299,18,0)</f>
        <v>0</v>
      </c>
      <c r="F29" s="74">
        <f>HLOOKUP(E5,'दैनिक माहिती'!BF156:BQ188,18,0)</f>
        <v>0</v>
      </c>
      <c r="G29" s="75">
        <f>HLOOKUP(E5,'दैनिक माहिती'!BF194:BQ226,18,0)</f>
        <v>0</v>
      </c>
      <c r="H29" s="76">
        <f>HLOOKUP(E5,'दैनिक माहिती'!BF231:BQ263,18,0)</f>
        <v>0</v>
      </c>
      <c r="I29" s="77">
        <f t="shared" si="1"/>
        <v>0</v>
      </c>
      <c r="J29" s="78">
        <f t="shared" si="2"/>
        <v>0</v>
      </c>
      <c r="K29" s="78">
        <f t="shared" si="3"/>
        <v>0</v>
      </c>
      <c r="L29" s="78">
        <f t="shared" si="4"/>
        <v>0</v>
      </c>
      <c r="M29" s="78">
        <f t="shared" si="5"/>
        <v>0</v>
      </c>
      <c r="N29" s="78">
        <f t="shared" si="6"/>
        <v>0</v>
      </c>
      <c r="O29" s="78">
        <f t="shared" si="7"/>
        <v>0</v>
      </c>
      <c r="P29" s="78">
        <f t="shared" si="8"/>
        <v>0</v>
      </c>
      <c r="Q29" s="78">
        <f t="shared" si="9"/>
        <v>0</v>
      </c>
      <c r="R29" s="79">
        <f t="shared" si="10"/>
        <v>0</v>
      </c>
      <c r="S29" s="80">
        <f t="shared" si="11"/>
        <v>0</v>
      </c>
      <c r="T29" s="80">
        <f t="shared" si="12"/>
        <v>0</v>
      </c>
      <c r="U29" s="80">
        <f t="shared" si="13"/>
        <v>0</v>
      </c>
      <c r="V29" s="80">
        <f t="shared" si="14"/>
        <v>0</v>
      </c>
      <c r="W29" s="80">
        <f t="shared" si="15"/>
        <v>0</v>
      </c>
      <c r="X29" s="81">
        <f t="shared" si="16"/>
        <v>0</v>
      </c>
      <c r="Y29" s="81">
        <f t="shared" si="17"/>
        <v>0</v>
      </c>
      <c r="Z29" s="81">
        <f t="shared" si="18"/>
        <v>0</v>
      </c>
      <c r="AA29" s="82">
        <f t="shared" si="19"/>
        <v>0</v>
      </c>
      <c r="AB29" s="83">
        <f t="shared" si="20"/>
        <v>0</v>
      </c>
      <c r="AC29" s="83">
        <f t="shared" si="21"/>
        <v>0</v>
      </c>
      <c r="AD29" s="1210">
        <f t="shared" si="22"/>
        <v>0</v>
      </c>
      <c r="AE29" s="91">
        <f t="shared" si="23"/>
        <v>0</v>
      </c>
    </row>
    <row r="30" spans="1:31" ht="22.5" thickBot="1" x14ac:dyDescent="0.3">
      <c r="A30" s="455"/>
      <c r="B30" s="457">
        <v>18</v>
      </c>
      <c r="C30" s="72">
        <f t="shared" si="24"/>
        <v>44913</v>
      </c>
      <c r="D30" s="73" t="str">
        <f>IF(C30="","",INDEX({"रवि";"सोम";"मंगळ";"बुध";"गुरू";"शुक्र";"शनि"},WEEKDAY(C30)))</f>
        <v>रवि</v>
      </c>
      <c r="E30" s="89">
        <f>HLOOKUP(E5,'दैनिक माहिती'!BF268:BQ299,19,0)</f>
        <v>0</v>
      </c>
      <c r="F30" s="74">
        <f>HLOOKUP(E5,'दैनिक माहिती'!BF156:BQ188,19,0)</f>
        <v>0</v>
      </c>
      <c r="G30" s="75">
        <f>HLOOKUP(E5,'दैनिक माहिती'!BF194:BQ226,19,0)</f>
        <v>0</v>
      </c>
      <c r="H30" s="76">
        <f>HLOOKUP(E5,'दैनिक माहिती'!BF231:BQ263,19,0)</f>
        <v>0</v>
      </c>
      <c r="I30" s="77">
        <f t="shared" si="1"/>
        <v>0</v>
      </c>
      <c r="J30" s="78">
        <f t="shared" si="2"/>
        <v>0</v>
      </c>
      <c r="K30" s="78">
        <f t="shared" si="3"/>
        <v>0</v>
      </c>
      <c r="L30" s="78">
        <f t="shared" si="4"/>
        <v>0</v>
      </c>
      <c r="M30" s="78">
        <f t="shared" si="5"/>
        <v>0</v>
      </c>
      <c r="N30" s="78">
        <f t="shared" si="6"/>
        <v>0</v>
      </c>
      <c r="O30" s="78">
        <f t="shared" si="7"/>
        <v>0</v>
      </c>
      <c r="P30" s="78">
        <f t="shared" si="8"/>
        <v>0</v>
      </c>
      <c r="Q30" s="78">
        <f t="shared" si="9"/>
        <v>0</v>
      </c>
      <c r="R30" s="79">
        <f t="shared" si="10"/>
        <v>0</v>
      </c>
      <c r="S30" s="80">
        <f t="shared" si="11"/>
        <v>0</v>
      </c>
      <c r="T30" s="80">
        <f t="shared" si="12"/>
        <v>0</v>
      </c>
      <c r="U30" s="80">
        <f t="shared" si="13"/>
        <v>0</v>
      </c>
      <c r="V30" s="80">
        <f t="shared" si="14"/>
        <v>0</v>
      </c>
      <c r="W30" s="80">
        <f t="shared" si="15"/>
        <v>0</v>
      </c>
      <c r="X30" s="81">
        <f t="shared" si="16"/>
        <v>0</v>
      </c>
      <c r="Y30" s="81">
        <f t="shared" si="17"/>
        <v>0</v>
      </c>
      <c r="Z30" s="81">
        <f t="shared" si="18"/>
        <v>0</v>
      </c>
      <c r="AA30" s="82">
        <f t="shared" si="19"/>
        <v>0</v>
      </c>
      <c r="AB30" s="83">
        <f t="shared" si="20"/>
        <v>0</v>
      </c>
      <c r="AC30" s="83">
        <f t="shared" si="21"/>
        <v>0</v>
      </c>
      <c r="AD30" s="1210">
        <f t="shared" si="22"/>
        <v>0</v>
      </c>
      <c r="AE30" s="91">
        <f t="shared" si="23"/>
        <v>0</v>
      </c>
    </row>
    <row r="31" spans="1:31" ht="22.5" thickBot="1" x14ac:dyDescent="0.3">
      <c r="A31" s="455"/>
      <c r="B31" s="457">
        <v>19</v>
      </c>
      <c r="C31" s="72">
        <f t="shared" si="24"/>
        <v>44914</v>
      </c>
      <c r="D31" s="73" t="str">
        <f>IF(C31="","",INDEX({"रवि";"सोम";"मंगळ";"बुध";"गुरू";"शुक्र";"शनि"},WEEKDAY(C31)))</f>
        <v>सोम</v>
      </c>
      <c r="E31" s="89">
        <f>HLOOKUP(E5,'दैनिक माहिती'!BF268:BQ299,20,0)</f>
        <v>0</v>
      </c>
      <c r="F31" s="74">
        <f>HLOOKUP(E5,'दैनिक माहिती'!BF156:BQ188,20,0)</f>
        <v>0</v>
      </c>
      <c r="G31" s="75">
        <f>HLOOKUP(E5,'दैनिक माहिती'!BF194:BQ226,20,0)</f>
        <v>0</v>
      </c>
      <c r="H31" s="76">
        <f>HLOOKUP(E5,'दैनिक माहिती'!BF231:BQ263,20,0)</f>
        <v>0</v>
      </c>
      <c r="I31" s="77">
        <f t="shared" si="1"/>
        <v>0</v>
      </c>
      <c r="J31" s="78">
        <f t="shared" si="2"/>
        <v>0</v>
      </c>
      <c r="K31" s="78">
        <f t="shared" si="3"/>
        <v>0</v>
      </c>
      <c r="L31" s="78">
        <f t="shared" si="4"/>
        <v>0</v>
      </c>
      <c r="M31" s="78">
        <f t="shared" si="5"/>
        <v>0</v>
      </c>
      <c r="N31" s="78">
        <f t="shared" si="6"/>
        <v>0</v>
      </c>
      <c r="O31" s="78">
        <f t="shared" si="7"/>
        <v>0</v>
      </c>
      <c r="P31" s="78">
        <f t="shared" si="8"/>
        <v>0</v>
      </c>
      <c r="Q31" s="78">
        <f t="shared" si="9"/>
        <v>0</v>
      </c>
      <c r="R31" s="79">
        <f t="shared" si="10"/>
        <v>0</v>
      </c>
      <c r="S31" s="80">
        <f t="shared" si="11"/>
        <v>0</v>
      </c>
      <c r="T31" s="80">
        <f t="shared" si="12"/>
        <v>0</v>
      </c>
      <c r="U31" s="80">
        <f t="shared" si="13"/>
        <v>0</v>
      </c>
      <c r="V31" s="80">
        <f t="shared" si="14"/>
        <v>0</v>
      </c>
      <c r="W31" s="80">
        <f t="shared" si="15"/>
        <v>0</v>
      </c>
      <c r="X31" s="81">
        <f t="shared" si="16"/>
        <v>0</v>
      </c>
      <c r="Y31" s="81">
        <f t="shared" si="17"/>
        <v>0</v>
      </c>
      <c r="Z31" s="81">
        <f t="shared" si="18"/>
        <v>0</v>
      </c>
      <c r="AA31" s="82">
        <f t="shared" si="19"/>
        <v>0</v>
      </c>
      <c r="AB31" s="83">
        <f t="shared" si="20"/>
        <v>0</v>
      </c>
      <c r="AC31" s="83">
        <f t="shared" si="21"/>
        <v>0</v>
      </c>
      <c r="AD31" s="1210">
        <f t="shared" si="22"/>
        <v>0</v>
      </c>
      <c r="AE31" s="91">
        <f t="shared" si="23"/>
        <v>0</v>
      </c>
    </row>
    <row r="32" spans="1:31" ht="22.5" thickBot="1" x14ac:dyDescent="0.3">
      <c r="A32" s="455"/>
      <c r="B32" s="457">
        <v>20</v>
      </c>
      <c r="C32" s="72">
        <f t="shared" si="24"/>
        <v>44915</v>
      </c>
      <c r="D32" s="73" t="str">
        <f>IF(C32="","",INDEX({"रवि";"सोम";"मंगळ";"बुध";"गुरू";"शुक्र";"शनि"},WEEKDAY(C32)))</f>
        <v>मंगळ</v>
      </c>
      <c r="E32" s="89">
        <f>HLOOKUP(E5,'दैनिक माहिती'!BF268:BQ299,21,0)</f>
        <v>0</v>
      </c>
      <c r="F32" s="74">
        <f>HLOOKUP(E5,'दैनिक माहिती'!BF156:BQ188,21,0)</f>
        <v>0</v>
      </c>
      <c r="G32" s="75">
        <f>HLOOKUP(E5,'दैनिक माहिती'!BF194:BQ226,21,0)</f>
        <v>0</v>
      </c>
      <c r="H32" s="76">
        <f>HLOOKUP(E5,'दैनिक माहिती'!BF231:BQ263,21,0)</f>
        <v>0</v>
      </c>
      <c r="I32" s="77">
        <f t="shared" si="1"/>
        <v>0</v>
      </c>
      <c r="J32" s="78">
        <f t="shared" si="2"/>
        <v>0</v>
      </c>
      <c r="K32" s="78">
        <f t="shared" si="3"/>
        <v>0</v>
      </c>
      <c r="L32" s="78">
        <f t="shared" si="4"/>
        <v>0</v>
      </c>
      <c r="M32" s="78">
        <f t="shared" si="5"/>
        <v>0</v>
      </c>
      <c r="N32" s="78">
        <f t="shared" si="6"/>
        <v>0</v>
      </c>
      <c r="O32" s="78">
        <f t="shared" si="7"/>
        <v>0</v>
      </c>
      <c r="P32" s="78">
        <f t="shared" si="8"/>
        <v>0</v>
      </c>
      <c r="Q32" s="78">
        <f t="shared" si="9"/>
        <v>0</v>
      </c>
      <c r="R32" s="79">
        <f t="shared" si="10"/>
        <v>0</v>
      </c>
      <c r="S32" s="80">
        <f t="shared" si="11"/>
        <v>0</v>
      </c>
      <c r="T32" s="80">
        <f t="shared" si="12"/>
        <v>0</v>
      </c>
      <c r="U32" s="80">
        <f t="shared" si="13"/>
        <v>0</v>
      </c>
      <c r="V32" s="80">
        <f t="shared" si="14"/>
        <v>0</v>
      </c>
      <c r="W32" s="80">
        <f t="shared" si="15"/>
        <v>0</v>
      </c>
      <c r="X32" s="81">
        <f t="shared" si="16"/>
        <v>0</v>
      </c>
      <c r="Y32" s="81">
        <f t="shared" si="17"/>
        <v>0</v>
      </c>
      <c r="Z32" s="81">
        <f t="shared" si="18"/>
        <v>0</v>
      </c>
      <c r="AA32" s="82">
        <f t="shared" si="19"/>
        <v>0</v>
      </c>
      <c r="AB32" s="83">
        <f t="shared" si="20"/>
        <v>0</v>
      </c>
      <c r="AC32" s="83">
        <f t="shared" si="21"/>
        <v>0</v>
      </c>
      <c r="AD32" s="1210">
        <f t="shared" si="22"/>
        <v>0</v>
      </c>
      <c r="AE32" s="91">
        <f t="shared" si="23"/>
        <v>0</v>
      </c>
    </row>
    <row r="33" spans="1:31" ht="22.5" thickBot="1" x14ac:dyDescent="0.3">
      <c r="A33" s="455"/>
      <c r="B33" s="457">
        <v>21</v>
      </c>
      <c r="C33" s="72">
        <f t="shared" si="24"/>
        <v>44916</v>
      </c>
      <c r="D33" s="73" t="str">
        <f>IF(C33="","",INDEX({"रवि";"सोम";"मंगळ";"बुध";"गुरू";"शुक्र";"शनि"},WEEKDAY(C33)))</f>
        <v>बुध</v>
      </c>
      <c r="E33" s="89">
        <f>HLOOKUP(E5,'दैनिक माहिती'!BF268:BQ299,22,0)</f>
        <v>0</v>
      </c>
      <c r="F33" s="74">
        <f>HLOOKUP(E5,'दैनिक माहिती'!BF156:BQ188,22,0)</f>
        <v>0</v>
      </c>
      <c r="G33" s="75">
        <f>HLOOKUP(E5,'दैनिक माहिती'!BF194:BQ226,22,0)</f>
        <v>0</v>
      </c>
      <c r="H33" s="76">
        <f>HLOOKUP(E5,'दैनिक माहिती'!BF231:BQ263,22,0)</f>
        <v>0</v>
      </c>
      <c r="I33" s="77">
        <f t="shared" si="1"/>
        <v>0</v>
      </c>
      <c r="J33" s="78">
        <f t="shared" si="2"/>
        <v>0</v>
      </c>
      <c r="K33" s="78">
        <f t="shared" si="3"/>
        <v>0</v>
      </c>
      <c r="L33" s="78">
        <f t="shared" si="4"/>
        <v>0</v>
      </c>
      <c r="M33" s="78">
        <f t="shared" si="5"/>
        <v>0</v>
      </c>
      <c r="N33" s="78">
        <f t="shared" si="6"/>
        <v>0</v>
      </c>
      <c r="O33" s="78">
        <f t="shared" si="7"/>
        <v>0</v>
      </c>
      <c r="P33" s="78">
        <f t="shared" si="8"/>
        <v>0</v>
      </c>
      <c r="Q33" s="78">
        <f t="shared" si="9"/>
        <v>0</v>
      </c>
      <c r="R33" s="79">
        <f t="shared" si="10"/>
        <v>0</v>
      </c>
      <c r="S33" s="80">
        <f t="shared" si="11"/>
        <v>0</v>
      </c>
      <c r="T33" s="80">
        <f t="shared" si="12"/>
        <v>0</v>
      </c>
      <c r="U33" s="80">
        <f t="shared" si="13"/>
        <v>0</v>
      </c>
      <c r="V33" s="80">
        <f t="shared" si="14"/>
        <v>0</v>
      </c>
      <c r="W33" s="80">
        <f t="shared" si="15"/>
        <v>0</v>
      </c>
      <c r="X33" s="81">
        <f t="shared" si="16"/>
        <v>0</v>
      </c>
      <c r="Y33" s="81">
        <f t="shared" si="17"/>
        <v>0</v>
      </c>
      <c r="Z33" s="81">
        <f t="shared" si="18"/>
        <v>0</v>
      </c>
      <c r="AA33" s="82">
        <f t="shared" si="19"/>
        <v>0</v>
      </c>
      <c r="AB33" s="83">
        <f t="shared" si="20"/>
        <v>0</v>
      </c>
      <c r="AC33" s="83">
        <f t="shared" si="21"/>
        <v>0</v>
      </c>
      <c r="AD33" s="1210">
        <f t="shared" si="22"/>
        <v>0</v>
      </c>
      <c r="AE33" s="91">
        <f t="shared" si="23"/>
        <v>0</v>
      </c>
    </row>
    <row r="34" spans="1:31" ht="22.5" thickBot="1" x14ac:dyDescent="0.3">
      <c r="A34" s="455"/>
      <c r="B34" s="457">
        <v>22</v>
      </c>
      <c r="C34" s="72">
        <f t="shared" si="24"/>
        <v>44917</v>
      </c>
      <c r="D34" s="73" t="str">
        <f>IF(C34="","",INDEX({"रवि";"सोम";"मंगळ";"बुध";"गुरू";"शुक्र";"शनि"},WEEKDAY(C34)))</f>
        <v>गुरू</v>
      </c>
      <c r="E34" s="89">
        <f>HLOOKUP(E5,'दैनिक माहिती'!BF268:BQ299,23,0)</f>
        <v>0</v>
      </c>
      <c r="F34" s="74">
        <f>HLOOKUP(E5,'दैनिक माहिती'!BF156:BQ188,23,0)</f>
        <v>0</v>
      </c>
      <c r="G34" s="75">
        <f>HLOOKUP(E5,'दैनिक माहिती'!BF194:BQ226,23,0)</f>
        <v>0</v>
      </c>
      <c r="H34" s="76">
        <f>HLOOKUP(E5,'दैनिक माहिती'!BF231:BQ263,23,0)</f>
        <v>0</v>
      </c>
      <c r="I34" s="77">
        <f t="shared" si="1"/>
        <v>0</v>
      </c>
      <c r="J34" s="78">
        <f t="shared" si="2"/>
        <v>0</v>
      </c>
      <c r="K34" s="78">
        <f t="shared" si="3"/>
        <v>0</v>
      </c>
      <c r="L34" s="78">
        <f t="shared" si="4"/>
        <v>0</v>
      </c>
      <c r="M34" s="78">
        <f t="shared" si="5"/>
        <v>0</v>
      </c>
      <c r="N34" s="78">
        <f t="shared" si="6"/>
        <v>0</v>
      </c>
      <c r="O34" s="78">
        <f t="shared" si="7"/>
        <v>0</v>
      </c>
      <c r="P34" s="78">
        <f t="shared" si="8"/>
        <v>0</v>
      </c>
      <c r="Q34" s="78">
        <f t="shared" si="9"/>
        <v>0</v>
      </c>
      <c r="R34" s="79">
        <f t="shared" si="10"/>
        <v>0</v>
      </c>
      <c r="S34" s="80">
        <f t="shared" si="11"/>
        <v>0</v>
      </c>
      <c r="T34" s="80">
        <f t="shared" si="12"/>
        <v>0</v>
      </c>
      <c r="U34" s="80">
        <f t="shared" si="13"/>
        <v>0</v>
      </c>
      <c r="V34" s="80">
        <f t="shared" si="14"/>
        <v>0</v>
      </c>
      <c r="W34" s="80">
        <f t="shared" si="15"/>
        <v>0</v>
      </c>
      <c r="X34" s="81">
        <f t="shared" si="16"/>
        <v>0</v>
      </c>
      <c r="Y34" s="81">
        <f t="shared" si="17"/>
        <v>0</v>
      </c>
      <c r="Z34" s="81">
        <f t="shared" si="18"/>
        <v>0</v>
      </c>
      <c r="AA34" s="82">
        <f t="shared" si="19"/>
        <v>0</v>
      </c>
      <c r="AB34" s="83">
        <f t="shared" si="20"/>
        <v>0</v>
      </c>
      <c r="AC34" s="83">
        <f t="shared" si="21"/>
        <v>0</v>
      </c>
      <c r="AD34" s="1210">
        <f t="shared" si="22"/>
        <v>0</v>
      </c>
      <c r="AE34" s="91">
        <f t="shared" si="23"/>
        <v>0</v>
      </c>
    </row>
    <row r="35" spans="1:31" ht="22.5" thickBot="1" x14ac:dyDescent="0.3">
      <c r="A35" s="455"/>
      <c r="B35" s="457">
        <v>23</v>
      </c>
      <c r="C35" s="72">
        <f t="shared" si="24"/>
        <v>44918</v>
      </c>
      <c r="D35" s="73" t="str">
        <f>IF(C35="","",INDEX({"रवि";"सोम";"मंगळ";"बुध";"गुरू";"शुक्र";"शनि"},WEEKDAY(C35)))</f>
        <v>शुक्र</v>
      </c>
      <c r="E35" s="89">
        <f>HLOOKUP(E5,'दैनिक माहिती'!BF268:BQ299,24,0)</f>
        <v>0</v>
      </c>
      <c r="F35" s="74">
        <f>HLOOKUP(E5,'दैनिक माहिती'!BF156:BQ188,24,0)</f>
        <v>0</v>
      </c>
      <c r="G35" s="75">
        <f>HLOOKUP(E5,'दैनिक माहिती'!BF194:BQ226,24,0)</f>
        <v>0</v>
      </c>
      <c r="H35" s="76">
        <f>HLOOKUP(E5,'दैनिक माहिती'!BF231:BQ263,24,0)</f>
        <v>0</v>
      </c>
      <c r="I35" s="77">
        <f t="shared" si="1"/>
        <v>0</v>
      </c>
      <c r="J35" s="78">
        <f t="shared" si="2"/>
        <v>0</v>
      </c>
      <c r="K35" s="78">
        <f t="shared" si="3"/>
        <v>0</v>
      </c>
      <c r="L35" s="78">
        <f t="shared" si="4"/>
        <v>0</v>
      </c>
      <c r="M35" s="78">
        <f t="shared" si="5"/>
        <v>0</v>
      </c>
      <c r="N35" s="78">
        <f t="shared" si="6"/>
        <v>0</v>
      </c>
      <c r="O35" s="78">
        <f t="shared" si="7"/>
        <v>0</v>
      </c>
      <c r="P35" s="78">
        <f t="shared" si="8"/>
        <v>0</v>
      </c>
      <c r="Q35" s="78">
        <f t="shared" si="9"/>
        <v>0</v>
      </c>
      <c r="R35" s="79">
        <f t="shared" si="10"/>
        <v>0</v>
      </c>
      <c r="S35" s="80">
        <f t="shared" si="11"/>
        <v>0</v>
      </c>
      <c r="T35" s="80">
        <f t="shared" si="12"/>
        <v>0</v>
      </c>
      <c r="U35" s="80">
        <f t="shared" si="13"/>
        <v>0</v>
      </c>
      <c r="V35" s="80">
        <f t="shared" si="14"/>
        <v>0</v>
      </c>
      <c r="W35" s="80">
        <f t="shared" si="15"/>
        <v>0</v>
      </c>
      <c r="X35" s="81">
        <f t="shared" si="16"/>
        <v>0</v>
      </c>
      <c r="Y35" s="81">
        <f t="shared" si="17"/>
        <v>0</v>
      </c>
      <c r="Z35" s="81">
        <f t="shared" si="18"/>
        <v>0</v>
      </c>
      <c r="AA35" s="82">
        <f t="shared" si="19"/>
        <v>0</v>
      </c>
      <c r="AB35" s="83">
        <f t="shared" si="20"/>
        <v>0</v>
      </c>
      <c r="AC35" s="83">
        <f t="shared" si="21"/>
        <v>0</v>
      </c>
      <c r="AD35" s="1210">
        <f t="shared" si="22"/>
        <v>0</v>
      </c>
      <c r="AE35" s="91">
        <f t="shared" si="23"/>
        <v>0</v>
      </c>
    </row>
    <row r="36" spans="1:31" ht="22.5" thickBot="1" x14ac:dyDescent="0.3">
      <c r="A36" s="455"/>
      <c r="B36" s="457">
        <v>24</v>
      </c>
      <c r="C36" s="72">
        <f t="shared" si="24"/>
        <v>44919</v>
      </c>
      <c r="D36" s="73" t="str">
        <f>IF(C36="","",INDEX({"रवि";"सोम";"मंगळ";"बुध";"गुरू";"शुक्र";"शनि"},WEEKDAY(C36)))</f>
        <v>शनि</v>
      </c>
      <c r="E36" s="89">
        <f>HLOOKUP(E5,'दैनिक माहिती'!BF268:BQ299,25,0)</f>
        <v>0</v>
      </c>
      <c r="F36" s="74">
        <f>HLOOKUP(E5,'दैनिक माहिती'!BF156:BQ188,25,0)</f>
        <v>0</v>
      </c>
      <c r="G36" s="75">
        <f>HLOOKUP(E5,'दैनिक माहिती'!BF194:BQ226,25,0)</f>
        <v>0</v>
      </c>
      <c r="H36" s="76">
        <f>HLOOKUP(E5,'दैनिक माहिती'!BF231:BQ263,25,0)</f>
        <v>0</v>
      </c>
      <c r="I36" s="77">
        <f t="shared" si="1"/>
        <v>0</v>
      </c>
      <c r="J36" s="78">
        <f t="shared" si="2"/>
        <v>0</v>
      </c>
      <c r="K36" s="78">
        <f t="shared" si="3"/>
        <v>0</v>
      </c>
      <c r="L36" s="78">
        <f t="shared" si="4"/>
        <v>0</v>
      </c>
      <c r="M36" s="78">
        <f t="shared" si="5"/>
        <v>0</v>
      </c>
      <c r="N36" s="78">
        <f t="shared" si="6"/>
        <v>0</v>
      </c>
      <c r="O36" s="78">
        <f t="shared" si="7"/>
        <v>0</v>
      </c>
      <c r="P36" s="78">
        <f t="shared" si="8"/>
        <v>0</v>
      </c>
      <c r="Q36" s="78">
        <f t="shared" si="9"/>
        <v>0</v>
      </c>
      <c r="R36" s="79">
        <f t="shared" si="10"/>
        <v>0</v>
      </c>
      <c r="S36" s="80">
        <f t="shared" si="11"/>
        <v>0</v>
      </c>
      <c r="T36" s="80">
        <f t="shared" si="12"/>
        <v>0</v>
      </c>
      <c r="U36" s="80">
        <f t="shared" si="13"/>
        <v>0</v>
      </c>
      <c r="V36" s="80">
        <f t="shared" si="14"/>
        <v>0</v>
      </c>
      <c r="W36" s="80">
        <f t="shared" si="15"/>
        <v>0</v>
      </c>
      <c r="X36" s="81">
        <f t="shared" si="16"/>
        <v>0</v>
      </c>
      <c r="Y36" s="81">
        <f t="shared" si="17"/>
        <v>0</v>
      </c>
      <c r="Z36" s="81">
        <f t="shared" si="18"/>
        <v>0</v>
      </c>
      <c r="AA36" s="82">
        <f t="shared" si="19"/>
        <v>0</v>
      </c>
      <c r="AB36" s="83">
        <f t="shared" si="20"/>
        <v>0</v>
      </c>
      <c r="AC36" s="83">
        <f t="shared" si="21"/>
        <v>0</v>
      </c>
      <c r="AD36" s="1210">
        <f t="shared" si="22"/>
        <v>0</v>
      </c>
      <c r="AE36" s="91">
        <f t="shared" si="23"/>
        <v>0</v>
      </c>
    </row>
    <row r="37" spans="1:31" ht="22.5" thickBot="1" x14ac:dyDescent="0.3">
      <c r="A37" s="455"/>
      <c r="B37" s="457">
        <v>25</v>
      </c>
      <c r="C37" s="72">
        <f t="shared" si="24"/>
        <v>44920</v>
      </c>
      <c r="D37" s="73" t="str">
        <f>IF(C37="","",INDEX({"रवि";"सोम";"मंगळ";"बुध";"गुरू";"शुक्र";"शनि"},WEEKDAY(C37)))</f>
        <v>रवि</v>
      </c>
      <c r="E37" s="89">
        <f>HLOOKUP(E5,'दैनिक माहिती'!BF268:BQ299,26,0)</f>
        <v>0</v>
      </c>
      <c r="F37" s="74">
        <f>HLOOKUP(E5,'दैनिक माहिती'!BF156:BQ188,26,0)</f>
        <v>0</v>
      </c>
      <c r="G37" s="75">
        <f>HLOOKUP(E5,'दैनिक माहिती'!BF194:BQ226,26,0)</f>
        <v>0</v>
      </c>
      <c r="H37" s="76">
        <f>HLOOKUP(E5,'दैनिक माहिती'!BF231:BQ263,26,0)</f>
        <v>0</v>
      </c>
      <c r="I37" s="77">
        <f t="shared" si="1"/>
        <v>0</v>
      </c>
      <c r="J37" s="78">
        <f t="shared" si="2"/>
        <v>0</v>
      </c>
      <c r="K37" s="78">
        <f t="shared" si="3"/>
        <v>0</v>
      </c>
      <c r="L37" s="78">
        <f t="shared" si="4"/>
        <v>0</v>
      </c>
      <c r="M37" s="78">
        <f t="shared" si="5"/>
        <v>0</v>
      </c>
      <c r="N37" s="78">
        <f t="shared" si="6"/>
        <v>0</v>
      </c>
      <c r="O37" s="78">
        <f t="shared" si="7"/>
        <v>0</v>
      </c>
      <c r="P37" s="78">
        <f t="shared" si="8"/>
        <v>0</v>
      </c>
      <c r="Q37" s="78">
        <f t="shared" si="9"/>
        <v>0</v>
      </c>
      <c r="R37" s="79">
        <f t="shared" si="10"/>
        <v>0</v>
      </c>
      <c r="S37" s="80">
        <f t="shared" si="11"/>
        <v>0</v>
      </c>
      <c r="T37" s="80">
        <f t="shared" si="12"/>
        <v>0</v>
      </c>
      <c r="U37" s="80">
        <f t="shared" si="13"/>
        <v>0</v>
      </c>
      <c r="V37" s="80">
        <f t="shared" si="14"/>
        <v>0</v>
      </c>
      <c r="W37" s="80">
        <f t="shared" si="15"/>
        <v>0</v>
      </c>
      <c r="X37" s="81">
        <f t="shared" si="16"/>
        <v>0</v>
      </c>
      <c r="Y37" s="81">
        <f t="shared" si="17"/>
        <v>0</v>
      </c>
      <c r="Z37" s="81">
        <f t="shared" si="18"/>
        <v>0</v>
      </c>
      <c r="AA37" s="82">
        <f t="shared" si="19"/>
        <v>0</v>
      </c>
      <c r="AB37" s="83">
        <f t="shared" si="20"/>
        <v>0</v>
      </c>
      <c r="AC37" s="83">
        <f t="shared" si="21"/>
        <v>0</v>
      </c>
      <c r="AD37" s="1210">
        <f t="shared" si="22"/>
        <v>0</v>
      </c>
      <c r="AE37" s="91">
        <f t="shared" si="23"/>
        <v>0</v>
      </c>
    </row>
    <row r="38" spans="1:31" ht="22.5" thickBot="1" x14ac:dyDescent="0.3">
      <c r="A38" s="455"/>
      <c r="B38" s="457">
        <v>26</v>
      </c>
      <c r="C38" s="72">
        <f t="shared" si="24"/>
        <v>44921</v>
      </c>
      <c r="D38" s="73" t="str">
        <f>IF(C38="","",INDEX({"रवि";"सोम";"मंगळ";"बुध";"गुरू";"शुक्र";"शनि"},WEEKDAY(C38)))</f>
        <v>सोम</v>
      </c>
      <c r="E38" s="89">
        <f>HLOOKUP(E5,'दैनिक माहिती'!BF268:BQ299,27,0)</f>
        <v>0</v>
      </c>
      <c r="F38" s="74">
        <f>HLOOKUP(E5,'दैनिक माहिती'!BF156:BQ188,27,0)</f>
        <v>0</v>
      </c>
      <c r="G38" s="75">
        <f>HLOOKUP(E5,'दैनिक माहिती'!BF194:BQ226,27,0)</f>
        <v>0</v>
      </c>
      <c r="H38" s="76">
        <f>HLOOKUP(E5,'दैनिक माहिती'!BF231:BQ263,27,0)</f>
        <v>0</v>
      </c>
      <c r="I38" s="77">
        <f t="shared" si="1"/>
        <v>0</v>
      </c>
      <c r="J38" s="78">
        <f t="shared" si="2"/>
        <v>0</v>
      </c>
      <c r="K38" s="78">
        <f t="shared" si="3"/>
        <v>0</v>
      </c>
      <c r="L38" s="78">
        <f t="shared" si="4"/>
        <v>0</v>
      </c>
      <c r="M38" s="78">
        <f t="shared" si="5"/>
        <v>0</v>
      </c>
      <c r="N38" s="78">
        <f t="shared" si="6"/>
        <v>0</v>
      </c>
      <c r="O38" s="78">
        <f t="shared" si="7"/>
        <v>0</v>
      </c>
      <c r="P38" s="78">
        <f t="shared" si="8"/>
        <v>0</v>
      </c>
      <c r="Q38" s="78">
        <f t="shared" si="9"/>
        <v>0</v>
      </c>
      <c r="R38" s="79">
        <f t="shared" si="10"/>
        <v>0</v>
      </c>
      <c r="S38" s="80">
        <f t="shared" si="11"/>
        <v>0</v>
      </c>
      <c r="T38" s="80">
        <f t="shared" si="12"/>
        <v>0</v>
      </c>
      <c r="U38" s="80">
        <f t="shared" si="13"/>
        <v>0</v>
      </c>
      <c r="V38" s="80">
        <f t="shared" si="14"/>
        <v>0</v>
      </c>
      <c r="W38" s="80">
        <f t="shared" si="15"/>
        <v>0</v>
      </c>
      <c r="X38" s="81">
        <f t="shared" si="16"/>
        <v>0</v>
      </c>
      <c r="Y38" s="81">
        <f t="shared" si="17"/>
        <v>0</v>
      </c>
      <c r="Z38" s="81">
        <f t="shared" si="18"/>
        <v>0</v>
      </c>
      <c r="AA38" s="82">
        <f t="shared" si="19"/>
        <v>0</v>
      </c>
      <c r="AB38" s="83">
        <f t="shared" si="20"/>
        <v>0</v>
      </c>
      <c r="AC38" s="83">
        <f t="shared" si="21"/>
        <v>0</v>
      </c>
      <c r="AD38" s="1210">
        <f t="shared" si="22"/>
        <v>0</v>
      </c>
      <c r="AE38" s="91">
        <f t="shared" si="23"/>
        <v>0</v>
      </c>
    </row>
    <row r="39" spans="1:31" ht="22.5" thickBot="1" x14ac:dyDescent="0.3">
      <c r="A39" s="455"/>
      <c r="B39" s="457">
        <v>27</v>
      </c>
      <c r="C39" s="72">
        <f t="shared" si="24"/>
        <v>44922</v>
      </c>
      <c r="D39" s="73" t="str">
        <f>IF(C39="","",INDEX({"रवि";"सोम";"मंगळ";"बुध";"गुरू";"शुक्र";"शनि"},WEEKDAY(C39)))</f>
        <v>मंगळ</v>
      </c>
      <c r="E39" s="89">
        <f>HLOOKUP(E5,'दैनिक माहिती'!BF268:BQ299,28,0)</f>
        <v>0</v>
      </c>
      <c r="F39" s="74">
        <f>HLOOKUP(E5,'दैनिक माहिती'!BF156:BQ188,28,0)</f>
        <v>0</v>
      </c>
      <c r="G39" s="75">
        <f>HLOOKUP(E5,'दैनिक माहिती'!BF194:BQ226,28,0)</f>
        <v>0</v>
      </c>
      <c r="H39" s="76">
        <f>HLOOKUP(E5,'दैनिक माहिती'!BF231:BQ263,28,0)</f>
        <v>0</v>
      </c>
      <c r="I39" s="77">
        <f t="shared" si="1"/>
        <v>0</v>
      </c>
      <c r="J39" s="78">
        <f t="shared" si="2"/>
        <v>0</v>
      </c>
      <c r="K39" s="78">
        <f t="shared" si="3"/>
        <v>0</v>
      </c>
      <c r="L39" s="78">
        <f t="shared" si="4"/>
        <v>0</v>
      </c>
      <c r="M39" s="78">
        <f t="shared" si="5"/>
        <v>0</v>
      </c>
      <c r="N39" s="78">
        <f t="shared" si="6"/>
        <v>0</v>
      </c>
      <c r="O39" s="78">
        <f t="shared" si="7"/>
        <v>0</v>
      </c>
      <c r="P39" s="78">
        <f t="shared" si="8"/>
        <v>0</v>
      </c>
      <c r="Q39" s="78">
        <f t="shared" si="9"/>
        <v>0</v>
      </c>
      <c r="R39" s="79">
        <f t="shared" si="10"/>
        <v>0</v>
      </c>
      <c r="S39" s="80">
        <f t="shared" si="11"/>
        <v>0</v>
      </c>
      <c r="T39" s="80">
        <f t="shared" si="12"/>
        <v>0</v>
      </c>
      <c r="U39" s="80">
        <f t="shared" si="13"/>
        <v>0</v>
      </c>
      <c r="V39" s="80">
        <f t="shared" si="14"/>
        <v>0</v>
      </c>
      <c r="W39" s="80">
        <f t="shared" si="15"/>
        <v>0</v>
      </c>
      <c r="X39" s="81">
        <f t="shared" si="16"/>
        <v>0</v>
      </c>
      <c r="Y39" s="81">
        <f t="shared" si="17"/>
        <v>0</v>
      </c>
      <c r="Z39" s="81">
        <f t="shared" si="18"/>
        <v>0</v>
      </c>
      <c r="AA39" s="82">
        <f t="shared" si="19"/>
        <v>0</v>
      </c>
      <c r="AB39" s="83">
        <f t="shared" si="20"/>
        <v>0</v>
      </c>
      <c r="AC39" s="83">
        <f t="shared" si="21"/>
        <v>0</v>
      </c>
      <c r="AD39" s="1210">
        <f t="shared" si="22"/>
        <v>0</v>
      </c>
      <c r="AE39" s="91">
        <f t="shared" si="23"/>
        <v>0</v>
      </c>
    </row>
    <row r="40" spans="1:31" ht="22.5" thickBot="1" x14ac:dyDescent="0.3">
      <c r="A40" s="455"/>
      <c r="B40" s="457">
        <v>28</v>
      </c>
      <c r="C40" s="72">
        <f t="shared" si="24"/>
        <v>44923</v>
      </c>
      <c r="D40" s="73" t="str">
        <f>IF(C40="","",INDEX({"रवि";"सोम";"मंगळ";"बुध";"गुरू";"शुक्र";"शनि"},WEEKDAY(C40)))</f>
        <v>बुध</v>
      </c>
      <c r="E40" s="89">
        <f>HLOOKUP(E5,'दैनिक माहिती'!BF268:BQ299,29,0)</f>
        <v>0</v>
      </c>
      <c r="F40" s="74">
        <f>HLOOKUP(E5,'दैनिक माहिती'!BF156:BQ188,29,0)</f>
        <v>0</v>
      </c>
      <c r="G40" s="75">
        <f>HLOOKUP(E5,'दैनिक माहिती'!BF194:BQ226,29,0)</f>
        <v>0</v>
      </c>
      <c r="H40" s="76">
        <f>HLOOKUP(E5,'दैनिक माहिती'!BF231:BQ263,29,0)</f>
        <v>0</v>
      </c>
      <c r="I40" s="77">
        <f t="shared" si="1"/>
        <v>0</v>
      </c>
      <c r="J40" s="78">
        <f t="shared" si="2"/>
        <v>0</v>
      </c>
      <c r="K40" s="78">
        <f t="shared" si="3"/>
        <v>0</v>
      </c>
      <c r="L40" s="78">
        <f t="shared" si="4"/>
        <v>0</v>
      </c>
      <c r="M40" s="78">
        <f t="shared" si="5"/>
        <v>0</v>
      </c>
      <c r="N40" s="78">
        <f t="shared" si="6"/>
        <v>0</v>
      </c>
      <c r="O40" s="78">
        <f t="shared" si="7"/>
        <v>0</v>
      </c>
      <c r="P40" s="78">
        <f t="shared" si="8"/>
        <v>0</v>
      </c>
      <c r="Q40" s="78">
        <f t="shared" si="9"/>
        <v>0</v>
      </c>
      <c r="R40" s="79">
        <f t="shared" si="10"/>
        <v>0</v>
      </c>
      <c r="S40" s="80">
        <f t="shared" si="11"/>
        <v>0</v>
      </c>
      <c r="T40" s="80">
        <f t="shared" si="12"/>
        <v>0</v>
      </c>
      <c r="U40" s="80">
        <f t="shared" si="13"/>
        <v>0</v>
      </c>
      <c r="V40" s="80">
        <f t="shared" si="14"/>
        <v>0</v>
      </c>
      <c r="W40" s="80">
        <f t="shared" si="15"/>
        <v>0</v>
      </c>
      <c r="X40" s="81">
        <f t="shared" si="16"/>
        <v>0</v>
      </c>
      <c r="Y40" s="81">
        <f t="shared" si="17"/>
        <v>0</v>
      </c>
      <c r="Z40" s="81">
        <f t="shared" si="18"/>
        <v>0</v>
      </c>
      <c r="AA40" s="82">
        <f t="shared" si="19"/>
        <v>0</v>
      </c>
      <c r="AB40" s="83">
        <f t="shared" si="20"/>
        <v>0</v>
      </c>
      <c r="AC40" s="83">
        <f t="shared" si="21"/>
        <v>0</v>
      </c>
      <c r="AD40" s="1210">
        <f t="shared" si="22"/>
        <v>0</v>
      </c>
      <c r="AE40" s="91">
        <f t="shared" si="23"/>
        <v>0</v>
      </c>
    </row>
    <row r="41" spans="1:31" ht="22.5" thickBot="1" x14ac:dyDescent="0.3">
      <c r="A41" s="455"/>
      <c r="B41" s="457">
        <v>29</v>
      </c>
      <c r="C41" s="72">
        <f t="shared" si="24"/>
        <v>44924</v>
      </c>
      <c r="D41" s="73" t="str">
        <f>IF(C41="","",INDEX({"रवि";"सोम";"मंगळ";"बुध";"गुरू";"शुक्र";"शनि"},WEEKDAY(C41)))</f>
        <v>गुरू</v>
      </c>
      <c r="E41" s="89">
        <f>HLOOKUP(E5,'दैनिक माहिती'!BF268:BQ299,30,0)</f>
        <v>0</v>
      </c>
      <c r="F41" s="74">
        <f>HLOOKUP(E5,'दैनिक माहिती'!BF156:BQ188,30,0)</f>
        <v>0</v>
      </c>
      <c r="G41" s="75">
        <f>HLOOKUP(E5,'दैनिक माहिती'!BF194:BQ226,30,0)</f>
        <v>0</v>
      </c>
      <c r="H41" s="76">
        <f>HLOOKUP(E5,'दैनिक माहिती'!BF231:BQ263,30,0)</f>
        <v>0</v>
      </c>
      <c r="I41" s="77">
        <f t="shared" si="1"/>
        <v>0</v>
      </c>
      <c r="J41" s="78">
        <f t="shared" si="2"/>
        <v>0</v>
      </c>
      <c r="K41" s="78">
        <f t="shared" si="3"/>
        <v>0</v>
      </c>
      <c r="L41" s="78">
        <f t="shared" si="4"/>
        <v>0</v>
      </c>
      <c r="M41" s="78">
        <f t="shared" si="5"/>
        <v>0</v>
      </c>
      <c r="N41" s="78">
        <f t="shared" si="6"/>
        <v>0</v>
      </c>
      <c r="O41" s="78">
        <f t="shared" si="7"/>
        <v>0</v>
      </c>
      <c r="P41" s="78">
        <f t="shared" si="8"/>
        <v>0</v>
      </c>
      <c r="Q41" s="78">
        <f t="shared" si="9"/>
        <v>0</v>
      </c>
      <c r="R41" s="79">
        <f t="shared" si="10"/>
        <v>0</v>
      </c>
      <c r="S41" s="80">
        <f t="shared" si="11"/>
        <v>0</v>
      </c>
      <c r="T41" s="80">
        <f t="shared" si="12"/>
        <v>0</v>
      </c>
      <c r="U41" s="80">
        <f t="shared" si="13"/>
        <v>0</v>
      </c>
      <c r="V41" s="80">
        <f t="shared" si="14"/>
        <v>0</v>
      </c>
      <c r="W41" s="80">
        <f t="shared" si="15"/>
        <v>0</v>
      </c>
      <c r="X41" s="81">
        <f t="shared" si="16"/>
        <v>0</v>
      </c>
      <c r="Y41" s="81">
        <f t="shared" si="17"/>
        <v>0</v>
      </c>
      <c r="Z41" s="81">
        <f t="shared" si="18"/>
        <v>0</v>
      </c>
      <c r="AA41" s="82">
        <f t="shared" si="19"/>
        <v>0</v>
      </c>
      <c r="AB41" s="83">
        <f t="shared" si="20"/>
        <v>0</v>
      </c>
      <c r="AC41" s="83">
        <f t="shared" si="21"/>
        <v>0</v>
      </c>
      <c r="AD41" s="1210">
        <f t="shared" si="22"/>
        <v>0</v>
      </c>
      <c r="AE41" s="91">
        <f t="shared" si="23"/>
        <v>0</v>
      </c>
    </row>
    <row r="42" spans="1:31" ht="21.75" x14ac:dyDescent="0.25">
      <c r="A42" s="455"/>
      <c r="B42" s="457">
        <v>30</v>
      </c>
      <c r="C42" s="72">
        <f t="shared" si="24"/>
        <v>44925</v>
      </c>
      <c r="D42" s="73" t="str">
        <f>IF(C42="","",INDEX({"रवि";"सोम";"मंगळ";"बुध";"गुरू";"शुक्र";"शनि"},WEEKDAY(C42)))</f>
        <v>शुक्र</v>
      </c>
      <c r="E42" s="89">
        <f>HLOOKUP(E5,'दैनिक माहिती'!BF268:BQ299,31,0)</f>
        <v>0</v>
      </c>
      <c r="F42" s="74">
        <f>HLOOKUP(E5,'दैनिक माहिती'!BF156:BQ188,31,0)</f>
        <v>0</v>
      </c>
      <c r="G42" s="75">
        <f>HLOOKUP(E5,'दैनिक माहिती'!BF194:BQ226,31,0)</f>
        <v>0</v>
      </c>
      <c r="H42" s="76">
        <f>HLOOKUP(E5,'दैनिक माहिती'!BF231:BQ263,31,0)</f>
        <v>0</v>
      </c>
      <c r="I42" s="77">
        <f t="shared" si="1"/>
        <v>0</v>
      </c>
      <c r="J42" s="78">
        <f t="shared" si="2"/>
        <v>0</v>
      </c>
      <c r="K42" s="78">
        <f t="shared" si="3"/>
        <v>0</v>
      </c>
      <c r="L42" s="78">
        <f t="shared" si="4"/>
        <v>0</v>
      </c>
      <c r="M42" s="78">
        <f t="shared" si="5"/>
        <v>0</v>
      </c>
      <c r="N42" s="78">
        <f t="shared" si="6"/>
        <v>0</v>
      </c>
      <c r="O42" s="78">
        <f t="shared" si="7"/>
        <v>0</v>
      </c>
      <c r="P42" s="78">
        <f t="shared" si="8"/>
        <v>0</v>
      </c>
      <c r="Q42" s="78">
        <f t="shared" si="9"/>
        <v>0</v>
      </c>
      <c r="R42" s="79">
        <f t="shared" si="10"/>
        <v>0</v>
      </c>
      <c r="S42" s="80">
        <f t="shared" si="11"/>
        <v>0</v>
      </c>
      <c r="T42" s="80">
        <f t="shared" si="12"/>
        <v>0</v>
      </c>
      <c r="U42" s="80">
        <f t="shared" si="13"/>
        <v>0</v>
      </c>
      <c r="V42" s="80">
        <f t="shared" si="14"/>
        <v>0</v>
      </c>
      <c r="W42" s="80">
        <f t="shared" si="15"/>
        <v>0</v>
      </c>
      <c r="X42" s="81">
        <f t="shared" si="16"/>
        <v>0</v>
      </c>
      <c r="Y42" s="81">
        <f t="shared" si="17"/>
        <v>0</v>
      </c>
      <c r="Z42" s="81">
        <f t="shared" si="18"/>
        <v>0</v>
      </c>
      <c r="AA42" s="82">
        <f t="shared" si="19"/>
        <v>0</v>
      </c>
      <c r="AB42" s="83">
        <f t="shared" si="20"/>
        <v>0</v>
      </c>
      <c r="AC42" s="83">
        <f t="shared" si="21"/>
        <v>0</v>
      </c>
      <c r="AD42" s="1210">
        <f t="shared" si="22"/>
        <v>0</v>
      </c>
      <c r="AE42" s="91">
        <f t="shared" si="23"/>
        <v>0</v>
      </c>
    </row>
    <row r="43" spans="1:31" ht="22.5" thickBot="1" x14ac:dyDescent="0.3">
      <c r="A43" s="455"/>
      <c r="B43" s="1205">
        <v>31</v>
      </c>
      <c r="C43" s="1206">
        <f t="shared" si="24"/>
        <v>44926</v>
      </c>
      <c r="D43" s="1207" t="str">
        <f>IF(C43="","",INDEX({"रवि";"सोम";"मंगळ";"बुध";"गुरू";"शुक्र";"शनि"},WEEKDAY(C43)))</f>
        <v>शनि</v>
      </c>
      <c r="E43" s="90">
        <f>HLOOKUP(E5,'दैनिक माहिती'!BF268:BQ299,32,0)</f>
        <v>0</v>
      </c>
      <c r="F43" s="84">
        <f>HLOOKUP(E5,'दैनिक माहिती'!BF156:BQ188,32,0)</f>
        <v>0</v>
      </c>
      <c r="G43" s="85">
        <f>HLOOKUP(E5,'दैनिक माहिती'!BF194:BQ226,32,0)</f>
        <v>0</v>
      </c>
      <c r="H43" s="86">
        <f>HLOOKUP(E5,'दैनिक माहिती'!BF231:BQ263,32,0)</f>
        <v>0</v>
      </c>
      <c r="I43" s="77">
        <f t="shared" si="1"/>
        <v>0</v>
      </c>
      <c r="J43" s="78">
        <f t="shared" si="2"/>
        <v>0</v>
      </c>
      <c r="K43" s="78">
        <f t="shared" si="3"/>
        <v>0</v>
      </c>
      <c r="L43" s="78">
        <f t="shared" si="4"/>
        <v>0</v>
      </c>
      <c r="M43" s="78">
        <f t="shared" si="5"/>
        <v>0</v>
      </c>
      <c r="N43" s="78">
        <f t="shared" si="6"/>
        <v>0</v>
      </c>
      <c r="O43" s="78">
        <f t="shared" si="7"/>
        <v>0</v>
      </c>
      <c r="P43" s="78">
        <f t="shared" si="8"/>
        <v>0</v>
      </c>
      <c r="Q43" s="78">
        <f t="shared" si="9"/>
        <v>0</v>
      </c>
      <c r="R43" s="79">
        <f t="shared" si="10"/>
        <v>0</v>
      </c>
      <c r="S43" s="80">
        <f t="shared" si="11"/>
        <v>0</v>
      </c>
      <c r="T43" s="80">
        <f t="shared" si="12"/>
        <v>0</v>
      </c>
      <c r="U43" s="80">
        <f t="shared" si="13"/>
        <v>0</v>
      </c>
      <c r="V43" s="80">
        <f t="shared" si="14"/>
        <v>0</v>
      </c>
      <c r="W43" s="80">
        <f t="shared" si="15"/>
        <v>0</v>
      </c>
      <c r="X43" s="81">
        <f t="shared" si="16"/>
        <v>0</v>
      </c>
      <c r="Y43" s="81">
        <f t="shared" si="17"/>
        <v>0</v>
      </c>
      <c r="Z43" s="81">
        <f t="shared" si="18"/>
        <v>0</v>
      </c>
      <c r="AA43" s="82">
        <f t="shared" si="19"/>
        <v>0</v>
      </c>
      <c r="AB43" s="83">
        <f t="shared" si="20"/>
        <v>0</v>
      </c>
      <c r="AC43" s="83">
        <f t="shared" si="21"/>
        <v>0</v>
      </c>
      <c r="AD43" s="1210">
        <f t="shared" si="22"/>
        <v>0</v>
      </c>
      <c r="AE43" s="91">
        <f t="shared" si="23"/>
        <v>0</v>
      </c>
    </row>
    <row r="44" spans="1:31" ht="24" customHeight="1" thickBot="1" x14ac:dyDescent="0.3">
      <c r="A44" s="455"/>
      <c r="B44" s="1690" t="s">
        <v>218</v>
      </c>
      <c r="C44" s="1691"/>
      <c r="D44" s="1691"/>
      <c r="E44" s="1692">
        <f>COUNTIF(H13:H43,"&gt;0")</f>
        <v>0</v>
      </c>
      <c r="F44" s="1212">
        <f>SUM(F13:F43)</f>
        <v>0</v>
      </c>
      <c r="G44" s="1213">
        <f>SUM(G13:G43)</f>
        <v>0</v>
      </c>
      <c r="H44" s="1204">
        <f>SUM(H13:H43)</f>
        <v>0</v>
      </c>
      <c r="I44" s="87">
        <f>SUM(I13:I43)</f>
        <v>0</v>
      </c>
      <c r="J44" s="87">
        <f t="shared" ref="J44:AD44" si="25">SUM(J13:J43)</f>
        <v>0</v>
      </c>
      <c r="K44" s="87">
        <f t="shared" si="25"/>
        <v>0</v>
      </c>
      <c r="L44" s="87">
        <f t="shared" si="25"/>
        <v>0</v>
      </c>
      <c r="M44" s="87">
        <f t="shared" si="25"/>
        <v>0</v>
      </c>
      <c r="N44" s="87">
        <f t="shared" si="25"/>
        <v>0</v>
      </c>
      <c r="O44" s="87">
        <f t="shared" si="25"/>
        <v>0</v>
      </c>
      <c r="P44" s="87">
        <f t="shared" si="25"/>
        <v>0</v>
      </c>
      <c r="Q44" s="87">
        <f t="shared" si="25"/>
        <v>0</v>
      </c>
      <c r="R44" s="87">
        <f t="shared" si="25"/>
        <v>0</v>
      </c>
      <c r="S44" s="87">
        <f t="shared" si="25"/>
        <v>0</v>
      </c>
      <c r="T44" s="87">
        <f t="shared" si="25"/>
        <v>0</v>
      </c>
      <c r="U44" s="87">
        <f t="shared" si="25"/>
        <v>0</v>
      </c>
      <c r="V44" s="87">
        <f t="shared" si="25"/>
        <v>0</v>
      </c>
      <c r="W44" s="87">
        <f t="shared" si="25"/>
        <v>0</v>
      </c>
      <c r="X44" s="87">
        <f t="shared" si="25"/>
        <v>0</v>
      </c>
      <c r="Y44" s="87">
        <f t="shared" si="25"/>
        <v>0</v>
      </c>
      <c r="Z44" s="87">
        <f t="shared" si="25"/>
        <v>0</v>
      </c>
      <c r="AA44" s="88">
        <f t="shared" si="25"/>
        <v>0</v>
      </c>
      <c r="AB44" s="88">
        <f t="shared" si="25"/>
        <v>0</v>
      </c>
      <c r="AC44" s="88">
        <f t="shared" si="25"/>
        <v>0</v>
      </c>
      <c r="AD44" s="88">
        <f t="shared" si="25"/>
        <v>0</v>
      </c>
      <c r="AE44" s="92">
        <f>SUM(AA44:AD44)</f>
        <v>0</v>
      </c>
    </row>
    <row r="45" spans="1:31" ht="24" customHeight="1" thickBot="1" x14ac:dyDescent="0.3">
      <c r="A45" s="455"/>
      <c r="B45" s="1684" t="s">
        <v>717</v>
      </c>
      <c r="C45" s="1685"/>
      <c r="D45" s="1686"/>
      <c r="E45" s="1693"/>
      <c r="F45" s="1684" t="s">
        <v>104</v>
      </c>
      <c r="G45" s="1685"/>
      <c r="H45" s="1686"/>
      <c r="I45" s="93">
        <f>(I12-I44)</f>
        <v>0</v>
      </c>
      <c r="J45" s="94">
        <f t="shared" ref="J45:Z45" si="26">(J12-J44)</f>
        <v>0</v>
      </c>
      <c r="K45" s="94">
        <f t="shared" si="26"/>
        <v>0</v>
      </c>
      <c r="L45" s="94">
        <f t="shared" si="26"/>
        <v>0</v>
      </c>
      <c r="M45" s="94">
        <f t="shared" si="26"/>
        <v>0</v>
      </c>
      <c r="N45" s="94">
        <f t="shared" si="26"/>
        <v>0</v>
      </c>
      <c r="O45" s="94">
        <f t="shared" si="26"/>
        <v>0</v>
      </c>
      <c r="P45" s="94">
        <f t="shared" si="26"/>
        <v>0</v>
      </c>
      <c r="Q45" s="94">
        <f t="shared" si="26"/>
        <v>0</v>
      </c>
      <c r="R45" s="94">
        <f t="shared" si="26"/>
        <v>0</v>
      </c>
      <c r="S45" s="94">
        <f t="shared" si="26"/>
        <v>0</v>
      </c>
      <c r="T45" s="94">
        <f t="shared" si="26"/>
        <v>0</v>
      </c>
      <c r="U45" s="94">
        <f t="shared" si="26"/>
        <v>0</v>
      </c>
      <c r="V45" s="94">
        <f t="shared" si="26"/>
        <v>0</v>
      </c>
      <c r="W45" s="94">
        <f t="shared" si="26"/>
        <v>0</v>
      </c>
      <c r="X45" s="94">
        <f t="shared" si="26"/>
        <v>0</v>
      </c>
      <c r="Y45" s="94">
        <f t="shared" si="26"/>
        <v>0</v>
      </c>
      <c r="Z45" s="94">
        <f t="shared" si="26"/>
        <v>0</v>
      </c>
      <c r="AA45" s="1673" t="s">
        <v>217</v>
      </c>
      <c r="AB45" s="1674"/>
      <c r="AC45" s="95">
        <f>AE44</f>
        <v>0</v>
      </c>
      <c r="AD45" s="95"/>
      <c r="AE45" s="24" t="s">
        <v>214</v>
      </c>
    </row>
    <row r="46" spans="1:31" ht="21" x14ac:dyDescent="0.35">
      <c r="B46" s="458"/>
      <c r="C46" s="360"/>
      <c r="D46" s="1629"/>
      <c r="E46" s="1629"/>
      <c r="F46" s="1629"/>
      <c r="G46" s="1629"/>
      <c r="H46" s="1629"/>
      <c r="I46" s="1629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</row>
    <row r="47" spans="1:31" ht="21" x14ac:dyDescent="0.35">
      <c r="C47" s="360"/>
      <c r="D47" s="1630"/>
      <c r="E47" s="1630"/>
      <c r="F47" s="1630"/>
      <c r="G47" s="1630"/>
      <c r="H47" s="1630"/>
      <c r="I47" s="163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  <c r="AC47" s="360"/>
      <c r="AD47" s="360"/>
      <c r="AE47" s="360"/>
    </row>
    <row r="48" spans="1:31" ht="21" x14ac:dyDescent="0.35">
      <c r="C48" s="360"/>
      <c r="D48" s="360"/>
      <c r="E48" s="360"/>
      <c r="F48" s="360"/>
      <c r="G48" s="360"/>
      <c r="H48" s="360"/>
      <c r="I48" s="5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</row>
    <row r="49" spans="3:31" ht="21" x14ac:dyDescent="0.35">
      <c r="C49" s="360"/>
      <c r="D49" s="360"/>
      <c r="E49" s="360"/>
      <c r="F49" s="360"/>
      <c r="G49" s="360"/>
      <c r="H49" s="360"/>
      <c r="I49" s="5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  <c r="AA49" s="360"/>
      <c r="AB49" s="360"/>
      <c r="AC49" s="360"/>
      <c r="AD49" s="360"/>
      <c r="AE49" s="360"/>
    </row>
    <row r="50" spans="3:31" ht="21" x14ac:dyDescent="0.35">
      <c r="C50" s="360"/>
      <c r="D50" s="360"/>
      <c r="E50" s="360"/>
      <c r="F50" s="360"/>
      <c r="G50" s="360"/>
      <c r="H50" s="360"/>
      <c r="I50" s="5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</row>
    <row r="51" spans="3:31" ht="21" x14ac:dyDescent="0.35">
      <c r="C51" s="360"/>
      <c r="D51" s="360"/>
      <c r="E51" s="360"/>
      <c r="F51" s="360"/>
      <c r="G51" s="360"/>
      <c r="H51" s="360"/>
      <c r="I51" s="5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</row>
    <row r="52" spans="3:31" ht="21" x14ac:dyDescent="0.35">
      <c r="C52" s="360"/>
      <c r="D52" s="360"/>
      <c r="E52" s="360"/>
      <c r="F52" s="360"/>
      <c r="G52" s="360"/>
      <c r="H52" s="360"/>
      <c r="I52" s="5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</row>
    <row r="53" spans="3:31" ht="21" x14ac:dyDescent="0.35">
      <c r="C53" s="360"/>
      <c r="D53" s="360"/>
      <c r="E53" s="360"/>
      <c r="F53" s="360"/>
      <c r="G53" s="360"/>
      <c r="H53" s="360"/>
      <c r="I53" s="5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</row>
    <row r="54" spans="3:31" ht="21" x14ac:dyDescent="0.35">
      <c r="C54" s="360"/>
      <c r="D54" s="360"/>
      <c r="E54" s="360"/>
      <c r="F54" s="360"/>
      <c r="G54" s="360"/>
      <c r="H54" s="360"/>
      <c r="I54" s="5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0"/>
      <c r="W54" s="360"/>
      <c r="X54" s="360"/>
      <c r="Y54" s="360"/>
      <c r="Z54" s="360"/>
      <c r="AA54" s="360"/>
      <c r="AB54" s="360"/>
      <c r="AC54" s="360"/>
      <c r="AD54" s="360"/>
      <c r="AE54" s="360"/>
    </row>
    <row r="55" spans="3:31" ht="21" x14ac:dyDescent="0.35">
      <c r="C55" s="360"/>
      <c r="D55" s="360"/>
      <c r="E55" s="360"/>
      <c r="F55" s="360"/>
      <c r="G55" s="360"/>
      <c r="H55" s="360"/>
      <c r="I55" s="5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</row>
    <row r="56" spans="3:31" ht="21" x14ac:dyDescent="0.35">
      <c r="C56" s="360"/>
      <c r="D56" s="360"/>
      <c r="E56" s="360"/>
      <c r="F56" s="360"/>
      <c r="G56" s="360"/>
      <c r="H56" s="360"/>
      <c r="I56" s="5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  <c r="AA56" s="360"/>
      <c r="AB56" s="360"/>
      <c r="AC56" s="360"/>
      <c r="AD56" s="360"/>
      <c r="AE56" s="360"/>
    </row>
    <row r="57" spans="3:31" ht="21" x14ac:dyDescent="0.35">
      <c r="C57" s="360"/>
      <c r="D57" s="360"/>
      <c r="E57" s="360"/>
      <c r="F57" s="360"/>
      <c r="G57" s="360"/>
      <c r="H57" s="360"/>
      <c r="I57" s="5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</row>
    <row r="58" spans="3:31" ht="21" x14ac:dyDescent="0.35">
      <c r="C58" s="360"/>
      <c r="D58" s="360"/>
      <c r="E58" s="360"/>
      <c r="F58" s="360"/>
      <c r="G58" s="360"/>
      <c r="H58" s="360"/>
      <c r="I58" s="5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</row>
    <row r="59" spans="3:31" ht="21" x14ac:dyDescent="0.35">
      <c r="C59" s="360"/>
      <c r="D59" s="360"/>
      <c r="E59" s="360"/>
      <c r="F59" s="360"/>
      <c r="G59" s="360"/>
      <c r="H59" s="360"/>
      <c r="I59" s="5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</row>
    <row r="60" spans="3:31" ht="21" x14ac:dyDescent="0.35">
      <c r="C60" s="360"/>
      <c r="D60" s="360"/>
      <c r="E60" s="360"/>
      <c r="F60" s="360"/>
      <c r="G60" s="360"/>
      <c r="H60" s="360"/>
      <c r="I60" s="5"/>
      <c r="J60" s="360"/>
      <c r="K60" s="360"/>
      <c r="L60" s="360"/>
      <c r="M60" s="360"/>
      <c r="N60" s="360"/>
      <c r="O60" s="360"/>
      <c r="P60" s="360"/>
      <c r="Q60" s="360"/>
      <c r="R60" s="360"/>
      <c r="S60" s="360"/>
      <c r="T60" s="360"/>
      <c r="U60" s="360"/>
      <c r="V60" s="360"/>
      <c r="W60" s="360"/>
      <c r="X60" s="360"/>
      <c r="Y60" s="360"/>
      <c r="Z60" s="360"/>
      <c r="AA60" s="360"/>
      <c r="AB60" s="360"/>
      <c r="AC60" s="360"/>
      <c r="AD60" s="360"/>
      <c r="AE60" s="360"/>
    </row>
    <row r="61" spans="3:31" ht="21" x14ac:dyDescent="0.35">
      <c r="C61" s="360"/>
      <c r="D61" s="360"/>
      <c r="E61" s="360"/>
      <c r="F61" s="360"/>
      <c r="G61" s="360"/>
      <c r="H61" s="360"/>
      <c r="I61" s="5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  <c r="AA61" s="360"/>
      <c r="AB61" s="360"/>
      <c r="AC61" s="360"/>
      <c r="AD61" s="360"/>
      <c r="AE61" s="360"/>
    </row>
    <row r="62" spans="3:31" ht="21" x14ac:dyDescent="0.35">
      <c r="C62" s="360"/>
      <c r="D62" s="360"/>
      <c r="E62" s="360"/>
      <c r="F62" s="360"/>
      <c r="G62" s="360"/>
      <c r="H62" s="360"/>
      <c r="I62" s="5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</row>
    <row r="63" spans="3:31" ht="21" x14ac:dyDescent="0.35">
      <c r="C63" s="360"/>
      <c r="D63" s="360"/>
      <c r="E63" s="360"/>
      <c r="F63" s="360"/>
      <c r="G63" s="360"/>
      <c r="H63" s="360"/>
      <c r="I63" s="5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</row>
  </sheetData>
  <sheetProtection algorithmName="SHA-512" hashValue="Gv4unSjdayhzSTPBCg33O/B28e426sx75P8ISnxWw1okEIkdPbhHhbX9+u7YjcoRN3KqA9UcSQ9qVAjPrqZSfA==" saltValue="rjoYoMOQzndyxTCJTnpv7w==" spinCount="100000" sheet="1" objects="1" scenarios="1" selectLockedCells="1"/>
  <mergeCells count="27">
    <mergeCell ref="B6:B7"/>
    <mergeCell ref="C6:C7"/>
    <mergeCell ref="D6:D7"/>
    <mergeCell ref="E6:E7"/>
    <mergeCell ref="F6:F7"/>
    <mergeCell ref="B5:D5"/>
    <mergeCell ref="F5:H5"/>
    <mergeCell ref="I5:N5"/>
    <mergeCell ref="P5:Q5"/>
    <mergeCell ref="R5:AE5"/>
    <mergeCell ref="G6:G7"/>
    <mergeCell ref="H6:H7"/>
    <mergeCell ref="E8:H8"/>
    <mergeCell ref="C9:D9"/>
    <mergeCell ref="E9:H9"/>
    <mergeCell ref="AA45:AB45"/>
    <mergeCell ref="D46:I47"/>
    <mergeCell ref="B10:B12"/>
    <mergeCell ref="C10:D12"/>
    <mergeCell ref="E10:H10"/>
    <mergeCell ref="E12:H12"/>
    <mergeCell ref="B44:D44"/>
    <mergeCell ref="E44:E45"/>
    <mergeCell ref="B45:D45"/>
    <mergeCell ref="F45:H45"/>
    <mergeCell ref="AA9:AE12"/>
    <mergeCell ref="E11:H11"/>
  </mergeCells>
  <conditionalFormatting sqref="D13:D43">
    <cfRule type="expression" dxfId="47" priority="5">
      <formula>TEXT(D13,"ddd")="sat"</formula>
    </cfRule>
    <cfRule type="expression" dxfId="46" priority="6">
      <formula>TEXT(D13,"ddd")="fri"</formula>
    </cfRule>
    <cfRule type="expression" dxfId="45" priority="7">
      <formula>TEXT(D13,"ddd")="thu"</formula>
    </cfRule>
    <cfRule type="expression" dxfId="44" priority="8">
      <formula>TEXT(D13,"ddd")="wed"</formula>
    </cfRule>
    <cfRule type="expression" dxfId="43" priority="9">
      <formula>TEXT(D13,"ddd")="tue"</formula>
    </cfRule>
    <cfRule type="expression" dxfId="42" priority="10">
      <formula>TEXT(D13,"ddd")="mon"</formula>
    </cfRule>
    <cfRule type="expression" dxfId="41" priority="11">
      <formula>TEXT(D13,"ddd")="sun"</formula>
    </cfRule>
  </conditionalFormatting>
  <conditionalFormatting sqref="I13:I43">
    <cfRule type="cellIs" dxfId="40" priority="2" operator="greaterThan">
      <formula>0</formula>
    </cfRule>
    <cfRule type="cellIs" dxfId="39" priority="4" operator="greaterThan">
      <formula>0</formula>
    </cfRule>
  </conditionalFormatting>
  <conditionalFormatting sqref="J13:Q13 J14:P43">
    <cfRule type="cellIs" dxfId="38" priority="3" operator="greaterThan">
      <formula>0</formula>
    </cfRule>
  </conditionalFormatting>
  <conditionalFormatting sqref="I13:I43">
    <cfRule type="cellIs" dxfId="37" priority="1" operator="greaterThan">
      <formula>0</formula>
    </cfRule>
  </conditionalFormatting>
  <dataValidations count="1">
    <dataValidation type="list" allowBlank="1" showInputMessage="1" showErrorMessage="1" errorTitle="Invalid Month" error="Please enter a month such as January, February, etc. or select the month from the drop-down box." sqref="E5">
      <formula1>"जानेवारी,फेब्रुवारी,मार्च,एप्रिल,मे,जून,जुलै,ऑगस्ट,सप्टेंबर,ऑक्टोबर,नोव्हेंबर,डिसेंबर"</formula1>
    </dataValidation>
  </dataValidations>
  <printOptions horizontalCentered="1"/>
  <pageMargins left="3.937007874015748E-2" right="3.937007874015748E-2" top="0.52" bottom="3.937007874015748E-2" header="0.48" footer="3.937007874015748E-2"/>
  <pageSetup paperSize="9" scale="49" orientation="landscape" r:id="rId1"/>
  <rowBreaks count="1" manualBreakCount="1">
    <brk id="45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" id="{68F7FFCD-EECD-45DE-8245-64152EA12D01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/>
          </x14:cfRule>
          <xm:sqref>J13:Q43</xm:sqref>
        </x14:conditionalFormatting>
        <x14:conditionalFormatting xmlns:xm="http://schemas.microsoft.com/office/excel/2006/main">
          <x14:cfRule type="expression" priority="24" id="{B846A56F-2E15-499E-B633-7C3CDB42A571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00B050"/>
                </patternFill>
              </fill>
            </x14:dxf>
          </x14:cfRule>
          <x14:cfRule type="expression" priority="25" id="{025585A2-B68E-4325-A5E1-994D924AB054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५)'!#REF!+'\[शा.पो.आहार Excel Software (इ.१ ते ५ व 6 ते ८) New.xlsx]दैनंदिन खर्च (इ.१ ते ५)'!#REF!*'\[शा.पो.आहार Excel Software (इ.१ ते ५ व 6 ते ८) New.xlsx]दैनंदिन खर्च (इ.१ ते ५)'!#REF!</xm:f>
            <x14:dxf>
              <font>
                <b/>
                <i val="0"/>
              </font>
              <fill>
                <patternFill>
                  <bgColor rgb="FFFFFF00"/>
                </patternFill>
              </fill>
            </x14:dxf>
          </x14:cfRule>
          <xm:sqref>J13:Q43</xm:sqref>
        </x14:conditionalFormatting>
        <x14:conditionalFormatting xmlns:xm="http://schemas.microsoft.com/office/excel/2006/main">
          <x14:cfRule type="expression" priority="26" id="{C879E90F-08DE-4D50-892C-77E1F484CC2D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00B050"/>
                </patternFill>
              </fill>
            </x14:dxf>
          </x14:cfRule>
          <xm:sqref>J13:Q43</xm:sqref>
        </x14:conditionalFormatting>
        <x14:conditionalFormatting xmlns:xm="http://schemas.microsoft.com/office/excel/2006/main">
          <x14:cfRule type="expression" priority="27" stopIfTrue="1" id="{ECF69A54-76D1-486D-BEDC-1F8C3E10E9A3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00B050"/>
                </patternFill>
              </fill>
            </x14:dxf>
          </x14:cfRule>
          <xm:sqref>J13:Q43</xm:sqref>
        </x14:conditionalFormatting>
        <x14:conditionalFormatting xmlns:xm="http://schemas.microsoft.com/office/excel/2006/main">
          <x14:cfRule type="expression" priority="28" id="{16BDE8C7-6F34-420E-88A8-0B62C1422D98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92D050"/>
                </patternFill>
              </fill>
            </x14:dxf>
          </x14:cfRule>
          <xm:sqref>K13:Q43</xm:sqref>
        </x14:conditionalFormatting>
        <x14:conditionalFormatting xmlns:xm="http://schemas.microsoft.com/office/excel/2006/main">
          <x14:cfRule type="expression" priority="29" id="{5EA838C7-D642-4C95-82AD-0CCE199D3EA5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92D050"/>
                </patternFill>
              </fill>
            </x14:dxf>
          </x14:cfRule>
          <xm:sqref>L13:Q43</xm:sqref>
        </x14:conditionalFormatting>
        <x14:conditionalFormatting xmlns:xm="http://schemas.microsoft.com/office/excel/2006/main">
          <x14:cfRule type="expression" priority="30" id="{178B405D-ADD4-4935-8F00-C1D7E33793A1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92D050"/>
                </patternFill>
              </fill>
            </x14:dxf>
          </x14:cfRule>
          <xm:sqref>Q13:Q43</xm:sqref>
        </x14:conditionalFormatting>
        <x14:conditionalFormatting xmlns:xm="http://schemas.microsoft.com/office/excel/2006/main">
          <x14:cfRule type="expression" priority="31" id="{52D38D84-497F-4E51-A469-64588996A0C7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92D050"/>
                </patternFill>
              </fill>
            </x14:dxf>
          </x14:cfRule>
          <xm:sqref>J13:Q43</xm:sqref>
        </x14:conditionalFormatting>
        <x14:conditionalFormatting xmlns:xm="http://schemas.microsoft.com/office/excel/2006/main">
          <x14:cfRule type="expression" priority="22" id="{BA9CD3D5-A3C7-4279-B376-ACE624E04E5D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92D050"/>
                </patternFill>
              </fill>
            </x14:dxf>
          </x14:cfRule>
          <xm:sqref>J13:K43</xm:sqref>
        </x14:conditionalFormatting>
        <x14:conditionalFormatting xmlns:xm="http://schemas.microsoft.com/office/excel/2006/main">
          <x14:cfRule type="expression" priority="21" id="{12B894A1-0364-4BE6-97A5-AA2A10E1F166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FFFF00"/>
                </patternFill>
              </fill>
            </x14:dxf>
          </x14:cfRule>
          <xm:sqref>R13:Y43</xm:sqref>
        </x14:conditionalFormatting>
        <x14:conditionalFormatting xmlns:xm="http://schemas.microsoft.com/office/excel/2006/main">
          <x14:cfRule type="expression" priority="20" id="{ED68131F-69D6-4D38-9303-226F9C6523DE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auto="1"/>
              </font>
            </x14:dxf>
          </x14:cfRule>
          <xm:sqref>R13:Y43</xm:sqref>
        </x14:conditionalFormatting>
        <x14:conditionalFormatting xmlns:xm="http://schemas.microsoft.com/office/excel/2006/main">
          <x14:cfRule type="expression" priority="19" id="{0C841EE2-D295-4877-9905-739B6E85466E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F13:H43</xm:sqref>
        </x14:conditionalFormatting>
        <x14:conditionalFormatting xmlns:xm="http://schemas.microsoft.com/office/excel/2006/main">
          <x14:cfRule type="expression" priority="18" id="{E75710D5-D578-4C07-B077-616BF9319876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AE44 I13:Y43 AA13:AE43</xm:sqref>
        </x14:conditionalFormatting>
        <x14:conditionalFormatting xmlns:xm="http://schemas.microsoft.com/office/excel/2006/main">
          <x14:cfRule type="expression" priority="16" id="{54636C95-B6A2-43D5-90C0-6956255E17B8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/>
          </x14:cfRule>
          <xm:sqref>J14:Q43</xm:sqref>
        </x14:conditionalFormatting>
        <x14:conditionalFormatting xmlns:xm="http://schemas.microsoft.com/office/excel/2006/main">
          <x14:cfRule type="expression" priority="17" id="{7AA9DB81-94BF-456C-AD28-AA7A87F6AB67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00B050"/>
                </patternFill>
              </fill>
            </x14:dxf>
          </x14:cfRule>
          <xm:sqref>J14:Q43</xm:sqref>
        </x14:conditionalFormatting>
        <x14:conditionalFormatting xmlns:xm="http://schemas.microsoft.com/office/excel/2006/main">
          <x14:cfRule type="expression" priority="15" id="{5E138580-5550-47C7-9A24-377A35CEE416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</x14:dxf>
          </x14:cfRule>
          <xm:sqref>J13:Q43</xm:sqref>
        </x14:conditionalFormatting>
        <x14:conditionalFormatting xmlns:xm="http://schemas.microsoft.com/office/excel/2006/main">
          <x14:cfRule type="expression" priority="32" id="{ABD47594-60EF-4EFC-9416-40865CA69620}">
            <xm:f>IF('\[शा.पो.आहार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५)'!#REF!,'\[शा.पो.आहार Excel Software (इ.१ ते ५ व 6 ते ८) New.xlsx]दैनंदिन खर्च (इ.१ ते ५)'!#REF!*'\[शा.पो.आहार Excel Software (इ.१ ते ५ व 6 ते ८) New.xlsx]SET UP'!#REF!)</xm:f>
            <x14:dxf/>
          </x14:cfRule>
          <xm:sqref>J13:Q43</xm:sqref>
        </x14:conditionalFormatting>
        <x14:conditionalFormatting xmlns:xm="http://schemas.microsoft.com/office/excel/2006/main">
          <x14:cfRule type="expression" priority="12" id="{190504BF-AF7C-48F9-A3C9-DECB55652C0C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Z13:Z43</xm:sqref>
        </x14:conditionalFormatting>
        <x14:conditionalFormatting xmlns:xm="http://schemas.microsoft.com/office/excel/2006/main">
          <x14:cfRule type="expression" priority="14" id="{95C07ACB-0F2A-48D1-8C39-3390C3BA25F4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ill>
                <patternFill>
                  <bgColor rgb="FFFFFF00"/>
                </patternFill>
              </fill>
            </x14:dxf>
          </x14:cfRule>
          <xm:sqref>Z13:Z43</xm:sqref>
        </x14:conditionalFormatting>
        <x14:conditionalFormatting xmlns:xm="http://schemas.microsoft.com/office/excel/2006/main">
          <x14:cfRule type="expression" priority="13" id="{ADA7CEB2-98ED-40DC-81AD-4A1C4E69A249}">
            <xm:f>'\[शा.पो.आहार Excel Software (इ.१ ते ५ व 6 ते ८) New.xlsx]दैनंदिन खर्च (इ.१ ते ५)'!#REF!='\[शा.पो.आहार Excel Software (इ.१ ते ५ व 6 ते ८) New.xlsx]दैनंदिन खर्च (इ.१ ते ५)'!#REF!</xm:f>
            <x14:dxf>
              <font>
                <color auto="1"/>
              </font>
            </x14:dxf>
          </x14:cfRule>
          <xm:sqref>Z13:Z43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F5:H5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5DE64A"/>
  </sheetPr>
  <dimension ref="A1:CG122"/>
  <sheetViews>
    <sheetView zoomScaleNormal="100" workbookViewId="0">
      <pane xSplit="1" ySplit="7" topLeftCell="B8" activePane="bottomRight" state="frozen"/>
      <selection activeCell="D5" sqref="D5:J5"/>
      <selection pane="topRight" activeCell="D5" sqref="D5:J5"/>
      <selection pane="bottomLeft" activeCell="D5" sqref="D5:J5"/>
      <selection pane="bottomRight" activeCell="D5" sqref="D5:J5"/>
    </sheetView>
  </sheetViews>
  <sheetFormatPr defaultRowHeight="21.75" x14ac:dyDescent="0.4"/>
  <cols>
    <col min="1" max="1" width="9.140625" style="683"/>
    <col min="2" max="2" width="9.140625" style="1"/>
    <col min="3" max="3" width="15.42578125" style="684" customWidth="1"/>
    <col min="4" max="4" width="13.140625" style="1" customWidth="1"/>
    <col min="5" max="5" width="12.7109375" style="1" customWidth="1"/>
    <col min="6" max="6" width="38.5703125" style="1" customWidth="1"/>
    <col min="7" max="7" width="13.5703125" style="1" customWidth="1"/>
    <col min="8" max="8" width="13.28515625" style="1" customWidth="1"/>
    <col min="9" max="9" width="42.42578125" style="1" customWidth="1"/>
    <col min="10" max="10" width="12.28515625" style="1" customWidth="1"/>
    <col min="11" max="12" width="13.85546875" style="1" customWidth="1"/>
    <col min="13" max="14" width="16.5703125" style="1" customWidth="1"/>
    <col min="15" max="15" width="25" style="1" customWidth="1"/>
    <col min="16" max="16" width="15.5703125" style="1" customWidth="1"/>
    <col min="17" max="17" width="12.42578125" style="1" customWidth="1"/>
    <col min="18" max="18" width="16.42578125" style="1" customWidth="1"/>
    <col min="19" max="19" width="15.42578125" style="1" customWidth="1"/>
    <col min="20" max="22" width="9.140625" style="1"/>
    <col min="23" max="24" width="7.42578125" style="1" customWidth="1"/>
    <col min="25" max="25" width="7" style="1" customWidth="1"/>
    <col min="26" max="26" width="16.85546875" style="1" customWidth="1"/>
    <col min="27" max="27" width="20.85546875" style="1" customWidth="1"/>
    <col min="28" max="28" width="0.140625" style="1" customWidth="1"/>
    <col min="29" max="29" width="7.140625" style="1" hidden="1" customWidth="1"/>
    <col min="30" max="30" width="7" style="1" hidden="1" customWidth="1"/>
    <col min="31" max="31" width="8.5703125" style="1" hidden="1" customWidth="1"/>
    <col min="32" max="32" width="9.140625" style="1" hidden="1" customWidth="1"/>
    <col min="33" max="33" width="7.85546875" style="1" hidden="1" customWidth="1"/>
    <col min="34" max="34" width="8" style="1" hidden="1" customWidth="1"/>
    <col min="35" max="35" width="7.7109375" style="1" hidden="1" customWidth="1"/>
    <col min="36" max="36" width="8" style="1" hidden="1" customWidth="1"/>
    <col min="37" max="37" width="7.7109375" style="1" hidden="1" customWidth="1"/>
    <col min="38" max="38" width="8.42578125" style="1" hidden="1" customWidth="1"/>
    <col min="39" max="39" width="8.42578125" style="1" customWidth="1"/>
    <col min="40" max="41" width="9.140625" style="1"/>
    <col min="42" max="42" width="9" style="1" customWidth="1"/>
    <col min="43" max="44" width="9.140625" style="1" hidden="1" customWidth="1"/>
    <col min="45" max="45" width="21.140625" style="1" hidden="1" customWidth="1"/>
    <col min="46" max="46" width="28" style="1" hidden="1" customWidth="1"/>
    <col min="47" max="47" width="20.85546875" style="1" hidden="1" customWidth="1"/>
    <col min="48" max="48" width="8.42578125" style="1" hidden="1" customWidth="1"/>
    <col min="49" max="50" width="21" style="1" hidden="1" customWidth="1"/>
    <col min="51" max="51" width="37.140625" style="1" hidden="1" customWidth="1"/>
    <col min="52" max="52" width="21" style="1" hidden="1" customWidth="1"/>
    <col min="53" max="53" width="7.7109375" style="1" hidden="1" customWidth="1"/>
    <col min="54" max="54" width="0.140625" style="1" hidden="1" customWidth="1"/>
    <col min="55" max="55" width="7.140625" style="1" hidden="1" customWidth="1"/>
    <col min="56" max="57" width="5.5703125" style="1" hidden="1" customWidth="1"/>
    <col min="58" max="58" width="5.140625" style="1" hidden="1" customWidth="1"/>
    <col min="59" max="59" width="5.7109375" style="1" hidden="1" customWidth="1"/>
    <col min="60" max="60" width="5" style="1" hidden="1" customWidth="1"/>
    <col min="61" max="61" width="4.5703125" style="1" hidden="1" customWidth="1"/>
    <col min="62" max="62" width="5.140625" style="1" hidden="1" customWidth="1"/>
    <col min="63" max="64" width="5.42578125" style="1" hidden="1" customWidth="1"/>
    <col min="65" max="65" width="5.7109375" style="1" hidden="1" customWidth="1"/>
    <col min="66" max="66" width="5.28515625" style="1" hidden="1" customWidth="1"/>
    <col min="67" max="67" width="4.85546875" style="1" hidden="1" customWidth="1"/>
    <col min="68" max="68" width="5" style="1" hidden="1" customWidth="1"/>
    <col min="69" max="69" width="5.28515625" style="1" hidden="1" customWidth="1"/>
    <col min="70" max="70" width="5.42578125" style="1" hidden="1" customWidth="1"/>
    <col min="71" max="71" width="5.140625" style="1" hidden="1" customWidth="1"/>
    <col min="72" max="72" width="13.7109375" style="684" hidden="1" customWidth="1"/>
    <col min="73" max="73" width="15.140625" style="1" hidden="1" customWidth="1"/>
    <col min="74" max="74" width="16.28515625" style="1" hidden="1" customWidth="1"/>
    <col min="75" max="75" width="36.42578125" style="1" hidden="1" customWidth="1"/>
    <col min="76" max="76" width="12.28515625" style="1" hidden="1" customWidth="1"/>
    <col min="77" max="77" width="14.42578125" style="1" hidden="1" customWidth="1"/>
    <col min="78" max="78" width="36.7109375" style="1" hidden="1" customWidth="1"/>
    <col min="79" max="79" width="11.5703125" style="1" hidden="1" customWidth="1"/>
    <col min="80" max="80" width="11.85546875" style="1" hidden="1" customWidth="1"/>
    <col min="81" max="81" width="13.28515625" style="1" hidden="1" customWidth="1"/>
    <col min="82" max="82" width="12.7109375" style="1" hidden="1" customWidth="1"/>
    <col min="83" max="85" width="9.140625" style="1" hidden="1" customWidth="1"/>
    <col min="86" max="16384" width="9.140625" style="1"/>
  </cols>
  <sheetData>
    <row r="1" spans="1:84" ht="9.75" customHeight="1" thickBot="1" x14ac:dyDescent="0.45"/>
    <row r="2" spans="1:84" ht="25.5" customHeight="1" thickBot="1" x14ac:dyDescent="0.45">
      <c r="B2" s="685"/>
      <c r="C2" s="686"/>
      <c r="D2" s="685"/>
      <c r="E2" s="685"/>
      <c r="F2" s="1327" t="s">
        <v>552</v>
      </c>
      <c r="G2" s="1328"/>
      <c r="H2" s="1328"/>
      <c r="I2" s="1328"/>
      <c r="J2" s="1328"/>
      <c r="K2" s="1328"/>
      <c r="L2" s="1328"/>
      <c r="M2" s="1328"/>
      <c r="N2" s="1328"/>
      <c r="O2" s="1328"/>
      <c r="P2" s="1329"/>
      <c r="Q2" s="685"/>
      <c r="R2" s="685"/>
    </row>
    <row r="3" spans="1:84" ht="15" customHeight="1" x14ac:dyDescent="0.4">
      <c r="B3" s="685"/>
      <c r="C3" s="686"/>
      <c r="D3" s="685"/>
      <c r="E3" s="685"/>
      <c r="F3" s="687"/>
      <c r="G3" s="687"/>
      <c r="H3" s="688"/>
      <c r="I3" s="687"/>
      <c r="J3" s="687"/>
      <c r="K3" s="687"/>
      <c r="L3" s="688"/>
      <c r="M3" s="687"/>
      <c r="N3" s="688"/>
      <c r="O3" s="687"/>
      <c r="P3" s="688"/>
      <c r="Q3" s="685"/>
      <c r="R3" s="685"/>
    </row>
    <row r="4" spans="1:84" ht="27.75" customHeight="1" thickBot="1" x14ac:dyDescent="0.45">
      <c r="A4" s="689"/>
      <c r="B4" s="690"/>
      <c r="C4" s="691" t="s">
        <v>334</v>
      </c>
      <c r="D4" s="1341" t="str">
        <f>'शाळा माहिती'!D4</f>
        <v>जि.प.प्रा.शा.बोरजाई वस्ती</v>
      </c>
      <c r="E4" s="1342"/>
      <c r="F4" s="1342"/>
      <c r="G4" s="692" t="s">
        <v>256</v>
      </c>
      <c r="H4" s="250" t="str">
        <f>'शाळा माहिती'!D6</f>
        <v>जामगाव</v>
      </c>
      <c r="I4" s="693"/>
      <c r="J4" s="694" t="s">
        <v>115</v>
      </c>
      <c r="K4" s="250" t="str">
        <f>'शाळा माहिती'!D7</f>
        <v>गंगापूर</v>
      </c>
      <c r="L4" s="695"/>
      <c r="M4" s="692" t="s">
        <v>121</v>
      </c>
      <c r="N4" s="251" t="str">
        <f>'शाळा माहिती'!D8</f>
        <v>औरंगाबाद</v>
      </c>
      <c r="O4" s="690"/>
      <c r="P4" s="696" t="s">
        <v>312</v>
      </c>
      <c r="Q4" s="252">
        <f>HOME!E2</f>
        <v>2022</v>
      </c>
      <c r="R4" s="253">
        <f>HOME!F2</f>
        <v>2023</v>
      </c>
      <c r="S4" s="697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399"/>
      <c r="BR4" s="399"/>
      <c r="BS4" s="399"/>
      <c r="BT4" s="400"/>
      <c r="BU4" s="399"/>
      <c r="BV4" s="399"/>
      <c r="BW4" s="399"/>
      <c r="BX4" s="399"/>
      <c r="BY4" s="399"/>
      <c r="BZ4" s="399"/>
      <c r="CA4" s="399"/>
      <c r="CB4" s="399"/>
      <c r="CC4" s="399"/>
      <c r="CD4" s="399"/>
      <c r="CE4" s="399"/>
      <c r="CF4" s="399"/>
    </row>
    <row r="5" spans="1:84" ht="24.75" customHeight="1" thickBot="1" x14ac:dyDescent="0.45">
      <c r="B5" s="1343" t="s">
        <v>540</v>
      </c>
      <c r="C5" s="1344"/>
      <c r="D5" s="1344"/>
      <c r="E5" s="1344"/>
      <c r="F5" s="1344"/>
      <c r="G5" s="1344"/>
      <c r="H5" s="1344"/>
      <c r="I5" s="1344"/>
      <c r="J5" s="1344"/>
      <c r="K5" s="1344"/>
      <c r="L5" s="1344"/>
      <c r="M5" s="1344"/>
      <c r="N5" s="1344"/>
      <c r="O5" s="1344"/>
      <c r="P5" s="1344"/>
      <c r="Q5" s="1344"/>
      <c r="R5" s="1344"/>
      <c r="S5" s="1345"/>
      <c r="U5" s="1355" t="s">
        <v>686</v>
      </c>
      <c r="V5" s="1356"/>
      <c r="W5" s="1356"/>
      <c r="X5" s="1356"/>
      <c r="Y5" s="1357"/>
      <c r="Z5" s="698" t="s">
        <v>596</v>
      </c>
      <c r="AA5" s="699" t="s">
        <v>676</v>
      </c>
      <c r="AB5" s="700"/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399"/>
      <c r="BO5" s="399"/>
      <c r="BP5" s="399"/>
      <c r="BQ5" s="399"/>
      <c r="BR5" s="399"/>
      <c r="BS5" s="399"/>
      <c r="BT5" s="400"/>
      <c r="BU5" s="399"/>
      <c r="BV5" s="399"/>
      <c r="BW5" s="399"/>
      <c r="BX5" s="399"/>
      <c r="BY5" s="399"/>
      <c r="BZ5" s="399"/>
      <c r="CA5" s="399"/>
      <c r="CB5" s="399"/>
      <c r="CC5" s="399"/>
      <c r="CD5" s="399"/>
      <c r="CE5" s="399"/>
      <c r="CF5" s="399"/>
    </row>
    <row r="6" spans="1:84" ht="23.25" customHeight="1" x14ac:dyDescent="0.4">
      <c r="B6" s="1339" t="s">
        <v>86</v>
      </c>
      <c r="C6" s="1340" t="s">
        <v>17</v>
      </c>
      <c r="D6" s="1331" t="s">
        <v>553</v>
      </c>
      <c r="E6" s="1332"/>
      <c r="F6" s="1333"/>
      <c r="G6" s="1331" t="s">
        <v>554</v>
      </c>
      <c r="H6" s="1332"/>
      <c r="I6" s="1333"/>
      <c r="J6" s="1334" t="s">
        <v>543</v>
      </c>
      <c r="K6" s="1335"/>
      <c r="L6" s="1334" t="s">
        <v>660</v>
      </c>
      <c r="M6" s="1335"/>
      <c r="N6" s="1348" t="s">
        <v>675</v>
      </c>
      <c r="O6" s="1349"/>
      <c r="P6" s="1350"/>
      <c r="Q6" s="1334" t="s">
        <v>661</v>
      </c>
      <c r="R6" s="1336"/>
      <c r="S6" s="1330" t="s">
        <v>576</v>
      </c>
      <c r="T6" s="701"/>
      <c r="U6" s="1358" t="str">
        <f t="shared" ref="U6:U18" si="0">AF10</f>
        <v>शा.पो.आ.साहित्य खरेदी अनुदान</v>
      </c>
      <c r="V6" s="1359"/>
      <c r="W6" s="1359"/>
      <c r="X6" s="1359"/>
      <c r="Y6" s="1359"/>
      <c r="Z6" s="742"/>
      <c r="AA6" s="743"/>
      <c r="AB6" s="702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R6" s="399"/>
      <c r="AS6" s="1362" t="s">
        <v>542</v>
      </c>
      <c r="AT6" s="1361" t="s">
        <v>588</v>
      </c>
      <c r="AU6" s="1362" t="s">
        <v>635</v>
      </c>
      <c r="AV6" s="1362" t="s">
        <v>17</v>
      </c>
      <c r="AW6" s="1363" t="s">
        <v>554</v>
      </c>
      <c r="AX6" s="1363"/>
      <c r="AY6" s="1363"/>
      <c r="AZ6" s="514"/>
      <c r="BA6" s="399"/>
      <c r="BB6" s="399"/>
      <c r="BC6" s="399">
        <v>1</v>
      </c>
      <c r="BD6" s="399">
        <v>2</v>
      </c>
      <c r="BE6" s="399">
        <v>3</v>
      </c>
      <c r="BF6" s="399">
        <v>4</v>
      </c>
      <c r="BG6" s="399">
        <v>5</v>
      </c>
      <c r="BH6" s="399">
        <v>6</v>
      </c>
      <c r="BI6" s="399">
        <v>7</v>
      </c>
      <c r="BJ6" s="399">
        <v>8</v>
      </c>
      <c r="BK6" s="399">
        <v>9</v>
      </c>
      <c r="BL6" s="399">
        <v>10</v>
      </c>
      <c r="BM6" s="399">
        <v>11</v>
      </c>
      <c r="BN6" s="399">
        <v>12</v>
      </c>
      <c r="BO6" s="399">
        <v>13</v>
      </c>
      <c r="BP6" s="399">
        <v>14</v>
      </c>
      <c r="BQ6" s="399">
        <v>15</v>
      </c>
      <c r="BR6" s="399">
        <v>16</v>
      </c>
      <c r="BS6" s="399"/>
      <c r="BT6" s="400" t="s">
        <v>17</v>
      </c>
      <c r="BU6" s="1360" t="s">
        <v>553</v>
      </c>
      <c r="BV6" s="1360"/>
      <c r="BW6" s="1360"/>
      <c r="BX6" s="1360" t="s">
        <v>554</v>
      </c>
      <c r="BY6" s="1360"/>
      <c r="BZ6" s="1360"/>
      <c r="CA6" s="399" t="s">
        <v>543</v>
      </c>
      <c r="CB6" s="399"/>
      <c r="CC6" s="399" t="s">
        <v>579</v>
      </c>
      <c r="CD6" s="399"/>
      <c r="CE6" s="399"/>
      <c r="CF6" s="399"/>
    </row>
    <row r="7" spans="1:84" ht="25.5" customHeight="1" thickBot="1" x14ac:dyDescent="0.45">
      <c r="B7" s="1339"/>
      <c r="C7" s="1340"/>
      <c r="D7" s="1337" t="s">
        <v>363</v>
      </c>
      <c r="E7" s="1338"/>
      <c r="F7" s="703" t="s">
        <v>541</v>
      </c>
      <c r="G7" s="1337" t="s">
        <v>363</v>
      </c>
      <c r="H7" s="1338"/>
      <c r="I7" s="703" t="s">
        <v>541</v>
      </c>
      <c r="J7" s="703" t="s">
        <v>586</v>
      </c>
      <c r="K7" s="704" t="s">
        <v>587</v>
      </c>
      <c r="L7" s="703" t="s">
        <v>586</v>
      </c>
      <c r="M7" s="704" t="s">
        <v>587</v>
      </c>
      <c r="N7" s="705" t="s">
        <v>542</v>
      </c>
      <c r="O7" s="705" t="s">
        <v>588</v>
      </c>
      <c r="P7" s="705" t="s">
        <v>634</v>
      </c>
      <c r="Q7" s="706" t="s">
        <v>586</v>
      </c>
      <c r="R7" s="706" t="s">
        <v>587</v>
      </c>
      <c r="S7" s="1330"/>
      <c r="T7" s="701"/>
      <c r="U7" s="1346" t="str">
        <f>AF11</f>
        <v>इंधन,भाजीपाला,पूरक आहार अनुदान बील</v>
      </c>
      <c r="V7" s="1347"/>
      <c r="W7" s="1347"/>
      <c r="X7" s="1347"/>
      <c r="Y7" s="1347"/>
      <c r="Z7" s="744"/>
      <c r="AA7" s="743"/>
      <c r="AB7" s="702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R7" s="399"/>
      <c r="AS7" s="1362"/>
      <c r="AT7" s="1361"/>
      <c r="AU7" s="1362"/>
      <c r="AV7" s="1362"/>
      <c r="AW7" s="1363" t="s">
        <v>363</v>
      </c>
      <c r="AX7" s="1363"/>
      <c r="AY7" s="707" t="s">
        <v>541</v>
      </c>
      <c r="AZ7" s="514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  <c r="BL7" s="399"/>
      <c r="BM7" s="399"/>
      <c r="BN7" s="399"/>
      <c r="BO7" s="399"/>
      <c r="BP7" s="399"/>
      <c r="BQ7" s="399"/>
      <c r="BR7" s="399"/>
      <c r="BS7" s="399"/>
      <c r="BT7" s="400"/>
      <c r="BU7" s="399" t="s">
        <v>363</v>
      </c>
      <c r="BV7" s="399"/>
      <c r="BW7" s="399" t="s">
        <v>541</v>
      </c>
      <c r="BX7" s="399" t="s">
        <v>363</v>
      </c>
      <c r="BY7" s="399"/>
      <c r="BZ7" s="399" t="s">
        <v>541</v>
      </c>
      <c r="CA7" s="399" t="s">
        <v>586</v>
      </c>
      <c r="CB7" s="399" t="s">
        <v>587</v>
      </c>
      <c r="CC7" s="399" t="s">
        <v>586</v>
      </c>
      <c r="CD7" s="399" t="s">
        <v>587</v>
      </c>
      <c r="CE7" s="399"/>
      <c r="CF7" s="399"/>
    </row>
    <row r="8" spans="1:84" ht="26.25" customHeight="1" thickBot="1" x14ac:dyDescent="0.45">
      <c r="B8" s="708"/>
      <c r="C8" s="709"/>
      <c r="D8" s="709"/>
      <c r="E8" s="709"/>
      <c r="F8" s="709"/>
      <c r="G8" s="709"/>
      <c r="H8" s="709"/>
      <c r="I8" s="710" t="s">
        <v>647</v>
      </c>
      <c r="J8" s="280">
        <f>Z19</f>
        <v>3000</v>
      </c>
      <c r="K8" s="280">
        <f>AA19</f>
        <v>3000</v>
      </c>
      <c r="L8" s="1351" t="s">
        <v>662</v>
      </c>
      <c r="M8" s="1352"/>
      <c r="N8" s="1352"/>
      <c r="O8" s="1353"/>
      <c r="P8" s="1352"/>
      <c r="Q8" s="1352"/>
      <c r="R8" s="1352"/>
      <c r="S8" s="1354"/>
      <c r="U8" s="1346" t="str">
        <f>AF12</f>
        <v>इंधन,भाजीपाला,पूरक आहार अनुदान फरक बील</v>
      </c>
      <c r="V8" s="1347"/>
      <c r="W8" s="1347"/>
      <c r="X8" s="1347"/>
      <c r="Y8" s="1347"/>
      <c r="Z8" s="744"/>
      <c r="AA8" s="743"/>
      <c r="AB8" s="702"/>
      <c r="AC8" s="399"/>
      <c r="AD8" s="399"/>
      <c r="AE8" s="399"/>
      <c r="AF8" s="380"/>
      <c r="AG8" s="380"/>
      <c r="AH8" s="380"/>
      <c r="AI8" s="380"/>
      <c r="AJ8" s="380"/>
      <c r="AK8" s="399"/>
      <c r="AL8" s="399"/>
      <c r="AR8" s="225" t="str">
        <f>IF(AS8&gt;1,MAX($AR$7:AR7)+1,"")</f>
        <v/>
      </c>
      <c r="AS8" s="224">
        <f t="shared" ref="AS8:AS39" si="1">N8</f>
        <v>0</v>
      </c>
      <c r="AT8" s="225">
        <f t="shared" ref="AT8:AT39" si="2">O8</f>
        <v>0</v>
      </c>
      <c r="AU8" s="224">
        <f t="shared" ref="AU8:AU39" si="3">P8</f>
        <v>0</v>
      </c>
      <c r="AV8" s="226">
        <f t="shared" ref="AV8:AV39" si="4">C8</f>
        <v>0</v>
      </c>
      <c r="AW8" s="711"/>
      <c r="AX8" s="711"/>
      <c r="AY8" s="711"/>
      <c r="AZ8" s="711"/>
      <c r="BA8" s="399">
        <v>1</v>
      </c>
      <c r="BB8" s="399" t="s">
        <v>603</v>
      </c>
      <c r="BC8" s="225" t="str">
        <f>IF(OR(BW8=$BB$8,BZ8=$BB$8),MAX($BC$7:BC7)+1,"")</f>
        <v/>
      </c>
      <c r="BD8" s="225" t="str">
        <f>IF(OR(BW8=$BB$9,BZ8=$BB$9),MAX($BD$7:BD7)+1,"")</f>
        <v/>
      </c>
      <c r="BE8" s="225" t="str">
        <f>IF(OR(BW8=$BB$10,BZ8=$BB$10),MAX($BE$7:BE7)+1,"")</f>
        <v/>
      </c>
      <c r="BF8" s="225" t="str">
        <f>IF(OR(BW8=$BB$11,BZ8=$BB$11),MAX($BF$7:BF7)+1,"")</f>
        <v/>
      </c>
      <c r="BG8" s="225" t="str">
        <f>IF(OR(BW8=$BB$12,BZ8=$BB$12),MAX($BG$7:BG7)+1,"")</f>
        <v/>
      </c>
      <c r="BH8" s="225" t="str">
        <f>IF(OR(BW8=$BB$13,BZ8=$BB$13),MAX($BH$7:BH7)+1,"")</f>
        <v/>
      </c>
      <c r="BI8" s="225" t="str">
        <f>IF(OR(BW8=$BB$14,BZ8=$BB$14),MAX($BI$7:BI7)+1,"")</f>
        <v/>
      </c>
      <c r="BJ8" s="225" t="str">
        <f>IF(OR(BW8=$BB$15,BZ8=$BB$15),MAX($BJ$7:BJ7)+1,"")</f>
        <v/>
      </c>
      <c r="BK8" s="225" t="str">
        <f>IF(OR(BW8=$BB$16,BZ8=$BB$16),MAX($BK$7:BK7)+1,"")</f>
        <v/>
      </c>
      <c r="BL8" s="225" t="str">
        <f>IF(OR(BW8=$BB$17,BZ8=$BB$17),MAX($BL$7:BL7)+1,"")</f>
        <v/>
      </c>
      <c r="BM8" s="225" t="str">
        <f>IF(OR(BW8=$BB$18,BZ8=$BB$18),MAX($BM$7:BM7)+1,"")</f>
        <v/>
      </c>
      <c r="BN8" s="225" t="str">
        <f>IF(OR(BW8=$BB$19,BZ8=$BB$19),MAX($BN$7:BN7)+1,"")</f>
        <v/>
      </c>
      <c r="BO8" s="225" t="str">
        <f>IF(OR(BW8=$BB$20,BZ8=$BB$20),MAX($BO$7:BO7)+1,"")</f>
        <v/>
      </c>
      <c r="BP8" s="225">
        <f>IF(OR(BW8=$BB$21,BZ8=$BB$21),MAX($BP$7:BP7)+1,"")</f>
        <v>1</v>
      </c>
      <c r="BQ8" s="225" t="str">
        <f>IF(OR(BW8=$BB$13,BZ8=$BB$13),MAX($BH$7:BH7)+1,"")</f>
        <v/>
      </c>
      <c r="BR8" s="225" t="str">
        <f>IF(OR(BW8=$BB$13,BZ8=$BB$13),MAX($BH$7:BH7)+1,"")</f>
        <v/>
      </c>
      <c r="BS8" s="399"/>
      <c r="BT8" s="227">
        <f t="shared" ref="BT8:BT39" si="5">C8</f>
        <v>0</v>
      </c>
      <c r="BU8" s="225">
        <f t="shared" ref="BU8:BU39" si="6">D8</f>
        <v>0</v>
      </c>
      <c r="BV8" s="225">
        <f t="shared" ref="BV8:BV39" si="7">E8</f>
        <v>0</v>
      </c>
      <c r="BW8" s="225">
        <f t="shared" ref="BW8:BW39" si="8">F8</f>
        <v>0</v>
      </c>
      <c r="BX8" s="225">
        <f t="shared" ref="BX8:BX39" si="9">G8</f>
        <v>0</v>
      </c>
      <c r="BY8" s="225">
        <f t="shared" ref="BY8:BY39" si="10">H8</f>
        <v>0</v>
      </c>
      <c r="BZ8" s="225" t="str">
        <f t="shared" ref="BZ8:BZ39" si="11">I8</f>
        <v>मागील एकूण खिल्लक रक्कम:-</v>
      </c>
      <c r="CA8" s="228">
        <f t="shared" ref="CA8:CA39" si="12">J8</f>
        <v>3000</v>
      </c>
      <c r="CB8" s="228">
        <f t="shared" ref="CB8:CB39" si="13">K8</f>
        <v>3000</v>
      </c>
      <c r="CC8" s="228" t="str">
        <f t="shared" ref="CC8:CC39" si="14">L8</f>
        <v>मागील शिल्लक रक्कम बाबवार भरा.</v>
      </c>
      <c r="CD8" s="228">
        <f t="shared" ref="CD8:CD39" si="15">M8</f>
        <v>0</v>
      </c>
      <c r="CE8" s="399"/>
      <c r="CF8" s="399"/>
    </row>
    <row r="9" spans="1:84" x14ac:dyDescent="0.4">
      <c r="A9" s="712" t="s">
        <v>687</v>
      </c>
      <c r="B9" s="277" t="str">
        <f>IF(C9="","",ROW(1:1))</f>
        <v/>
      </c>
      <c r="C9" s="722"/>
      <c r="D9" s="723"/>
      <c r="E9" s="724"/>
      <c r="F9" s="725"/>
      <c r="G9" s="723"/>
      <c r="H9" s="724"/>
      <c r="I9" s="724"/>
      <c r="J9" s="726"/>
      <c r="K9" s="727"/>
      <c r="L9" s="728"/>
      <c r="M9" s="728"/>
      <c r="N9" s="729"/>
      <c r="O9" s="730"/>
      <c r="P9" s="731"/>
      <c r="Q9" s="278">
        <f>J8+J9-L9</f>
        <v>3000</v>
      </c>
      <c r="R9" s="278">
        <f>K8+K9-M9</f>
        <v>3000</v>
      </c>
      <c r="S9" s="279">
        <f>Q9+R9</f>
        <v>6000</v>
      </c>
      <c r="U9" s="1346" t="str">
        <f t="shared" si="0"/>
        <v>स्वयंपाकी व मदतनीस मानधन</v>
      </c>
      <c r="V9" s="1347"/>
      <c r="W9" s="1347"/>
      <c r="X9" s="1347"/>
      <c r="Y9" s="1347"/>
      <c r="Z9" s="744">
        <v>3000</v>
      </c>
      <c r="AA9" s="743">
        <v>3000</v>
      </c>
      <c r="AB9" s="702"/>
      <c r="AC9" s="399" t="s">
        <v>555</v>
      </c>
      <c r="AD9" s="399" t="s">
        <v>614</v>
      </c>
      <c r="AE9" s="399"/>
      <c r="AF9" s="399" t="s">
        <v>553</v>
      </c>
      <c r="AG9" s="399"/>
      <c r="AH9" s="399"/>
      <c r="AI9" s="399"/>
      <c r="AJ9" s="399"/>
      <c r="AK9" s="399"/>
      <c r="AL9" s="399"/>
      <c r="AR9" s="225" t="str">
        <f>IF(AS9&gt;1,MAX($AR$7:AR8)+1,"")</f>
        <v/>
      </c>
      <c r="AS9" s="224">
        <f t="shared" si="1"/>
        <v>0</v>
      </c>
      <c r="AT9" s="225">
        <f t="shared" si="2"/>
        <v>0</v>
      </c>
      <c r="AU9" s="224">
        <f t="shared" si="3"/>
        <v>0</v>
      </c>
      <c r="AV9" s="226">
        <f t="shared" si="4"/>
        <v>0</v>
      </c>
      <c r="AW9" s="224">
        <f t="shared" ref="AW9:AW40" si="16">G9</f>
        <v>0</v>
      </c>
      <c r="AX9" s="224">
        <f t="shared" ref="AX9:AX40" si="17">H9</f>
        <v>0</v>
      </c>
      <c r="AY9" s="224">
        <f t="shared" ref="AY9:AY40" si="18">I9</f>
        <v>0</v>
      </c>
      <c r="AZ9" s="711"/>
      <c r="BA9" s="399">
        <v>2</v>
      </c>
      <c r="BB9" s="399" t="s">
        <v>600</v>
      </c>
      <c r="BC9" s="225" t="str">
        <f>IF(OR(BW9=$BB$8,BZ9=$BB$8),MAX($BC$7:BC8)+1,"")</f>
        <v/>
      </c>
      <c r="BD9" s="225" t="str">
        <f>IF(OR(BW9=$BB$9,BZ9=$BB$9),MAX($BD$7:BD8)+1,"")</f>
        <v/>
      </c>
      <c r="BE9" s="225" t="str">
        <f>IF(OR(BW9=$BB$10,BZ9=$BB$10),MAX($BE$7:BE8)+1,"")</f>
        <v/>
      </c>
      <c r="BF9" s="225" t="str">
        <f>IF(OR(BW9=$BB$11,BZ9=$BB$11),MAX($BF$7:BF8)+1,"")</f>
        <v/>
      </c>
      <c r="BG9" s="225" t="str">
        <f>IF(OR(BW9=$BB$12,BZ9=$BB$12),MAX($BG$7:BG8)+1,"")</f>
        <v/>
      </c>
      <c r="BH9" s="225" t="str">
        <f>IF(OR(BW9=$BB$13,BZ9=$BB$13),MAX($BH$7:BH8)+1,"")</f>
        <v/>
      </c>
      <c r="BI9" s="225" t="str">
        <f>IF(OR(BW9=$BB$14,BZ9=$BB$14),MAX($BI$7:BI8)+1,"")</f>
        <v/>
      </c>
      <c r="BJ9" s="225" t="str">
        <f>IF(OR(BW9=$BB$15,BZ9=$BB$15),MAX($BJ$7:BJ8)+1,"")</f>
        <v/>
      </c>
      <c r="BK9" s="225" t="str">
        <f>IF(OR(BW9=$BB$16,BZ9=$BB$16),MAX($BK$7:BK8)+1,"")</f>
        <v/>
      </c>
      <c r="BL9" s="225" t="str">
        <f>IF(OR(BW9=$BB$17,BZ9=$BB$17),MAX($BL$7:BL8)+1,"")</f>
        <v/>
      </c>
      <c r="BM9" s="225" t="str">
        <f>IF(OR(BW9=$BB$18,BZ9=$BB$18),MAX($BM$7:BM8)+1,"")</f>
        <v/>
      </c>
      <c r="BN9" s="225" t="str">
        <f>IF(OR(BW9=$BB$19,BZ9=$BB$19),MAX($BN$7:BN8)+1,"")</f>
        <v/>
      </c>
      <c r="BO9" s="225" t="str">
        <f>IF(OR(BW9=$BB$20,BZ9=$BB$20),MAX($BO$7:BO8)+1,"")</f>
        <v/>
      </c>
      <c r="BP9" s="225">
        <f>IF(OR(BW9=$BB$21,BZ9=$BB$21),MAX($BP$7:BP8)+1,"")</f>
        <v>2</v>
      </c>
      <c r="BQ9" s="399"/>
      <c r="BR9" s="399"/>
      <c r="BS9" s="399"/>
      <c r="BT9" s="227">
        <f t="shared" si="5"/>
        <v>0</v>
      </c>
      <c r="BU9" s="225">
        <f t="shared" si="6"/>
        <v>0</v>
      </c>
      <c r="BV9" s="225">
        <f t="shared" si="7"/>
        <v>0</v>
      </c>
      <c r="BW9" s="225">
        <f t="shared" si="8"/>
        <v>0</v>
      </c>
      <c r="BX9" s="225">
        <f t="shared" si="9"/>
        <v>0</v>
      </c>
      <c r="BY9" s="225">
        <f t="shared" si="10"/>
        <v>0</v>
      </c>
      <c r="BZ9" s="225">
        <f t="shared" si="11"/>
        <v>0</v>
      </c>
      <c r="CA9" s="228">
        <f t="shared" si="12"/>
        <v>0</v>
      </c>
      <c r="CB9" s="228">
        <f t="shared" si="13"/>
        <v>0</v>
      </c>
      <c r="CC9" s="228">
        <f t="shared" si="14"/>
        <v>0</v>
      </c>
      <c r="CD9" s="228">
        <f t="shared" si="15"/>
        <v>0</v>
      </c>
      <c r="CE9" s="399"/>
      <c r="CF9" s="399"/>
    </row>
    <row r="10" spans="1:84" x14ac:dyDescent="0.4">
      <c r="A10" s="712" t="s">
        <v>544</v>
      </c>
      <c r="B10" s="231" t="str">
        <f t="shared" ref="B10:B40" si="19">IF(C10="","",ROW(2:2))</f>
        <v/>
      </c>
      <c r="C10" s="732"/>
      <c r="D10" s="401"/>
      <c r="E10" s="733"/>
      <c r="F10" s="734"/>
      <c r="G10" s="401"/>
      <c r="H10" s="733"/>
      <c r="I10" s="733"/>
      <c r="J10" s="735"/>
      <c r="K10" s="736"/>
      <c r="L10" s="737"/>
      <c r="M10" s="737"/>
      <c r="N10" s="738"/>
      <c r="O10" s="739"/>
      <c r="P10" s="740"/>
      <c r="Q10" s="254" t="str">
        <f>IF(OR(J10&gt;0,K10&gt;0,L10&gt;0,M10&gt;0),SUM(Q9+J10-L10),"")</f>
        <v/>
      </c>
      <c r="R10" s="254" t="str">
        <f>IF(OR(J10&gt;0,K10&gt;0,L10&gt;0,M10&gt;0),SUM(R9+K10-M10),"")</f>
        <v/>
      </c>
      <c r="S10" s="258" t="str">
        <f>IFERROR(IF(OR(Q10&gt;=0,R10&gt;=0,),SUM(Q10+R10),""),"")</f>
        <v/>
      </c>
      <c r="U10" s="1346" t="str">
        <f t="shared" si="0"/>
        <v>बँक व्याज</v>
      </c>
      <c r="V10" s="1347"/>
      <c r="W10" s="1347"/>
      <c r="X10" s="1347"/>
      <c r="Y10" s="1347"/>
      <c r="Z10" s="744"/>
      <c r="AA10" s="743"/>
      <c r="AB10" s="702"/>
      <c r="AC10" s="399" t="s">
        <v>556</v>
      </c>
      <c r="AD10" s="399" t="s">
        <v>615</v>
      </c>
      <c r="AE10" s="399"/>
      <c r="AF10" s="399" t="s">
        <v>603</v>
      </c>
      <c r="AG10" s="399"/>
      <c r="AH10" s="399"/>
      <c r="AI10" s="399"/>
      <c r="AJ10" s="399"/>
      <c r="AK10" s="399"/>
      <c r="AL10" s="399"/>
      <c r="AR10" s="225" t="str">
        <f>IF(AS10&gt;1,MAX($AR$7:AR9)+1,"")</f>
        <v/>
      </c>
      <c r="AS10" s="224">
        <f t="shared" si="1"/>
        <v>0</v>
      </c>
      <c r="AT10" s="225">
        <f t="shared" si="2"/>
        <v>0</v>
      </c>
      <c r="AU10" s="224">
        <f t="shared" si="3"/>
        <v>0</v>
      </c>
      <c r="AV10" s="226">
        <f t="shared" si="4"/>
        <v>0</v>
      </c>
      <c r="AW10" s="224">
        <f t="shared" si="16"/>
        <v>0</v>
      </c>
      <c r="AX10" s="224">
        <f t="shared" si="17"/>
        <v>0</v>
      </c>
      <c r="AY10" s="224">
        <f t="shared" si="18"/>
        <v>0</v>
      </c>
      <c r="AZ10" s="711"/>
      <c r="BA10" s="399">
        <v>3</v>
      </c>
      <c r="BB10" s="399" t="s">
        <v>604</v>
      </c>
      <c r="BC10" s="225" t="str">
        <f>IF(OR(BW10=$BB$8,BZ10=$BB$8),MAX($BC$7:BC9)+1,"")</f>
        <v/>
      </c>
      <c r="BD10" s="225" t="str">
        <f>IF(OR(BW10=$BB$9,BZ10=$BB$9),MAX($BD$7:BD9)+1,"")</f>
        <v/>
      </c>
      <c r="BE10" s="225" t="str">
        <f>IF(OR(BW10=$BB$10,BZ10=$BB$10),MAX($BE$7:BE9)+1,"")</f>
        <v/>
      </c>
      <c r="BF10" s="225" t="str">
        <f>IF(OR(BW10=$BB$11,BZ10=$BB$11),MAX($BF$7:BF9)+1,"")</f>
        <v/>
      </c>
      <c r="BG10" s="225" t="str">
        <f>IF(OR(BW10=$BB$12,BZ10=$BB$12),MAX($BG$7:BG9)+1,"")</f>
        <v/>
      </c>
      <c r="BH10" s="225" t="str">
        <f>IF(OR(BW10=$BB$13,BZ10=$BB$13),MAX($BH$7:BH9)+1,"")</f>
        <v/>
      </c>
      <c r="BI10" s="225" t="str">
        <f>IF(OR(BW10=$BB$14,BZ10=$BB$14),MAX($BI$7:BI9)+1,"")</f>
        <v/>
      </c>
      <c r="BJ10" s="225" t="str">
        <f>IF(OR(BW10=$BB$15,BZ10=$BB$15),MAX($BJ$7:BJ9)+1,"")</f>
        <v/>
      </c>
      <c r="BK10" s="225" t="str">
        <f>IF(OR(BW10=$BB$16,BZ10=$BB$16),MAX($BK$7:BK9)+1,"")</f>
        <v/>
      </c>
      <c r="BL10" s="225" t="str">
        <f>IF(OR(BW10=$BB$17,BZ10=$BB$17),MAX($BL$7:BL9)+1,"")</f>
        <v/>
      </c>
      <c r="BM10" s="225" t="str">
        <f>IF(OR(BW10=$BB$18,BZ10=$BB$18),MAX($BM$7:BM9)+1,"")</f>
        <v/>
      </c>
      <c r="BN10" s="225" t="str">
        <f>IF(OR(BW10=$BB$19,BZ10=$BB$19),MAX($BN$7:BN9)+1,"")</f>
        <v/>
      </c>
      <c r="BO10" s="225" t="str">
        <f>IF(OR(BW10=$BB$20,BZ10=$BB$20),MAX($BO$7:BO9)+1,"")</f>
        <v/>
      </c>
      <c r="BP10" s="225">
        <f>IF(OR(BW10=$BB$21,BZ10=$BB$21),MAX($BP$7:BP9)+1,"")</f>
        <v>3</v>
      </c>
      <c r="BQ10" s="399"/>
      <c r="BR10" s="399"/>
      <c r="BS10" s="399"/>
      <c r="BT10" s="227">
        <f t="shared" si="5"/>
        <v>0</v>
      </c>
      <c r="BU10" s="225">
        <f t="shared" si="6"/>
        <v>0</v>
      </c>
      <c r="BV10" s="225">
        <f t="shared" si="7"/>
        <v>0</v>
      </c>
      <c r="BW10" s="225">
        <f t="shared" si="8"/>
        <v>0</v>
      </c>
      <c r="BX10" s="225">
        <f t="shared" si="9"/>
        <v>0</v>
      </c>
      <c r="BY10" s="225">
        <f t="shared" si="10"/>
        <v>0</v>
      </c>
      <c r="BZ10" s="225">
        <f t="shared" si="11"/>
        <v>0</v>
      </c>
      <c r="CA10" s="228">
        <f t="shared" si="12"/>
        <v>0</v>
      </c>
      <c r="CB10" s="228">
        <f t="shared" si="13"/>
        <v>0</v>
      </c>
      <c r="CC10" s="228">
        <f t="shared" si="14"/>
        <v>0</v>
      </c>
      <c r="CD10" s="228">
        <f t="shared" si="15"/>
        <v>0</v>
      </c>
      <c r="CE10" s="399"/>
      <c r="CF10" s="399"/>
    </row>
    <row r="11" spans="1:84" x14ac:dyDescent="0.4">
      <c r="A11" s="712" t="s">
        <v>688</v>
      </c>
      <c r="B11" s="231" t="str">
        <f t="shared" si="19"/>
        <v/>
      </c>
      <c r="C11" s="732"/>
      <c r="D11" s="401"/>
      <c r="E11" s="733"/>
      <c r="F11" s="734"/>
      <c r="G11" s="401"/>
      <c r="H11" s="733"/>
      <c r="I11" s="733"/>
      <c r="J11" s="735"/>
      <c r="K11" s="736"/>
      <c r="L11" s="737"/>
      <c r="M11" s="737"/>
      <c r="N11" s="738"/>
      <c r="O11" s="739"/>
      <c r="P11" s="740"/>
      <c r="Q11" s="254" t="str">
        <f t="shared" ref="Q11:Q74" si="20">IF(OR(J11&gt;0,K11&gt;0,L11&gt;0,M11&gt;0),SUM(Q10+J11-L11),"")</f>
        <v/>
      </c>
      <c r="R11" s="254" t="str">
        <f t="shared" ref="R11:R74" si="21">IF(OR(J11&gt;0,K11&gt;0,L11&gt;0,M11&gt;0),SUM(R10+K11-M11),"")</f>
        <v/>
      </c>
      <c r="S11" s="258" t="str">
        <f t="shared" ref="S11:S74" si="22">IFERROR(IF(OR(Q11&gt;=0,R11&gt;=0,),SUM(Q11+R11),""),"")</f>
        <v/>
      </c>
      <c r="U11" s="1346" t="str">
        <f t="shared" si="0"/>
        <v>शिक्षक मानधन</v>
      </c>
      <c r="V11" s="1347"/>
      <c r="W11" s="1347"/>
      <c r="X11" s="1347"/>
      <c r="Y11" s="1347"/>
      <c r="Z11" s="744"/>
      <c r="AA11" s="745"/>
      <c r="AB11" s="702"/>
      <c r="AC11" s="399" t="s">
        <v>557</v>
      </c>
      <c r="AD11" s="399" t="s">
        <v>616</v>
      </c>
      <c r="AE11" s="399"/>
      <c r="AF11" s="399" t="s">
        <v>600</v>
      </c>
      <c r="AG11" s="399"/>
      <c r="AH11" s="399"/>
      <c r="AI11" s="399"/>
      <c r="AJ11" s="399"/>
      <c r="AK11" s="399"/>
      <c r="AL11" s="399"/>
      <c r="AR11" s="225" t="str">
        <f>IF(AS11&gt;1,MAX($AR$7:AR10)+1,"")</f>
        <v/>
      </c>
      <c r="AS11" s="224">
        <f t="shared" si="1"/>
        <v>0</v>
      </c>
      <c r="AT11" s="225">
        <f t="shared" si="2"/>
        <v>0</v>
      </c>
      <c r="AU11" s="224">
        <f t="shared" si="3"/>
        <v>0</v>
      </c>
      <c r="AV11" s="226">
        <f t="shared" si="4"/>
        <v>0</v>
      </c>
      <c r="AW11" s="224">
        <f t="shared" si="16"/>
        <v>0</v>
      </c>
      <c r="AX11" s="224">
        <f t="shared" si="17"/>
        <v>0</v>
      </c>
      <c r="AY11" s="224">
        <f t="shared" si="18"/>
        <v>0</v>
      </c>
      <c r="AZ11" s="711"/>
      <c r="BA11" s="399">
        <v>4</v>
      </c>
      <c r="BB11" s="399" t="s">
        <v>567</v>
      </c>
      <c r="BC11" s="225" t="str">
        <f>IF(OR(BW11=$BB$8,BZ11=$BB$8),MAX($BC$7:BC10)+1,"")</f>
        <v/>
      </c>
      <c r="BD11" s="225" t="str">
        <f>IF(OR(BW11=$BB$9,BZ11=$BB$9),MAX($BD$7:BD10)+1,"")</f>
        <v/>
      </c>
      <c r="BE11" s="225" t="str">
        <f>IF(OR(BW11=$BB$10,BZ11=$BB$10),MAX($BE$7:BE10)+1,"")</f>
        <v/>
      </c>
      <c r="BF11" s="225" t="str">
        <f>IF(OR(BW11=$BB$11,BZ11=$BB$11),MAX($BF$7:BF10)+1,"")</f>
        <v/>
      </c>
      <c r="BG11" s="225" t="str">
        <f>IF(OR(BW11=$BB$12,BZ11=$BB$12),MAX($BG$7:BG10)+1,"")</f>
        <v/>
      </c>
      <c r="BH11" s="225" t="str">
        <f>IF(OR(BW11=$BB$13,BZ11=$BB$13),MAX($BH$7:BH10)+1,"")</f>
        <v/>
      </c>
      <c r="BI11" s="225" t="str">
        <f>IF(OR(BW11=$BB$14,BZ11=$BB$14),MAX($BI$7:BI10)+1,"")</f>
        <v/>
      </c>
      <c r="BJ11" s="225" t="str">
        <f>IF(OR(BW11=$BB$15,BZ11=$BB$15),MAX($BJ$7:BJ10)+1,"")</f>
        <v/>
      </c>
      <c r="BK11" s="225" t="str">
        <f>IF(OR(BW11=$BB$16,BZ11=$BB$16),MAX($BK$7:BK10)+1,"")</f>
        <v/>
      </c>
      <c r="BL11" s="225" t="str">
        <f>IF(OR(BW11=$BB$17,BZ11=$BB$17),MAX($BL$7:BL10)+1,"")</f>
        <v/>
      </c>
      <c r="BM11" s="225" t="str">
        <f>IF(OR(BW11=$BB$18,BZ11=$BB$18),MAX($BM$7:BM10)+1,"")</f>
        <v/>
      </c>
      <c r="BN11" s="225" t="str">
        <f>IF(OR(BW11=$BB$19,BZ11=$BB$19),MAX($BN$7:BN10)+1,"")</f>
        <v/>
      </c>
      <c r="BO11" s="225" t="str">
        <f>IF(OR(BW11=$BB$20,BZ11=$BB$20),MAX($BO$7:BO10)+1,"")</f>
        <v/>
      </c>
      <c r="BP11" s="225">
        <f>IF(OR(BW11=$BB$21,BZ11=$BB$21),MAX($BP$7:BP10)+1,"")</f>
        <v>4</v>
      </c>
      <c r="BQ11" s="399"/>
      <c r="BR11" s="399"/>
      <c r="BS11" s="399"/>
      <c r="BT11" s="227">
        <f t="shared" si="5"/>
        <v>0</v>
      </c>
      <c r="BU11" s="225">
        <f t="shared" si="6"/>
        <v>0</v>
      </c>
      <c r="BV11" s="225">
        <f t="shared" si="7"/>
        <v>0</v>
      </c>
      <c r="BW11" s="225">
        <f t="shared" si="8"/>
        <v>0</v>
      </c>
      <c r="BX11" s="225">
        <f t="shared" si="9"/>
        <v>0</v>
      </c>
      <c r="BY11" s="225">
        <f t="shared" si="10"/>
        <v>0</v>
      </c>
      <c r="BZ11" s="225">
        <f t="shared" si="11"/>
        <v>0</v>
      </c>
      <c r="CA11" s="228">
        <f t="shared" si="12"/>
        <v>0</v>
      </c>
      <c r="CB11" s="228">
        <f t="shared" si="13"/>
        <v>0</v>
      </c>
      <c r="CC11" s="228">
        <f t="shared" si="14"/>
        <v>0</v>
      </c>
      <c r="CD11" s="228">
        <f t="shared" si="15"/>
        <v>0</v>
      </c>
      <c r="CE11" s="399"/>
      <c r="CF11" s="399"/>
    </row>
    <row r="12" spans="1:84" x14ac:dyDescent="0.4">
      <c r="A12" s="712" t="s">
        <v>545</v>
      </c>
      <c r="B12" s="231" t="str">
        <f t="shared" si="19"/>
        <v/>
      </c>
      <c r="C12" s="732"/>
      <c r="D12" s="401"/>
      <c r="E12" s="733"/>
      <c r="F12" s="734"/>
      <c r="G12" s="401"/>
      <c r="H12" s="733"/>
      <c r="I12" s="733"/>
      <c r="J12" s="735"/>
      <c r="K12" s="736"/>
      <c r="L12" s="737"/>
      <c r="M12" s="737"/>
      <c r="N12" s="738"/>
      <c r="O12" s="739"/>
      <c r="P12" s="740"/>
      <c r="Q12" s="254" t="str">
        <f t="shared" si="20"/>
        <v/>
      </c>
      <c r="R12" s="254" t="str">
        <f t="shared" si="21"/>
        <v/>
      </c>
      <c r="S12" s="258" t="str">
        <f t="shared" si="22"/>
        <v/>
      </c>
      <c r="U12" s="1346" t="str">
        <f t="shared" si="0"/>
        <v>इंटरनेट साठी शाळा अनुदान</v>
      </c>
      <c r="V12" s="1347"/>
      <c r="W12" s="1347"/>
      <c r="X12" s="1347"/>
      <c r="Y12" s="1347"/>
      <c r="Z12" s="744"/>
      <c r="AA12" s="745"/>
      <c r="AB12" s="702"/>
      <c r="AC12" s="399" t="s">
        <v>558</v>
      </c>
      <c r="AD12" s="399" t="s">
        <v>617</v>
      </c>
      <c r="AE12" s="399"/>
      <c r="AF12" s="399" t="s">
        <v>604</v>
      </c>
      <c r="AG12" s="399"/>
      <c r="AH12" s="399"/>
      <c r="AI12" s="399"/>
      <c r="AJ12" s="399"/>
      <c r="AK12" s="399"/>
      <c r="AL12" s="399"/>
      <c r="AR12" s="225" t="str">
        <f>IF(AS12&gt;1,MAX($AR$7:AR11)+1,"")</f>
        <v/>
      </c>
      <c r="AS12" s="224">
        <f t="shared" si="1"/>
        <v>0</v>
      </c>
      <c r="AT12" s="225">
        <f t="shared" si="2"/>
        <v>0</v>
      </c>
      <c r="AU12" s="224">
        <f t="shared" si="3"/>
        <v>0</v>
      </c>
      <c r="AV12" s="226">
        <f t="shared" si="4"/>
        <v>0</v>
      </c>
      <c r="AW12" s="224">
        <f t="shared" si="16"/>
        <v>0</v>
      </c>
      <c r="AX12" s="224">
        <f t="shared" si="17"/>
        <v>0</v>
      </c>
      <c r="AY12" s="224">
        <f t="shared" si="18"/>
        <v>0</v>
      </c>
      <c r="AZ12" s="711"/>
      <c r="BA12" s="399">
        <v>5</v>
      </c>
      <c r="BB12" s="399" t="s">
        <v>568</v>
      </c>
      <c r="BC12" s="225" t="str">
        <f>IF(OR(BW12=$BB$8,BZ12=$BB$8),MAX($BC$7:BC11)+1,"")</f>
        <v/>
      </c>
      <c r="BD12" s="225" t="str">
        <f>IF(OR(BW12=$BB$9,BZ12=$BB$9),MAX($BD$7:BD11)+1,"")</f>
        <v/>
      </c>
      <c r="BE12" s="225" t="str">
        <f>IF(OR(BW12=$BB$10,BZ12=$BB$10),MAX($BE$7:BE11)+1,"")</f>
        <v/>
      </c>
      <c r="BF12" s="225" t="str">
        <f>IF(OR(BW12=$BB$11,BZ12=$BB$11),MAX($BF$7:BF11)+1,"")</f>
        <v/>
      </c>
      <c r="BG12" s="225" t="str">
        <f>IF(OR(BW12=$BB$12,BZ12=$BB$12),MAX($BG$7:BG11)+1,"")</f>
        <v/>
      </c>
      <c r="BH12" s="225" t="str">
        <f>IF(OR(BW12=$BB$13,BZ12=$BB$13),MAX($BH$7:BH11)+1,"")</f>
        <v/>
      </c>
      <c r="BI12" s="225" t="str">
        <f>IF(OR(BW12=$BB$14,BZ12=$BB$14),MAX($BI$7:BI11)+1,"")</f>
        <v/>
      </c>
      <c r="BJ12" s="225" t="str">
        <f>IF(OR(BW12=$BB$15,BZ12=$BB$15),MAX($BJ$7:BJ11)+1,"")</f>
        <v/>
      </c>
      <c r="BK12" s="225" t="str">
        <f>IF(OR(BW12=$BB$16,BZ12=$BB$16),MAX($BK$7:BK11)+1,"")</f>
        <v/>
      </c>
      <c r="BL12" s="225" t="str">
        <f>IF(OR(BW12=$BB$17,BZ12=$BB$17),MAX($BL$7:BL11)+1,"")</f>
        <v/>
      </c>
      <c r="BM12" s="225" t="str">
        <f>IF(OR(BW12=$BB$18,BZ12=$BB$18),MAX($BM$7:BM11)+1,"")</f>
        <v/>
      </c>
      <c r="BN12" s="225" t="str">
        <f>IF(OR(BW12=$BB$19,BZ12=$BB$19),MAX($BN$7:BN11)+1,"")</f>
        <v/>
      </c>
      <c r="BO12" s="225" t="str">
        <f>IF(OR(BW12=$BB$20,BZ12=$BB$20),MAX($BO$7:BO11)+1,"")</f>
        <v/>
      </c>
      <c r="BP12" s="225">
        <f>IF(OR(BW12=$BB$21,BZ12=$BB$21),MAX($BP$7:BP11)+1,"")</f>
        <v>5</v>
      </c>
      <c r="BQ12" s="399"/>
      <c r="BR12" s="399"/>
      <c r="BS12" s="399"/>
      <c r="BT12" s="227">
        <f t="shared" si="5"/>
        <v>0</v>
      </c>
      <c r="BU12" s="225">
        <f t="shared" si="6"/>
        <v>0</v>
      </c>
      <c r="BV12" s="225">
        <f t="shared" si="7"/>
        <v>0</v>
      </c>
      <c r="BW12" s="225">
        <f t="shared" si="8"/>
        <v>0</v>
      </c>
      <c r="BX12" s="225">
        <f t="shared" si="9"/>
        <v>0</v>
      </c>
      <c r="BY12" s="225">
        <f t="shared" si="10"/>
        <v>0</v>
      </c>
      <c r="BZ12" s="225">
        <f t="shared" si="11"/>
        <v>0</v>
      </c>
      <c r="CA12" s="228">
        <f t="shared" si="12"/>
        <v>0</v>
      </c>
      <c r="CB12" s="228">
        <f t="shared" si="13"/>
        <v>0</v>
      </c>
      <c r="CC12" s="228">
        <f t="shared" si="14"/>
        <v>0</v>
      </c>
      <c r="CD12" s="228">
        <f t="shared" si="15"/>
        <v>0</v>
      </c>
      <c r="CE12" s="399"/>
      <c r="CF12" s="399"/>
    </row>
    <row r="13" spans="1:84" x14ac:dyDescent="0.4">
      <c r="A13" s="712" t="s">
        <v>689</v>
      </c>
      <c r="B13" s="231" t="str">
        <f t="shared" si="19"/>
        <v/>
      </c>
      <c r="C13" s="732"/>
      <c r="D13" s="401"/>
      <c r="E13" s="733"/>
      <c r="F13" s="734"/>
      <c r="G13" s="401"/>
      <c r="H13" s="733"/>
      <c r="I13" s="733"/>
      <c r="J13" s="735"/>
      <c r="K13" s="736"/>
      <c r="L13" s="737"/>
      <c r="M13" s="737"/>
      <c r="N13" s="738"/>
      <c r="O13" s="739"/>
      <c r="P13" s="740"/>
      <c r="Q13" s="254" t="str">
        <f t="shared" si="20"/>
        <v/>
      </c>
      <c r="R13" s="254" t="str">
        <f t="shared" si="21"/>
        <v/>
      </c>
      <c r="S13" s="258" t="str">
        <f t="shared" si="22"/>
        <v/>
      </c>
      <c r="U13" s="1346" t="str">
        <f t="shared" si="0"/>
        <v>गॅस अनुदान</v>
      </c>
      <c r="V13" s="1347"/>
      <c r="W13" s="1347"/>
      <c r="X13" s="1347"/>
      <c r="Y13" s="1347"/>
      <c r="Z13" s="744"/>
      <c r="AA13" s="745"/>
      <c r="AB13" s="702"/>
      <c r="AC13" s="399" t="s">
        <v>559</v>
      </c>
      <c r="AD13" s="399" t="s">
        <v>618</v>
      </c>
      <c r="AE13" s="399"/>
      <c r="AF13" s="399" t="s">
        <v>567</v>
      </c>
      <c r="AG13" s="399"/>
      <c r="AH13" s="399"/>
      <c r="AI13" s="399"/>
      <c r="AJ13" s="399"/>
      <c r="AK13" s="399"/>
      <c r="AL13" s="399"/>
      <c r="AR13" s="225" t="str">
        <f>IF(AS13&gt;1,MAX($AR$7:AR12)+1,"")</f>
        <v/>
      </c>
      <c r="AS13" s="224">
        <f t="shared" si="1"/>
        <v>0</v>
      </c>
      <c r="AT13" s="225">
        <f t="shared" si="2"/>
        <v>0</v>
      </c>
      <c r="AU13" s="224">
        <f t="shared" si="3"/>
        <v>0</v>
      </c>
      <c r="AV13" s="226">
        <f t="shared" si="4"/>
        <v>0</v>
      </c>
      <c r="AW13" s="224">
        <f t="shared" si="16"/>
        <v>0</v>
      </c>
      <c r="AX13" s="224">
        <f t="shared" si="17"/>
        <v>0</v>
      </c>
      <c r="AY13" s="224">
        <f t="shared" si="18"/>
        <v>0</v>
      </c>
      <c r="AZ13" s="711"/>
      <c r="BA13" s="399">
        <v>6</v>
      </c>
      <c r="BB13" s="399" t="s">
        <v>569</v>
      </c>
      <c r="BC13" s="225" t="str">
        <f>IF(OR(BW13=$BB$8,BZ13=$BB$8),MAX($BC$7:BC12)+1,"")</f>
        <v/>
      </c>
      <c r="BD13" s="225" t="str">
        <f>IF(OR(BW13=$BB$9,BZ13=$BB$9),MAX($BD$7:BD12)+1,"")</f>
        <v/>
      </c>
      <c r="BE13" s="225" t="str">
        <f>IF(OR(BW13=$BB$10,BZ13=$BB$10),MAX($BE$7:BE12)+1,"")</f>
        <v/>
      </c>
      <c r="BF13" s="225" t="str">
        <f>IF(OR(BW13=$BB$11,BZ13=$BB$11),MAX($BF$7:BF12)+1,"")</f>
        <v/>
      </c>
      <c r="BG13" s="225" t="str">
        <f>IF(OR(BW13=$BB$12,BZ13=$BB$12),MAX($BG$7:BG12)+1,"")</f>
        <v/>
      </c>
      <c r="BH13" s="225" t="str">
        <f>IF(OR(BW13=$BB$13,BZ13=$BB$13),MAX($BH$7:BH12)+1,"")</f>
        <v/>
      </c>
      <c r="BI13" s="225" t="str">
        <f>IF(OR(BW13=$BB$14,BZ13=$BB$14),MAX($BI$7:BI12)+1,"")</f>
        <v/>
      </c>
      <c r="BJ13" s="225" t="str">
        <f>IF(OR(BW13=$BB$15,BZ13=$BB$15),MAX($BJ$7:BJ12)+1,"")</f>
        <v/>
      </c>
      <c r="BK13" s="225" t="str">
        <f>IF(OR(BW13=$BB$16,BZ13=$BB$16),MAX($BK$7:BK12)+1,"")</f>
        <v/>
      </c>
      <c r="BL13" s="225" t="str">
        <f>IF(OR(BW13=$BB$17,BZ13=$BB$17),MAX($BL$7:BL12)+1,"")</f>
        <v/>
      </c>
      <c r="BM13" s="225" t="str">
        <f>IF(OR(BW13=$BB$18,BZ13=$BB$18),MAX($BM$7:BM12)+1,"")</f>
        <v/>
      </c>
      <c r="BN13" s="225" t="str">
        <f>IF(OR(BW13=$BB$19,BZ13=$BB$19),MAX($BN$7:BN12)+1,"")</f>
        <v/>
      </c>
      <c r="BO13" s="225" t="str">
        <f>IF(OR(BW13=$BB$20,BZ13=$BB$20),MAX($BO$7:BO12)+1,"")</f>
        <v/>
      </c>
      <c r="BP13" s="225">
        <f>IF(OR(BW13=$BB$21,BZ13=$BB$21),MAX($BP$7:BP12)+1,"")</f>
        <v>6</v>
      </c>
      <c r="BQ13" s="399"/>
      <c r="BR13" s="399"/>
      <c r="BS13" s="399"/>
      <c r="BT13" s="227">
        <f t="shared" si="5"/>
        <v>0</v>
      </c>
      <c r="BU13" s="225">
        <f t="shared" si="6"/>
        <v>0</v>
      </c>
      <c r="BV13" s="225">
        <f t="shared" si="7"/>
        <v>0</v>
      </c>
      <c r="BW13" s="225">
        <f t="shared" si="8"/>
        <v>0</v>
      </c>
      <c r="BX13" s="225">
        <f t="shared" si="9"/>
        <v>0</v>
      </c>
      <c r="BY13" s="225">
        <f t="shared" si="10"/>
        <v>0</v>
      </c>
      <c r="BZ13" s="225">
        <f t="shared" si="11"/>
        <v>0</v>
      </c>
      <c r="CA13" s="228">
        <f t="shared" si="12"/>
        <v>0</v>
      </c>
      <c r="CB13" s="228">
        <f t="shared" si="13"/>
        <v>0</v>
      </c>
      <c r="CC13" s="228">
        <f t="shared" si="14"/>
        <v>0</v>
      </c>
      <c r="CD13" s="228">
        <f t="shared" si="15"/>
        <v>0</v>
      </c>
      <c r="CE13" s="399"/>
      <c r="CF13" s="399"/>
    </row>
    <row r="14" spans="1:84" x14ac:dyDescent="0.4">
      <c r="A14" s="712" t="s">
        <v>692</v>
      </c>
      <c r="B14" s="231" t="str">
        <f t="shared" si="19"/>
        <v/>
      </c>
      <c r="C14" s="732"/>
      <c r="D14" s="401"/>
      <c r="E14" s="733"/>
      <c r="F14" s="734"/>
      <c r="G14" s="401"/>
      <c r="H14" s="733"/>
      <c r="I14" s="733"/>
      <c r="J14" s="735"/>
      <c r="K14" s="736"/>
      <c r="L14" s="737"/>
      <c r="M14" s="737"/>
      <c r="N14" s="738"/>
      <c r="O14" s="739"/>
      <c r="P14" s="740"/>
      <c r="Q14" s="254" t="str">
        <f t="shared" si="20"/>
        <v/>
      </c>
      <c r="R14" s="254" t="str">
        <f t="shared" si="21"/>
        <v/>
      </c>
      <c r="S14" s="258" t="str">
        <f t="shared" si="22"/>
        <v/>
      </c>
      <c r="U14" s="1346" t="str">
        <f t="shared" si="0"/>
        <v>शा.पो.आ.भांडी अनुदान</v>
      </c>
      <c r="V14" s="1347"/>
      <c r="W14" s="1347"/>
      <c r="X14" s="1347"/>
      <c r="Y14" s="1347"/>
      <c r="Z14" s="744"/>
      <c r="AA14" s="745"/>
      <c r="AB14" s="702"/>
      <c r="AC14" s="399" t="s">
        <v>560</v>
      </c>
      <c r="AD14" s="399" t="s">
        <v>613</v>
      </c>
      <c r="AE14" s="399"/>
      <c r="AF14" s="399" t="s">
        <v>568</v>
      </c>
      <c r="AG14" s="399"/>
      <c r="AH14" s="399"/>
      <c r="AI14" s="399"/>
      <c r="AJ14" s="399"/>
      <c r="AK14" s="399"/>
      <c r="AL14" s="399"/>
      <c r="AR14" s="225" t="str">
        <f>IF(AS14&gt;1,MAX($AR$7:AR13)+1,"")</f>
        <v/>
      </c>
      <c r="AS14" s="224">
        <f t="shared" si="1"/>
        <v>0</v>
      </c>
      <c r="AT14" s="225">
        <f t="shared" si="2"/>
        <v>0</v>
      </c>
      <c r="AU14" s="224">
        <f t="shared" si="3"/>
        <v>0</v>
      </c>
      <c r="AV14" s="226">
        <f t="shared" si="4"/>
        <v>0</v>
      </c>
      <c r="AW14" s="224">
        <f t="shared" si="16"/>
        <v>0</v>
      </c>
      <c r="AX14" s="224">
        <f t="shared" si="17"/>
        <v>0</v>
      </c>
      <c r="AY14" s="224">
        <f t="shared" si="18"/>
        <v>0</v>
      </c>
      <c r="AZ14" s="711"/>
      <c r="BA14" s="399">
        <v>7</v>
      </c>
      <c r="BB14" s="399" t="s">
        <v>602</v>
      </c>
      <c r="BC14" s="225" t="str">
        <f>IF(OR(BW14=$BB$8,BZ14=$BB$8),MAX($BC$7:BC13)+1,"")</f>
        <v/>
      </c>
      <c r="BD14" s="225" t="str">
        <f>IF(OR(BW14=$BB$9,BZ14=$BB$9),MAX($BD$7:BD13)+1,"")</f>
        <v/>
      </c>
      <c r="BE14" s="225" t="str">
        <f>IF(OR(BW14=$BB$10,BZ14=$BB$10),MAX($BE$7:BE13)+1,"")</f>
        <v/>
      </c>
      <c r="BF14" s="225" t="str">
        <f>IF(OR(BW14=$BB$11,BZ14=$BB$11),MAX($BF$7:BF13)+1,"")</f>
        <v/>
      </c>
      <c r="BG14" s="225" t="str">
        <f>IF(OR(BW14=$BB$12,BZ14=$BB$12),MAX($BG$7:BG13)+1,"")</f>
        <v/>
      </c>
      <c r="BH14" s="225" t="str">
        <f>IF(OR(BW14=$BB$13,BZ14=$BB$13),MAX($BH$7:BH13)+1,"")</f>
        <v/>
      </c>
      <c r="BI14" s="225" t="str">
        <f>IF(OR(BW14=$BB$14,BZ14=$BB$14),MAX($BI$7:BI13)+1,"")</f>
        <v/>
      </c>
      <c r="BJ14" s="225" t="str">
        <f>IF(OR(BW14=$BB$15,BZ14=$BB$15),MAX($BJ$7:BJ13)+1,"")</f>
        <v/>
      </c>
      <c r="BK14" s="225" t="str">
        <f>IF(OR(BW14=$BB$16,BZ14=$BB$16),MAX($BK$7:BK13)+1,"")</f>
        <v/>
      </c>
      <c r="BL14" s="225" t="str">
        <f>IF(OR(BW14=$BB$17,BZ14=$BB$17),MAX($BL$7:BL13)+1,"")</f>
        <v/>
      </c>
      <c r="BM14" s="225" t="str">
        <f>IF(OR(BW14=$BB$18,BZ14=$BB$18),MAX($BM$7:BM13)+1,"")</f>
        <v/>
      </c>
      <c r="BN14" s="225" t="str">
        <f>IF(OR(BW14=$BB$19,BZ14=$BB$19),MAX($BN$7:BN13)+1,"")</f>
        <v/>
      </c>
      <c r="BO14" s="225" t="str">
        <f>IF(OR(BW14=$BB$20,BZ14=$BB$20),MAX($BO$7:BO13)+1,"")</f>
        <v/>
      </c>
      <c r="BP14" s="225">
        <f>IF(OR(BW14=$BB$21,BZ14=$BB$21),MAX($BP$7:BP13)+1,"")</f>
        <v>7</v>
      </c>
      <c r="BQ14" s="399"/>
      <c r="BR14" s="399"/>
      <c r="BS14" s="399"/>
      <c r="BT14" s="227">
        <f t="shared" si="5"/>
        <v>0</v>
      </c>
      <c r="BU14" s="225">
        <f t="shared" si="6"/>
        <v>0</v>
      </c>
      <c r="BV14" s="225">
        <f t="shared" si="7"/>
        <v>0</v>
      </c>
      <c r="BW14" s="225">
        <f t="shared" si="8"/>
        <v>0</v>
      </c>
      <c r="BX14" s="225">
        <f t="shared" si="9"/>
        <v>0</v>
      </c>
      <c r="BY14" s="225">
        <f t="shared" si="10"/>
        <v>0</v>
      </c>
      <c r="BZ14" s="225">
        <f t="shared" si="11"/>
        <v>0</v>
      </c>
      <c r="CA14" s="228">
        <f t="shared" si="12"/>
        <v>0</v>
      </c>
      <c r="CB14" s="228">
        <f t="shared" si="13"/>
        <v>0</v>
      </c>
      <c r="CC14" s="228">
        <f t="shared" si="14"/>
        <v>0</v>
      </c>
      <c r="CD14" s="228">
        <f t="shared" si="15"/>
        <v>0</v>
      </c>
      <c r="CE14" s="399"/>
      <c r="CF14" s="399"/>
    </row>
    <row r="15" spans="1:84" x14ac:dyDescent="0.4">
      <c r="A15" s="712" t="s">
        <v>690</v>
      </c>
      <c r="B15" s="231" t="str">
        <f t="shared" si="19"/>
        <v/>
      </c>
      <c r="C15" s="732"/>
      <c r="D15" s="401"/>
      <c r="E15" s="733"/>
      <c r="F15" s="734"/>
      <c r="G15" s="401"/>
      <c r="H15" s="733"/>
      <c r="I15" s="733"/>
      <c r="J15" s="735"/>
      <c r="K15" s="736"/>
      <c r="L15" s="737"/>
      <c r="M15" s="737"/>
      <c r="N15" s="738"/>
      <c r="O15" s="739"/>
      <c r="P15" s="740"/>
      <c r="Q15" s="254" t="str">
        <f t="shared" si="20"/>
        <v/>
      </c>
      <c r="R15" s="254" t="str">
        <f t="shared" si="21"/>
        <v/>
      </c>
      <c r="S15" s="258" t="str">
        <f t="shared" si="22"/>
        <v/>
      </c>
      <c r="U15" s="1346" t="str">
        <f t="shared" si="0"/>
        <v>बँक अनामत</v>
      </c>
      <c r="V15" s="1347"/>
      <c r="W15" s="1347"/>
      <c r="X15" s="1347"/>
      <c r="Y15" s="1347"/>
      <c r="Z15" s="744"/>
      <c r="AA15" s="745"/>
      <c r="AB15" s="702"/>
      <c r="AC15" s="399" t="s">
        <v>561</v>
      </c>
      <c r="AD15" s="399" t="s">
        <v>619</v>
      </c>
      <c r="AE15" s="399"/>
      <c r="AF15" s="399" t="s">
        <v>696</v>
      </c>
      <c r="AG15" s="399"/>
      <c r="AH15" s="399"/>
      <c r="AI15" s="399"/>
      <c r="AJ15" s="399"/>
      <c r="AK15" s="399"/>
      <c r="AL15" s="399"/>
      <c r="AR15" s="225" t="str">
        <f>IF(AS15&gt;1,MAX($AR$7:AR14)+1,"")</f>
        <v/>
      </c>
      <c r="AS15" s="224">
        <f t="shared" si="1"/>
        <v>0</v>
      </c>
      <c r="AT15" s="225">
        <f t="shared" si="2"/>
        <v>0</v>
      </c>
      <c r="AU15" s="224">
        <f t="shared" si="3"/>
        <v>0</v>
      </c>
      <c r="AV15" s="226">
        <f t="shared" si="4"/>
        <v>0</v>
      </c>
      <c r="AW15" s="224">
        <f t="shared" si="16"/>
        <v>0</v>
      </c>
      <c r="AX15" s="224">
        <f t="shared" si="17"/>
        <v>0</v>
      </c>
      <c r="AY15" s="224">
        <f t="shared" si="18"/>
        <v>0</v>
      </c>
      <c r="AZ15" s="711"/>
      <c r="BA15" s="399">
        <v>8</v>
      </c>
      <c r="BB15" s="399" t="s">
        <v>570</v>
      </c>
      <c r="BC15" s="225" t="str">
        <f>IF(OR(BW15=$BB$8,BZ15=$BB$8),MAX($BC$7:BC14)+1,"")</f>
        <v/>
      </c>
      <c r="BD15" s="225" t="str">
        <f>IF(OR(BW15=$BB$9,BZ15=$BB$9),MAX($BD$7:BD14)+1,"")</f>
        <v/>
      </c>
      <c r="BE15" s="225" t="str">
        <f>IF(OR(BW15=$BB$10,BZ15=$BB$10),MAX($BE$7:BE14)+1,"")</f>
        <v/>
      </c>
      <c r="BF15" s="225" t="str">
        <f>IF(OR(BW15=$BB$11,BZ15=$BB$11),MAX($BF$7:BF14)+1,"")</f>
        <v/>
      </c>
      <c r="BG15" s="225" t="str">
        <f>IF(OR(BW15=$BB$12,BZ15=$BB$12),MAX($BG$7:BG14)+1,"")</f>
        <v/>
      </c>
      <c r="BH15" s="225" t="str">
        <f>IF(OR(BW15=$BB$13,BZ15=$BB$13),MAX($BH$7:BH14)+1,"")</f>
        <v/>
      </c>
      <c r="BI15" s="225" t="str">
        <f>IF(OR(BW15=$BB$14,BZ15=$BB$14),MAX($BI$7:BI14)+1,"")</f>
        <v/>
      </c>
      <c r="BJ15" s="225" t="str">
        <f>IF(OR(BW15=$BB$15,BZ15=$BB$15),MAX($BJ$7:BJ14)+1,"")</f>
        <v/>
      </c>
      <c r="BK15" s="225" t="str">
        <f>IF(OR(BW15=$BB$16,BZ15=$BB$16),MAX($BK$7:BK14)+1,"")</f>
        <v/>
      </c>
      <c r="BL15" s="225" t="str">
        <f>IF(OR(BW15=$BB$17,BZ15=$BB$17),MAX($BL$7:BL14)+1,"")</f>
        <v/>
      </c>
      <c r="BM15" s="225" t="str">
        <f>IF(OR(BW15=$BB$18,BZ15=$BB$18),MAX($BM$7:BM14)+1,"")</f>
        <v/>
      </c>
      <c r="BN15" s="225" t="str">
        <f>IF(OR(BW15=$BB$19,BZ15=$BB$19),MAX($BN$7:BN14)+1,"")</f>
        <v/>
      </c>
      <c r="BO15" s="225" t="str">
        <f>IF(OR(BW15=$BB$20,BZ15=$BB$20),MAX($BO$7:BO14)+1,"")</f>
        <v/>
      </c>
      <c r="BP15" s="225">
        <f>IF(OR(BW15=$BB$21,BZ15=$BB$21),MAX($BP$7:BP14)+1,"")</f>
        <v>8</v>
      </c>
      <c r="BQ15" s="399"/>
      <c r="BR15" s="399"/>
      <c r="BS15" s="399"/>
      <c r="BT15" s="227">
        <f t="shared" si="5"/>
        <v>0</v>
      </c>
      <c r="BU15" s="225">
        <f t="shared" si="6"/>
        <v>0</v>
      </c>
      <c r="BV15" s="225">
        <f t="shared" si="7"/>
        <v>0</v>
      </c>
      <c r="BW15" s="225">
        <f t="shared" si="8"/>
        <v>0</v>
      </c>
      <c r="BX15" s="225">
        <f t="shared" si="9"/>
        <v>0</v>
      </c>
      <c r="BY15" s="225">
        <f t="shared" si="10"/>
        <v>0</v>
      </c>
      <c r="BZ15" s="225">
        <f t="shared" si="11"/>
        <v>0</v>
      </c>
      <c r="CA15" s="228">
        <f t="shared" si="12"/>
        <v>0</v>
      </c>
      <c r="CB15" s="228">
        <f t="shared" si="13"/>
        <v>0</v>
      </c>
      <c r="CC15" s="228">
        <f t="shared" si="14"/>
        <v>0</v>
      </c>
      <c r="CD15" s="228">
        <f t="shared" si="15"/>
        <v>0</v>
      </c>
      <c r="CE15" s="399"/>
      <c r="CF15" s="399"/>
    </row>
    <row r="16" spans="1:84" x14ac:dyDescent="0.4">
      <c r="A16" s="712" t="s">
        <v>691</v>
      </c>
      <c r="B16" s="231" t="str">
        <f t="shared" si="19"/>
        <v/>
      </c>
      <c r="C16" s="732"/>
      <c r="D16" s="401"/>
      <c r="E16" s="733"/>
      <c r="F16" s="734"/>
      <c r="G16" s="401"/>
      <c r="H16" s="733"/>
      <c r="I16" s="733"/>
      <c r="J16" s="735"/>
      <c r="K16" s="736"/>
      <c r="L16" s="737"/>
      <c r="M16" s="737"/>
      <c r="N16" s="738"/>
      <c r="O16" s="739"/>
      <c r="P16" s="740"/>
      <c r="Q16" s="254" t="str">
        <f t="shared" si="20"/>
        <v/>
      </c>
      <c r="R16" s="254" t="str">
        <f t="shared" si="21"/>
        <v/>
      </c>
      <c r="S16" s="258" t="str">
        <f t="shared" si="22"/>
        <v/>
      </c>
      <c r="U16" s="1346" t="str">
        <f t="shared" si="0"/>
        <v>इतर अनुदान</v>
      </c>
      <c r="V16" s="1347"/>
      <c r="W16" s="1347"/>
      <c r="X16" s="1347"/>
      <c r="Y16" s="1347"/>
      <c r="Z16" s="744"/>
      <c r="AA16" s="745"/>
      <c r="AB16" s="702"/>
      <c r="AC16" s="399" t="s">
        <v>562</v>
      </c>
      <c r="AD16" s="399" t="s">
        <v>620</v>
      </c>
      <c r="AE16" s="399"/>
      <c r="AF16" s="399" t="s">
        <v>602</v>
      </c>
      <c r="AG16" s="399"/>
      <c r="AH16" s="399"/>
      <c r="AI16" s="399"/>
      <c r="AJ16" s="399"/>
      <c r="AK16" s="399"/>
      <c r="AL16" s="399"/>
      <c r="AR16" s="225" t="str">
        <f>IF(AS16&gt;1,MAX($AR$7:AR15)+1,"")</f>
        <v/>
      </c>
      <c r="AS16" s="224">
        <f t="shared" si="1"/>
        <v>0</v>
      </c>
      <c r="AT16" s="225">
        <f t="shared" si="2"/>
        <v>0</v>
      </c>
      <c r="AU16" s="224">
        <f t="shared" si="3"/>
        <v>0</v>
      </c>
      <c r="AV16" s="226">
        <f t="shared" si="4"/>
        <v>0</v>
      </c>
      <c r="AW16" s="224">
        <f t="shared" si="16"/>
        <v>0</v>
      </c>
      <c r="AX16" s="224">
        <f t="shared" si="17"/>
        <v>0</v>
      </c>
      <c r="AY16" s="224">
        <f t="shared" si="18"/>
        <v>0</v>
      </c>
      <c r="AZ16" s="711"/>
      <c r="BA16" s="399">
        <v>9</v>
      </c>
      <c r="BB16" s="399" t="s">
        <v>571</v>
      </c>
      <c r="BC16" s="225" t="str">
        <f>IF(OR(BW16=$BB$8,BZ16=$BB$8),MAX($BC$7:BC15)+1,"")</f>
        <v/>
      </c>
      <c r="BD16" s="225" t="str">
        <f>IF(OR(BW16=$BB$9,BZ16=$BB$9),MAX($BD$7:BD15)+1,"")</f>
        <v/>
      </c>
      <c r="BE16" s="225" t="str">
        <f>IF(OR(BW16=$BB$10,BZ16=$BB$10),MAX($BE$7:BE15)+1,"")</f>
        <v/>
      </c>
      <c r="BF16" s="225" t="str">
        <f>IF(OR(BW16=$BB$11,BZ16=$BB$11),MAX($BF$7:BF15)+1,"")</f>
        <v/>
      </c>
      <c r="BG16" s="225" t="str">
        <f>IF(OR(BW16=$BB$12,BZ16=$BB$12),MAX($BG$7:BG15)+1,"")</f>
        <v/>
      </c>
      <c r="BH16" s="225" t="str">
        <f>IF(OR(BW16=$BB$13,BZ16=$BB$13),MAX($BH$7:BH15)+1,"")</f>
        <v/>
      </c>
      <c r="BI16" s="225" t="str">
        <f>IF(OR(BW16=$BB$14,BZ16=$BB$14),MAX($BI$7:BI15)+1,"")</f>
        <v/>
      </c>
      <c r="BJ16" s="225" t="str">
        <f>IF(OR(BW16=$BB$15,BZ16=$BB$15),MAX($BJ$7:BJ15)+1,"")</f>
        <v/>
      </c>
      <c r="BK16" s="225" t="str">
        <f>IF(OR(BW16=$BB$16,BZ16=$BB$16),MAX($BK$7:BK15)+1,"")</f>
        <v/>
      </c>
      <c r="BL16" s="225" t="str">
        <f>IF(OR(BW16=$BB$17,BZ16=$BB$17),MAX($BL$7:BL15)+1,"")</f>
        <v/>
      </c>
      <c r="BM16" s="225" t="str">
        <f>IF(OR(BW16=$BB$18,BZ16=$BB$18),MAX($BM$7:BM15)+1,"")</f>
        <v/>
      </c>
      <c r="BN16" s="225" t="str">
        <f>IF(OR(BW16=$BB$19,BZ16=$BB$19),MAX($BN$7:BN15)+1,"")</f>
        <v/>
      </c>
      <c r="BO16" s="225" t="str">
        <f>IF(OR(BW16=$BB$20,BZ16=$BB$20),MAX($BO$7:BO15)+1,"")</f>
        <v/>
      </c>
      <c r="BP16" s="225">
        <f>IF(OR(BW16=$BB$21,BZ16=$BB$21),MAX($BP$7:BP15)+1,"")</f>
        <v>9</v>
      </c>
      <c r="BQ16" s="399"/>
      <c r="BR16" s="399"/>
      <c r="BS16" s="399"/>
      <c r="BT16" s="227">
        <f t="shared" si="5"/>
        <v>0</v>
      </c>
      <c r="BU16" s="225">
        <f t="shared" si="6"/>
        <v>0</v>
      </c>
      <c r="BV16" s="225">
        <f t="shared" si="7"/>
        <v>0</v>
      </c>
      <c r="BW16" s="225">
        <f t="shared" si="8"/>
        <v>0</v>
      </c>
      <c r="BX16" s="225">
        <f t="shared" si="9"/>
        <v>0</v>
      </c>
      <c r="BY16" s="225">
        <f t="shared" si="10"/>
        <v>0</v>
      </c>
      <c r="BZ16" s="225">
        <f t="shared" si="11"/>
        <v>0</v>
      </c>
      <c r="CA16" s="228">
        <f t="shared" si="12"/>
        <v>0</v>
      </c>
      <c r="CB16" s="228">
        <f t="shared" si="13"/>
        <v>0</v>
      </c>
      <c r="CC16" s="228">
        <f t="shared" si="14"/>
        <v>0</v>
      </c>
      <c r="CD16" s="228">
        <f t="shared" si="15"/>
        <v>0</v>
      </c>
      <c r="CE16" s="399"/>
      <c r="CF16" s="399"/>
    </row>
    <row r="17" spans="1:84" x14ac:dyDescent="0.4">
      <c r="B17" s="231" t="str">
        <f t="shared" si="19"/>
        <v/>
      </c>
      <c r="C17" s="732"/>
      <c r="D17" s="401"/>
      <c r="E17" s="733"/>
      <c r="F17" s="734"/>
      <c r="G17" s="401"/>
      <c r="H17" s="733"/>
      <c r="I17" s="733"/>
      <c r="J17" s="735"/>
      <c r="K17" s="736"/>
      <c r="L17" s="737"/>
      <c r="M17" s="737"/>
      <c r="N17" s="738"/>
      <c r="O17" s="739"/>
      <c r="P17" s="740"/>
      <c r="Q17" s="254" t="str">
        <f t="shared" si="20"/>
        <v/>
      </c>
      <c r="R17" s="254" t="str">
        <f t="shared" si="21"/>
        <v/>
      </c>
      <c r="S17" s="258" t="str">
        <f t="shared" si="22"/>
        <v/>
      </c>
      <c r="U17" s="1346" t="str">
        <f t="shared" si="0"/>
        <v>निनावी रक्कम</v>
      </c>
      <c r="V17" s="1347"/>
      <c r="W17" s="1347"/>
      <c r="X17" s="1347"/>
      <c r="Y17" s="1347"/>
      <c r="Z17" s="744"/>
      <c r="AA17" s="745"/>
      <c r="AB17" s="702"/>
      <c r="AC17" s="399" t="s">
        <v>563</v>
      </c>
      <c r="AD17" s="399" t="s">
        <v>621</v>
      </c>
      <c r="AE17" s="399"/>
      <c r="AF17" s="399" t="s">
        <v>570</v>
      </c>
      <c r="AG17" s="399"/>
      <c r="AH17" s="399"/>
      <c r="AI17" s="399"/>
      <c r="AJ17" s="399"/>
      <c r="AK17" s="399"/>
      <c r="AL17" s="399"/>
      <c r="AR17" s="225" t="str">
        <f>IF(AS17&gt;1,MAX($AR$7:AR16)+1,"")</f>
        <v/>
      </c>
      <c r="AS17" s="224">
        <f t="shared" si="1"/>
        <v>0</v>
      </c>
      <c r="AT17" s="225">
        <f t="shared" si="2"/>
        <v>0</v>
      </c>
      <c r="AU17" s="224">
        <f t="shared" si="3"/>
        <v>0</v>
      </c>
      <c r="AV17" s="226">
        <f t="shared" si="4"/>
        <v>0</v>
      </c>
      <c r="AW17" s="224">
        <f t="shared" si="16"/>
        <v>0</v>
      </c>
      <c r="AX17" s="224">
        <f t="shared" si="17"/>
        <v>0</v>
      </c>
      <c r="AY17" s="224">
        <f t="shared" si="18"/>
        <v>0</v>
      </c>
      <c r="AZ17" s="711"/>
      <c r="BA17" s="399">
        <v>10</v>
      </c>
      <c r="BB17" s="399" t="s">
        <v>572</v>
      </c>
      <c r="BC17" s="225" t="str">
        <f>IF(OR(BW17=$BB$8,BZ17=$BB$8),MAX($BC$7:BC16)+1,"")</f>
        <v/>
      </c>
      <c r="BD17" s="225" t="str">
        <f>IF(OR(BW17=$BB$9,BZ17=$BB$9),MAX($BD$7:BD16)+1,"")</f>
        <v/>
      </c>
      <c r="BE17" s="225" t="str">
        <f>IF(OR(BW17=$BB$10,BZ17=$BB$10),MAX($BE$7:BE16)+1,"")</f>
        <v/>
      </c>
      <c r="BF17" s="225" t="str">
        <f>IF(OR(BW17=$BB$11,BZ17=$BB$11),MAX($BF$7:BF16)+1,"")</f>
        <v/>
      </c>
      <c r="BG17" s="225" t="str">
        <f>IF(OR(BW17=$BB$12,BZ17=$BB$12),MAX($BG$7:BG16)+1,"")</f>
        <v/>
      </c>
      <c r="BH17" s="225" t="str">
        <f>IF(OR(BW17=$BB$13,BZ17=$BB$13),MAX($BH$7:BH16)+1,"")</f>
        <v/>
      </c>
      <c r="BI17" s="225" t="str">
        <f>IF(OR(BW17=$BB$14,BZ17=$BB$14),MAX($BI$7:BI16)+1,"")</f>
        <v/>
      </c>
      <c r="BJ17" s="225" t="str">
        <f>IF(OR(BW17=$BB$15,BZ17=$BB$15),MAX($BJ$7:BJ16)+1,"")</f>
        <v/>
      </c>
      <c r="BK17" s="225" t="str">
        <f>IF(OR(BW17=$BB$16,BZ17=$BB$16),MAX($BK$7:BK16)+1,"")</f>
        <v/>
      </c>
      <c r="BL17" s="225" t="str">
        <f>IF(OR(BW17=$BB$17,BZ17=$BB$17),MAX($BL$7:BL16)+1,"")</f>
        <v/>
      </c>
      <c r="BM17" s="225" t="str">
        <f>IF(OR(BW17=$BB$18,BZ17=$BB$18),MAX($BM$7:BM16)+1,"")</f>
        <v/>
      </c>
      <c r="BN17" s="225" t="str">
        <f>IF(OR(BW17=$BB$19,BZ17=$BB$19),MAX($BN$7:BN16)+1,"")</f>
        <v/>
      </c>
      <c r="BO17" s="225" t="str">
        <f>IF(OR(BW17=$BB$20,BZ17=$BB$20),MAX($BO$7:BO16)+1,"")</f>
        <v/>
      </c>
      <c r="BP17" s="225">
        <f>IF(OR(BW17=$BB$21,BZ17=$BB$21),MAX($BP$7:BP16)+1,"")</f>
        <v>10</v>
      </c>
      <c r="BQ17" s="399"/>
      <c r="BR17" s="399"/>
      <c r="BS17" s="399"/>
      <c r="BT17" s="227">
        <f t="shared" si="5"/>
        <v>0</v>
      </c>
      <c r="BU17" s="225">
        <f t="shared" si="6"/>
        <v>0</v>
      </c>
      <c r="BV17" s="225">
        <f t="shared" si="7"/>
        <v>0</v>
      </c>
      <c r="BW17" s="225">
        <f t="shared" si="8"/>
        <v>0</v>
      </c>
      <c r="BX17" s="225">
        <f t="shared" si="9"/>
        <v>0</v>
      </c>
      <c r="BY17" s="225">
        <f t="shared" si="10"/>
        <v>0</v>
      </c>
      <c r="BZ17" s="225">
        <f t="shared" si="11"/>
        <v>0</v>
      </c>
      <c r="CA17" s="228">
        <f t="shared" si="12"/>
        <v>0</v>
      </c>
      <c r="CB17" s="228">
        <f t="shared" si="13"/>
        <v>0</v>
      </c>
      <c r="CC17" s="228">
        <f t="shared" si="14"/>
        <v>0</v>
      </c>
      <c r="CD17" s="228">
        <f t="shared" si="15"/>
        <v>0</v>
      </c>
      <c r="CE17" s="399"/>
      <c r="CF17" s="399"/>
    </row>
    <row r="18" spans="1:84" ht="22.5" thickBot="1" x14ac:dyDescent="0.45">
      <c r="A18" s="712" t="s">
        <v>687</v>
      </c>
      <c r="B18" s="231" t="str">
        <f t="shared" si="19"/>
        <v/>
      </c>
      <c r="C18" s="732"/>
      <c r="D18" s="401"/>
      <c r="E18" s="733"/>
      <c r="F18" s="734"/>
      <c r="G18" s="401"/>
      <c r="H18" s="733"/>
      <c r="I18" s="733"/>
      <c r="J18" s="735"/>
      <c r="K18" s="736"/>
      <c r="L18" s="737"/>
      <c r="M18" s="737"/>
      <c r="N18" s="738"/>
      <c r="O18" s="739"/>
      <c r="P18" s="740"/>
      <c r="Q18" s="254" t="str">
        <f t="shared" si="20"/>
        <v/>
      </c>
      <c r="R18" s="254" t="str">
        <f t="shared" si="21"/>
        <v/>
      </c>
      <c r="S18" s="258" t="str">
        <f t="shared" si="22"/>
        <v/>
      </c>
      <c r="U18" s="1376" t="str">
        <f t="shared" si="0"/>
        <v>इतर फरक रक्कम</v>
      </c>
      <c r="V18" s="1377"/>
      <c r="W18" s="1377"/>
      <c r="X18" s="1377"/>
      <c r="Y18" s="1377"/>
      <c r="Z18" s="744"/>
      <c r="AA18" s="745"/>
      <c r="AB18" s="702"/>
      <c r="AC18" s="399" t="s">
        <v>564</v>
      </c>
      <c r="AD18" s="399" t="s">
        <v>622</v>
      </c>
      <c r="AE18" s="399"/>
      <c r="AF18" s="399" t="s">
        <v>571</v>
      </c>
      <c r="AG18" s="399"/>
      <c r="AH18" s="399"/>
      <c r="AI18" s="399"/>
      <c r="AJ18" s="399"/>
      <c r="AK18" s="399"/>
      <c r="AL18" s="399"/>
      <c r="AR18" s="225" t="str">
        <f>IF(AS18&gt;1,MAX($AR$7:AR17)+1,"")</f>
        <v/>
      </c>
      <c r="AS18" s="224">
        <f t="shared" si="1"/>
        <v>0</v>
      </c>
      <c r="AT18" s="225">
        <f t="shared" si="2"/>
        <v>0</v>
      </c>
      <c r="AU18" s="224">
        <f t="shared" si="3"/>
        <v>0</v>
      </c>
      <c r="AV18" s="226">
        <f t="shared" si="4"/>
        <v>0</v>
      </c>
      <c r="AW18" s="224">
        <f t="shared" si="16"/>
        <v>0</v>
      </c>
      <c r="AX18" s="224">
        <f t="shared" si="17"/>
        <v>0</v>
      </c>
      <c r="AY18" s="224">
        <f t="shared" si="18"/>
        <v>0</v>
      </c>
      <c r="AZ18" s="711"/>
      <c r="BA18" s="399">
        <v>11</v>
      </c>
      <c r="BB18" s="399" t="s">
        <v>601</v>
      </c>
      <c r="BC18" s="225" t="str">
        <f>IF(OR(BW18=$BB$8,BZ18=$BB$8),MAX($BC$7:BC17)+1,"")</f>
        <v/>
      </c>
      <c r="BD18" s="225" t="str">
        <f>IF(OR(BW18=$BB$9,BZ18=$BB$9),MAX($BD$7:BD17)+1,"")</f>
        <v/>
      </c>
      <c r="BE18" s="225" t="str">
        <f>IF(OR(BW18=$BB$10,BZ18=$BB$10),MAX($BE$7:BE17)+1,"")</f>
        <v/>
      </c>
      <c r="BF18" s="225" t="str">
        <f>IF(OR(BW18=$BB$11,BZ18=$BB$11),MAX($BF$7:BF17)+1,"")</f>
        <v/>
      </c>
      <c r="BG18" s="225" t="str">
        <f>IF(OR(BW18=$BB$12,BZ18=$BB$12),MAX($BG$7:BG17)+1,"")</f>
        <v/>
      </c>
      <c r="BH18" s="225" t="str">
        <f>IF(OR(BW18=$BB$13,BZ18=$BB$13),MAX($BH$7:BH17)+1,"")</f>
        <v/>
      </c>
      <c r="BI18" s="225" t="str">
        <f>IF(OR(BW18=$BB$14,BZ18=$BB$14),MAX($BI$7:BI17)+1,"")</f>
        <v/>
      </c>
      <c r="BJ18" s="225" t="str">
        <f>IF(OR(BW18=$BB$15,BZ18=$BB$15),MAX($BJ$7:BJ17)+1,"")</f>
        <v/>
      </c>
      <c r="BK18" s="225" t="str">
        <f>IF(OR(BW18=$BB$16,BZ18=$BB$16),MAX($BK$7:BK17)+1,"")</f>
        <v/>
      </c>
      <c r="BL18" s="225" t="str">
        <f>IF(OR(BW18=$BB$17,BZ18=$BB$17),MAX($BL$7:BL17)+1,"")</f>
        <v/>
      </c>
      <c r="BM18" s="225" t="str">
        <f>IF(OR(BW18=$BB$18,BZ18=$BB$18),MAX($BM$7:BM17)+1,"")</f>
        <v/>
      </c>
      <c r="BN18" s="225" t="str">
        <f>IF(OR(BW18=$BB$19,BZ18=$BB$19),MAX($BN$7:BN17)+1,"")</f>
        <v/>
      </c>
      <c r="BO18" s="225" t="str">
        <f>IF(OR(BW18=$BB$20,BZ18=$BB$20),MAX($BO$7:BO17)+1,"")</f>
        <v/>
      </c>
      <c r="BP18" s="225">
        <f>IF(OR(BW18=$BB$21,BZ18=$BB$21),MAX($BP$7:BP17)+1,"")</f>
        <v>11</v>
      </c>
      <c r="BQ18" s="399"/>
      <c r="BR18" s="399"/>
      <c r="BS18" s="399"/>
      <c r="BT18" s="227">
        <f t="shared" si="5"/>
        <v>0</v>
      </c>
      <c r="BU18" s="225">
        <f t="shared" si="6"/>
        <v>0</v>
      </c>
      <c r="BV18" s="225">
        <f t="shared" si="7"/>
        <v>0</v>
      </c>
      <c r="BW18" s="225">
        <f t="shared" si="8"/>
        <v>0</v>
      </c>
      <c r="BX18" s="225">
        <f t="shared" si="9"/>
        <v>0</v>
      </c>
      <c r="BY18" s="225">
        <f t="shared" si="10"/>
        <v>0</v>
      </c>
      <c r="BZ18" s="225">
        <f t="shared" si="11"/>
        <v>0</v>
      </c>
      <c r="CA18" s="228">
        <f t="shared" si="12"/>
        <v>0</v>
      </c>
      <c r="CB18" s="228">
        <f t="shared" si="13"/>
        <v>0</v>
      </c>
      <c r="CC18" s="228">
        <f t="shared" si="14"/>
        <v>0</v>
      </c>
      <c r="CD18" s="228">
        <f t="shared" si="15"/>
        <v>0</v>
      </c>
      <c r="CE18" s="399"/>
      <c r="CF18" s="399"/>
    </row>
    <row r="19" spans="1:84" ht="24.75" x14ac:dyDescent="0.4">
      <c r="A19" s="712" t="s">
        <v>544</v>
      </c>
      <c r="B19" s="231" t="str">
        <f t="shared" si="19"/>
        <v/>
      </c>
      <c r="C19" s="732"/>
      <c r="D19" s="401"/>
      <c r="E19" s="733"/>
      <c r="F19" s="734"/>
      <c r="G19" s="401"/>
      <c r="H19" s="733"/>
      <c r="I19" s="733"/>
      <c r="J19" s="735"/>
      <c r="K19" s="736"/>
      <c r="L19" s="737"/>
      <c r="M19" s="737"/>
      <c r="N19" s="738"/>
      <c r="O19" s="739"/>
      <c r="P19" s="740"/>
      <c r="Q19" s="254" t="str">
        <f t="shared" si="20"/>
        <v/>
      </c>
      <c r="R19" s="254" t="str">
        <f t="shared" si="21"/>
        <v/>
      </c>
      <c r="S19" s="258" t="str">
        <f t="shared" si="22"/>
        <v/>
      </c>
      <c r="U19" s="1370" t="s">
        <v>35</v>
      </c>
      <c r="V19" s="1371"/>
      <c r="W19" s="1371"/>
      <c r="X19" s="1371"/>
      <c r="Y19" s="1372"/>
      <c r="Z19" s="1368">
        <f>SUM(Z6:Z18)</f>
        <v>3000</v>
      </c>
      <c r="AA19" s="1368">
        <f>SUM(AA6:AA18)</f>
        <v>3000</v>
      </c>
      <c r="AB19" s="714"/>
      <c r="AC19" s="399" t="s">
        <v>565</v>
      </c>
      <c r="AD19" s="399" t="s">
        <v>623</v>
      </c>
      <c r="AE19" s="399"/>
      <c r="AF19" s="399" t="s">
        <v>572</v>
      </c>
      <c r="AG19" s="399"/>
      <c r="AH19" s="399"/>
      <c r="AI19" s="399"/>
      <c r="AJ19" s="399"/>
      <c r="AK19" s="399"/>
      <c r="AL19" s="399"/>
      <c r="AR19" s="225" t="str">
        <f>IF(AS19&gt;1,MAX($AR$7:AR18)+1,"")</f>
        <v/>
      </c>
      <c r="AS19" s="224">
        <f t="shared" ref="AS19:AU20" si="23">N19</f>
        <v>0</v>
      </c>
      <c r="AT19" s="225">
        <f t="shared" si="23"/>
        <v>0</v>
      </c>
      <c r="AU19" s="224">
        <f t="shared" si="23"/>
        <v>0</v>
      </c>
      <c r="AV19" s="226">
        <f>C19</f>
        <v>0</v>
      </c>
      <c r="AW19" s="224">
        <f t="shared" ref="AW19:AY20" si="24">G19</f>
        <v>0</v>
      </c>
      <c r="AX19" s="224">
        <f t="shared" si="24"/>
        <v>0</v>
      </c>
      <c r="AY19" s="224">
        <f t="shared" si="24"/>
        <v>0</v>
      </c>
      <c r="AZ19" s="711"/>
      <c r="BA19" s="399">
        <v>12</v>
      </c>
      <c r="BB19" s="399" t="s">
        <v>605</v>
      </c>
      <c r="BC19" s="225" t="str">
        <f>IF(OR(BW19=$BB$8,BZ19=$BB$8),MAX($BC$7:BC18)+1,"")</f>
        <v/>
      </c>
      <c r="BD19" s="225" t="str">
        <f>IF(OR(BW19=$BB$9,BZ19=$BB$9),MAX($BD$7:BD18)+1,"")</f>
        <v/>
      </c>
      <c r="BE19" s="225" t="str">
        <f>IF(OR(BW19=$BB$10,BZ19=$BB$10),MAX($BE$7:BE18)+1,"")</f>
        <v/>
      </c>
      <c r="BF19" s="225" t="str">
        <f>IF(OR(BW19=$BB$11,BZ19=$BB$11),MAX($BF$7:BF18)+1,"")</f>
        <v/>
      </c>
      <c r="BG19" s="225" t="str">
        <f>IF(OR(BW19=$BB$12,BZ19=$BB$12),MAX($BG$7:BG18)+1,"")</f>
        <v/>
      </c>
      <c r="BH19" s="225" t="str">
        <f>IF(OR(BW19=$BB$13,BZ19=$BB$13),MAX($BH$7:BH18)+1,"")</f>
        <v/>
      </c>
      <c r="BI19" s="225" t="str">
        <f>IF(OR(BW19=$BB$14,BZ19=$BB$14),MAX($BI$7:BI18)+1,"")</f>
        <v/>
      </c>
      <c r="BJ19" s="225" t="str">
        <f>IF(OR(BW19=$BB$15,BZ19=$BB$15),MAX($BJ$7:BJ18)+1,"")</f>
        <v/>
      </c>
      <c r="BK19" s="225" t="str">
        <f>IF(OR(BW19=$BB$16,BZ19=$BB$16),MAX($BK$7:BK18)+1,"")</f>
        <v/>
      </c>
      <c r="BL19" s="225" t="str">
        <f>IF(OR(BW19=$BB$17,BZ19=$BB$17),MAX($BL$7:BL18)+1,"")</f>
        <v/>
      </c>
      <c r="BM19" s="225" t="str">
        <f>IF(OR(BW19=$BB$18,BZ19=$BB$18),MAX($BM$7:BM18)+1,"")</f>
        <v/>
      </c>
      <c r="BN19" s="225" t="str">
        <f>IF(OR(BW19=$BB$19,BZ19=$BB$19),MAX($BN$7:BN18)+1,"")</f>
        <v/>
      </c>
      <c r="BO19" s="225" t="str">
        <f>IF(OR(BW19=$BB$20,BZ19=$BB$20),MAX($BO$7:BO18)+1,"")</f>
        <v/>
      </c>
      <c r="BP19" s="225">
        <f>IF(OR(BW19=$BB$21,BZ19=$BB$21),MAX($BP$7:BP18)+1,"")</f>
        <v>12</v>
      </c>
      <c r="BQ19" s="399"/>
      <c r="BR19" s="399"/>
      <c r="BS19" s="399"/>
      <c r="BT19" s="227">
        <f t="shared" ref="BT19:CD20" si="25">C19</f>
        <v>0</v>
      </c>
      <c r="BU19" s="225">
        <f t="shared" si="25"/>
        <v>0</v>
      </c>
      <c r="BV19" s="225">
        <f t="shared" si="25"/>
        <v>0</v>
      </c>
      <c r="BW19" s="225">
        <f t="shared" si="25"/>
        <v>0</v>
      </c>
      <c r="BX19" s="225">
        <f t="shared" si="25"/>
        <v>0</v>
      </c>
      <c r="BY19" s="225">
        <f t="shared" si="25"/>
        <v>0</v>
      </c>
      <c r="BZ19" s="225">
        <f t="shared" si="25"/>
        <v>0</v>
      </c>
      <c r="CA19" s="228">
        <f t="shared" si="25"/>
        <v>0</v>
      </c>
      <c r="CB19" s="228">
        <f t="shared" si="25"/>
        <v>0</v>
      </c>
      <c r="CC19" s="228">
        <f t="shared" si="25"/>
        <v>0</v>
      </c>
      <c r="CD19" s="228">
        <f t="shared" si="25"/>
        <v>0</v>
      </c>
      <c r="CE19" s="399"/>
      <c r="CF19" s="399"/>
    </row>
    <row r="20" spans="1:84" ht="25.5" thickBot="1" x14ac:dyDescent="0.45">
      <c r="A20" s="712" t="s">
        <v>688</v>
      </c>
      <c r="B20" s="231" t="str">
        <f t="shared" si="19"/>
        <v/>
      </c>
      <c r="C20" s="732"/>
      <c r="D20" s="401"/>
      <c r="E20" s="733"/>
      <c r="F20" s="734"/>
      <c r="G20" s="401"/>
      <c r="H20" s="733"/>
      <c r="I20" s="733"/>
      <c r="J20" s="735"/>
      <c r="K20" s="736"/>
      <c r="L20" s="737"/>
      <c r="M20" s="737"/>
      <c r="N20" s="738"/>
      <c r="O20" s="739"/>
      <c r="P20" s="740"/>
      <c r="Q20" s="254" t="str">
        <f t="shared" si="20"/>
        <v/>
      </c>
      <c r="R20" s="254" t="str">
        <f t="shared" si="21"/>
        <v/>
      </c>
      <c r="S20" s="258" t="str">
        <f t="shared" si="22"/>
        <v/>
      </c>
      <c r="U20" s="1373"/>
      <c r="V20" s="1374"/>
      <c r="W20" s="1374"/>
      <c r="X20" s="1374"/>
      <c r="Y20" s="1375"/>
      <c r="Z20" s="1369"/>
      <c r="AA20" s="1369"/>
      <c r="AB20" s="714"/>
      <c r="AC20" s="399" t="s">
        <v>566</v>
      </c>
      <c r="AD20" s="399" t="s">
        <v>624</v>
      </c>
      <c r="AE20" s="399"/>
      <c r="AF20" s="399" t="s">
        <v>601</v>
      </c>
      <c r="AG20" s="399"/>
      <c r="AH20" s="399"/>
      <c r="AI20" s="399"/>
      <c r="AJ20" s="399" t="s">
        <v>62</v>
      </c>
      <c r="AK20" s="399"/>
      <c r="AL20" s="399"/>
      <c r="AR20" s="225" t="str">
        <f>IF(AS20&gt;1,MAX($AR$7:AR19)+1,"")</f>
        <v/>
      </c>
      <c r="AS20" s="224">
        <f t="shared" si="23"/>
        <v>0</v>
      </c>
      <c r="AT20" s="225">
        <f t="shared" si="23"/>
        <v>0</v>
      </c>
      <c r="AU20" s="224">
        <f t="shared" si="23"/>
        <v>0</v>
      </c>
      <c r="AV20" s="226">
        <f>C20</f>
        <v>0</v>
      </c>
      <c r="AW20" s="224">
        <f t="shared" si="24"/>
        <v>0</v>
      </c>
      <c r="AX20" s="224">
        <f t="shared" si="24"/>
        <v>0</v>
      </c>
      <c r="AY20" s="224">
        <f t="shared" si="24"/>
        <v>0</v>
      </c>
      <c r="AZ20" s="711"/>
      <c r="BA20" s="399">
        <v>13</v>
      </c>
      <c r="BB20" s="399" t="s">
        <v>606</v>
      </c>
      <c r="BC20" s="225" t="str">
        <f>IF(OR(BW20=$BB$8,BZ20=$BB$8),MAX($BC$7:BC19)+1,"")</f>
        <v/>
      </c>
      <c r="BD20" s="225" t="str">
        <f>IF(OR(BW20=$BB$9,BZ20=$BB$9),MAX($BD$7:BD19)+1,"")</f>
        <v/>
      </c>
      <c r="BE20" s="225" t="str">
        <f>IF(OR(BW20=$BB$10,BZ20=$BB$10),MAX($BE$7:BE19)+1,"")</f>
        <v/>
      </c>
      <c r="BF20" s="225" t="str">
        <f>IF(OR(BW20=$BB$11,BZ20=$BB$11),MAX($BF$7:BF19)+1,"")</f>
        <v/>
      </c>
      <c r="BG20" s="225" t="str">
        <f>IF(OR(BW20=$BB$12,BZ20=$BB$12),MAX($BG$7:BG19)+1,"")</f>
        <v/>
      </c>
      <c r="BH20" s="225" t="str">
        <f>IF(OR(BW20=$BB$13,BZ20=$BB$13),MAX($BH$7:BH19)+1,"")</f>
        <v/>
      </c>
      <c r="BI20" s="225" t="str">
        <f>IF(OR(BW20=$BB$14,BZ20=$BB$14),MAX($BI$7:BI19)+1,"")</f>
        <v/>
      </c>
      <c r="BJ20" s="225" t="str">
        <f>IF(OR(BW20=$BB$15,BZ20=$BB$15),MAX($BJ$7:BJ19)+1,"")</f>
        <v/>
      </c>
      <c r="BK20" s="225" t="str">
        <f>IF(OR(BW20=$BB$16,BZ20=$BB$16),MAX($BK$7:BK19)+1,"")</f>
        <v/>
      </c>
      <c r="BL20" s="225" t="str">
        <f>IF(OR(BW20=$BB$17,BZ20=$BB$17),MAX($BL$7:BL19)+1,"")</f>
        <v/>
      </c>
      <c r="BM20" s="225" t="str">
        <f>IF(OR(BW20=$BB$18,BZ20=$BB$18),MAX($BM$7:BM19)+1,"")</f>
        <v/>
      </c>
      <c r="BN20" s="225" t="str">
        <f>IF(OR(BW20=$BB$19,BZ20=$BB$19),MAX($BN$7:BN19)+1,"")</f>
        <v/>
      </c>
      <c r="BO20" s="225" t="str">
        <f>IF(OR(BW20=$BB$20,BZ20=$BB$20),MAX($BO$7:BO19)+1,"")</f>
        <v/>
      </c>
      <c r="BP20" s="225">
        <f>IF(OR(BW20=$BB$21,BZ20=$BB$21),MAX($BP$7:BP19)+1,"")</f>
        <v>13</v>
      </c>
      <c r="BQ20" s="399"/>
      <c r="BR20" s="399"/>
      <c r="BS20" s="399"/>
      <c r="BT20" s="227">
        <f t="shared" si="25"/>
        <v>0</v>
      </c>
      <c r="BU20" s="225">
        <f t="shared" si="25"/>
        <v>0</v>
      </c>
      <c r="BV20" s="225">
        <f t="shared" si="25"/>
        <v>0</v>
      </c>
      <c r="BW20" s="225">
        <f t="shared" si="25"/>
        <v>0</v>
      </c>
      <c r="BX20" s="225">
        <f t="shared" si="25"/>
        <v>0</v>
      </c>
      <c r="BY20" s="225">
        <f t="shared" si="25"/>
        <v>0</v>
      </c>
      <c r="BZ20" s="225">
        <f t="shared" si="25"/>
        <v>0</v>
      </c>
      <c r="CA20" s="228">
        <f t="shared" si="25"/>
        <v>0</v>
      </c>
      <c r="CB20" s="228">
        <f t="shared" si="25"/>
        <v>0</v>
      </c>
      <c r="CC20" s="228">
        <f t="shared" si="25"/>
        <v>0</v>
      </c>
      <c r="CD20" s="228">
        <f t="shared" si="25"/>
        <v>0</v>
      </c>
      <c r="CE20" s="399"/>
      <c r="CF20" s="399"/>
    </row>
    <row r="21" spans="1:84" ht="25.5" thickBot="1" x14ac:dyDescent="0.45">
      <c r="A21" s="712" t="s">
        <v>545</v>
      </c>
      <c r="B21" s="231" t="str">
        <f t="shared" si="19"/>
        <v/>
      </c>
      <c r="C21" s="732"/>
      <c r="D21" s="401"/>
      <c r="E21" s="733"/>
      <c r="F21" s="734"/>
      <c r="G21" s="401"/>
      <c r="H21" s="733"/>
      <c r="I21" s="733"/>
      <c r="J21" s="735"/>
      <c r="K21" s="736"/>
      <c r="L21" s="737"/>
      <c r="M21" s="737"/>
      <c r="N21" s="738"/>
      <c r="O21" s="739"/>
      <c r="P21" s="740"/>
      <c r="Q21" s="254" t="str">
        <f t="shared" si="20"/>
        <v/>
      </c>
      <c r="R21" s="254" t="str">
        <f t="shared" si="21"/>
        <v/>
      </c>
      <c r="S21" s="258" t="str">
        <f t="shared" si="22"/>
        <v/>
      </c>
      <c r="U21" s="1364" t="s">
        <v>677</v>
      </c>
      <c r="V21" s="1365"/>
      <c r="W21" s="1365"/>
      <c r="X21" s="1365"/>
      <c r="Y21" s="1365"/>
      <c r="Z21" s="1366">
        <f>(Z19+AA19)</f>
        <v>6000</v>
      </c>
      <c r="AA21" s="1367"/>
      <c r="AB21" s="399"/>
      <c r="AC21" s="229">
        <f>HOME!E2</f>
        <v>2022</v>
      </c>
      <c r="AD21" s="230">
        <f>HOME!F2</f>
        <v>2023</v>
      </c>
      <c r="AE21" s="399"/>
      <c r="AF21" s="399" t="s">
        <v>605</v>
      </c>
      <c r="AG21" s="399"/>
      <c r="AH21" s="399"/>
      <c r="AI21" s="399"/>
      <c r="AJ21" s="399"/>
      <c r="AK21" s="399"/>
      <c r="AL21" s="399"/>
      <c r="AR21" s="225" t="str">
        <f>IF(AS21&gt;1,MAX($AR$7:AR20)+1,"")</f>
        <v/>
      </c>
      <c r="AS21" s="224">
        <f t="shared" si="1"/>
        <v>0</v>
      </c>
      <c r="AT21" s="225">
        <f t="shared" si="2"/>
        <v>0</v>
      </c>
      <c r="AU21" s="224">
        <f t="shared" si="3"/>
        <v>0</v>
      </c>
      <c r="AV21" s="226">
        <f t="shared" si="4"/>
        <v>0</v>
      </c>
      <c r="AW21" s="224">
        <f t="shared" si="16"/>
        <v>0</v>
      </c>
      <c r="AX21" s="224">
        <f t="shared" si="17"/>
        <v>0</v>
      </c>
      <c r="AY21" s="224">
        <f t="shared" si="18"/>
        <v>0</v>
      </c>
      <c r="AZ21" s="711"/>
      <c r="BA21" s="399"/>
      <c r="BB21" s="399"/>
      <c r="BC21" s="225" t="str">
        <f>IF(OR(BW21=$BB$8,BZ21=$BB$8),MAX($BC$7:BC20)+1,"")</f>
        <v/>
      </c>
      <c r="BD21" s="225" t="str">
        <f>IF(OR(BW21=$BB$9,BZ21=$BB$9),MAX($BD$7:BD20)+1,"")</f>
        <v/>
      </c>
      <c r="BE21" s="225" t="str">
        <f>IF(OR(BW21=$BB$10,BZ21=$BB$10),MAX($BE$7:BE20)+1,"")</f>
        <v/>
      </c>
      <c r="BF21" s="225" t="str">
        <f>IF(OR(BW21=$BB$11,BZ21=$BB$11),MAX($BF$7:BF20)+1,"")</f>
        <v/>
      </c>
      <c r="BG21" s="225" t="str">
        <f>IF(OR(BW21=$BB$12,BZ21=$BB$12),MAX($BG$7:BG20)+1,"")</f>
        <v/>
      </c>
      <c r="BH21" s="225" t="str">
        <f>IF(OR(BW21=$BB$13,BZ21=$BB$13),MAX($BH$7:BH20)+1,"")</f>
        <v/>
      </c>
      <c r="BI21" s="225" t="str">
        <f>IF(OR(BW21=$BB$14,BZ21=$BB$14),MAX($BI$7:BI20)+1,"")</f>
        <v/>
      </c>
      <c r="BJ21" s="225" t="str">
        <f>IF(OR(BW21=$BB$15,BZ21=$BB$15),MAX($BJ$7:BJ20)+1,"")</f>
        <v/>
      </c>
      <c r="BK21" s="225" t="str">
        <f>IF(OR(BW21=$BB$16,BZ21=$BB$16),MAX($BK$7:BK20)+1,"")</f>
        <v/>
      </c>
      <c r="BL21" s="225" t="str">
        <f>IF(OR(BW21=$BB$17,BZ21=$BB$17),MAX($BL$7:BL20)+1,"")</f>
        <v/>
      </c>
      <c r="BM21" s="225" t="str">
        <f>IF(OR(BW21=$BB$18,BZ21=$BB$18),MAX($BM$7:BM20)+1,"")</f>
        <v/>
      </c>
      <c r="BN21" s="225" t="str">
        <f>IF(OR(BW21=$BB$19,BZ21=$BB$19),MAX($BN$7:BN20)+1,"")</f>
        <v/>
      </c>
      <c r="BO21" s="225" t="str">
        <f>IF(OR(BW21=$BB$20,BZ21=$BB$20),MAX($BO$7:BO20)+1,"")</f>
        <v/>
      </c>
      <c r="BP21" s="225">
        <f>IF(OR(BW21=$BB$21,BZ21=$BB$21),MAX($BP$7:BP20)+1,"")</f>
        <v>14</v>
      </c>
      <c r="BQ21" s="399"/>
      <c r="BR21" s="399"/>
      <c r="BS21" s="399"/>
      <c r="BT21" s="227">
        <f t="shared" si="5"/>
        <v>0</v>
      </c>
      <c r="BU21" s="225">
        <f t="shared" si="6"/>
        <v>0</v>
      </c>
      <c r="BV21" s="225">
        <f t="shared" si="7"/>
        <v>0</v>
      </c>
      <c r="BW21" s="225">
        <f t="shared" si="8"/>
        <v>0</v>
      </c>
      <c r="BX21" s="225">
        <f t="shared" si="9"/>
        <v>0</v>
      </c>
      <c r="BY21" s="225">
        <f t="shared" si="10"/>
        <v>0</v>
      </c>
      <c r="BZ21" s="225">
        <f t="shared" si="11"/>
        <v>0</v>
      </c>
      <c r="CA21" s="228">
        <f t="shared" si="12"/>
        <v>0</v>
      </c>
      <c r="CB21" s="228">
        <f t="shared" si="13"/>
        <v>0</v>
      </c>
      <c r="CC21" s="228">
        <f t="shared" si="14"/>
        <v>0</v>
      </c>
      <c r="CD21" s="228">
        <f t="shared" si="15"/>
        <v>0</v>
      </c>
      <c r="CE21" s="399"/>
      <c r="CF21" s="399"/>
    </row>
    <row r="22" spans="1:84" x14ac:dyDescent="0.4">
      <c r="A22" s="712" t="s">
        <v>689</v>
      </c>
      <c r="B22" s="231" t="str">
        <f t="shared" si="19"/>
        <v/>
      </c>
      <c r="C22" s="732"/>
      <c r="D22" s="401"/>
      <c r="E22" s="733"/>
      <c r="F22" s="734"/>
      <c r="G22" s="401"/>
      <c r="H22" s="733"/>
      <c r="I22" s="733"/>
      <c r="J22" s="735"/>
      <c r="K22" s="736"/>
      <c r="L22" s="737"/>
      <c r="M22" s="737"/>
      <c r="N22" s="738"/>
      <c r="O22" s="739"/>
      <c r="P22" s="740"/>
      <c r="Q22" s="254" t="str">
        <f t="shared" si="20"/>
        <v/>
      </c>
      <c r="R22" s="254" t="str">
        <f t="shared" si="21"/>
        <v/>
      </c>
      <c r="S22" s="258" t="str">
        <f t="shared" si="22"/>
        <v/>
      </c>
      <c r="AB22" s="399"/>
      <c r="AC22" s="399"/>
      <c r="AD22" s="399"/>
      <c r="AE22" s="399"/>
      <c r="AF22" s="399" t="s">
        <v>699</v>
      </c>
      <c r="AG22" s="399"/>
      <c r="AH22" s="399"/>
      <c r="AI22" s="399"/>
      <c r="AJ22" s="399"/>
      <c r="AK22" s="399"/>
      <c r="AL22" s="399"/>
      <c r="AR22" s="225" t="str">
        <f>IF(AS22&gt;1,MAX($AR$7:AR21)+1,"")</f>
        <v/>
      </c>
      <c r="AS22" s="224">
        <f t="shared" si="1"/>
        <v>0</v>
      </c>
      <c r="AT22" s="225">
        <f t="shared" si="2"/>
        <v>0</v>
      </c>
      <c r="AU22" s="224">
        <f t="shared" si="3"/>
        <v>0</v>
      </c>
      <c r="AV22" s="226">
        <f t="shared" si="4"/>
        <v>0</v>
      </c>
      <c r="AW22" s="224">
        <f t="shared" si="16"/>
        <v>0</v>
      </c>
      <c r="AX22" s="224">
        <f t="shared" si="17"/>
        <v>0</v>
      </c>
      <c r="AY22" s="224">
        <f t="shared" si="18"/>
        <v>0</v>
      </c>
      <c r="AZ22" s="711"/>
      <c r="BA22" s="399"/>
      <c r="BB22" s="399"/>
      <c r="BC22" s="225" t="str">
        <f>IF(OR(BW22=$BB$8,BZ22=$BB$8),MAX($BC$7:BC21)+1,"")</f>
        <v/>
      </c>
      <c r="BD22" s="225" t="str">
        <f>IF(OR(BW22=$BB$9,BZ22=$BB$9),MAX($BD$7:BD21)+1,"")</f>
        <v/>
      </c>
      <c r="BE22" s="225" t="str">
        <f>IF(OR(BW22=$BB$10,BZ22=$BB$10),MAX($BE$7:BE21)+1,"")</f>
        <v/>
      </c>
      <c r="BF22" s="225" t="str">
        <f>IF(OR(BW22=$BB$11,BZ22=$BB$11),MAX($BF$7:BF21)+1,"")</f>
        <v/>
      </c>
      <c r="BG22" s="225" t="str">
        <f>IF(OR(BW22=$BB$12,BZ22=$BB$12),MAX($BG$7:BG21)+1,"")</f>
        <v/>
      </c>
      <c r="BH22" s="225" t="str">
        <f>IF(OR(BW22=$BB$13,BZ22=$BB$13),MAX($BH$7:BH21)+1,"")</f>
        <v/>
      </c>
      <c r="BI22" s="225" t="str">
        <f>IF(OR(BW22=$BB$14,BZ22=$BB$14),MAX($BI$7:BI21)+1,"")</f>
        <v/>
      </c>
      <c r="BJ22" s="225" t="str">
        <f>IF(OR(BW22=$BB$15,BZ22=$BB$15),MAX($BJ$7:BJ21)+1,"")</f>
        <v/>
      </c>
      <c r="BK22" s="225" t="str">
        <f>IF(OR(BW22=$BB$16,BZ22=$BB$16),MAX($BK$7:BK21)+1,"")</f>
        <v/>
      </c>
      <c r="BL22" s="225" t="str">
        <f>IF(OR(BW22=$BB$17,BZ22=$BB$17),MAX($BL$7:BL21)+1,"")</f>
        <v/>
      </c>
      <c r="BM22" s="225" t="str">
        <f>IF(OR(BW22=$BB$18,BZ22=$BB$18),MAX($BM$7:BM21)+1,"")</f>
        <v/>
      </c>
      <c r="BN22" s="225" t="str">
        <f>IF(OR(BW22=$BB$19,BZ22=$BB$19),MAX($BN$7:BN21)+1,"")</f>
        <v/>
      </c>
      <c r="BO22" s="225" t="str">
        <f>IF(OR(BW22=$BB$20,BZ22=$BB$20),MAX($BO$7:BO21)+1,"")</f>
        <v/>
      </c>
      <c r="BP22" s="225">
        <f>IF(OR(BW22=$BB$21,BZ22=$BB$21),MAX($BP$7:BP21)+1,"")</f>
        <v>15</v>
      </c>
      <c r="BQ22" s="399"/>
      <c r="BR22" s="399"/>
      <c r="BS22" s="399"/>
      <c r="BT22" s="227">
        <f t="shared" si="5"/>
        <v>0</v>
      </c>
      <c r="BU22" s="225">
        <f t="shared" si="6"/>
        <v>0</v>
      </c>
      <c r="BV22" s="225">
        <f t="shared" si="7"/>
        <v>0</v>
      </c>
      <c r="BW22" s="225">
        <f t="shared" si="8"/>
        <v>0</v>
      </c>
      <c r="BX22" s="225">
        <f t="shared" si="9"/>
        <v>0</v>
      </c>
      <c r="BY22" s="225">
        <f t="shared" si="10"/>
        <v>0</v>
      </c>
      <c r="BZ22" s="225">
        <f t="shared" si="11"/>
        <v>0</v>
      </c>
      <c r="CA22" s="228">
        <f t="shared" si="12"/>
        <v>0</v>
      </c>
      <c r="CB22" s="228">
        <f t="shared" si="13"/>
        <v>0</v>
      </c>
      <c r="CC22" s="228">
        <f t="shared" si="14"/>
        <v>0</v>
      </c>
      <c r="CD22" s="228">
        <f t="shared" si="15"/>
        <v>0</v>
      </c>
      <c r="CE22" s="399"/>
      <c r="CF22" s="399"/>
    </row>
    <row r="23" spans="1:84" x14ac:dyDescent="0.4">
      <c r="A23" s="712" t="s">
        <v>692</v>
      </c>
      <c r="B23" s="231" t="str">
        <f t="shared" si="19"/>
        <v/>
      </c>
      <c r="C23" s="732"/>
      <c r="D23" s="401"/>
      <c r="E23" s="733"/>
      <c r="F23" s="734"/>
      <c r="G23" s="401"/>
      <c r="H23" s="733"/>
      <c r="I23" s="733"/>
      <c r="J23" s="735"/>
      <c r="K23" s="736"/>
      <c r="L23" s="737"/>
      <c r="M23" s="737"/>
      <c r="N23" s="738"/>
      <c r="O23" s="739"/>
      <c r="P23" s="740"/>
      <c r="Q23" s="254" t="str">
        <f t="shared" si="20"/>
        <v/>
      </c>
      <c r="R23" s="254" t="str">
        <f t="shared" si="21"/>
        <v/>
      </c>
      <c r="S23" s="258" t="str">
        <f t="shared" si="22"/>
        <v/>
      </c>
      <c r="AB23" s="399"/>
      <c r="AC23" s="399"/>
      <c r="AD23" s="399"/>
      <c r="AE23" s="399"/>
      <c r="AF23" s="380"/>
      <c r="AG23" s="380"/>
      <c r="AH23" s="380"/>
      <c r="AI23" s="380"/>
      <c r="AJ23" s="380"/>
      <c r="AK23" s="399"/>
      <c r="AL23" s="399"/>
      <c r="AR23" s="225" t="str">
        <f>IF(AS23&gt;1,MAX($AR$7:AR22)+1,"")</f>
        <v/>
      </c>
      <c r="AS23" s="224">
        <f t="shared" si="1"/>
        <v>0</v>
      </c>
      <c r="AT23" s="225">
        <f t="shared" si="2"/>
        <v>0</v>
      </c>
      <c r="AU23" s="224">
        <f t="shared" si="3"/>
        <v>0</v>
      </c>
      <c r="AV23" s="226">
        <f t="shared" si="4"/>
        <v>0</v>
      </c>
      <c r="AW23" s="224">
        <f t="shared" si="16"/>
        <v>0</v>
      </c>
      <c r="AX23" s="224">
        <f t="shared" si="17"/>
        <v>0</v>
      </c>
      <c r="AY23" s="224">
        <f t="shared" si="18"/>
        <v>0</v>
      </c>
      <c r="AZ23" s="711"/>
      <c r="BA23" s="399"/>
      <c r="BB23" s="399"/>
      <c r="BC23" s="225" t="str">
        <f>IF(OR(BW23=$BB$8,BZ23=$BB$8),MAX($BC$7:BC22)+1,"")</f>
        <v/>
      </c>
      <c r="BD23" s="225" t="str">
        <f>IF(OR(BW23=$BB$9,BZ23=$BB$9),MAX($BD$7:BD22)+1,"")</f>
        <v/>
      </c>
      <c r="BE23" s="225" t="str">
        <f>IF(OR(BW23=$BB$10,BZ23=$BB$10),MAX($BE$7:BE22)+1,"")</f>
        <v/>
      </c>
      <c r="BF23" s="225" t="str">
        <f>IF(OR(BW23=$BB$11,BZ23=$BB$11),MAX($BF$7:BF22)+1,"")</f>
        <v/>
      </c>
      <c r="BG23" s="225" t="str">
        <f>IF(OR(BW23=$BB$12,BZ23=$BB$12),MAX($BG$7:BG22)+1,"")</f>
        <v/>
      </c>
      <c r="BH23" s="225" t="str">
        <f>IF(OR(BW23=$BB$13,BZ23=$BB$13),MAX($BH$7:BH22)+1,"")</f>
        <v/>
      </c>
      <c r="BI23" s="225" t="str">
        <f>IF(OR(BW23=$BB$14,BZ23=$BB$14),MAX($BI$7:BI22)+1,"")</f>
        <v/>
      </c>
      <c r="BJ23" s="225" t="str">
        <f>IF(OR(BW23=$BB$15,BZ23=$BB$15),MAX($BJ$7:BJ22)+1,"")</f>
        <v/>
      </c>
      <c r="BK23" s="225" t="str">
        <f>IF(OR(BW23=$BB$16,BZ23=$BB$16),MAX($BK$7:BK22)+1,"")</f>
        <v/>
      </c>
      <c r="BL23" s="225" t="str">
        <f>IF(OR(BW23=$BB$17,BZ23=$BB$17),MAX($BL$7:BL22)+1,"")</f>
        <v/>
      </c>
      <c r="BM23" s="225" t="str">
        <f>IF(OR(BW23=$BB$18,BZ23=$BB$18),MAX($BM$7:BM22)+1,"")</f>
        <v/>
      </c>
      <c r="BN23" s="225" t="str">
        <f>IF(OR(BW23=$BB$19,BZ23=$BB$19),MAX($BN$7:BN22)+1,"")</f>
        <v/>
      </c>
      <c r="BO23" s="225" t="str">
        <f>IF(OR(BW23=$BB$20,BZ23=$BB$20),MAX($BO$7:BO22)+1,"")</f>
        <v/>
      </c>
      <c r="BP23" s="225">
        <f>IF(OR(BW23=$BB$21,BZ23=$BB$21),MAX($BP$7:BP22)+1,"")</f>
        <v>16</v>
      </c>
      <c r="BQ23" s="399"/>
      <c r="BR23" s="399"/>
      <c r="BS23" s="399"/>
      <c r="BT23" s="227">
        <f t="shared" si="5"/>
        <v>0</v>
      </c>
      <c r="BU23" s="225">
        <f t="shared" si="6"/>
        <v>0</v>
      </c>
      <c r="BV23" s="225">
        <f t="shared" si="7"/>
        <v>0</v>
      </c>
      <c r="BW23" s="225">
        <f t="shared" si="8"/>
        <v>0</v>
      </c>
      <c r="BX23" s="225">
        <f t="shared" si="9"/>
        <v>0</v>
      </c>
      <c r="BY23" s="225">
        <f t="shared" si="10"/>
        <v>0</v>
      </c>
      <c r="BZ23" s="225">
        <f t="shared" si="11"/>
        <v>0</v>
      </c>
      <c r="CA23" s="228">
        <f t="shared" si="12"/>
        <v>0</v>
      </c>
      <c r="CB23" s="228">
        <f t="shared" si="13"/>
        <v>0</v>
      </c>
      <c r="CC23" s="228">
        <f t="shared" si="14"/>
        <v>0</v>
      </c>
      <c r="CD23" s="228">
        <f t="shared" si="15"/>
        <v>0</v>
      </c>
      <c r="CE23" s="399"/>
      <c r="CF23" s="399"/>
    </row>
    <row r="24" spans="1:84" x14ac:dyDescent="0.4">
      <c r="A24" s="712" t="s">
        <v>690</v>
      </c>
      <c r="B24" s="231" t="str">
        <f t="shared" si="19"/>
        <v/>
      </c>
      <c r="C24" s="732"/>
      <c r="D24" s="401"/>
      <c r="E24" s="733"/>
      <c r="F24" s="734"/>
      <c r="G24" s="401"/>
      <c r="H24" s="733"/>
      <c r="I24" s="733"/>
      <c r="J24" s="735"/>
      <c r="K24" s="736"/>
      <c r="L24" s="737"/>
      <c r="M24" s="737"/>
      <c r="N24" s="738"/>
      <c r="O24" s="739"/>
      <c r="P24" s="740"/>
      <c r="Q24" s="254" t="str">
        <f t="shared" si="20"/>
        <v/>
      </c>
      <c r="R24" s="254" t="str">
        <f t="shared" si="21"/>
        <v/>
      </c>
      <c r="S24" s="258" t="str">
        <f t="shared" si="22"/>
        <v/>
      </c>
      <c r="AB24" s="399"/>
      <c r="AC24" s="399"/>
      <c r="AD24" s="399"/>
      <c r="AE24" s="399"/>
      <c r="AF24" s="380"/>
      <c r="AG24" s="380"/>
      <c r="AH24" s="380"/>
      <c r="AI24" s="380"/>
      <c r="AJ24" s="380"/>
      <c r="AK24" s="399"/>
      <c r="AL24" s="399"/>
      <c r="AR24" s="225" t="str">
        <f>IF(AS24&gt;1,MAX($AR$7:AR23)+1,"")</f>
        <v/>
      </c>
      <c r="AS24" s="224">
        <f t="shared" si="1"/>
        <v>0</v>
      </c>
      <c r="AT24" s="225">
        <f t="shared" si="2"/>
        <v>0</v>
      </c>
      <c r="AU24" s="224">
        <f t="shared" si="3"/>
        <v>0</v>
      </c>
      <c r="AV24" s="226">
        <f t="shared" si="4"/>
        <v>0</v>
      </c>
      <c r="AW24" s="224">
        <f t="shared" si="16"/>
        <v>0</v>
      </c>
      <c r="AX24" s="224">
        <f t="shared" si="17"/>
        <v>0</v>
      </c>
      <c r="AY24" s="224">
        <f t="shared" si="18"/>
        <v>0</v>
      </c>
      <c r="AZ24" s="711"/>
      <c r="BA24" s="399"/>
      <c r="BB24" s="399"/>
      <c r="BC24" s="225" t="str">
        <f>IF(OR(BW24=$BB$8,BZ24=$BB$8),MAX($BC$7:BC23)+1,"")</f>
        <v/>
      </c>
      <c r="BD24" s="225" t="str">
        <f>IF(OR(BW24=$BB$9,BZ24=$BB$9),MAX($BD$7:BD23)+1,"")</f>
        <v/>
      </c>
      <c r="BE24" s="225" t="str">
        <f>IF(OR(BW24=$BB$10,BZ24=$BB$10),MAX($BE$7:BE23)+1,"")</f>
        <v/>
      </c>
      <c r="BF24" s="225" t="str">
        <f>IF(OR(BW24=$BB$11,BZ24=$BB$11),MAX($BF$7:BF23)+1,"")</f>
        <v/>
      </c>
      <c r="BG24" s="225" t="str">
        <f>IF(OR(BW24=$BB$12,BZ24=$BB$12),MAX($BG$7:BG23)+1,"")</f>
        <v/>
      </c>
      <c r="BH24" s="225" t="str">
        <f>IF(OR(BW24=$BB$13,BZ24=$BB$13),MAX($BH$7:BH23)+1,"")</f>
        <v/>
      </c>
      <c r="BI24" s="225" t="str">
        <f>IF(OR(BW24=$BB$14,BZ24=$BB$14),MAX($BI$7:BI23)+1,"")</f>
        <v/>
      </c>
      <c r="BJ24" s="225" t="str">
        <f>IF(OR(BW24=$BB$15,BZ24=$BB$15),MAX($BJ$7:BJ23)+1,"")</f>
        <v/>
      </c>
      <c r="BK24" s="225" t="str">
        <f>IF(OR(BW24=$BB$16,BZ24=$BB$16),MAX($BK$7:BK23)+1,"")</f>
        <v/>
      </c>
      <c r="BL24" s="225" t="str">
        <f>IF(OR(BW24=$BB$17,BZ24=$BB$17),MAX($BL$7:BL23)+1,"")</f>
        <v/>
      </c>
      <c r="BM24" s="225" t="str">
        <f>IF(OR(BW24=$BB$18,BZ24=$BB$18),MAX($BM$7:BM23)+1,"")</f>
        <v/>
      </c>
      <c r="BN24" s="225" t="str">
        <f>IF(OR(BW24=$BB$19,BZ24=$BB$19),MAX($BN$7:BN23)+1,"")</f>
        <v/>
      </c>
      <c r="BO24" s="225" t="str">
        <f>IF(OR(BW24=$BB$20,BZ24=$BB$20),MAX($BO$7:BO23)+1,"")</f>
        <v/>
      </c>
      <c r="BP24" s="225">
        <f>IF(OR(BW24=$BB$21,BZ24=$BB$21),MAX($BP$7:BP23)+1,"")</f>
        <v>17</v>
      </c>
      <c r="BQ24" s="399"/>
      <c r="BR24" s="399"/>
      <c r="BS24" s="399"/>
      <c r="BT24" s="227">
        <f t="shared" si="5"/>
        <v>0</v>
      </c>
      <c r="BU24" s="225">
        <f t="shared" si="6"/>
        <v>0</v>
      </c>
      <c r="BV24" s="225">
        <f t="shared" si="7"/>
        <v>0</v>
      </c>
      <c r="BW24" s="225">
        <f t="shared" si="8"/>
        <v>0</v>
      </c>
      <c r="BX24" s="225">
        <f t="shared" si="9"/>
        <v>0</v>
      </c>
      <c r="BY24" s="225">
        <f t="shared" si="10"/>
        <v>0</v>
      </c>
      <c r="BZ24" s="225">
        <f t="shared" si="11"/>
        <v>0</v>
      </c>
      <c r="CA24" s="228">
        <f t="shared" si="12"/>
        <v>0</v>
      </c>
      <c r="CB24" s="228">
        <f t="shared" si="13"/>
        <v>0</v>
      </c>
      <c r="CC24" s="228">
        <f t="shared" si="14"/>
        <v>0</v>
      </c>
      <c r="CD24" s="228">
        <f t="shared" si="15"/>
        <v>0</v>
      </c>
      <c r="CE24" s="399"/>
      <c r="CF24" s="399"/>
    </row>
    <row r="25" spans="1:84" x14ac:dyDescent="0.4">
      <c r="A25" s="712" t="s">
        <v>691</v>
      </c>
      <c r="B25" s="231" t="str">
        <f t="shared" si="19"/>
        <v/>
      </c>
      <c r="C25" s="732"/>
      <c r="D25" s="401"/>
      <c r="E25" s="733"/>
      <c r="F25" s="734"/>
      <c r="G25" s="401"/>
      <c r="H25" s="733"/>
      <c r="I25" s="733"/>
      <c r="J25" s="735"/>
      <c r="K25" s="736"/>
      <c r="L25" s="737"/>
      <c r="M25" s="737"/>
      <c r="N25" s="738"/>
      <c r="O25" s="739"/>
      <c r="P25" s="740"/>
      <c r="Q25" s="254" t="str">
        <f t="shared" si="20"/>
        <v/>
      </c>
      <c r="R25" s="254" t="str">
        <f t="shared" si="21"/>
        <v/>
      </c>
      <c r="S25" s="258" t="str">
        <f t="shared" si="22"/>
        <v/>
      </c>
      <c r="AB25" s="399"/>
      <c r="AC25" s="399" t="s">
        <v>589</v>
      </c>
      <c r="AD25" s="399"/>
      <c r="AE25" s="399"/>
      <c r="AF25" s="380"/>
      <c r="AG25" s="380"/>
      <c r="AH25" s="380"/>
      <c r="AI25" s="380"/>
      <c r="AJ25" s="380"/>
      <c r="AK25" s="399"/>
      <c r="AL25" s="399"/>
      <c r="AR25" s="225" t="str">
        <f>IF(AS25&gt;1,MAX($AR$7:AR24)+1,"")</f>
        <v/>
      </c>
      <c r="AS25" s="224">
        <f t="shared" si="1"/>
        <v>0</v>
      </c>
      <c r="AT25" s="225">
        <f t="shared" si="2"/>
        <v>0</v>
      </c>
      <c r="AU25" s="224">
        <f t="shared" si="3"/>
        <v>0</v>
      </c>
      <c r="AV25" s="226">
        <f t="shared" si="4"/>
        <v>0</v>
      </c>
      <c r="AW25" s="224">
        <f t="shared" si="16"/>
        <v>0</v>
      </c>
      <c r="AX25" s="224">
        <f t="shared" si="17"/>
        <v>0</v>
      </c>
      <c r="AY25" s="224">
        <f t="shared" si="18"/>
        <v>0</v>
      </c>
      <c r="AZ25" s="711"/>
      <c r="BA25" s="399"/>
      <c r="BB25" s="399"/>
      <c r="BC25" s="225" t="str">
        <f>IF(OR(BW25=$BB$8,BZ25=$BB$8),MAX($BC$7:BC24)+1,"")</f>
        <v/>
      </c>
      <c r="BD25" s="225" t="str">
        <f>IF(OR(BW25=$BB$9,BZ25=$BB$9),MAX($BD$7:BD24)+1,"")</f>
        <v/>
      </c>
      <c r="BE25" s="225" t="str">
        <f>IF(OR(BW25=$BB$10,BZ25=$BB$10),MAX($BE$7:BE24)+1,"")</f>
        <v/>
      </c>
      <c r="BF25" s="225" t="str">
        <f>IF(OR(BW25=$BB$11,BZ25=$BB$11),MAX($BF$7:BF24)+1,"")</f>
        <v/>
      </c>
      <c r="BG25" s="225" t="str">
        <f>IF(OR(BW25=$BB$12,BZ25=$BB$12),MAX($BG$7:BG24)+1,"")</f>
        <v/>
      </c>
      <c r="BH25" s="225" t="str">
        <f>IF(OR(BW25=$BB$13,BZ25=$BB$13),MAX($BH$7:BH24)+1,"")</f>
        <v/>
      </c>
      <c r="BI25" s="225" t="str">
        <f>IF(OR(BW25=$BB$14,BZ25=$BB$14),MAX($BI$7:BI24)+1,"")</f>
        <v/>
      </c>
      <c r="BJ25" s="225" t="str">
        <f>IF(OR(BW25=$BB$15,BZ25=$BB$15),MAX($BJ$7:BJ24)+1,"")</f>
        <v/>
      </c>
      <c r="BK25" s="225" t="str">
        <f>IF(OR(BW25=$BB$16,BZ25=$BB$16),MAX($BK$7:BK24)+1,"")</f>
        <v/>
      </c>
      <c r="BL25" s="225" t="str">
        <f>IF(OR(BW25=$BB$17,BZ25=$BB$17),MAX($BL$7:BL24)+1,"")</f>
        <v/>
      </c>
      <c r="BM25" s="225" t="str">
        <f>IF(OR(BW25=$BB$18,BZ25=$BB$18),MAX($BM$7:BM24)+1,"")</f>
        <v/>
      </c>
      <c r="BN25" s="225" t="str">
        <f>IF(OR(BW25=$BB$19,BZ25=$BB$19),MAX($BN$7:BN24)+1,"")</f>
        <v/>
      </c>
      <c r="BO25" s="225" t="str">
        <f>IF(OR(BW25=$BB$20,BZ25=$BB$20),MAX($BO$7:BO24)+1,"")</f>
        <v/>
      </c>
      <c r="BP25" s="225">
        <f>IF(OR(BW25=$BB$21,BZ25=$BB$21),MAX($BP$7:BP24)+1,"")</f>
        <v>18</v>
      </c>
      <c r="BQ25" s="399"/>
      <c r="BR25" s="399"/>
      <c r="BS25" s="399"/>
      <c r="BT25" s="227">
        <f t="shared" si="5"/>
        <v>0</v>
      </c>
      <c r="BU25" s="225">
        <f t="shared" si="6"/>
        <v>0</v>
      </c>
      <c r="BV25" s="225">
        <f t="shared" si="7"/>
        <v>0</v>
      </c>
      <c r="BW25" s="225">
        <f t="shared" si="8"/>
        <v>0</v>
      </c>
      <c r="BX25" s="225">
        <f t="shared" si="9"/>
        <v>0</v>
      </c>
      <c r="BY25" s="225">
        <f t="shared" si="10"/>
        <v>0</v>
      </c>
      <c r="BZ25" s="225">
        <f t="shared" si="11"/>
        <v>0</v>
      </c>
      <c r="CA25" s="228">
        <f t="shared" si="12"/>
        <v>0</v>
      </c>
      <c r="CB25" s="228">
        <f t="shared" si="13"/>
        <v>0</v>
      </c>
      <c r="CC25" s="228">
        <f t="shared" si="14"/>
        <v>0</v>
      </c>
      <c r="CD25" s="228">
        <f t="shared" si="15"/>
        <v>0</v>
      </c>
      <c r="CE25" s="399"/>
      <c r="CF25" s="399"/>
    </row>
    <row r="26" spans="1:84" x14ac:dyDescent="0.4">
      <c r="B26" s="231" t="str">
        <f t="shared" si="19"/>
        <v/>
      </c>
      <c r="C26" s="732"/>
      <c r="D26" s="401"/>
      <c r="E26" s="733"/>
      <c r="F26" s="734"/>
      <c r="G26" s="401"/>
      <c r="H26" s="733"/>
      <c r="I26" s="733"/>
      <c r="J26" s="735"/>
      <c r="K26" s="736"/>
      <c r="L26" s="737"/>
      <c r="M26" s="737"/>
      <c r="N26" s="738"/>
      <c r="O26" s="739"/>
      <c r="P26" s="740"/>
      <c r="Q26" s="254" t="str">
        <f t="shared" si="20"/>
        <v/>
      </c>
      <c r="R26" s="254" t="str">
        <f t="shared" si="21"/>
        <v/>
      </c>
      <c r="S26" s="258" t="str">
        <f t="shared" si="22"/>
        <v/>
      </c>
      <c r="AB26" s="399"/>
      <c r="AC26" s="225" t="str">
        <f>'शाळा माहिती'!D21</f>
        <v>श्रीम.सुनंदा सुखदेव लकारे</v>
      </c>
      <c r="AD26" s="399"/>
      <c r="AE26" s="399"/>
      <c r="AF26" s="380"/>
      <c r="AG26" s="380"/>
      <c r="AH26" s="380"/>
      <c r="AI26" s="380"/>
      <c r="AJ26" s="380"/>
      <c r="AK26" s="399"/>
      <c r="AL26" s="399"/>
      <c r="AR26" s="225" t="str">
        <f>IF(AS26&gt;1,MAX($AR$7:AR25)+1,"")</f>
        <v/>
      </c>
      <c r="AS26" s="224">
        <f t="shared" si="1"/>
        <v>0</v>
      </c>
      <c r="AT26" s="225">
        <f t="shared" si="2"/>
        <v>0</v>
      </c>
      <c r="AU26" s="224">
        <f t="shared" si="3"/>
        <v>0</v>
      </c>
      <c r="AV26" s="226">
        <f t="shared" si="4"/>
        <v>0</v>
      </c>
      <c r="AW26" s="224">
        <f t="shared" si="16"/>
        <v>0</v>
      </c>
      <c r="AX26" s="224">
        <f t="shared" si="17"/>
        <v>0</v>
      </c>
      <c r="AY26" s="224">
        <f t="shared" si="18"/>
        <v>0</v>
      </c>
      <c r="AZ26" s="711"/>
      <c r="BA26" s="399"/>
      <c r="BB26" s="399"/>
      <c r="BC26" s="225" t="str">
        <f>IF(OR(BW26=$BB$8,BZ26=$BB$8),MAX($BC$7:BC25)+1,"")</f>
        <v/>
      </c>
      <c r="BD26" s="225" t="str">
        <f>IF(OR(BW26=$BB$9,BZ26=$BB$9),MAX($BD$7:BD25)+1,"")</f>
        <v/>
      </c>
      <c r="BE26" s="225" t="str">
        <f>IF(OR(BW26=$BB$10,BZ26=$BB$10),MAX($BE$7:BE25)+1,"")</f>
        <v/>
      </c>
      <c r="BF26" s="225" t="str">
        <f>IF(OR(BW26=$BB$11,BZ26=$BB$11),MAX($BF$7:BF25)+1,"")</f>
        <v/>
      </c>
      <c r="BG26" s="225" t="str">
        <f>IF(OR(BW26=$BB$12,BZ26=$BB$12),MAX($BG$7:BG25)+1,"")</f>
        <v/>
      </c>
      <c r="BH26" s="225" t="str">
        <f>IF(OR(BW26=$BB$13,BZ26=$BB$13),MAX($BH$7:BH25)+1,"")</f>
        <v/>
      </c>
      <c r="BI26" s="225" t="str">
        <f>IF(OR(BW26=$BB$14,BZ26=$BB$14),MAX($BI$7:BI25)+1,"")</f>
        <v/>
      </c>
      <c r="BJ26" s="225" t="str">
        <f>IF(OR(BW26=$BB$15,BZ26=$BB$15),MAX($BJ$7:BJ25)+1,"")</f>
        <v/>
      </c>
      <c r="BK26" s="225" t="str">
        <f>IF(OR(BW26=$BB$16,BZ26=$BB$16),MAX($BK$7:BK25)+1,"")</f>
        <v/>
      </c>
      <c r="BL26" s="225" t="str">
        <f>IF(OR(BW26=$BB$17,BZ26=$BB$17),MAX($BL$7:BL25)+1,"")</f>
        <v/>
      </c>
      <c r="BM26" s="225" t="str">
        <f>IF(OR(BW26=$BB$18,BZ26=$BB$18),MAX($BM$7:BM25)+1,"")</f>
        <v/>
      </c>
      <c r="BN26" s="225" t="str">
        <f>IF(OR(BW26=$BB$19,BZ26=$BB$19),MAX($BN$7:BN25)+1,"")</f>
        <v/>
      </c>
      <c r="BO26" s="225" t="str">
        <f>IF(OR(BW26=$BB$20,BZ26=$BB$20),MAX($BO$7:BO25)+1,"")</f>
        <v/>
      </c>
      <c r="BP26" s="225">
        <f>IF(OR(BW26=$BB$21,BZ26=$BB$21),MAX($BP$7:BP25)+1,"")</f>
        <v>19</v>
      </c>
      <c r="BQ26" s="399"/>
      <c r="BR26" s="399"/>
      <c r="BS26" s="399"/>
      <c r="BT26" s="227">
        <f t="shared" si="5"/>
        <v>0</v>
      </c>
      <c r="BU26" s="225">
        <f t="shared" si="6"/>
        <v>0</v>
      </c>
      <c r="BV26" s="225">
        <f t="shared" si="7"/>
        <v>0</v>
      </c>
      <c r="BW26" s="225">
        <f t="shared" si="8"/>
        <v>0</v>
      </c>
      <c r="BX26" s="225">
        <f t="shared" si="9"/>
        <v>0</v>
      </c>
      <c r="BY26" s="225">
        <f t="shared" si="10"/>
        <v>0</v>
      </c>
      <c r="BZ26" s="225">
        <f t="shared" si="11"/>
        <v>0</v>
      </c>
      <c r="CA26" s="228">
        <f t="shared" si="12"/>
        <v>0</v>
      </c>
      <c r="CB26" s="228">
        <f t="shared" si="13"/>
        <v>0</v>
      </c>
      <c r="CC26" s="228">
        <f t="shared" si="14"/>
        <v>0</v>
      </c>
      <c r="CD26" s="228">
        <f t="shared" si="15"/>
        <v>0</v>
      </c>
      <c r="CE26" s="399"/>
      <c r="CF26" s="399"/>
    </row>
    <row r="27" spans="1:84" x14ac:dyDescent="0.4">
      <c r="A27" s="712" t="s">
        <v>687</v>
      </c>
      <c r="B27" s="231" t="str">
        <f>IF(C27="","",ROW(19:19))</f>
        <v/>
      </c>
      <c r="C27" s="732"/>
      <c r="D27" s="401"/>
      <c r="E27" s="733"/>
      <c r="F27" s="734"/>
      <c r="G27" s="401"/>
      <c r="H27" s="733"/>
      <c r="I27" s="733"/>
      <c r="J27" s="735"/>
      <c r="K27" s="736"/>
      <c r="L27" s="737"/>
      <c r="M27" s="737"/>
      <c r="N27" s="738"/>
      <c r="O27" s="739"/>
      <c r="P27" s="740"/>
      <c r="Q27" s="254" t="str">
        <f t="shared" si="20"/>
        <v/>
      </c>
      <c r="R27" s="254" t="str">
        <f t="shared" si="21"/>
        <v/>
      </c>
      <c r="S27" s="258" t="str">
        <f t="shared" si="22"/>
        <v/>
      </c>
      <c r="AB27" s="399"/>
      <c r="AC27" s="225" t="str">
        <f>'शाळा माहिती'!D25</f>
        <v>-</v>
      </c>
      <c r="AD27" s="399"/>
      <c r="AE27" s="399"/>
      <c r="AF27" s="380"/>
      <c r="AG27" s="380"/>
      <c r="AH27" s="380"/>
      <c r="AI27" s="380"/>
      <c r="AJ27" s="380"/>
      <c r="AK27" s="399"/>
      <c r="AL27" s="399"/>
      <c r="AR27" s="225" t="str">
        <f>IF(AS27&gt;1,MAX($AR$7:AR26)+1,"")</f>
        <v/>
      </c>
      <c r="AS27" s="224">
        <f t="shared" si="1"/>
        <v>0</v>
      </c>
      <c r="AT27" s="225">
        <f t="shared" si="2"/>
        <v>0</v>
      </c>
      <c r="AU27" s="224">
        <f t="shared" si="3"/>
        <v>0</v>
      </c>
      <c r="AV27" s="226">
        <f t="shared" si="4"/>
        <v>0</v>
      </c>
      <c r="AW27" s="224">
        <f t="shared" si="16"/>
        <v>0</v>
      </c>
      <c r="AX27" s="224">
        <f t="shared" si="17"/>
        <v>0</v>
      </c>
      <c r="AY27" s="224">
        <f t="shared" si="18"/>
        <v>0</v>
      </c>
      <c r="AZ27" s="711"/>
      <c r="BA27" s="399"/>
      <c r="BB27" s="399"/>
      <c r="BC27" s="225" t="str">
        <f>IF(OR(BW27=$BB$8,BZ27=$BB$8),MAX($BC$7:BC26)+1,"")</f>
        <v/>
      </c>
      <c r="BD27" s="225" t="str">
        <f>IF(OR(BW27=$BB$9,BZ27=$BB$9),MAX($BD$7:BD26)+1,"")</f>
        <v/>
      </c>
      <c r="BE27" s="225" t="str">
        <f>IF(OR(BW27=$BB$10,BZ27=$BB$10),MAX($BE$7:BE26)+1,"")</f>
        <v/>
      </c>
      <c r="BF27" s="225" t="str">
        <f>IF(OR(BW27=$BB$11,BZ27=$BB$11),MAX($BF$7:BF26)+1,"")</f>
        <v/>
      </c>
      <c r="BG27" s="225" t="str">
        <f>IF(OR(BW27=$BB$12,BZ27=$BB$12),MAX($BG$7:BG26)+1,"")</f>
        <v/>
      </c>
      <c r="BH27" s="225" t="str">
        <f>IF(OR(BW27=$BB$13,BZ27=$BB$13),MAX($BH$7:BH26)+1,"")</f>
        <v/>
      </c>
      <c r="BI27" s="225" t="str">
        <f>IF(OR(BW27=$BB$14,BZ27=$BB$14),MAX($BI$7:BI26)+1,"")</f>
        <v/>
      </c>
      <c r="BJ27" s="225" t="str">
        <f>IF(OR(BW27=$BB$15,BZ27=$BB$15),MAX($BJ$7:BJ26)+1,"")</f>
        <v/>
      </c>
      <c r="BK27" s="225" t="str">
        <f>IF(OR(BW27=$BB$16,BZ27=$BB$16),MAX($BK$7:BK26)+1,"")</f>
        <v/>
      </c>
      <c r="BL27" s="225" t="str">
        <f>IF(OR(BW27=$BB$17,BZ27=$BB$17),MAX($BL$7:BL26)+1,"")</f>
        <v/>
      </c>
      <c r="BM27" s="225" t="str">
        <f>IF(OR(BW27=$BB$18,BZ27=$BB$18),MAX($BM$7:BM26)+1,"")</f>
        <v/>
      </c>
      <c r="BN27" s="225" t="str">
        <f>IF(OR(BW27=$BB$19,BZ27=$BB$19),MAX($BN$7:BN26)+1,"")</f>
        <v/>
      </c>
      <c r="BO27" s="225" t="str">
        <f>IF(OR(BW27=$BB$20,BZ27=$BB$20),MAX($BO$7:BO26)+1,"")</f>
        <v/>
      </c>
      <c r="BP27" s="225">
        <f>IF(OR(BW27=$BB$21,BZ27=$BB$21),MAX($BP$7:BP26)+1,"")</f>
        <v>20</v>
      </c>
      <c r="BQ27" s="399"/>
      <c r="BR27" s="399"/>
      <c r="BS27" s="399"/>
      <c r="BT27" s="227">
        <f t="shared" si="5"/>
        <v>0</v>
      </c>
      <c r="BU27" s="225">
        <f t="shared" si="6"/>
        <v>0</v>
      </c>
      <c r="BV27" s="225">
        <f t="shared" si="7"/>
        <v>0</v>
      </c>
      <c r="BW27" s="225">
        <f t="shared" si="8"/>
        <v>0</v>
      </c>
      <c r="BX27" s="225">
        <f t="shared" si="9"/>
        <v>0</v>
      </c>
      <c r="BY27" s="225">
        <f t="shared" si="10"/>
        <v>0</v>
      </c>
      <c r="BZ27" s="225">
        <f t="shared" si="11"/>
        <v>0</v>
      </c>
      <c r="CA27" s="228">
        <f t="shared" si="12"/>
        <v>0</v>
      </c>
      <c r="CB27" s="228">
        <f t="shared" si="13"/>
        <v>0</v>
      </c>
      <c r="CC27" s="228">
        <f t="shared" si="14"/>
        <v>0</v>
      </c>
      <c r="CD27" s="228">
        <f t="shared" si="15"/>
        <v>0</v>
      </c>
      <c r="CE27" s="399"/>
      <c r="CF27" s="399"/>
    </row>
    <row r="28" spans="1:84" x14ac:dyDescent="0.4">
      <c r="A28" s="712" t="s">
        <v>544</v>
      </c>
      <c r="B28" s="231" t="str">
        <f>IF(C28="","",ROW(20:20))</f>
        <v/>
      </c>
      <c r="C28" s="732"/>
      <c r="D28" s="401"/>
      <c r="E28" s="733"/>
      <c r="F28" s="734"/>
      <c r="G28" s="401"/>
      <c r="H28" s="733"/>
      <c r="I28" s="733"/>
      <c r="J28" s="735"/>
      <c r="K28" s="736"/>
      <c r="L28" s="737"/>
      <c r="M28" s="737"/>
      <c r="N28" s="738"/>
      <c r="O28" s="739"/>
      <c r="P28" s="740"/>
      <c r="Q28" s="254" t="str">
        <f t="shared" si="20"/>
        <v/>
      </c>
      <c r="R28" s="254" t="str">
        <f t="shared" si="21"/>
        <v/>
      </c>
      <c r="S28" s="258" t="str">
        <f t="shared" si="22"/>
        <v/>
      </c>
      <c r="AB28" s="399"/>
      <c r="AC28" s="225">
        <f>'शाळा माहिती'!G25</f>
        <v>0</v>
      </c>
      <c r="AD28" s="399"/>
      <c r="AE28" s="399"/>
      <c r="AF28" s="380"/>
      <c r="AG28" s="380"/>
      <c r="AH28" s="380"/>
      <c r="AI28" s="380"/>
      <c r="AJ28" s="380"/>
      <c r="AK28" s="399"/>
      <c r="AL28" s="399"/>
      <c r="AR28" s="225" t="str">
        <f>IF(AS28&gt;1,MAX($AR$7:AR27)+1,"")</f>
        <v/>
      </c>
      <c r="AS28" s="224">
        <f t="shared" si="1"/>
        <v>0</v>
      </c>
      <c r="AT28" s="225">
        <f t="shared" si="2"/>
        <v>0</v>
      </c>
      <c r="AU28" s="224">
        <f t="shared" si="3"/>
        <v>0</v>
      </c>
      <c r="AV28" s="226">
        <f t="shared" si="4"/>
        <v>0</v>
      </c>
      <c r="AW28" s="224">
        <f t="shared" si="16"/>
        <v>0</v>
      </c>
      <c r="AX28" s="224">
        <f t="shared" si="17"/>
        <v>0</v>
      </c>
      <c r="AY28" s="224">
        <f t="shared" si="18"/>
        <v>0</v>
      </c>
      <c r="AZ28" s="711"/>
      <c r="BA28" s="399"/>
      <c r="BB28" s="399"/>
      <c r="BC28" s="225" t="str">
        <f>IF(OR(BW28=$BB$8,BZ28=$BB$8),MAX($BC$7:BC27)+1,"")</f>
        <v/>
      </c>
      <c r="BD28" s="225" t="str">
        <f>IF(OR(BW28=$BB$9,BZ28=$BB$9),MAX($BD$7:BD27)+1,"")</f>
        <v/>
      </c>
      <c r="BE28" s="225" t="str">
        <f>IF(OR(BW28=$BB$10,BZ28=$BB$10),MAX($BE$7:BE27)+1,"")</f>
        <v/>
      </c>
      <c r="BF28" s="225" t="str">
        <f>IF(OR(BW28=$BB$11,BZ28=$BB$11),MAX($BF$7:BF27)+1,"")</f>
        <v/>
      </c>
      <c r="BG28" s="225" t="str">
        <f>IF(OR(BW28=$BB$12,BZ28=$BB$12),MAX($BG$7:BG27)+1,"")</f>
        <v/>
      </c>
      <c r="BH28" s="225" t="str">
        <f>IF(OR(BW28=$BB$13,BZ28=$BB$13),MAX($BH$7:BH27)+1,"")</f>
        <v/>
      </c>
      <c r="BI28" s="225" t="str">
        <f>IF(OR(BW28=$BB$14,BZ28=$BB$14),MAX($BI$7:BI27)+1,"")</f>
        <v/>
      </c>
      <c r="BJ28" s="225" t="str">
        <f>IF(OR(BW28=$BB$15,BZ28=$BB$15),MAX($BJ$7:BJ27)+1,"")</f>
        <v/>
      </c>
      <c r="BK28" s="225" t="str">
        <f>IF(OR(BW28=$BB$16,BZ28=$BB$16),MAX($BK$7:BK27)+1,"")</f>
        <v/>
      </c>
      <c r="BL28" s="225" t="str">
        <f>IF(OR(BW28=$BB$17,BZ28=$BB$17),MAX($BL$7:BL27)+1,"")</f>
        <v/>
      </c>
      <c r="BM28" s="225" t="str">
        <f>IF(OR(BW28=$BB$18,BZ28=$BB$18),MAX($BM$7:BM27)+1,"")</f>
        <v/>
      </c>
      <c r="BN28" s="225" t="str">
        <f>IF(OR(BW28=$BB$19,BZ28=$BB$19),MAX($BN$7:BN27)+1,"")</f>
        <v/>
      </c>
      <c r="BO28" s="225" t="str">
        <f>IF(OR(BW28=$BB$20,BZ28=$BB$20),MAX($BO$7:BO27)+1,"")</f>
        <v/>
      </c>
      <c r="BP28" s="225">
        <f>IF(OR(BW28=$BB$21,BZ28=$BB$21),MAX($BP$7:BP27)+1,"")</f>
        <v>21</v>
      </c>
      <c r="BQ28" s="399"/>
      <c r="BR28" s="399"/>
      <c r="BS28" s="399"/>
      <c r="BT28" s="227">
        <f t="shared" si="5"/>
        <v>0</v>
      </c>
      <c r="BU28" s="225">
        <f t="shared" si="6"/>
        <v>0</v>
      </c>
      <c r="BV28" s="225">
        <f t="shared" si="7"/>
        <v>0</v>
      </c>
      <c r="BW28" s="225">
        <f t="shared" si="8"/>
        <v>0</v>
      </c>
      <c r="BX28" s="225">
        <f t="shared" si="9"/>
        <v>0</v>
      </c>
      <c r="BY28" s="225">
        <f t="shared" si="10"/>
        <v>0</v>
      </c>
      <c r="BZ28" s="225">
        <f t="shared" si="11"/>
        <v>0</v>
      </c>
      <c r="CA28" s="228">
        <f t="shared" si="12"/>
        <v>0</v>
      </c>
      <c r="CB28" s="228">
        <f t="shared" si="13"/>
        <v>0</v>
      </c>
      <c r="CC28" s="228">
        <f t="shared" si="14"/>
        <v>0</v>
      </c>
      <c r="CD28" s="228">
        <f t="shared" si="15"/>
        <v>0</v>
      </c>
      <c r="CE28" s="399"/>
      <c r="CF28" s="399"/>
    </row>
    <row r="29" spans="1:84" x14ac:dyDescent="0.4">
      <c r="A29" s="712" t="s">
        <v>688</v>
      </c>
      <c r="B29" s="231" t="str">
        <f t="shared" si="19"/>
        <v/>
      </c>
      <c r="C29" s="732"/>
      <c r="D29" s="401"/>
      <c r="E29" s="733"/>
      <c r="F29" s="734"/>
      <c r="G29" s="401"/>
      <c r="H29" s="733"/>
      <c r="I29" s="733"/>
      <c r="J29" s="735"/>
      <c r="K29" s="736"/>
      <c r="L29" s="737"/>
      <c r="M29" s="737"/>
      <c r="N29" s="741"/>
      <c r="O29" s="739"/>
      <c r="P29" s="740"/>
      <c r="Q29" s="254" t="str">
        <f t="shared" si="20"/>
        <v/>
      </c>
      <c r="R29" s="254" t="str">
        <f t="shared" si="21"/>
        <v/>
      </c>
      <c r="S29" s="258" t="str">
        <f t="shared" si="22"/>
        <v/>
      </c>
      <c r="AB29" s="399"/>
      <c r="AC29" s="225" t="str">
        <f>'शाळा माहिती'!D30</f>
        <v>SANIKA INDANE GAS GANGAPUR</v>
      </c>
      <c r="AD29" s="399"/>
      <c r="AE29" s="399"/>
      <c r="AF29" s="380"/>
      <c r="AG29" s="380"/>
      <c r="AH29" s="380"/>
      <c r="AI29" s="380"/>
      <c r="AJ29" s="380"/>
      <c r="AK29" s="399"/>
      <c r="AL29" s="399"/>
      <c r="AR29" s="225" t="str">
        <f>IF(AS29&gt;1,MAX($AR$7:AR28)+1,"")</f>
        <v/>
      </c>
      <c r="AS29" s="224">
        <f t="shared" si="1"/>
        <v>0</v>
      </c>
      <c r="AT29" s="225">
        <f t="shared" si="2"/>
        <v>0</v>
      </c>
      <c r="AU29" s="224">
        <f t="shared" si="3"/>
        <v>0</v>
      </c>
      <c r="AV29" s="226">
        <f t="shared" si="4"/>
        <v>0</v>
      </c>
      <c r="AW29" s="224">
        <f t="shared" si="16"/>
        <v>0</v>
      </c>
      <c r="AX29" s="224">
        <f t="shared" si="17"/>
        <v>0</v>
      </c>
      <c r="AY29" s="224">
        <f t="shared" si="18"/>
        <v>0</v>
      </c>
      <c r="AZ29" s="711"/>
      <c r="BA29" s="399"/>
      <c r="BB29" s="399"/>
      <c r="BC29" s="225" t="str">
        <f>IF(OR(BW29=$BB$8,BZ29=$BB$8),MAX($BC$7:BC28)+1,"")</f>
        <v/>
      </c>
      <c r="BD29" s="225" t="str">
        <f>IF(OR(BW29=$BB$9,BZ29=$BB$9),MAX($BD$7:BD28)+1,"")</f>
        <v/>
      </c>
      <c r="BE29" s="225" t="str">
        <f>IF(OR(BW29=$BB$10,BZ29=$BB$10),MAX($BE$7:BE28)+1,"")</f>
        <v/>
      </c>
      <c r="BF29" s="225" t="str">
        <f>IF(OR(BW29=$BB$11,BZ29=$BB$11),MAX($BF$7:BF28)+1,"")</f>
        <v/>
      </c>
      <c r="BG29" s="225" t="str">
        <f>IF(OR(BW29=$BB$12,BZ29=$BB$12),MAX($BG$7:BG28)+1,"")</f>
        <v/>
      </c>
      <c r="BH29" s="225" t="str">
        <f>IF(OR(BW29=$BB$13,BZ29=$BB$13),MAX($BH$7:BH28)+1,"")</f>
        <v/>
      </c>
      <c r="BI29" s="225" t="str">
        <f>IF(OR(BW29=$BB$14,BZ29=$BB$14),MAX($BI$7:BI28)+1,"")</f>
        <v/>
      </c>
      <c r="BJ29" s="225" t="str">
        <f>IF(OR(BW29=$BB$15,BZ29=$BB$15),MAX($BJ$7:BJ28)+1,"")</f>
        <v/>
      </c>
      <c r="BK29" s="225" t="str">
        <f>IF(OR(BW29=$BB$16,BZ29=$BB$16),MAX($BK$7:BK28)+1,"")</f>
        <v/>
      </c>
      <c r="BL29" s="225" t="str">
        <f>IF(OR(BW29=$BB$17,BZ29=$BB$17),MAX($BL$7:BL28)+1,"")</f>
        <v/>
      </c>
      <c r="BM29" s="225" t="str">
        <f>IF(OR(BW29=$BB$18,BZ29=$BB$18),MAX($BM$7:BM28)+1,"")</f>
        <v/>
      </c>
      <c r="BN29" s="225" t="str">
        <f>IF(OR(BW29=$BB$19,BZ29=$BB$19),MAX($BN$7:BN28)+1,"")</f>
        <v/>
      </c>
      <c r="BO29" s="225" t="str">
        <f>IF(OR(BW29=$BB$20,BZ29=$BB$20),MAX($BO$7:BO28)+1,"")</f>
        <v/>
      </c>
      <c r="BP29" s="225">
        <f>IF(OR(BW29=$BB$21,BZ29=$BB$21),MAX($BP$7:BP28)+1,"")</f>
        <v>22</v>
      </c>
      <c r="BQ29" s="399"/>
      <c r="BR29" s="399"/>
      <c r="BS29" s="399"/>
      <c r="BT29" s="227">
        <f t="shared" si="5"/>
        <v>0</v>
      </c>
      <c r="BU29" s="225">
        <f t="shared" si="6"/>
        <v>0</v>
      </c>
      <c r="BV29" s="225">
        <f t="shared" si="7"/>
        <v>0</v>
      </c>
      <c r="BW29" s="225">
        <f t="shared" si="8"/>
        <v>0</v>
      </c>
      <c r="BX29" s="225">
        <f t="shared" si="9"/>
        <v>0</v>
      </c>
      <c r="BY29" s="225">
        <f t="shared" si="10"/>
        <v>0</v>
      </c>
      <c r="BZ29" s="225">
        <f t="shared" si="11"/>
        <v>0</v>
      </c>
      <c r="CA29" s="228">
        <f t="shared" si="12"/>
        <v>0</v>
      </c>
      <c r="CB29" s="228">
        <f t="shared" si="13"/>
        <v>0</v>
      </c>
      <c r="CC29" s="228">
        <f t="shared" si="14"/>
        <v>0</v>
      </c>
      <c r="CD29" s="228">
        <f t="shared" si="15"/>
        <v>0</v>
      </c>
      <c r="CE29" s="399"/>
      <c r="CF29" s="399"/>
    </row>
    <row r="30" spans="1:84" x14ac:dyDescent="0.4">
      <c r="A30" s="712" t="s">
        <v>545</v>
      </c>
      <c r="B30" s="231" t="str">
        <f t="shared" si="19"/>
        <v/>
      </c>
      <c r="C30" s="732"/>
      <c r="D30" s="401"/>
      <c r="E30" s="733"/>
      <c r="F30" s="734"/>
      <c r="G30" s="401"/>
      <c r="H30" s="733"/>
      <c r="I30" s="733"/>
      <c r="J30" s="735"/>
      <c r="K30" s="736"/>
      <c r="L30" s="737"/>
      <c r="M30" s="737"/>
      <c r="N30" s="741"/>
      <c r="O30" s="739"/>
      <c r="P30" s="740"/>
      <c r="Q30" s="254" t="str">
        <f t="shared" si="20"/>
        <v/>
      </c>
      <c r="R30" s="254" t="str">
        <f t="shared" si="21"/>
        <v/>
      </c>
      <c r="S30" s="258" t="str">
        <f t="shared" si="22"/>
        <v/>
      </c>
      <c r="AB30" s="399"/>
      <c r="AC30" s="225" t="str">
        <f>'शाळा माहिती'!D31</f>
        <v>संत सावता माळी भाजीपाला सप्लायर्स</v>
      </c>
      <c r="AD30" s="399"/>
      <c r="AE30" s="399"/>
      <c r="AF30" s="380"/>
      <c r="AG30" s="380"/>
      <c r="AH30" s="380"/>
      <c r="AI30" s="380"/>
      <c r="AJ30" s="380"/>
      <c r="AK30" s="399"/>
      <c r="AL30" s="399"/>
      <c r="AR30" s="225" t="str">
        <f>IF(AS30&gt;1,MAX($AR$7:AR29)+1,"")</f>
        <v/>
      </c>
      <c r="AS30" s="224">
        <f t="shared" si="1"/>
        <v>0</v>
      </c>
      <c r="AT30" s="225">
        <f t="shared" si="2"/>
        <v>0</v>
      </c>
      <c r="AU30" s="224">
        <f t="shared" si="3"/>
        <v>0</v>
      </c>
      <c r="AV30" s="226">
        <f t="shared" si="4"/>
        <v>0</v>
      </c>
      <c r="AW30" s="224">
        <f t="shared" si="16"/>
        <v>0</v>
      </c>
      <c r="AX30" s="224">
        <f t="shared" si="17"/>
        <v>0</v>
      </c>
      <c r="AY30" s="224">
        <f t="shared" si="18"/>
        <v>0</v>
      </c>
      <c r="AZ30" s="711"/>
      <c r="BA30" s="399"/>
      <c r="BB30" s="399"/>
      <c r="BC30" s="225" t="str">
        <f>IF(OR(BW30=$BB$8,BZ30=$BB$8),MAX($BC$7:BC29)+1,"")</f>
        <v/>
      </c>
      <c r="BD30" s="225" t="str">
        <f>IF(OR(BW30=$BB$9,BZ30=$BB$9),MAX($BD$7:BD29)+1,"")</f>
        <v/>
      </c>
      <c r="BE30" s="225" t="str">
        <f>IF(OR(BW30=$BB$10,BZ30=$BB$10),MAX($BE$7:BE29)+1,"")</f>
        <v/>
      </c>
      <c r="BF30" s="225" t="str">
        <f>IF(OR(BW30=$BB$11,BZ30=$BB$11),MAX($BF$7:BF29)+1,"")</f>
        <v/>
      </c>
      <c r="BG30" s="225" t="str">
        <f>IF(OR(BW30=$BB$12,BZ30=$BB$12),MAX($BG$7:BG29)+1,"")</f>
        <v/>
      </c>
      <c r="BH30" s="225" t="str">
        <f>IF(OR(BW30=$BB$13,BZ30=$BB$13),MAX($BH$7:BH29)+1,"")</f>
        <v/>
      </c>
      <c r="BI30" s="225" t="str">
        <f>IF(OR(BW30=$BB$14,BZ30=$BB$14),MAX($BI$7:BI29)+1,"")</f>
        <v/>
      </c>
      <c r="BJ30" s="225" t="str">
        <f>IF(OR(BW30=$BB$15,BZ30=$BB$15),MAX($BJ$7:BJ29)+1,"")</f>
        <v/>
      </c>
      <c r="BK30" s="225" t="str">
        <f>IF(OR(BW30=$BB$16,BZ30=$BB$16),MAX($BK$7:BK29)+1,"")</f>
        <v/>
      </c>
      <c r="BL30" s="225" t="str">
        <f>IF(OR(BW30=$BB$17,BZ30=$BB$17),MAX($BL$7:BL29)+1,"")</f>
        <v/>
      </c>
      <c r="BM30" s="225" t="str">
        <f>IF(OR(BW30=$BB$18,BZ30=$BB$18),MAX($BM$7:BM29)+1,"")</f>
        <v/>
      </c>
      <c r="BN30" s="225" t="str">
        <f>IF(OR(BW30=$BB$19,BZ30=$BB$19),MAX($BN$7:BN29)+1,"")</f>
        <v/>
      </c>
      <c r="BO30" s="225" t="str">
        <f>IF(OR(BW30=$BB$20,BZ30=$BB$20),MAX($BO$7:BO29)+1,"")</f>
        <v/>
      </c>
      <c r="BP30" s="225">
        <f>IF(OR(BW30=$BB$21,BZ30=$BB$21),MAX($BP$7:BP29)+1,"")</f>
        <v>23</v>
      </c>
      <c r="BQ30" s="399"/>
      <c r="BR30" s="399"/>
      <c r="BS30" s="399"/>
      <c r="BT30" s="227">
        <f t="shared" si="5"/>
        <v>0</v>
      </c>
      <c r="BU30" s="225">
        <f t="shared" si="6"/>
        <v>0</v>
      </c>
      <c r="BV30" s="225">
        <f t="shared" si="7"/>
        <v>0</v>
      </c>
      <c r="BW30" s="225">
        <f t="shared" si="8"/>
        <v>0</v>
      </c>
      <c r="BX30" s="225">
        <f t="shared" si="9"/>
        <v>0</v>
      </c>
      <c r="BY30" s="225">
        <f t="shared" si="10"/>
        <v>0</v>
      </c>
      <c r="BZ30" s="225">
        <f t="shared" si="11"/>
        <v>0</v>
      </c>
      <c r="CA30" s="228">
        <f t="shared" si="12"/>
        <v>0</v>
      </c>
      <c r="CB30" s="228">
        <f t="shared" si="13"/>
        <v>0</v>
      </c>
      <c r="CC30" s="228">
        <f t="shared" si="14"/>
        <v>0</v>
      </c>
      <c r="CD30" s="228">
        <f t="shared" si="15"/>
        <v>0</v>
      </c>
      <c r="CE30" s="399"/>
      <c r="CF30" s="399"/>
    </row>
    <row r="31" spans="1:84" x14ac:dyDescent="0.4">
      <c r="A31" s="712" t="s">
        <v>689</v>
      </c>
      <c r="B31" s="231" t="str">
        <f t="shared" si="19"/>
        <v/>
      </c>
      <c r="C31" s="732"/>
      <c r="D31" s="401"/>
      <c r="E31" s="733"/>
      <c r="F31" s="734"/>
      <c r="G31" s="401"/>
      <c r="H31" s="733"/>
      <c r="I31" s="733"/>
      <c r="J31" s="735"/>
      <c r="K31" s="736"/>
      <c r="L31" s="737"/>
      <c r="M31" s="737"/>
      <c r="N31" s="741"/>
      <c r="O31" s="739"/>
      <c r="P31" s="740"/>
      <c r="Q31" s="254" t="str">
        <f t="shared" si="20"/>
        <v/>
      </c>
      <c r="R31" s="254" t="str">
        <f t="shared" si="21"/>
        <v/>
      </c>
      <c r="S31" s="258" t="str">
        <f t="shared" si="22"/>
        <v/>
      </c>
      <c r="AB31" s="399"/>
      <c r="AC31" s="225" t="str">
        <f>'शाळा माहिती'!D32</f>
        <v>व्यंकटेश सुपर मार्केट</v>
      </c>
      <c r="AD31" s="399"/>
      <c r="AE31" s="399"/>
      <c r="AF31" s="380"/>
      <c r="AG31" s="380"/>
      <c r="AH31" s="380"/>
      <c r="AI31" s="380"/>
      <c r="AJ31" s="380"/>
      <c r="AK31" s="399"/>
      <c r="AL31" s="399"/>
      <c r="AR31" s="225" t="str">
        <f>IF(AS31&gt;1,MAX($AR$7:AR30)+1,"")</f>
        <v/>
      </c>
      <c r="AS31" s="224">
        <f t="shared" si="1"/>
        <v>0</v>
      </c>
      <c r="AT31" s="225">
        <f t="shared" si="2"/>
        <v>0</v>
      </c>
      <c r="AU31" s="224">
        <f t="shared" si="3"/>
        <v>0</v>
      </c>
      <c r="AV31" s="226">
        <f t="shared" si="4"/>
        <v>0</v>
      </c>
      <c r="AW31" s="224">
        <f t="shared" si="16"/>
        <v>0</v>
      </c>
      <c r="AX31" s="224">
        <f t="shared" si="17"/>
        <v>0</v>
      </c>
      <c r="AY31" s="224">
        <f t="shared" si="18"/>
        <v>0</v>
      </c>
      <c r="AZ31" s="711"/>
      <c r="BA31" s="399"/>
      <c r="BB31" s="399"/>
      <c r="BC31" s="225" t="str">
        <f>IF(OR(BW31=$BB$8,BZ31=$BB$8),MAX($BC$7:BC30)+1,"")</f>
        <v/>
      </c>
      <c r="BD31" s="225" t="str">
        <f>IF(OR(BW31=$BB$9,BZ31=$BB$9),MAX($BD$7:BD30)+1,"")</f>
        <v/>
      </c>
      <c r="BE31" s="225" t="str">
        <f>IF(OR(BW31=$BB$10,BZ31=$BB$10),MAX($BE$7:BE30)+1,"")</f>
        <v/>
      </c>
      <c r="BF31" s="225" t="str">
        <f>IF(OR(BW31=$BB$11,BZ31=$BB$11),MAX($BF$7:BF30)+1,"")</f>
        <v/>
      </c>
      <c r="BG31" s="225" t="str">
        <f>IF(OR(BW31=$BB$12,BZ31=$BB$12),MAX($BG$7:BG30)+1,"")</f>
        <v/>
      </c>
      <c r="BH31" s="225" t="str">
        <f>IF(OR(BW31=$BB$13,BZ31=$BB$13),MAX($BH$7:BH30)+1,"")</f>
        <v/>
      </c>
      <c r="BI31" s="225" t="str">
        <f>IF(OR(BW31=$BB$14,BZ31=$BB$14),MAX($BI$7:BI30)+1,"")</f>
        <v/>
      </c>
      <c r="BJ31" s="225" t="str">
        <f>IF(OR(BW31=$BB$15,BZ31=$BB$15),MAX($BJ$7:BJ30)+1,"")</f>
        <v/>
      </c>
      <c r="BK31" s="225" t="str">
        <f>IF(OR(BW31=$BB$16,BZ31=$BB$16),MAX($BK$7:BK30)+1,"")</f>
        <v/>
      </c>
      <c r="BL31" s="225" t="str">
        <f>IF(OR(BW31=$BB$17,BZ31=$BB$17),MAX($BL$7:BL30)+1,"")</f>
        <v/>
      </c>
      <c r="BM31" s="225" t="str">
        <f>IF(OR(BW31=$BB$18,BZ31=$BB$18),MAX($BM$7:BM30)+1,"")</f>
        <v/>
      </c>
      <c r="BN31" s="225" t="str">
        <f>IF(OR(BW31=$BB$19,BZ31=$BB$19),MAX($BN$7:BN30)+1,"")</f>
        <v/>
      </c>
      <c r="BO31" s="225" t="str">
        <f>IF(OR(BW31=$BB$20,BZ31=$BB$20),MAX($BO$7:BO30)+1,"")</f>
        <v/>
      </c>
      <c r="BP31" s="225">
        <f>IF(OR(BW31=$BB$21,BZ31=$BB$21),MAX($BP$7:BP30)+1,"")</f>
        <v>24</v>
      </c>
      <c r="BQ31" s="399"/>
      <c r="BR31" s="399"/>
      <c r="BS31" s="399"/>
      <c r="BT31" s="227">
        <f t="shared" si="5"/>
        <v>0</v>
      </c>
      <c r="BU31" s="225">
        <f t="shared" si="6"/>
        <v>0</v>
      </c>
      <c r="BV31" s="225">
        <f t="shared" si="7"/>
        <v>0</v>
      </c>
      <c r="BW31" s="225">
        <f t="shared" si="8"/>
        <v>0</v>
      </c>
      <c r="BX31" s="225">
        <f t="shared" si="9"/>
        <v>0</v>
      </c>
      <c r="BY31" s="225">
        <f t="shared" si="10"/>
        <v>0</v>
      </c>
      <c r="BZ31" s="225">
        <f t="shared" si="11"/>
        <v>0</v>
      </c>
      <c r="CA31" s="228">
        <f t="shared" si="12"/>
        <v>0</v>
      </c>
      <c r="CB31" s="228">
        <f t="shared" si="13"/>
        <v>0</v>
      </c>
      <c r="CC31" s="228">
        <f t="shared" si="14"/>
        <v>0</v>
      </c>
      <c r="CD31" s="228">
        <f t="shared" si="15"/>
        <v>0</v>
      </c>
      <c r="CE31" s="399"/>
      <c r="CF31" s="399"/>
    </row>
    <row r="32" spans="1:84" x14ac:dyDescent="0.4">
      <c r="A32" s="712" t="s">
        <v>692</v>
      </c>
      <c r="B32" s="231" t="str">
        <f t="shared" si="19"/>
        <v/>
      </c>
      <c r="C32" s="732"/>
      <c r="D32" s="401"/>
      <c r="E32" s="733"/>
      <c r="F32" s="734"/>
      <c r="G32" s="401"/>
      <c r="H32" s="733"/>
      <c r="I32" s="733"/>
      <c r="J32" s="735"/>
      <c r="K32" s="736"/>
      <c r="L32" s="737"/>
      <c r="M32" s="737"/>
      <c r="N32" s="741"/>
      <c r="O32" s="739"/>
      <c r="P32" s="740"/>
      <c r="Q32" s="254" t="str">
        <f t="shared" si="20"/>
        <v/>
      </c>
      <c r="R32" s="254" t="str">
        <f t="shared" si="21"/>
        <v/>
      </c>
      <c r="S32" s="258" t="str">
        <f t="shared" si="22"/>
        <v/>
      </c>
      <c r="AB32" s="399"/>
      <c r="AC32" s="225" t="str">
        <f>'शाळा माहिती'!D14</f>
        <v>श्री प्रवीण ज्ञानदेव कोल्हे</v>
      </c>
      <c r="AD32" s="399"/>
      <c r="AE32" s="399"/>
      <c r="AF32" s="399"/>
      <c r="AG32" s="399"/>
      <c r="AH32" s="399"/>
      <c r="AI32" s="399"/>
      <c r="AJ32" s="399"/>
      <c r="AK32" s="399"/>
      <c r="AL32" s="399"/>
      <c r="AR32" s="225" t="str">
        <f>IF(AS32&gt;1,MAX($AR$7:AR31)+1,"")</f>
        <v/>
      </c>
      <c r="AS32" s="224">
        <f t="shared" si="1"/>
        <v>0</v>
      </c>
      <c r="AT32" s="225">
        <f t="shared" si="2"/>
        <v>0</v>
      </c>
      <c r="AU32" s="224">
        <f t="shared" si="3"/>
        <v>0</v>
      </c>
      <c r="AV32" s="226">
        <f t="shared" si="4"/>
        <v>0</v>
      </c>
      <c r="AW32" s="224">
        <f t="shared" si="16"/>
        <v>0</v>
      </c>
      <c r="AX32" s="224">
        <f t="shared" si="17"/>
        <v>0</v>
      </c>
      <c r="AY32" s="224">
        <f t="shared" si="18"/>
        <v>0</v>
      </c>
      <c r="AZ32" s="711"/>
      <c r="BA32" s="399"/>
      <c r="BB32" s="399"/>
      <c r="BC32" s="225" t="str">
        <f>IF(OR(BW32=$BB$8,BZ32=$BB$8),MAX($BC$7:BC31)+1,"")</f>
        <v/>
      </c>
      <c r="BD32" s="225" t="str">
        <f>IF(OR(BW32=$BB$9,BZ32=$BB$9),MAX($BD$7:BD31)+1,"")</f>
        <v/>
      </c>
      <c r="BE32" s="225" t="str">
        <f>IF(OR(BW32=$BB$10,BZ32=$BB$10),MAX($BE$7:BE31)+1,"")</f>
        <v/>
      </c>
      <c r="BF32" s="225" t="str">
        <f>IF(OR(BW32=$BB$11,BZ32=$BB$11),MAX($BF$7:BF31)+1,"")</f>
        <v/>
      </c>
      <c r="BG32" s="225" t="str">
        <f>IF(OR(BW32=$BB$12,BZ32=$BB$12),MAX($BG$7:BG31)+1,"")</f>
        <v/>
      </c>
      <c r="BH32" s="225" t="str">
        <f>IF(OR(BW32=$BB$13,BZ32=$BB$13),MAX($BH$7:BH31)+1,"")</f>
        <v/>
      </c>
      <c r="BI32" s="225" t="str">
        <f>IF(OR(BW32=$BB$14,BZ32=$BB$14),MAX($BI$7:BI31)+1,"")</f>
        <v/>
      </c>
      <c r="BJ32" s="225" t="str">
        <f>IF(OR(BW32=$BB$15,BZ32=$BB$15),MAX($BJ$7:BJ31)+1,"")</f>
        <v/>
      </c>
      <c r="BK32" s="225" t="str">
        <f>IF(OR(BW32=$BB$16,BZ32=$BB$16),MAX($BK$7:BK31)+1,"")</f>
        <v/>
      </c>
      <c r="BL32" s="225" t="str">
        <f>IF(OR(BW32=$BB$17,BZ32=$BB$17),MAX($BL$7:BL31)+1,"")</f>
        <v/>
      </c>
      <c r="BM32" s="225" t="str">
        <f>IF(OR(BW32=$BB$18,BZ32=$BB$18),MAX($BM$7:BM31)+1,"")</f>
        <v/>
      </c>
      <c r="BN32" s="225" t="str">
        <f>IF(OR(BW32=$BB$19,BZ32=$BB$19),MAX($BN$7:BN31)+1,"")</f>
        <v/>
      </c>
      <c r="BO32" s="225" t="str">
        <f>IF(OR(BW32=$BB$20,BZ32=$BB$20),MAX($BO$7:BO31)+1,"")</f>
        <v/>
      </c>
      <c r="BP32" s="225">
        <f>IF(OR(BW32=$BB$21,BZ32=$BB$21),MAX($BP$7:BP31)+1,"")</f>
        <v>25</v>
      </c>
      <c r="BQ32" s="399"/>
      <c r="BR32" s="399"/>
      <c r="BS32" s="399"/>
      <c r="BT32" s="227">
        <f t="shared" si="5"/>
        <v>0</v>
      </c>
      <c r="BU32" s="225">
        <f t="shared" si="6"/>
        <v>0</v>
      </c>
      <c r="BV32" s="225">
        <f t="shared" si="7"/>
        <v>0</v>
      </c>
      <c r="BW32" s="225">
        <f t="shared" si="8"/>
        <v>0</v>
      </c>
      <c r="BX32" s="225">
        <f t="shared" si="9"/>
        <v>0</v>
      </c>
      <c r="BY32" s="225">
        <f t="shared" si="10"/>
        <v>0</v>
      </c>
      <c r="BZ32" s="225">
        <f t="shared" si="11"/>
        <v>0</v>
      </c>
      <c r="CA32" s="228">
        <f t="shared" si="12"/>
        <v>0</v>
      </c>
      <c r="CB32" s="228">
        <f t="shared" si="13"/>
        <v>0</v>
      </c>
      <c r="CC32" s="228">
        <f t="shared" si="14"/>
        <v>0</v>
      </c>
      <c r="CD32" s="228">
        <f t="shared" si="15"/>
        <v>0</v>
      </c>
      <c r="CE32" s="399"/>
      <c r="CF32" s="399"/>
    </row>
    <row r="33" spans="1:84" x14ac:dyDescent="0.4">
      <c r="A33" s="712" t="s">
        <v>690</v>
      </c>
      <c r="B33" s="231" t="str">
        <f t="shared" si="19"/>
        <v/>
      </c>
      <c r="C33" s="732"/>
      <c r="D33" s="401"/>
      <c r="E33" s="733"/>
      <c r="F33" s="734"/>
      <c r="G33" s="401"/>
      <c r="H33" s="733"/>
      <c r="I33" s="733"/>
      <c r="J33" s="735"/>
      <c r="K33" s="736"/>
      <c r="L33" s="737"/>
      <c r="M33" s="737"/>
      <c r="N33" s="741"/>
      <c r="O33" s="739"/>
      <c r="P33" s="740"/>
      <c r="Q33" s="254" t="str">
        <f t="shared" si="20"/>
        <v/>
      </c>
      <c r="R33" s="254" t="str">
        <f t="shared" si="21"/>
        <v/>
      </c>
      <c r="S33" s="258" t="str">
        <f t="shared" si="22"/>
        <v/>
      </c>
      <c r="AB33" s="399"/>
      <c r="AC33" s="225" t="str">
        <f>'शाळा माहिती'!D17</f>
        <v>श्री प्रवीण ज्ञानदेव कोल्हे</v>
      </c>
      <c r="AD33" s="399"/>
      <c r="AE33" s="399"/>
      <c r="AF33" s="399"/>
      <c r="AG33" s="399"/>
      <c r="AH33" s="399"/>
      <c r="AI33" s="399"/>
      <c r="AJ33" s="399"/>
      <c r="AK33" s="399"/>
      <c r="AL33" s="399"/>
      <c r="AR33" s="225" t="str">
        <f>IF(AS33&gt;1,MAX($AR$7:AR32)+1,"")</f>
        <v/>
      </c>
      <c r="AS33" s="224">
        <f t="shared" si="1"/>
        <v>0</v>
      </c>
      <c r="AT33" s="225">
        <f t="shared" si="2"/>
        <v>0</v>
      </c>
      <c r="AU33" s="224">
        <f t="shared" si="3"/>
        <v>0</v>
      </c>
      <c r="AV33" s="226">
        <f t="shared" si="4"/>
        <v>0</v>
      </c>
      <c r="AW33" s="224">
        <f t="shared" si="16"/>
        <v>0</v>
      </c>
      <c r="AX33" s="224">
        <f t="shared" si="17"/>
        <v>0</v>
      </c>
      <c r="AY33" s="224">
        <f t="shared" si="18"/>
        <v>0</v>
      </c>
      <c r="AZ33" s="711"/>
      <c r="BA33" s="399"/>
      <c r="BB33" s="399"/>
      <c r="BC33" s="225" t="str">
        <f>IF(OR(BW33=$BB$8,BZ33=$BB$8),MAX($BC$7:BC32)+1,"")</f>
        <v/>
      </c>
      <c r="BD33" s="225" t="str">
        <f>IF(OR(BW33=$BB$9,BZ33=$BB$9),MAX($BD$7:BD32)+1,"")</f>
        <v/>
      </c>
      <c r="BE33" s="225" t="str">
        <f>IF(OR(BW33=$BB$10,BZ33=$BB$10),MAX($BE$7:BE32)+1,"")</f>
        <v/>
      </c>
      <c r="BF33" s="225" t="str">
        <f>IF(OR(BW33=$BB$11,BZ33=$BB$11),MAX($BF$7:BF32)+1,"")</f>
        <v/>
      </c>
      <c r="BG33" s="225" t="str">
        <f>IF(OR(BW33=$BB$12,BZ33=$BB$12),MAX($BG$7:BG32)+1,"")</f>
        <v/>
      </c>
      <c r="BH33" s="225" t="str">
        <f>IF(OR(BW33=$BB$13,BZ33=$BB$13),MAX($BH$7:BH32)+1,"")</f>
        <v/>
      </c>
      <c r="BI33" s="225" t="str">
        <f>IF(OR(BW33=$BB$14,BZ33=$BB$14),MAX($BI$7:BI32)+1,"")</f>
        <v/>
      </c>
      <c r="BJ33" s="225" t="str">
        <f>IF(OR(BW33=$BB$15,BZ33=$BB$15),MAX($BJ$7:BJ32)+1,"")</f>
        <v/>
      </c>
      <c r="BK33" s="225" t="str">
        <f>IF(OR(BW33=$BB$16,BZ33=$BB$16),MAX($BK$7:BK32)+1,"")</f>
        <v/>
      </c>
      <c r="BL33" s="225" t="str">
        <f>IF(OR(BW33=$BB$17,BZ33=$BB$17),MAX($BL$7:BL32)+1,"")</f>
        <v/>
      </c>
      <c r="BM33" s="225" t="str">
        <f>IF(OR(BW33=$BB$18,BZ33=$BB$18),MAX($BM$7:BM32)+1,"")</f>
        <v/>
      </c>
      <c r="BN33" s="225" t="str">
        <f>IF(OR(BW33=$BB$19,BZ33=$BB$19),MAX($BN$7:BN32)+1,"")</f>
        <v/>
      </c>
      <c r="BO33" s="225" t="str">
        <f>IF(OR(BW33=$BB$20,BZ33=$BB$20),MAX($BO$7:BO32)+1,"")</f>
        <v/>
      </c>
      <c r="BP33" s="225">
        <f>IF(OR(BW33=$BB$21,BZ33=$BB$21),MAX($BP$7:BP32)+1,"")</f>
        <v>26</v>
      </c>
      <c r="BQ33" s="399"/>
      <c r="BR33" s="399"/>
      <c r="BS33" s="399"/>
      <c r="BT33" s="227">
        <f t="shared" si="5"/>
        <v>0</v>
      </c>
      <c r="BU33" s="225">
        <f t="shared" si="6"/>
        <v>0</v>
      </c>
      <c r="BV33" s="225">
        <f t="shared" si="7"/>
        <v>0</v>
      </c>
      <c r="BW33" s="225">
        <f t="shared" si="8"/>
        <v>0</v>
      </c>
      <c r="BX33" s="225">
        <f t="shared" si="9"/>
        <v>0</v>
      </c>
      <c r="BY33" s="225">
        <f t="shared" si="10"/>
        <v>0</v>
      </c>
      <c r="BZ33" s="225">
        <f t="shared" si="11"/>
        <v>0</v>
      </c>
      <c r="CA33" s="228">
        <f t="shared" si="12"/>
        <v>0</v>
      </c>
      <c r="CB33" s="228">
        <f t="shared" si="13"/>
        <v>0</v>
      </c>
      <c r="CC33" s="228">
        <f t="shared" si="14"/>
        <v>0</v>
      </c>
      <c r="CD33" s="228">
        <f t="shared" si="15"/>
        <v>0</v>
      </c>
      <c r="CE33" s="399"/>
      <c r="CF33" s="399"/>
    </row>
    <row r="34" spans="1:84" x14ac:dyDescent="0.4">
      <c r="A34" s="712" t="s">
        <v>691</v>
      </c>
      <c r="B34" s="231" t="str">
        <f t="shared" si="19"/>
        <v/>
      </c>
      <c r="C34" s="732"/>
      <c r="D34" s="401"/>
      <c r="E34" s="733"/>
      <c r="F34" s="734"/>
      <c r="G34" s="401"/>
      <c r="H34" s="733"/>
      <c r="I34" s="733"/>
      <c r="J34" s="735"/>
      <c r="K34" s="736"/>
      <c r="L34" s="737"/>
      <c r="M34" s="737"/>
      <c r="N34" s="741"/>
      <c r="O34" s="739"/>
      <c r="P34" s="740"/>
      <c r="Q34" s="254" t="str">
        <f t="shared" si="20"/>
        <v/>
      </c>
      <c r="R34" s="254" t="str">
        <f t="shared" si="21"/>
        <v/>
      </c>
      <c r="S34" s="258" t="str">
        <f t="shared" si="22"/>
        <v/>
      </c>
      <c r="AB34" s="399"/>
      <c r="AC34" s="399" t="s">
        <v>591</v>
      </c>
      <c r="AD34" s="399"/>
      <c r="AE34" s="399"/>
      <c r="AF34" s="399"/>
      <c r="AG34" s="399"/>
      <c r="AH34" s="399"/>
      <c r="AI34" s="399"/>
      <c r="AJ34" s="399"/>
      <c r="AK34" s="399"/>
      <c r="AL34" s="399"/>
      <c r="AR34" s="225" t="str">
        <f>IF(AS34&gt;1,MAX($AR$7:AR33)+1,"")</f>
        <v/>
      </c>
      <c r="AS34" s="224">
        <f t="shared" si="1"/>
        <v>0</v>
      </c>
      <c r="AT34" s="225">
        <f t="shared" si="2"/>
        <v>0</v>
      </c>
      <c r="AU34" s="224">
        <f t="shared" si="3"/>
        <v>0</v>
      </c>
      <c r="AV34" s="226">
        <f t="shared" si="4"/>
        <v>0</v>
      </c>
      <c r="AW34" s="224">
        <f t="shared" si="16"/>
        <v>0</v>
      </c>
      <c r="AX34" s="224">
        <f t="shared" si="17"/>
        <v>0</v>
      </c>
      <c r="AY34" s="224">
        <f t="shared" si="18"/>
        <v>0</v>
      </c>
      <c r="AZ34" s="711"/>
      <c r="BA34" s="399"/>
      <c r="BB34" s="399"/>
      <c r="BC34" s="225" t="str">
        <f>IF(OR(BW34=$BB$8,BZ34=$BB$8),MAX($BC$7:BC33)+1,"")</f>
        <v/>
      </c>
      <c r="BD34" s="225" t="str">
        <f>IF(OR(BW34=$BB$9,BZ34=$BB$9),MAX($BD$7:BD33)+1,"")</f>
        <v/>
      </c>
      <c r="BE34" s="225" t="str">
        <f>IF(OR(BW34=$BB$10,BZ34=$BB$10),MAX($BE$7:BE33)+1,"")</f>
        <v/>
      </c>
      <c r="BF34" s="225" t="str">
        <f>IF(OR(BW34=$BB$11,BZ34=$BB$11),MAX($BF$7:BF33)+1,"")</f>
        <v/>
      </c>
      <c r="BG34" s="225" t="str">
        <f>IF(OR(BW34=$BB$12,BZ34=$BB$12),MAX($BG$7:BG33)+1,"")</f>
        <v/>
      </c>
      <c r="BH34" s="225" t="str">
        <f>IF(OR(BW34=$BB$13,BZ34=$BB$13),MAX($BH$7:BH33)+1,"")</f>
        <v/>
      </c>
      <c r="BI34" s="225" t="str">
        <f>IF(OR(BW34=$BB$14,BZ34=$BB$14),MAX($BI$7:BI33)+1,"")</f>
        <v/>
      </c>
      <c r="BJ34" s="225" t="str">
        <f>IF(OR(BW34=$BB$15,BZ34=$BB$15),MAX($BJ$7:BJ33)+1,"")</f>
        <v/>
      </c>
      <c r="BK34" s="225" t="str">
        <f>IF(OR(BW34=$BB$16,BZ34=$BB$16),MAX($BK$7:BK33)+1,"")</f>
        <v/>
      </c>
      <c r="BL34" s="225" t="str">
        <f>IF(OR(BW34=$BB$17,BZ34=$BB$17),MAX($BL$7:BL33)+1,"")</f>
        <v/>
      </c>
      <c r="BM34" s="225" t="str">
        <f>IF(OR(BW34=$BB$18,BZ34=$BB$18),MAX($BM$7:BM33)+1,"")</f>
        <v/>
      </c>
      <c r="BN34" s="225" t="str">
        <f>IF(OR(BW34=$BB$19,BZ34=$BB$19),MAX($BN$7:BN33)+1,"")</f>
        <v/>
      </c>
      <c r="BO34" s="225" t="str">
        <f>IF(OR(BW34=$BB$20,BZ34=$BB$20),MAX($BO$7:BO33)+1,"")</f>
        <v/>
      </c>
      <c r="BP34" s="225">
        <f>IF(OR(BW34=$BB$21,BZ34=$BB$21),MAX($BP$7:BP33)+1,"")</f>
        <v>27</v>
      </c>
      <c r="BQ34" s="399"/>
      <c r="BR34" s="399"/>
      <c r="BS34" s="399"/>
      <c r="BT34" s="227">
        <f t="shared" si="5"/>
        <v>0</v>
      </c>
      <c r="BU34" s="225">
        <f t="shared" si="6"/>
        <v>0</v>
      </c>
      <c r="BV34" s="225">
        <f t="shared" si="7"/>
        <v>0</v>
      </c>
      <c r="BW34" s="225">
        <f t="shared" si="8"/>
        <v>0</v>
      </c>
      <c r="BX34" s="225">
        <f t="shared" si="9"/>
        <v>0</v>
      </c>
      <c r="BY34" s="225">
        <f t="shared" si="10"/>
        <v>0</v>
      </c>
      <c r="BZ34" s="225">
        <f t="shared" si="11"/>
        <v>0</v>
      </c>
      <c r="CA34" s="228">
        <f t="shared" si="12"/>
        <v>0</v>
      </c>
      <c r="CB34" s="228">
        <f t="shared" si="13"/>
        <v>0</v>
      </c>
      <c r="CC34" s="228">
        <f t="shared" si="14"/>
        <v>0</v>
      </c>
      <c r="CD34" s="228">
        <f t="shared" si="15"/>
        <v>0</v>
      </c>
      <c r="CE34" s="399"/>
      <c r="CF34" s="399"/>
    </row>
    <row r="35" spans="1:84" x14ac:dyDescent="0.4">
      <c r="B35" s="231" t="str">
        <f t="shared" si="19"/>
        <v/>
      </c>
      <c r="C35" s="732"/>
      <c r="D35" s="401"/>
      <c r="E35" s="733"/>
      <c r="F35" s="734"/>
      <c r="G35" s="401"/>
      <c r="H35" s="733"/>
      <c r="I35" s="733"/>
      <c r="J35" s="735"/>
      <c r="K35" s="736"/>
      <c r="L35" s="737"/>
      <c r="M35" s="737"/>
      <c r="N35" s="741"/>
      <c r="O35" s="739"/>
      <c r="P35" s="740"/>
      <c r="Q35" s="254" t="str">
        <f t="shared" si="20"/>
        <v/>
      </c>
      <c r="R35" s="254" t="str">
        <f t="shared" si="21"/>
        <v/>
      </c>
      <c r="S35" s="258" t="str">
        <f t="shared" si="22"/>
        <v/>
      </c>
      <c r="AB35" s="399"/>
      <c r="AC35" s="399" t="s">
        <v>590</v>
      </c>
      <c r="AD35" s="399"/>
      <c r="AE35" s="399"/>
      <c r="AF35" s="399"/>
      <c r="AG35" s="399"/>
      <c r="AH35" s="399"/>
      <c r="AI35" s="399"/>
      <c r="AJ35" s="399"/>
      <c r="AK35" s="399"/>
      <c r="AL35" s="399"/>
      <c r="AR35" s="225" t="str">
        <f>IF(AS35&gt;1,MAX($AR$7:AR34)+1,"")</f>
        <v/>
      </c>
      <c r="AS35" s="224">
        <f t="shared" si="1"/>
        <v>0</v>
      </c>
      <c r="AT35" s="225">
        <f t="shared" si="2"/>
        <v>0</v>
      </c>
      <c r="AU35" s="224">
        <f t="shared" si="3"/>
        <v>0</v>
      </c>
      <c r="AV35" s="226">
        <f t="shared" si="4"/>
        <v>0</v>
      </c>
      <c r="AW35" s="224">
        <f t="shared" si="16"/>
        <v>0</v>
      </c>
      <c r="AX35" s="224">
        <f t="shared" si="17"/>
        <v>0</v>
      </c>
      <c r="AY35" s="224">
        <f t="shared" si="18"/>
        <v>0</v>
      </c>
      <c r="AZ35" s="711"/>
      <c r="BA35" s="399"/>
      <c r="BB35" s="399"/>
      <c r="BC35" s="225" t="str">
        <f>IF(OR(BW35=$BB$8,BZ35=$BB$8),MAX($BC$7:BC34)+1,"")</f>
        <v/>
      </c>
      <c r="BD35" s="225" t="str">
        <f>IF(OR(BW35=$BB$9,BZ35=$BB$9),MAX($BD$7:BD34)+1,"")</f>
        <v/>
      </c>
      <c r="BE35" s="225" t="str">
        <f>IF(OR(BW35=$BB$10,BZ35=$BB$10),MAX($BE$7:BE34)+1,"")</f>
        <v/>
      </c>
      <c r="BF35" s="225" t="str">
        <f>IF(OR(BW35=$BB$11,BZ35=$BB$11),MAX($BF$7:BF34)+1,"")</f>
        <v/>
      </c>
      <c r="BG35" s="225" t="str">
        <f>IF(OR(BW35=$BB$12,BZ35=$BB$12),MAX($BG$7:BG34)+1,"")</f>
        <v/>
      </c>
      <c r="BH35" s="225" t="str">
        <f>IF(OR(BW35=$BB$13,BZ35=$BB$13),MAX($BH$7:BH34)+1,"")</f>
        <v/>
      </c>
      <c r="BI35" s="225" t="str">
        <f>IF(OR(BW35=$BB$14,BZ35=$BB$14),MAX($BI$7:BI34)+1,"")</f>
        <v/>
      </c>
      <c r="BJ35" s="225" t="str">
        <f>IF(OR(BW35=$BB$15,BZ35=$BB$15),MAX($BJ$7:BJ34)+1,"")</f>
        <v/>
      </c>
      <c r="BK35" s="225" t="str">
        <f>IF(OR(BW35=$BB$16,BZ35=$BB$16),MAX($BK$7:BK34)+1,"")</f>
        <v/>
      </c>
      <c r="BL35" s="225" t="str">
        <f>IF(OR(BW35=$BB$17,BZ35=$BB$17),MAX($BL$7:BL34)+1,"")</f>
        <v/>
      </c>
      <c r="BM35" s="225" t="str">
        <f>IF(OR(BW35=$BB$18,BZ35=$BB$18),MAX($BM$7:BM34)+1,"")</f>
        <v/>
      </c>
      <c r="BN35" s="225" t="str">
        <f>IF(OR(BW35=$BB$19,BZ35=$BB$19),MAX($BN$7:BN34)+1,"")</f>
        <v/>
      </c>
      <c r="BO35" s="225" t="str">
        <f>IF(OR(BW35=$BB$20,BZ35=$BB$20),MAX($BO$7:BO34)+1,"")</f>
        <v/>
      </c>
      <c r="BP35" s="225">
        <f>IF(OR(BW35=$BB$21,BZ35=$BB$21),MAX($BP$7:BP34)+1,"")</f>
        <v>28</v>
      </c>
      <c r="BQ35" s="399"/>
      <c r="BR35" s="399"/>
      <c r="BS35" s="399"/>
      <c r="BT35" s="227">
        <f t="shared" si="5"/>
        <v>0</v>
      </c>
      <c r="BU35" s="225">
        <f t="shared" si="6"/>
        <v>0</v>
      </c>
      <c r="BV35" s="225">
        <f t="shared" si="7"/>
        <v>0</v>
      </c>
      <c r="BW35" s="225">
        <f t="shared" si="8"/>
        <v>0</v>
      </c>
      <c r="BX35" s="225">
        <f t="shared" si="9"/>
        <v>0</v>
      </c>
      <c r="BY35" s="225">
        <f t="shared" si="10"/>
        <v>0</v>
      </c>
      <c r="BZ35" s="225">
        <f t="shared" si="11"/>
        <v>0</v>
      </c>
      <c r="CA35" s="228">
        <f t="shared" si="12"/>
        <v>0</v>
      </c>
      <c r="CB35" s="228">
        <f t="shared" si="13"/>
        <v>0</v>
      </c>
      <c r="CC35" s="228">
        <f t="shared" si="14"/>
        <v>0</v>
      </c>
      <c r="CD35" s="228">
        <f t="shared" si="15"/>
        <v>0</v>
      </c>
      <c r="CE35" s="399"/>
      <c r="CF35" s="399"/>
    </row>
    <row r="36" spans="1:84" x14ac:dyDescent="0.4">
      <c r="A36" s="712" t="s">
        <v>687</v>
      </c>
      <c r="B36" s="231" t="str">
        <f t="shared" si="19"/>
        <v/>
      </c>
      <c r="C36" s="732"/>
      <c r="D36" s="401"/>
      <c r="E36" s="733"/>
      <c r="F36" s="734"/>
      <c r="G36" s="401"/>
      <c r="H36" s="733"/>
      <c r="I36" s="733"/>
      <c r="J36" s="735"/>
      <c r="K36" s="736"/>
      <c r="L36" s="737"/>
      <c r="M36" s="737"/>
      <c r="N36" s="741"/>
      <c r="O36" s="739"/>
      <c r="P36" s="740"/>
      <c r="Q36" s="254" t="str">
        <f t="shared" si="20"/>
        <v/>
      </c>
      <c r="R36" s="254" t="str">
        <f t="shared" si="21"/>
        <v/>
      </c>
      <c r="S36" s="258" t="str">
        <f t="shared" si="22"/>
        <v/>
      </c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R36" s="225" t="str">
        <f>IF(AS36&gt;1,MAX($AR$7:AR35)+1,"")</f>
        <v/>
      </c>
      <c r="AS36" s="224">
        <f t="shared" si="1"/>
        <v>0</v>
      </c>
      <c r="AT36" s="225">
        <f t="shared" si="2"/>
        <v>0</v>
      </c>
      <c r="AU36" s="224">
        <f t="shared" si="3"/>
        <v>0</v>
      </c>
      <c r="AV36" s="226">
        <f t="shared" si="4"/>
        <v>0</v>
      </c>
      <c r="AW36" s="224">
        <f t="shared" si="16"/>
        <v>0</v>
      </c>
      <c r="AX36" s="224">
        <f t="shared" si="17"/>
        <v>0</v>
      </c>
      <c r="AY36" s="224">
        <f t="shared" si="18"/>
        <v>0</v>
      </c>
      <c r="AZ36" s="711"/>
      <c r="BA36" s="399"/>
      <c r="BB36" s="399"/>
      <c r="BC36" s="225" t="str">
        <f>IF(OR(BW36=$BB$8,BZ36=$BB$8),MAX($BC$7:BC35)+1,"")</f>
        <v/>
      </c>
      <c r="BD36" s="225" t="str">
        <f>IF(OR(BW36=$BB$9,BZ36=$BB$9),MAX($BD$7:BD35)+1,"")</f>
        <v/>
      </c>
      <c r="BE36" s="225" t="str">
        <f>IF(OR(BW36=$BB$10,BZ36=$BB$10),MAX($BE$7:BE35)+1,"")</f>
        <v/>
      </c>
      <c r="BF36" s="225" t="str">
        <f>IF(OR(BW36=$BB$11,BZ36=$BB$11),MAX($BF$7:BF35)+1,"")</f>
        <v/>
      </c>
      <c r="BG36" s="225" t="str">
        <f>IF(OR(BW36=$BB$12,BZ36=$BB$12),MAX($BG$7:BG35)+1,"")</f>
        <v/>
      </c>
      <c r="BH36" s="225" t="str">
        <f>IF(OR(BW36=$BB$13,BZ36=$BB$13),MAX($BH$7:BH35)+1,"")</f>
        <v/>
      </c>
      <c r="BI36" s="225" t="str">
        <f>IF(OR(BW36=$BB$14,BZ36=$BB$14),MAX($BI$7:BI35)+1,"")</f>
        <v/>
      </c>
      <c r="BJ36" s="225" t="str">
        <f>IF(OR(BW36=$BB$15,BZ36=$BB$15),MAX($BJ$7:BJ35)+1,"")</f>
        <v/>
      </c>
      <c r="BK36" s="225" t="str">
        <f>IF(OR(BW36=$BB$16,BZ36=$BB$16),MAX($BK$7:BK35)+1,"")</f>
        <v/>
      </c>
      <c r="BL36" s="225" t="str">
        <f>IF(OR(BW36=$BB$17,BZ36=$BB$17),MAX($BL$7:BL35)+1,"")</f>
        <v/>
      </c>
      <c r="BM36" s="225" t="str">
        <f>IF(OR(BW36=$BB$18,BZ36=$BB$18),MAX($BM$7:BM35)+1,"")</f>
        <v/>
      </c>
      <c r="BN36" s="225" t="str">
        <f>IF(OR(BW36=$BB$19,BZ36=$BB$19),MAX($BN$7:BN35)+1,"")</f>
        <v/>
      </c>
      <c r="BO36" s="225" t="str">
        <f>IF(OR(BW36=$BB$20,BZ36=$BB$20),MAX($BO$7:BO35)+1,"")</f>
        <v/>
      </c>
      <c r="BP36" s="225">
        <f>IF(OR(BW36=$BB$21,BZ36=$BB$21),MAX($BP$7:BP35)+1,"")</f>
        <v>29</v>
      </c>
      <c r="BQ36" s="399"/>
      <c r="BR36" s="399"/>
      <c r="BS36" s="399"/>
      <c r="BT36" s="227">
        <f t="shared" si="5"/>
        <v>0</v>
      </c>
      <c r="BU36" s="225">
        <f t="shared" si="6"/>
        <v>0</v>
      </c>
      <c r="BV36" s="225">
        <f t="shared" si="7"/>
        <v>0</v>
      </c>
      <c r="BW36" s="225">
        <f t="shared" si="8"/>
        <v>0</v>
      </c>
      <c r="BX36" s="225">
        <f t="shared" si="9"/>
        <v>0</v>
      </c>
      <c r="BY36" s="225">
        <f t="shared" si="10"/>
        <v>0</v>
      </c>
      <c r="BZ36" s="225">
        <f t="shared" si="11"/>
        <v>0</v>
      </c>
      <c r="CA36" s="228">
        <f t="shared" si="12"/>
        <v>0</v>
      </c>
      <c r="CB36" s="228">
        <f t="shared" si="13"/>
        <v>0</v>
      </c>
      <c r="CC36" s="228">
        <f t="shared" si="14"/>
        <v>0</v>
      </c>
      <c r="CD36" s="228">
        <f t="shared" si="15"/>
        <v>0</v>
      </c>
      <c r="CE36" s="399"/>
      <c r="CF36" s="399"/>
    </row>
    <row r="37" spans="1:84" x14ac:dyDescent="0.4">
      <c r="A37" s="712" t="s">
        <v>544</v>
      </c>
      <c r="B37" s="231" t="str">
        <f t="shared" si="19"/>
        <v/>
      </c>
      <c r="C37" s="732"/>
      <c r="D37" s="401"/>
      <c r="E37" s="733"/>
      <c r="F37" s="734"/>
      <c r="G37" s="401"/>
      <c r="H37" s="733"/>
      <c r="I37" s="733"/>
      <c r="J37" s="735"/>
      <c r="K37" s="736"/>
      <c r="L37" s="737"/>
      <c r="M37" s="737"/>
      <c r="N37" s="741"/>
      <c r="O37" s="739"/>
      <c r="P37" s="740"/>
      <c r="Q37" s="254" t="str">
        <f t="shared" si="20"/>
        <v/>
      </c>
      <c r="R37" s="254" t="str">
        <f t="shared" si="21"/>
        <v/>
      </c>
      <c r="S37" s="258" t="str">
        <f t="shared" si="22"/>
        <v/>
      </c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R37" s="225" t="str">
        <f>IF(AS37&gt;1,MAX($AR$7:AR36)+1,"")</f>
        <v/>
      </c>
      <c r="AS37" s="224">
        <f t="shared" si="1"/>
        <v>0</v>
      </c>
      <c r="AT37" s="225">
        <f t="shared" si="2"/>
        <v>0</v>
      </c>
      <c r="AU37" s="224">
        <f t="shared" si="3"/>
        <v>0</v>
      </c>
      <c r="AV37" s="226">
        <f t="shared" si="4"/>
        <v>0</v>
      </c>
      <c r="AW37" s="224">
        <f t="shared" si="16"/>
        <v>0</v>
      </c>
      <c r="AX37" s="224">
        <f t="shared" si="17"/>
        <v>0</v>
      </c>
      <c r="AY37" s="224">
        <f t="shared" si="18"/>
        <v>0</v>
      </c>
      <c r="AZ37" s="711"/>
      <c r="BA37" s="399"/>
      <c r="BB37" s="399"/>
      <c r="BC37" s="225" t="str">
        <f>IF(OR(BW37=$BB$8,BZ37=$BB$8),MAX($BC$7:BC36)+1,"")</f>
        <v/>
      </c>
      <c r="BD37" s="225" t="str">
        <f>IF(OR(BW37=$BB$9,BZ37=$BB$9),MAX($BD$7:BD36)+1,"")</f>
        <v/>
      </c>
      <c r="BE37" s="225" t="str">
        <f>IF(OR(BW37=$BB$10,BZ37=$BB$10),MAX($BE$7:BE36)+1,"")</f>
        <v/>
      </c>
      <c r="BF37" s="225" t="str">
        <f>IF(OR(BW37=$BB$11,BZ37=$BB$11),MAX($BF$7:BF36)+1,"")</f>
        <v/>
      </c>
      <c r="BG37" s="225" t="str">
        <f>IF(OR(BW37=$BB$12,BZ37=$BB$12),MAX($BG$7:BG36)+1,"")</f>
        <v/>
      </c>
      <c r="BH37" s="225" t="str">
        <f>IF(OR(BW37=$BB$13,BZ37=$BB$13),MAX($BH$7:BH36)+1,"")</f>
        <v/>
      </c>
      <c r="BI37" s="225" t="str">
        <f>IF(OR(BW37=$BB$14,BZ37=$BB$14),MAX($BI$7:BI36)+1,"")</f>
        <v/>
      </c>
      <c r="BJ37" s="225" t="str">
        <f>IF(OR(BW37=$BB$15,BZ37=$BB$15),MAX($BJ$7:BJ36)+1,"")</f>
        <v/>
      </c>
      <c r="BK37" s="225" t="str">
        <f>IF(OR(BW37=$BB$16,BZ37=$BB$16),MAX($BK$7:BK36)+1,"")</f>
        <v/>
      </c>
      <c r="BL37" s="225" t="str">
        <f>IF(OR(BW37=$BB$17,BZ37=$BB$17),MAX($BL$7:BL36)+1,"")</f>
        <v/>
      </c>
      <c r="BM37" s="225" t="str">
        <f>IF(OR(BW37=$BB$18,BZ37=$BB$18),MAX($BM$7:BM36)+1,"")</f>
        <v/>
      </c>
      <c r="BN37" s="225" t="str">
        <f>IF(OR(BW37=$BB$19,BZ37=$BB$19),MAX($BN$7:BN36)+1,"")</f>
        <v/>
      </c>
      <c r="BO37" s="225" t="str">
        <f>IF(OR(BW37=$BB$20,BZ37=$BB$20),MAX($BO$7:BO36)+1,"")</f>
        <v/>
      </c>
      <c r="BP37" s="225">
        <f>IF(OR(BW37=$BB$21,BZ37=$BB$21),MAX($BP$7:BP36)+1,"")</f>
        <v>30</v>
      </c>
      <c r="BQ37" s="399"/>
      <c r="BR37" s="399"/>
      <c r="BS37" s="399"/>
      <c r="BT37" s="227">
        <f t="shared" si="5"/>
        <v>0</v>
      </c>
      <c r="BU37" s="225">
        <f t="shared" si="6"/>
        <v>0</v>
      </c>
      <c r="BV37" s="225">
        <f t="shared" si="7"/>
        <v>0</v>
      </c>
      <c r="BW37" s="225">
        <f t="shared" si="8"/>
        <v>0</v>
      </c>
      <c r="BX37" s="225">
        <f t="shared" si="9"/>
        <v>0</v>
      </c>
      <c r="BY37" s="225">
        <f t="shared" si="10"/>
        <v>0</v>
      </c>
      <c r="BZ37" s="225">
        <f t="shared" si="11"/>
        <v>0</v>
      </c>
      <c r="CA37" s="228">
        <f t="shared" si="12"/>
        <v>0</v>
      </c>
      <c r="CB37" s="228">
        <f t="shared" si="13"/>
        <v>0</v>
      </c>
      <c r="CC37" s="228">
        <f t="shared" si="14"/>
        <v>0</v>
      </c>
      <c r="CD37" s="228">
        <f t="shared" si="15"/>
        <v>0</v>
      </c>
      <c r="CE37" s="399"/>
      <c r="CF37" s="399"/>
    </row>
    <row r="38" spans="1:84" x14ac:dyDescent="0.4">
      <c r="A38" s="712" t="s">
        <v>688</v>
      </c>
      <c r="B38" s="231" t="str">
        <f t="shared" si="19"/>
        <v/>
      </c>
      <c r="C38" s="732"/>
      <c r="D38" s="401"/>
      <c r="E38" s="733"/>
      <c r="F38" s="734"/>
      <c r="G38" s="401"/>
      <c r="H38" s="733"/>
      <c r="I38" s="733"/>
      <c r="J38" s="735"/>
      <c r="K38" s="736"/>
      <c r="L38" s="737"/>
      <c r="M38" s="737"/>
      <c r="N38" s="741"/>
      <c r="O38" s="739"/>
      <c r="P38" s="740"/>
      <c r="Q38" s="254" t="str">
        <f t="shared" si="20"/>
        <v/>
      </c>
      <c r="R38" s="254" t="str">
        <f t="shared" si="21"/>
        <v/>
      </c>
      <c r="S38" s="258" t="str">
        <f t="shared" si="22"/>
        <v/>
      </c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R38" s="225" t="str">
        <f>IF(AS38&gt;1,MAX($AR$7:AR37)+1,"")</f>
        <v/>
      </c>
      <c r="AS38" s="224">
        <f t="shared" si="1"/>
        <v>0</v>
      </c>
      <c r="AT38" s="225">
        <f t="shared" si="2"/>
        <v>0</v>
      </c>
      <c r="AU38" s="224">
        <f t="shared" si="3"/>
        <v>0</v>
      </c>
      <c r="AV38" s="226">
        <f t="shared" si="4"/>
        <v>0</v>
      </c>
      <c r="AW38" s="224">
        <f t="shared" si="16"/>
        <v>0</v>
      </c>
      <c r="AX38" s="224">
        <f t="shared" si="17"/>
        <v>0</v>
      </c>
      <c r="AY38" s="224">
        <f t="shared" si="18"/>
        <v>0</v>
      </c>
      <c r="AZ38" s="711"/>
      <c r="BA38" s="399"/>
      <c r="BB38" s="399"/>
      <c r="BC38" s="225" t="str">
        <f>IF(OR(BW38=$BB$8,BZ38=$BB$8),MAX($BC$7:BC37)+1,"")</f>
        <v/>
      </c>
      <c r="BD38" s="225" t="str">
        <f>IF(OR(BW38=$BB$9,BZ38=$BB$9),MAX($BD$7:BD37)+1,"")</f>
        <v/>
      </c>
      <c r="BE38" s="225" t="str">
        <f>IF(OR(BW38=$BB$10,BZ38=$BB$10),MAX($BE$7:BE37)+1,"")</f>
        <v/>
      </c>
      <c r="BF38" s="225" t="str">
        <f>IF(OR(BW38=$BB$11,BZ38=$BB$11),MAX($BF$7:BF37)+1,"")</f>
        <v/>
      </c>
      <c r="BG38" s="225" t="str">
        <f>IF(OR(BW38=$BB$12,BZ38=$BB$12),MAX($BG$7:BG37)+1,"")</f>
        <v/>
      </c>
      <c r="BH38" s="225" t="str">
        <f>IF(OR(BW38=$BB$13,BZ38=$BB$13),MAX($BH$7:BH37)+1,"")</f>
        <v/>
      </c>
      <c r="BI38" s="225" t="str">
        <f>IF(OR(BW38=$BB$14,BZ38=$BB$14),MAX($BI$7:BI37)+1,"")</f>
        <v/>
      </c>
      <c r="BJ38" s="225" t="str">
        <f>IF(OR(BW38=$BB$15,BZ38=$BB$15),MAX($BJ$7:BJ37)+1,"")</f>
        <v/>
      </c>
      <c r="BK38" s="225" t="str">
        <f>IF(OR(BW38=$BB$16,BZ38=$BB$16),MAX($BK$7:BK37)+1,"")</f>
        <v/>
      </c>
      <c r="BL38" s="225" t="str">
        <f>IF(OR(BW38=$BB$17,BZ38=$BB$17),MAX($BL$7:BL37)+1,"")</f>
        <v/>
      </c>
      <c r="BM38" s="225" t="str">
        <f>IF(OR(BW38=$BB$18,BZ38=$BB$18),MAX($BM$7:BM37)+1,"")</f>
        <v/>
      </c>
      <c r="BN38" s="225" t="str">
        <f>IF(OR(BW38=$BB$19,BZ38=$BB$19),MAX($BN$7:BN37)+1,"")</f>
        <v/>
      </c>
      <c r="BO38" s="225" t="str">
        <f>IF(OR(BW38=$BB$20,BZ38=$BB$20),MAX($BO$7:BO37)+1,"")</f>
        <v/>
      </c>
      <c r="BP38" s="225">
        <f>IF(OR(BW38=$BB$21,BZ38=$BB$21),MAX($BP$7:BP37)+1,"")</f>
        <v>31</v>
      </c>
      <c r="BQ38" s="399"/>
      <c r="BR38" s="399"/>
      <c r="BS38" s="399"/>
      <c r="BT38" s="227">
        <f t="shared" si="5"/>
        <v>0</v>
      </c>
      <c r="BU38" s="225">
        <f t="shared" si="6"/>
        <v>0</v>
      </c>
      <c r="BV38" s="225">
        <f t="shared" si="7"/>
        <v>0</v>
      </c>
      <c r="BW38" s="225">
        <f t="shared" si="8"/>
        <v>0</v>
      </c>
      <c r="BX38" s="225">
        <f t="shared" si="9"/>
        <v>0</v>
      </c>
      <c r="BY38" s="225">
        <f t="shared" si="10"/>
        <v>0</v>
      </c>
      <c r="BZ38" s="225">
        <f t="shared" si="11"/>
        <v>0</v>
      </c>
      <c r="CA38" s="228">
        <f t="shared" si="12"/>
        <v>0</v>
      </c>
      <c r="CB38" s="228">
        <f t="shared" si="13"/>
        <v>0</v>
      </c>
      <c r="CC38" s="228">
        <f t="shared" si="14"/>
        <v>0</v>
      </c>
      <c r="CD38" s="228">
        <f t="shared" si="15"/>
        <v>0</v>
      </c>
      <c r="CE38" s="399"/>
      <c r="CF38" s="399"/>
    </row>
    <row r="39" spans="1:84" x14ac:dyDescent="0.4">
      <c r="A39" s="712" t="s">
        <v>545</v>
      </c>
      <c r="B39" s="231" t="str">
        <f t="shared" si="19"/>
        <v/>
      </c>
      <c r="C39" s="732"/>
      <c r="D39" s="401"/>
      <c r="E39" s="733"/>
      <c r="F39" s="734"/>
      <c r="G39" s="401"/>
      <c r="H39" s="733"/>
      <c r="I39" s="733"/>
      <c r="J39" s="735"/>
      <c r="K39" s="736"/>
      <c r="L39" s="737"/>
      <c r="M39" s="737"/>
      <c r="N39" s="741"/>
      <c r="O39" s="739"/>
      <c r="P39" s="740"/>
      <c r="Q39" s="254" t="str">
        <f t="shared" si="20"/>
        <v/>
      </c>
      <c r="R39" s="254" t="str">
        <f t="shared" si="21"/>
        <v/>
      </c>
      <c r="S39" s="258" t="str">
        <f t="shared" si="22"/>
        <v/>
      </c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R39" s="225" t="str">
        <f>IF(AS39&gt;1,MAX($AR$7:AR38)+1,"")</f>
        <v/>
      </c>
      <c r="AS39" s="224">
        <f t="shared" si="1"/>
        <v>0</v>
      </c>
      <c r="AT39" s="225">
        <f t="shared" si="2"/>
        <v>0</v>
      </c>
      <c r="AU39" s="224">
        <f t="shared" si="3"/>
        <v>0</v>
      </c>
      <c r="AV39" s="226">
        <f t="shared" si="4"/>
        <v>0</v>
      </c>
      <c r="AW39" s="224">
        <f t="shared" si="16"/>
        <v>0</v>
      </c>
      <c r="AX39" s="224">
        <f t="shared" si="17"/>
        <v>0</v>
      </c>
      <c r="AY39" s="224">
        <f t="shared" si="18"/>
        <v>0</v>
      </c>
      <c r="AZ39" s="711"/>
      <c r="BA39" s="399"/>
      <c r="BB39" s="399"/>
      <c r="BC39" s="225" t="str">
        <f>IF(OR(BW39=$BB$8,BZ39=$BB$8),MAX($BC$7:BC38)+1,"")</f>
        <v/>
      </c>
      <c r="BD39" s="225" t="str">
        <f>IF(OR(BW39=$BB$9,BZ39=$BB$9),MAX($BD$7:BD38)+1,"")</f>
        <v/>
      </c>
      <c r="BE39" s="225" t="str">
        <f>IF(OR(BW39=$BB$10,BZ39=$BB$10),MAX($BE$7:BE38)+1,"")</f>
        <v/>
      </c>
      <c r="BF39" s="225" t="str">
        <f>IF(OR(BW39=$BB$11,BZ39=$BB$11),MAX($BF$7:BF38)+1,"")</f>
        <v/>
      </c>
      <c r="BG39" s="225" t="str">
        <f>IF(OR(BW39=$BB$12,BZ39=$BB$12),MAX($BG$7:BG38)+1,"")</f>
        <v/>
      </c>
      <c r="BH39" s="225" t="str">
        <f>IF(OR(BW39=$BB$13,BZ39=$BB$13),MAX($BH$7:BH38)+1,"")</f>
        <v/>
      </c>
      <c r="BI39" s="225" t="str">
        <f>IF(OR(BW39=$BB$14,BZ39=$BB$14),MAX($BI$7:BI38)+1,"")</f>
        <v/>
      </c>
      <c r="BJ39" s="225" t="str">
        <f>IF(OR(BW39=$BB$15,BZ39=$BB$15),MAX($BJ$7:BJ38)+1,"")</f>
        <v/>
      </c>
      <c r="BK39" s="225" t="str">
        <f>IF(OR(BW39=$BB$16,BZ39=$BB$16),MAX($BK$7:BK38)+1,"")</f>
        <v/>
      </c>
      <c r="BL39" s="225" t="str">
        <f>IF(OR(BW39=$BB$17,BZ39=$BB$17),MAX($BL$7:BL38)+1,"")</f>
        <v/>
      </c>
      <c r="BM39" s="225" t="str">
        <f>IF(OR(BW39=$BB$18,BZ39=$BB$18),MAX($BM$7:BM38)+1,"")</f>
        <v/>
      </c>
      <c r="BN39" s="225" t="str">
        <f>IF(OR(BW39=$BB$19,BZ39=$BB$19),MAX($BN$7:BN38)+1,"")</f>
        <v/>
      </c>
      <c r="BO39" s="225" t="str">
        <f>IF(OR(BW39=$BB$20,BZ39=$BB$20),MAX($BO$7:BO38)+1,"")</f>
        <v/>
      </c>
      <c r="BP39" s="225">
        <f>IF(OR(BW39=$BB$21,BZ39=$BB$21),MAX($BP$7:BP38)+1,"")</f>
        <v>32</v>
      </c>
      <c r="BQ39" s="399"/>
      <c r="BR39" s="399"/>
      <c r="BS39" s="399"/>
      <c r="BT39" s="227">
        <f t="shared" si="5"/>
        <v>0</v>
      </c>
      <c r="BU39" s="225">
        <f t="shared" si="6"/>
        <v>0</v>
      </c>
      <c r="BV39" s="225">
        <f t="shared" si="7"/>
        <v>0</v>
      </c>
      <c r="BW39" s="225">
        <f t="shared" si="8"/>
        <v>0</v>
      </c>
      <c r="BX39" s="225">
        <f t="shared" si="9"/>
        <v>0</v>
      </c>
      <c r="BY39" s="225">
        <f t="shared" si="10"/>
        <v>0</v>
      </c>
      <c r="BZ39" s="225">
        <f t="shared" si="11"/>
        <v>0</v>
      </c>
      <c r="CA39" s="228">
        <f t="shared" si="12"/>
        <v>0</v>
      </c>
      <c r="CB39" s="228">
        <f t="shared" si="13"/>
        <v>0</v>
      </c>
      <c r="CC39" s="228">
        <f t="shared" si="14"/>
        <v>0</v>
      </c>
      <c r="CD39" s="228">
        <f t="shared" si="15"/>
        <v>0</v>
      </c>
      <c r="CE39" s="399"/>
      <c r="CF39" s="399"/>
    </row>
    <row r="40" spans="1:84" x14ac:dyDescent="0.4">
      <c r="A40" s="712" t="s">
        <v>689</v>
      </c>
      <c r="B40" s="231" t="str">
        <f t="shared" si="19"/>
        <v/>
      </c>
      <c r="C40" s="732"/>
      <c r="D40" s="401"/>
      <c r="E40" s="733"/>
      <c r="F40" s="734"/>
      <c r="G40" s="401"/>
      <c r="H40" s="733"/>
      <c r="I40" s="733"/>
      <c r="J40" s="735"/>
      <c r="K40" s="736"/>
      <c r="L40" s="737"/>
      <c r="M40" s="737"/>
      <c r="N40" s="741"/>
      <c r="O40" s="739"/>
      <c r="P40" s="740"/>
      <c r="Q40" s="254" t="str">
        <f t="shared" si="20"/>
        <v/>
      </c>
      <c r="R40" s="254" t="str">
        <f t="shared" si="21"/>
        <v/>
      </c>
      <c r="S40" s="258" t="str">
        <f t="shared" si="22"/>
        <v/>
      </c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R40" s="225" t="str">
        <f>IF(AS40&gt;1,MAX($AR$7:AR39)+1,"")</f>
        <v/>
      </c>
      <c r="AS40" s="224">
        <f t="shared" ref="AS40:AS71" si="26">N40</f>
        <v>0</v>
      </c>
      <c r="AT40" s="225">
        <f t="shared" ref="AT40:AT71" si="27">O40</f>
        <v>0</v>
      </c>
      <c r="AU40" s="224">
        <f t="shared" ref="AU40:AU71" si="28">P40</f>
        <v>0</v>
      </c>
      <c r="AV40" s="226">
        <f t="shared" ref="AV40:AV71" si="29">C40</f>
        <v>0</v>
      </c>
      <c r="AW40" s="224">
        <f t="shared" si="16"/>
        <v>0</v>
      </c>
      <c r="AX40" s="224">
        <f t="shared" si="17"/>
        <v>0</v>
      </c>
      <c r="AY40" s="224">
        <f t="shared" si="18"/>
        <v>0</v>
      </c>
      <c r="AZ40" s="711"/>
      <c r="BA40" s="399"/>
      <c r="BB40" s="399"/>
      <c r="BC40" s="225" t="str">
        <f>IF(OR(BW40=$BB$8,BZ40=$BB$8),MAX($BC$7:BC39)+1,"")</f>
        <v/>
      </c>
      <c r="BD40" s="225" t="str">
        <f>IF(OR(BW40=$BB$9,BZ40=$BB$9),MAX($BD$7:BD39)+1,"")</f>
        <v/>
      </c>
      <c r="BE40" s="225" t="str">
        <f>IF(OR(BW40=$BB$10,BZ40=$BB$10),MAX($BE$7:BE39)+1,"")</f>
        <v/>
      </c>
      <c r="BF40" s="225" t="str">
        <f>IF(OR(BW40=$BB$11,BZ40=$BB$11),MAX($BF$7:BF39)+1,"")</f>
        <v/>
      </c>
      <c r="BG40" s="225" t="str">
        <f>IF(OR(BW40=$BB$12,BZ40=$BB$12),MAX($BG$7:BG39)+1,"")</f>
        <v/>
      </c>
      <c r="BH40" s="225" t="str">
        <f>IF(OR(BW40=$BB$13,BZ40=$BB$13),MAX($BH$7:BH39)+1,"")</f>
        <v/>
      </c>
      <c r="BI40" s="225" t="str">
        <f>IF(OR(BW40=$BB$14,BZ40=$BB$14),MAX($BI$7:BI39)+1,"")</f>
        <v/>
      </c>
      <c r="BJ40" s="225" t="str">
        <f>IF(OR(BW40=$BB$15,BZ40=$BB$15),MAX($BJ$7:BJ39)+1,"")</f>
        <v/>
      </c>
      <c r="BK40" s="225" t="str">
        <f>IF(OR(BW40=$BB$16,BZ40=$BB$16),MAX($BK$7:BK39)+1,"")</f>
        <v/>
      </c>
      <c r="BL40" s="225" t="str">
        <f>IF(OR(BW40=$BB$17,BZ40=$BB$17),MAX($BL$7:BL39)+1,"")</f>
        <v/>
      </c>
      <c r="BM40" s="225" t="str">
        <f>IF(OR(BW40=$BB$18,BZ40=$BB$18),MAX($BM$7:BM39)+1,"")</f>
        <v/>
      </c>
      <c r="BN40" s="225" t="str">
        <f>IF(OR(BW40=$BB$19,BZ40=$BB$19),MAX($BN$7:BN39)+1,"")</f>
        <v/>
      </c>
      <c r="BO40" s="225" t="str">
        <f>IF(OR(BW40=$BB$20,BZ40=$BB$20),MAX($BO$7:BO39)+1,"")</f>
        <v/>
      </c>
      <c r="BP40" s="225">
        <f>IF(OR(BW40=$BB$21,BZ40=$BB$21),MAX($BP$7:BP39)+1,"")</f>
        <v>33</v>
      </c>
      <c r="BQ40" s="399"/>
      <c r="BR40" s="399"/>
      <c r="BS40" s="399"/>
      <c r="BT40" s="227">
        <f t="shared" ref="BT40:BT71" si="30">C40</f>
        <v>0</v>
      </c>
      <c r="BU40" s="225">
        <f t="shared" ref="BU40:BU71" si="31">D40</f>
        <v>0</v>
      </c>
      <c r="BV40" s="225">
        <f t="shared" ref="BV40:BV71" si="32">E40</f>
        <v>0</v>
      </c>
      <c r="BW40" s="225">
        <f t="shared" ref="BW40:BW71" si="33">F40</f>
        <v>0</v>
      </c>
      <c r="BX40" s="225">
        <f t="shared" ref="BX40:BX71" si="34">G40</f>
        <v>0</v>
      </c>
      <c r="BY40" s="225">
        <f t="shared" ref="BY40:BY71" si="35">H40</f>
        <v>0</v>
      </c>
      <c r="BZ40" s="225">
        <f t="shared" ref="BZ40:BZ71" si="36">I40</f>
        <v>0</v>
      </c>
      <c r="CA40" s="228">
        <f t="shared" ref="CA40:CA71" si="37">J40</f>
        <v>0</v>
      </c>
      <c r="CB40" s="228">
        <f t="shared" ref="CB40:CB71" si="38">K40</f>
        <v>0</v>
      </c>
      <c r="CC40" s="228">
        <f t="shared" ref="CC40:CC71" si="39">L40</f>
        <v>0</v>
      </c>
      <c r="CD40" s="228">
        <f t="shared" ref="CD40:CD71" si="40">M40</f>
        <v>0</v>
      </c>
      <c r="CE40" s="399"/>
      <c r="CF40" s="399"/>
    </row>
    <row r="41" spans="1:84" x14ac:dyDescent="0.4">
      <c r="A41" s="712" t="s">
        <v>692</v>
      </c>
      <c r="B41" s="231" t="str">
        <f t="shared" ref="B41:B72" si="41">IF(C41="","",ROW(33:33))</f>
        <v/>
      </c>
      <c r="C41" s="732"/>
      <c r="D41" s="401"/>
      <c r="E41" s="733"/>
      <c r="F41" s="734"/>
      <c r="G41" s="401"/>
      <c r="H41" s="733"/>
      <c r="I41" s="733"/>
      <c r="J41" s="735"/>
      <c r="K41" s="736"/>
      <c r="L41" s="737"/>
      <c r="M41" s="737"/>
      <c r="N41" s="741"/>
      <c r="O41" s="739"/>
      <c r="P41" s="740"/>
      <c r="Q41" s="254" t="str">
        <f t="shared" si="20"/>
        <v/>
      </c>
      <c r="R41" s="254" t="str">
        <f t="shared" si="21"/>
        <v/>
      </c>
      <c r="S41" s="258" t="str">
        <f t="shared" si="22"/>
        <v/>
      </c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R41" s="225" t="str">
        <f>IF(AS41&gt;1,MAX($AR$7:AR40)+1,"")</f>
        <v/>
      </c>
      <c r="AS41" s="224">
        <f t="shared" si="26"/>
        <v>0</v>
      </c>
      <c r="AT41" s="225">
        <f t="shared" si="27"/>
        <v>0</v>
      </c>
      <c r="AU41" s="224">
        <f t="shared" si="28"/>
        <v>0</v>
      </c>
      <c r="AV41" s="226">
        <f t="shared" si="29"/>
        <v>0</v>
      </c>
      <c r="AW41" s="224">
        <f t="shared" ref="AW41:AW72" si="42">G41</f>
        <v>0</v>
      </c>
      <c r="AX41" s="224">
        <f t="shared" ref="AX41:AX72" si="43">H41</f>
        <v>0</v>
      </c>
      <c r="AY41" s="224">
        <f t="shared" ref="AY41:AY72" si="44">I41</f>
        <v>0</v>
      </c>
      <c r="AZ41" s="711"/>
      <c r="BA41" s="399"/>
      <c r="BB41" s="399"/>
      <c r="BC41" s="225" t="str">
        <f>IF(OR(BW41=$BB$8,BZ41=$BB$8),MAX($BC$7:BC40)+1,"")</f>
        <v/>
      </c>
      <c r="BD41" s="225" t="str">
        <f>IF(OR(BW41=$BB$9,BZ41=$BB$9),MAX($BD$7:BD40)+1,"")</f>
        <v/>
      </c>
      <c r="BE41" s="225" t="str">
        <f>IF(OR(BW41=$BB$10,BZ41=$BB$10),MAX($BE$7:BE40)+1,"")</f>
        <v/>
      </c>
      <c r="BF41" s="225" t="str">
        <f>IF(OR(BW41=$BB$11,BZ41=$BB$11),MAX($BF$7:BF40)+1,"")</f>
        <v/>
      </c>
      <c r="BG41" s="225" t="str">
        <f>IF(OR(BW41=$BB$12,BZ41=$BB$12),MAX($BG$7:BG40)+1,"")</f>
        <v/>
      </c>
      <c r="BH41" s="225" t="str">
        <f>IF(OR(BW41=$BB$13,BZ41=$BB$13),MAX($BH$7:BH40)+1,"")</f>
        <v/>
      </c>
      <c r="BI41" s="225" t="str">
        <f>IF(OR(BW41=$BB$14,BZ41=$BB$14),MAX($BI$7:BI40)+1,"")</f>
        <v/>
      </c>
      <c r="BJ41" s="225" t="str">
        <f>IF(OR(BW41=$BB$15,BZ41=$BB$15),MAX($BJ$7:BJ40)+1,"")</f>
        <v/>
      </c>
      <c r="BK41" s="225" t="str">
        <f>IF(OR(BW41=$BB$16,BZ41=$BB$16),MAX($BK$7:BK40)+1,"")</f>
        <v/>
      </c>
      <c r="BL41" s="225" t="str">
        <f>IF(OR(BW41=$BB$17,BZ41=$BB$17),MAX($BL$7:BL40)+1,"")</f>
        <v/>
      </c>
      <c r="BM41" s="225" t="str">
        <f>IF(OR(BW41=$BB$18,BZ41=$BB$18),MAX($BM$7:BM40)+1,"")</f>
        <v/>
      </c>
      <c r="BN41" s="225" t="str">
        <f>IF(OR(BW41=$BB$19,BZ41=$BB$19),MAX($BN$7:BN40)+1,"")</f>
        <v/>
      </c>
      <c r="BO41" s="225" t="str">
        <f>IF(OR(BW41=$BB$20,BZ41=$BB$20),MAX($BO$7:BO40)+1,"")</f>
        <v/>
      </c>
      <c r="BP41" s="225">
        <f>IF(OR(BW41=$BB$21,BZ41=$BB$21),MAX($BP$7:BP40)+1,"")</f>
        <v>34</v>
      </c>
      <c r="BQ41" s="399"/>
      <c r="BR41" s="399"/>
      <c r="BS41" s="399"/>
      <c r="BT41" s="227">
        <f t="shared" si="30"/>
        <v>0</v>
      </c>
      <c r="BU41" s="225">
        <f t="shared" si="31"/>
        <v>0</v>
      </c>
      <c r="BV41" s="225">
        <f t="shared" si="32"/>
        <v>0</v>
      </c>
      <c r="BW41" s="225">
        <f t="shared" si="33"/>
        <v>0</v>
      </c>
      <c r="BX41" s="225">
        <f t="shared" si="34"/>
        <v>0</v>
      </c>
      <c r="BY41" s="225">
        <f t="shared" si="35"/>
        <v>0</v>
      </c>
      <c r="BZ41" s="225">
        <f t="shared" si="36"/>
        <v>0</v>
      </c>
      <c r="CA41" s="228">
        <f t="shared" si="37"/>
        <v>0</v>
      </c>
      <c r="CB41" s="228">
        <f t="shared" si="38"/>
        <v>0</v>
      </c>
      <c r="CC41" s="228">
        <f t="shared" si="39"/>
        <v>0</v>
      </c>
      <c r="CD41" s="228">
        <f t="shared" si="40"/>
        <v>0</v>
      </c>
      <c r="CE41" s="399"/>
      <c r="CF41" s="399"/>
    </row>
    <row r="42" spans="1:84" x14ac:dyDescent="0.4">
      <c r="A42" s="712" t="s">
        <v>690</v>
      </c>
      <c r="B42" s="231" t="str">
        <f t="shared" si="41"/>
        <v/>
      </c>
      <c r="C42" s="732"/>
      <c r="D42" s="401"/>
      <c r="E42" s="733"/>
      <c r="F42" s="734"/>
      <c r="G42" s="401"/>
      <c r="H42" s="733"/>
      <c r="I42" s="733"/>
      <c r="J42" s="735"/>
      <c r="K42" s="736"/>
      <c r="L42" s="737"/>
      <c r="M42" s="737"/>
      <c r="N42" s="741"/>
      <c r="O42" s="739"/>
      <c r="P42" s="740"/>
      <c r="Q42" s="254" t="str">
        <f t="shared" si="20"/>
        <v/>
      </c>
      <c r="R42" s="254" t="str">
        <f t="shared" si="21"/>
        <v/>
      </c>
      <c r="S42" s="258" t="str">
        <f t="shared" si="22"/>
        <v/>
      </c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R42" s="225" t="str">
        <f>IF(AS42&gt;1,MAX($AR$7:AR41)+1,"")</f>
        <v/>
      </c>
      <c r="AS42" s="224">
        <f t="shared" si="26"/>
        <v>0</v>
      </c>
      <c r="AT42" s="225">
        <f t="shared" si="27"/>
        <v>0</v>
      </c>
      <c r="AU42" s="224">
        <f t="shared" si="28"/>
        <v>0</v>
      </c>
      <c r="AV42" s="226">
        <f t="shared" si="29"/>
        <v>0</v>
      </c>
      <c r="AW42" s="224">
        <f t="shared" si="42"/>
        <v>0</v>
      </c>
      <c r="AX42" s="224">
        <f t="shared" si="43"/>
        <v>0</v>
      </c>
      <c r="AY42" s="224">
        <f t="shared" si="44"/>
        <v>0</v>
      </c>
      <c r="AZ42" s="711"/>
      <c r="BA42" s="399"/>
      <c r="BB42" s="399"/>
      <c r="BC42" s="225" t="str">
        <f>IF(OR(BW42=$BB$8,BZ42=$BB$8),MAX($BC$7:BC41)+1,"")</f>
        <v/>
      </c>
      <c r="BD42" s="225" t="str">
        <f>IF(OR(BW42=$BB$9,BZ42=$BB$9),MAX($BD$7:BD41)+1,"")</f>
        <v/>
      </c>
      <c r="BE42" s="225" t="str">
        <f>IF(OR(BW42=$BB$10,BZ42=$BB$10),MAX($BE$7:BE41)+1,"")</f>
        <v/>
      </c>
      <c r="BF42" s="225" t="str">
        <f>IF(OR(BW42=$BB$11,BZ42=$BB$11),MAX($BF$7:BF41)+1,"")</f>
        <v/>
      </c>
      <c r="BG42" s="225" t="str">
        <f>IF(OR(BW42=$BB$12,BZ42=$BB$12),MAX($BG$7:BG41)+1,"")</f>
        <v/>
      </c>
      <c r="BH42" s="225" t="str">
        <f>IF(OR(BW42=$BB$13,BZ42=$BB$13),MAX($BH$7:BH41)+1,"")</f>
        <v/>
      </c>
      <c r="BI42" s="225" t="str">
        <f>IF(OR(BW42=$BB$14,BZ42=$BB$14),MAX($BI$7:BI41)+1,"")</f>
        <v/>
      </c>
      <c r="BJ42" s="225" t="str">
        <f>IF(OR(BW42=$BB$15,BZ42=$BB$15),MAX($BJ$7:BJ41)+1,"")</f>
        <v/>
      </c>
      <c r="BK42" s="225" t="str">
        <f>IF(OR(BW42=$BB$16,BZ42=$BB$16),MAX($BK$7:BK41)+1,"")</f>
        <v/>
      </c>
      <c r="BL42" s="225" t="str">
        <f>IF(OR(BW42=$BB$17,BZ42=$BB$17),MAX($BL$7:BL41)+1,"")</f>
        <v/>
      </c>
      <c r="BM42" s="225" t="str">
        <f>IF(OR(BW42=$BB$18,BZ42=$BB$18),MAX($BM$7:BM41)+1,"")</f>
        <v/>
      </c>
      <c r="BN42" s="225" t="str">
        <f>IF(OR(BW42=$BB$19,BZ42=$BB$19),MAX($BN$7:BN41)+1,"")</f>
        <v/>
      </c>
      <c r="BO42" s="225" t="str">
        <f>IF(OR(BW42=$BB$20,BZ42=$BB$20),MAX($BO$7:BO41)+1,"")</f>
        <v/>
      </c>
      <c r="BP42" s="225">
        <f>IF(OR(BW42=$BB$21,BZ42=$BB$21),MAX($BP$7:BP41)+1,"")</f>
        <v>35</v>
      </c>
      <c r="BQ42" s="399"/>
      <c r="BR42" s="399"/>
      <c r="BS42" s="399"/>
      <c r="BT42" s="227">
        <f t="shared" si="30"/>
        <v>0</v>
      </c>
      <c r="BU42" s="225">
        <f t="shared" si="31"/>
        <v>0</v>
      </c>
      <c r="BV42" s="225">
        <f t="shared" si="32"/>
        <v>0</v>
      </c>
      <c r="BW42" s="225">
        <f t="shared" si="33"/>
        <v>0</v>
      </c>
      <c r="BX42" s="225">
        <f t="shared" si="34"/>
        <v>0</v>
      </c>
      <c r="BY42" s="225">
        <f t="shared" si="35"/>
        <v>0</v>
      </c>
      <c r="BZ42" s="225">
        <f t="shared" si="36"/>
        <v>0</v>
      </c>
      <c r="CA42" s="228">
        <f t="shared" si="37"/>
        <v>0</v>
      </c>
      <c r="CB42" s="228">
        <f t="shared" si="38"/>
        <v>0</v>
      </c>
      <c r="CC42" s="228">
        <f t="shared" si="39"/>
        <v>0</v>
      </c>
      <c r="CD42" s="228">
        <f t="shared" si="40"/>
        <v>0</v>
      </c>
      <c r="CE42" s="399"/>
      <c r="CF42" s="399"/>
    </row>
    <row r="43" spans="1:84" x14ac:dyDescent="0.4">
      <c r="A43" s="712" t="s">
        <v>691</v>
      </c>
      <c r="B43" s="231" t="str">
        <f t="shared" si="41"/>
        <v/>
      </c>
      <c r="C43" s="732"/>
      <c r="D43" s="401"/>
      <c r="E43" s="733"/>
      <c r="F43" s="734"/>
      <c r="G43" s="401"/>
      <c r="H43" s="733"/>
      <c r="I43" s="733"/>
      <c r="J43" s="735"/>
      <c r="K43" s="736"/>
      <c r="L43" s="737"/>
      <c r="M43" s="737"/>
      <c r="N43" s="741"/>
      <c r="O43" s="739"/>
      <c r="P43" s="740"/>
      <c r="Q43" s="254" t="str">
        <f t="shared" si="20"/>
        <v/>
      </c>
      <c r="R43" s="254" t="str">
        <f t="shared" si="21"/>
        <v/>
      </c>
      <c r="S43" s="258" t="str">
        <f t="shared" si="22"/>
        <v/>
      </c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R43" s="225" t="str">
        <f>IF(AS43&gt;1,MAX($AR$7:AR42)+1,"")</f>
        <v/>
      </c>
      <c r="AS43" s="224">
        <f t="shared" si="26"/>
        <v>0</v>
      </c>
      <c r="AT43" s="225">
        <f t="shared" si="27"/>
        <v>0</v>
      </c>
      <c r="AU43" s="224">
        <f t="shared" si="28"/>
        <v>0</v>
      </c>
      <c r="AV43" s="226">
        <f t="shared" si="29"/>
        <v>0</v>
      </c>
      <c r="AW43" s="224">
        <f t="shared" si="42"/>
        <v>0</v>
      </c>
      <c r="AX43" s="224">
        <f t="shared" si="43"/>
        <v>0</v>
      </c>
      <c r="AY43" s="224">
        <f t="shared" si="44"/>
        <v>0</v>
      </c>
      <c r="AZ43" s="711"/>
      <c r="BA43" s="399"/>
      <c r="BB43" s="399"/>
      <c r="BC43" s="225" t="str">
        <f>IF(OR(BW43=$BB$8,BZ43=$BB$8),MAX($BC$7:BC42)+1,"")</f>
        <v/>
      </c>
      <c r="BD43" s="225" t="str">
        <f>IF(OR(BW43=$BB$9,BZ43=$BB$9),MAX($BD$7:BD42)+1,"")</f>
        <v/>
      </c>
      <c r="BE43" s="225" t="str">
        <f>IF(OR(BW43=$BB$10,BZ43=$BB$10),MAX($BE$7:BE42)+1,"")</f>
        <v/>
      </c>
      <c r="BF43" s="225" t="str">
        <f>IF(OR(BW43=$BB$11,BZ43=$BB$11),MAX($BF$7:BF42)+1,"")</f>
        <v/>
      </c>
      <c r="BG43" s="225" t="str">
        <f>IF(OR(BW43=$BB$12,BZ43=$BB$12),MAX($BG$7:BG42)+1,"")</f>
        <v/>
      </c>
      <c r="BH43" s="225" t="str">
        <f>IF(OR(BW43=$BB$13,BZ43=$BB$13),MAX($BH$7:BH42)+1,"")</f>
        <v/>
      </c>
      <c r="BI43" s="225" t="str">
        <f>IF(OR(BW43=$BB$14,BZ43=$BB$14),MAX($BI$7:BI42)+1,"")</f>
        <v/>
      </c>
      <c r="BJ43" s="225" t="str">
        <f>IF(OR(BW43=$BB$15,BZ43=$BB$15),MAX($BJ$7:BJ42)+1,"")</f>
        <v/>
      </c>
      <c r="BK43" s="225" t="str">
        <f>IF(OR(BW43=$BB$16,BZ43=$BB$16),MAX($BK$7:BK42)+1,"")</f>
        <v/>
      </c>
      <c r="BL43" s="225" t="str">
        <f>IF(OR(BW43=$BB$17,BZ43=$BB$17),MAX($BL$7:BL42)+1,"")</f>
        <v/>
      </c>
      <c r="BM43" s="225" t="str">
        <f>IF(OR(BW43=$BB$18,BZ43=$BB$18),MAX($BM$7:BM42)+1,"")</f>
        <v/>
      </c>
      <c r="BN43" s="225" t="str">
        <f>IF(OR(BW43=$BB$19,BZ43=$BB$19),MAX($BN$7:BN42)+1,"")</f>
        <v/>
      </c>
      <c r="BO43" s="225" t="str">
        <f>IF(OR(BW43=$BB$20,BZ43=$BB$20),MAX($BO$7:BO42)+1,"")</f>
        <v/>
      </c>
      <c r="BP43" s="225">
        <f>IF(OR(BW43=$BB$21,BZ43=$BB$21),MAX($BP$7:BP42)+1,"")</f>
        <v>36</v>
      </c>
      <c r="BQ43" s="399"/>
      <c r="BR43" s="399"/>
      <c r="BS43" s="399"/>
      <c r="BT43" s="227">
        <f t="shared" si="30"/>
        <v>0</v>
      </c>
      <c r="BU43" s="225">
        <f t="shared" si="31"/>
        <v>0</v>
      </c>
      <c r="BV43" s="225">
        <f t="shared" si="32"/>
        <v>0</v>
      </c>
      <c r="BW43" s="225">
        <f t="shared" si="33"/>
        <v>0</v>
      </c>
      <c r="BX43" s="225">
        <f t="shared" si="34"/>
        <v>0</v>
      </c>
      <c r="BY43" s="225">
        <f t="shared" si="35"/>
        <v>0</v>
      </c>
      <c r="BZ43" s="225">
        <f t="shared" si="36"/>
        <v>0</v>
      </c>
      <c r="CA43" s="228">
        <f t="shared" si="37"/>
        <v>0</v>
      </c>
      <c r="CB43" s="228">
        <f t="shared" si="38"/>
        <v>0</v>
      </c>
      <c r="CC43" s="228">
        <f t="shared" si="39"/>
        <v>0</v>
      </c>
      <c r="CD43" s="228">
        <f t="shared" si="40"/>
        <v>0</v>
      </c>
      <c r="CE43" s="399"/>
      <c r="CF43" s="399"/>
    </row>
    <row r="44" spans="1:84" x14ac:dyDescent="0.4">
      <c r="B44" s="231" t="str">
        <f t="shared" si="41"/>
        <v/>
      </c>
      <c r="C44" s="732"/>
      <c r="D44" s="401"/>
      <c r="E44" s="733"/>
      <c r="F44" s="734"/>
      <c r="G44" s="401"/>
      <c r="H44" s="733"/>
      <c r="I44" s="733"/>
      <c r="J44" s="735"/>
      <c r="K44" s="736"/>
      <c r="L44" s="737"/>
      <c r="M44" s="737"/>
      <c r="N44" s="741"/>
      <c r="O44" s="739"/>
      <c r="P44" s="740"/>
      <c r="Q44" s="254" t="str">
        <f t="shared" si="20"/>
        <v/>
      </c>
      <c r="R44" s="254" t="str">
        <f t="shared" si="21"/>
        <v/>
      </c>
      <c r="S44" s="258" t="str">
        <f t="shared" si="22"/>
        <v/>
      </c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R44" s="225" t="str">
        <f>IF(AS44&gt;1,MAX($AR$7:AR43)+1,"")</f>
        <v/>
      </c>
      <c r="AS44" s="224">
        <f t="shared" si="26"/>
        <v>0</v>
      </c>
      <c r="AT44" s="225">
        <f t="shared" si="27"/>
        <v>0</v>
      </c>
      <c r="AU44" s="224">
        <f t="shared" si="28"/>
        <v>0</v>
      </c>
      <c r="AV44" s="226">
        <f t="shared" si="29"/>
        <v>0</v>
      </c>
      <c r="AW44" s="224">
        <f t="shared" si="42"/>
        <v>0</v>
      </c>
      <c r="AX44" s="224">
        <f t="shared" si="43"/>
        <v>0</v>
      </c>
      <c r="AY44" s="224">
        <f t="shared" si="44"/>
        <v>0</v>
      </c>
      <c r="AZ44" s="711"/>
      <c r="BA44" s="399"/>
      <c r="BB44" s="399"/>
      <c r="BC44" s="225" t="str">
        <f>IF(OR(BW44=$BB$8,BZ44=$BB$8),MAX($BC$7:BC43)+1,"")</f>
        <v/>
      </c>
      <c r="BD44" s="225" t="str">
        <f>IF(OR(BW44=$BB$9,BZ44=$BB$9),MAX($BD$7:BD43)+1,"")</f>
        <v/>
      </c>
      <c r="BE44" s="225" t="str">
        <f>IF(OR(BW44=$BB$10,BZ44=$BB$10),MAX($BE$7:BE43)+1,"")</f>
        <v/>
      </c>
      <c r="BF44" s="225" t="str">
        <f>IF(OR(BW44=$BB$11,BZ44=$BB$11),MAX($BF$7:BF43)+1,"")</f>
        <v/>
      </c>
      <c r="BG44" s="225" t="str">
        <f>IF(OR(BW44=$BB$12,BZ44=$BB$12),MAX($BG$7:BG43)+1,"")</f>
        <v/>
      </c>
      <c r="BH44" s="225" t="str">
        <f>IF(OR(BW44=$BB$13,BZ44=$BB$13),MAX($BH$7:BH43)+1,"")</f>
        <v/>
      </c>
      <c r="BI44" s="225" t="str">
        <f>IF(OR(BW44=$BB$14,BZ44=$BB$14),MAX($BI$7:BI43)+1,"")</f>
        <v/>
      </c>
      <c r="BJ44" s="225" t="str">
        <f>IF(OR(BW44=$BB$15,BZ44=$BB$15),MAX($BJ$7:BJ43)+1,"")</f>
        <v/>
      </c>
      <c r="BK44" s="225" t="str">
        <f>IF(OR(BW44=$BB$16,BZ44=$BB$16),MAX($BK$7:BK43)+1,"")</f>
        <v/>
      </c>
      <c r="BL44" s="225" t="str">
        <f>IF(OR(BW44=$BB$17,BZ44=$BB$17),MAX($BL$7:BL43)+1,"")</f>
        <v/>
      </c>
      <c r="BM44" s="225" t="str">
        <f>IF(OR(BW44=$BB$18,BZ44=$BB$18),MAX($BM$7:BM43)+1,"")</f>
        <v/>
      </c>
      <c r="BN44" s="225" t="str">
        <f>IF(OR(BW44=$BB$19,BZ44=$BB$19),MAX($BN$7:BN43)+1,"")</f>
        <v/>
      </c>
      <c r="BO44" s="225" t="str">
        <f>IF(OR(BW44=$BB$20,BZ44=$BB$20),MAX($BO$7:BO43)+1,"")</f>
        <v/>
      </c>
      <c r="BP44" s="225">
        <f>IF(OR(BW44=$BB$21,BZ44=$BB$21),MAX($BP$7:BP43)+1,"")</f>
        <v>37</v>
      </c>
      <c r="BQ44" s="399"/>
      <c r="BR44" s="399"/>
      <c r="BS44" s="399"/>
      <c r="BT44" s="227">
        <f t="shared" si="30"/>
        <v>0</v>
      </c>
      <c r="BU44" s="225">
        <f t="shared" si="31"/>
        <v>0</v>
      </c>
      <c r="BV44" s="225">
        <f t="shared" si="32"/>
        <v>0</v>
      </c>
      <c r="BW44" s="225">
        <f t="shared" si="33"/>
        <v>0</v>
      </c>
      <c r="BX44" s="225">
        <f t="shared" si="34"/>
        <v>0</v>
      </c>
      <c r="BY44" s="225">
        <f t="shared" si="35"/>
        <v>0</v>
      </c>
      <c r="BZ44" s="225">
        <f t="shared" si="36"/>
        <v>0</v>
      </c>
      <c r="CA44" s="228">
        <f t="shared" si="37"/>
        <v>0</v>
      </c>
      <c r="CB44" s="228">
        <f t="shared" si="38"/>
        <v>0</v>
      </c>
      <c r="CC44" s="228">
        <f t="shared" si="39"/>
        <v>0</v>
      </c>
      <c r="CD44" s="228">
        <f t="shared" si="40"/>
        <v>0</v>
      </c>
      <c r="CE44" s="399"/>
      <c r="CF44" s="399"/>
    </row>
    <row r="45" spans="1:84" x14ac:dyDescent="0.4">
      <c r="A45" s="712" t="s">
        <v>687</v>
      </c>
      <c r="B45" s="231" t="str">
        <f t="shared" si="41"/>
        <v/>
      </c>
      <c r="C45" s="732"/>
      <c r="D45" s="401"/>
      <c r="E45" s="733"/>
      <c r="F45" s="734"/>
      <c r="G45" s="401"/>
      <c r="H45" s="733"/>
      <c r="I45" s="733"/>
      <c r="J45" s="735"/>
      <c r="K45" s="736"/>
      <c r="L45" s="737"/>
      <c r="M45" s="737"/>
      <c r="N45" s="741"/>
      <c r="O45" s="739"/>
      <c r="P45" s="740"/>
      <c r="Q45" s="254" t="str">
        <f t="shared" si="20"/>
        <v/>
      </c>
      <c r="R45" s="254" t="str">
        <f t="shared" si="21"/>
        <v/>
      </c>
      <c r="S45" s="258" t="str">
        <f t="shared" si="22"/>
        <v/>
      </c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R45" s="225" t="str">
        <f>IF(AS45&gt;1,MAX($AR$7:AR44)+1,"")</f>
        <v/>
      </c>
      <c r="AS45" s="224">
        <f t="shared" si="26"/>
        <v>0</v>
      </c>
      <c r="AT45" s="225">
        <f t="shared" si="27"/>
        <v>0</v>
      </c>
      <c r="AU45" s="224">
        <f t="shared" si="28"/>
        <v>0</v>
      </c>
      <c r="AV45" s="226">
        <f t="shared" si="29"/>
        <v>0</v>
      </c>
      <c r="AW45" s="224">
        <f t="shared" si="42"/>
        <v>0</v>
      </c>
      <c r="AX45" s="224">
        <f t="shared" si="43"/>
        <v>0</v>
      </c>
      <c r="AY45" s="224">
        <f t="shared" si="44"/>
        <v>0</v>
      </c>
      <c r="AZ45" s="711"/>
      <c r="BA45" s="399"/>
      <c r="BB45" s="399"/>
      <c r="BC45" s="225" t="str">
        <f>IF(OR(BW45=$BB$8,BZ45=$BB$8),MAX($BC$7:BC44)+1,"")</f>
        <v/>
      </c>
      <c r="BD45" s="225" t="str">
        <f>IF(OR(BW45=$BB$9,BZ45=$BB$9),MAX($BD$7:BD44)+1,"")</f>
        <v/>
      </c>
      <c r="BE45" s="225" t="str">
        <f>IF(OR(BW45=$BB$10,BZ45=$BB$10),MAX($BE$7:BE44)+1,"")</f>
        <v/>
      </c>
      <c r="BF45" s="225" t="str">
        <f>IF(OR(BW45=$BB$11,BZ45=$BB$11),MAX($BF$7:BF44)+1,"")</f>
        <v/>
      </c>
      <c r="BG45" s="225" t="str">
        <f>IF(OR(BW45=$BB$12,BZ45=$BB$12),MAX($BG$7:BG44)+1,"")</f>
        <v/>
      </c>
      <c r="BH45" s="225" t="str">
        <f>IF(OR(BW45=$BB$13,BZ45=$BB$13),MAX($BH$7:BH44)+1,"")</f>
        <v/>
      </c>
      <c r="BI45" s="225" t="str">
        <f>IF(OR(BW45=$BB$14,BZ45=$BB$14),MAX($BI$7:BI44)+1,"")</f>
        <v/>
      </c>
      <c r="BJ45" s="225" t="str">
        <f>IF(OR(BW45=$BB$15,BZ45=$BB$15),MAX($BJ$7:BJ44)+1,"")</f>
        <v/>
      </c>
      <c r="BK45" s="225" t="str">
        <f>IF(OR(BW45=$BB$16,BZ45=$BB$16),MAX($BK$7:BK44)+1,"")</f>
        <v/>
      </c>
      <c r="BL45" s="225" t="str">
        <f>IF(OR(BW45=$BB$17,BZ45=$BB$17),MAX($BL$7:BL44)+1,"")</f>
        <v/>
      </c>
      <c r="BM45" s="225" t="str">
        <f>IF(OR(BW45=$BB$18,BZ45=$BB$18),MAX($BM$7:BM44)+1,"")</f>
        <v/>
      </c>
      <c r="BN45" s="225" t="str">
        <f>IF(OR(BW45=$BB$19,BZ45=$BB$19),MAX($BN$7:BN44)+1,"")</f>
        <v/>
      </c>
      <c r="BO45" s="225" t="str">
        <f>IF(OR(BW45=$BB$20,BZ45=$BB$20),MAX($BO$7:BO44)+1,"")</f>
        <v/>
      </c>
      <c r="BP45" s="225">
        <f>IF(OR(BW45=$BB$21,BZ45=$BB$21),MAX($BP$7:BP44)+1,"")</f>
        <v>38</v>
      </c>
      <c r="BQ45" s="399"/>
      <c r="BR45" s="399"/>
      <c r="BS45" s="399"/>
      <c r="BT45" s="227">
        <f t="shared" si="30"/>
        <v>0</v>
      </c>
      <c r="BU45" s="225">
        <f t="shared" si="31"/>
        <v>0</v>
      </c>
      <c r="BV45" s="225">
        <f t="shared" si="32"/>
        <v>0</v>
      </c>
      <c r="BW45" s="225">
        <f t="shared" si="33"/>
        <v>0</v>
      </c>
      <c r="BX45" s="225">
        <f t="shared" si="34"/>
        <v>0</v>
      </c>
      <c r="BY45" s="225">
        <f t="shared" si="35"/>
        <v>0</v>
      </c>
      <c r="BZ45" s="225">
        <f t="shared" si="36"/>
        <v>0</v>
      </c>
      <c r="CA45" s="228">
        <f t="shared" si="37"/>
        <v>0</v>
      </c>
      <c r="CB45" s="228">
        <f t="shared" si="38"/>
        <v>0</v>
      </c>
      <c r="CC45" s="228">
        <f t="shared" si="39"/>
        <v>0</v>
      </c>
      <c r="CD45" s="228">
        <f t="shared" si="40"/>
        <v>0</v>
      </c>
      <c r="CE45" s="399"/>
      <c r="CF45" s="399"/>
    </row>
    <row r="46" spans="1:84" x14ac:dyDescent="0.4">
      <c r="A46" s="712" t="s">
        <v>544</v>
      </c>
      <c r="B46" s="231" t="str">
        <f t="shared" si="41"/>
        <v/>
      </c>
      <c r="C46" s="732"/>
      <c r="D46" s="401"/>
      <c r="E46" s="733"/>
      <c r="F46" s="734"/>
      <c r="G46" s="401"/>
      <c r="H46" s="733"/>
      <c r="I46" s="733"/>
      <c r="J46" s="735"/>
      <c r="K46" s="736"/>
      <c r="L46" s="737"/>
      <c r="M46" s="737"/>
      <c r="N46" s="741"/>
      <c r="O46" s="739"/>
      <c r="P46" s="740"/>
      <c r="Q46" s="254" t="str">
        <f t="shared" si="20"/>
        <v/>
      </c>
      <c r="R46" s="254" t="str">
        <f t="shared" si="21"/>
        <v/>
      </c>
      <c r="S46" s="258" t="str">
        <f t="shared" si="22"/>
        <v/>
      </c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R46" s="225" t="str">
        <f>IF(AS46&gt;1,MAX($AR$7:AR45)+1,"")</f>
        <v/>
      </c>
      <c r="AS46" s="224">
        <f t="shared" si="26"/>
        <v>0</v>
      </c>
      <c r="AT46" s="225">
        <f t="shared" si="27"/>
        <v>0</v>
      </c>
      <c r="AU46" s="224">
        <f t="shared" si="28"/>
        <v>0</v>
      </c>
      <c r="AV46" s="226">
        <f t="shared" si="29"/>
        <v>0</v>
      </c>
      <c r="AW46" s="224">
        <f t="shared" si="42"/>
        <v>0</v>
      </c>
      <c r="AX46" s="224">
        <f t="shared" si="43"/>
        <v>0</v>
      </c>
      <c r="AY46" s="224">
        <f t="shared" si="44"/>
        <v>0</v>
      </c>
      <c r="AZ46" s="711"/>
      <c r="BA46" s="399"/>
      <c r="BB46" s="399"/>
      <c r="BC46" s="225" t="str">
        <f>IF(OR(BW46=$BB$8,BZ46=$BB$8),MAX($BC$7:BC45)+1,"")</f>
        <v/>
      </c>
      <c r="BD46" s="225" t="str">
        <f>IF(OR(BW46=$BB$9,BZ46=$BB$9),MAX($BD$7:BD45)+1,"")</f>
        <v/>
      </c>
      <c r="BE46" s="225" t="str">
        <f>IF(OR(BW46=$BB$10,BZ46=$BB$10),MAX($BE$7:BE45)+1,"")</f>
        <v/>
      </c>
      <c r="BF46" s="225" t="str">
        <f>IF(OR(BW46=$BB$11,BZ46=$BB$11),MAX($BF$7:BF45)+1,"")</f>
        <v/>
      </c>
      <c r="BG46" s="225" t="str">
        <f>IF(OR(BW46=$BB$12,BZ46=$BB$12),MAX($BG$7:BG45)+1,"")</f>
        <v/>
      </c>
      <c r="BH46" s="225" t="str">
        <f>IF(OR(BW46=$BB$13,BZ46=$BB$13),MAX($BH$7:BH45)+1,"")</f>
        <v/>
      </c>
      <c r="BI46" s="225" t="str">
        <f>IF(OR(BW46=$BB$14,BZ46=$BB$14),MAX($BI$7:BI45)+1,"")</f>
        <v/>
      </c>
      <c r="BJ46" s="225" t="str">
        <f>IF(OR(BW46=$BB$15,BZ46=$BB$15),MAX($BJ$7:BJ45)+1,"")</f>
        <v/>
      </c>
      <c r="BK46" s="225" t="str">
        <f>IF(OR(BW46=$BB$16,BZ46=$BB$16),MAX($BK$7:BK45)+1,"")</f>
        <v/>
      </c>
      <c r="BL46" s="225" t="str">
        <f>IF(OR(BW46=$BB$17,BZ46=$BB$17),MAX($BL$7:BL45)+1,"")</f>
        <v/>
      </c>
      <c r="BM46" s="225" t="str">
        <f>IF(OR(BW46=$BB$18,BZ46=$BB$18),MAX($BM$7:BM45)+1,"")</f>
        <v/>
      </c>
      <c r="BN46" s="225" t="str">
        <f>IF(OR(BW46=$BB$19,BZ46=$BB$19),MAX($BN$7:BN45)+1,"")</f>
        <v/>
      </c>
      <c r="BO46" s="225" t="str">
        <f>IF(OR(BW46=$BB$20,BZ46=$BB$20),MAX($BO$7:BO45)+1,"")</f>
        <v/>
      </c>
      <c r="BP46" s="225">
        <f>IF(OR(BW46=$BB$21,BZ46=$BB$21),MAX($BP$7:BP45)+1,"")</f>
        <v>39</v>
      </c>
      <c r="BQ46" s="399"/>
      <c r="BR46" s="399"/>
      <c r="BS46" s="399"/>
      <c r="BT46" s="227">
        <f t="shared" si="30"/>
        <v>0</v>
      </c>
      <c r="BU46" s="225">
        <f t="shared" si="31"/>
        <v>0</v>
      </c>
      <c r="BV46" s="225">
        <f t="shared" si="32"/>
        <v>0</v>
      </c>
      <c r="BW46" s="225">
        <f t="shared" si="33"/>
        <v>0</v>
      </c>
      <c r="BX46" s="225">
        <f t="shared" si="34"/>
        <v>0</v>
      </c>
      <c r="BY46" s="225">
        <f t="shared" si="35"/>
        <v>0</v>
      </c>
      <c r="BZ46" s="225">
        <f t="shared" si="36"/>
        <v>0</v>
      </c>
      <c r="CA46" s="228">
        <f t="shared" si="37"/>
        <v>0</v>
      </c>
      <c r="CB46" s="228">
        <f t="shared" si="38"/>
        <v>0</v>
      </c>
      <c r="CC46" s="228">
        <f t="shared" si="39"/>
        <v>0</v>
      </c>
      <c r="CD46" s="228">
        <f t="shared" si="40"/>
        <v>0</v>
      </c>
      <c r="CE46" s="399"/>
      <c r="CF46" s="399"/>
    </row>
    <row r="47" spans="1:84" x14ac:dyDescent="0.4">
      <c r="A47" s="712" t="s">
        <v>688</v>
      </c>
      <c r="B47" s="231" t="str">
        <f t="shared" si="41"/>
        <v/>
      </c>
      <c r="C47" s="732"/>
      <c r="D47" s="401"/>
      <c r="E47" s="733"/>
      <c r="F47" s="734"/>
      <c r="G47" s="401"/>
      <c r="H47" s="733"/>
      <c r="I47" s="733"/>
      <c r="J47" s="735"/>
      <c r="K47" s="736"/>
      <c r="L47" s="737"/>
      <c r="M47" s="737"/>
      <c r="N47" s="741"/>
      <c r="O47" s="739"/>
      <c r="P47" s="740"/>
      <c r="Q47" s="254" t="str">
        <f t="shared" si="20"/>
        <v/>
      </c>
      <c r="R47" s="254" t="str">
        <f t="shared" si="21"/>
        <v/>
      </c>
      <c r="S47" s="258" t="str">
        <f t="shared" si="22"/>
        <v/>
      </c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R47" s="225" t="str">
        <f>IF(AS47&gt;1,MAX($AR$7:AR46)+1,"")</f>
        <v/>
      </c>
      <c r="AS47" s="224">
        <f t="shared" si="26"/>
        <v>0</v>
      </c>
      <c r="AT47" s="225">
        <f t="shared" si="27"/>
        <v>0</v>
      </c>
      <c r="AU47" s="224">
        <f t="shared" si="28"/>
        <v>0</v>
      </c>
      <c r="AV47" s="226">
        <f t="shared" si="29"/>
        <v>0</v>
      </c>
      <c r="AW47" s="224">
        <f t="shared" si="42"/>
        <v>0</v>
      </c>
      <c r="AX47" s="224">
        <f t="shared" si="43"/>
        <v>0</v>
      </c>
      <c r="AY47" s="224">
        <f t="shared" si="44"/>
        <v>0</v>
      </c>
      <c r="AZ47" s="711"/>
      <c r="BA47" s="399"/>
      <c r="BB47" s="399"/>
      <c r="BC47" s="225" t="str">
        <f>IF(OR(BW47=$BB$8,BZ47=$BB$8),MAX($BC$7:BC46)+1,"")</f>
        <v/>
      </c>
      <c r="BD47" s="225" t="str">
        <f>IF(OR(BW47=$BB$9,BZ47=$BB$9),MAX($BD$7:BD46)+1,"")</f>
        <v/>
      </c>
      <c r="BE47" s="225" t="str">
        <f>IF(OR(BW47=$BB$10,BZ47=$BB$10),MAX($BE$7:BE46)+1,"")</f>
        <v/>
      </c>
      <c r="BF47" s="225" t="str">
        <f>IF(OR(BW47=$BB$11,BZ47=$BB$11),MAX($BF$7:BF46)+1,"")</f>
        <v/>
      </c>
      <c r="BG47" s="225" t="str">
        <f>IF(OR(BW47=$BB$12,BZ47=$BB$12),MAX($BG$7:BG46)+1,"")</f>
        <v/>
      </c>
      <c r="BH47" s="225" t="str">
        <f>IF(OR(BW47=$BB$13,BZ47=$BB$13),MAX($BH$7:BH46)+1,"")</f>
        <v/>
      </c>
      <c r="BI47" s="225" t="str">
        <f>IF(OR(BW47=$BB$14,BZ47=$BB$14),MAX($BI$7:BI46)+1,"")</f>
        <v/>
      </c>
      <c r="BJ47" s="225" t="str">
        <f>IF(OR(BW47=$BB$15,BZ47=$BB$15),MAX($BJ$7:BJ46)+1,"")</f>
        <v/>
      </c>
      <c r="BK47" s="225" t="str">
        <f>IF(OR(BW47=$BB$16,BZ47=$BB$16),MAX($BK$7:BK46)+1,"")</f>
        <v/>
      </c>
      <c r="BL47" s="225" t="str">
        <f>IF(OR(BW47=$BB$17,BZ47=$BB$17),MAX($BL$7:BL46)+1,"")</f>
        <v/>
      </c>
      <c r="BM47" s="225" t="str">
        <f>IF(OR(BW47=$BB$18,BZ47=$BB$18),MAX($BM$7:BM46)+1,"")</f>
        <v/>
      </c>
      <c r="BN47" s="225" t="str">
        <f>IF(OR(BW47=$BB$19,BZ47=$BB$19),MAX($BN$7:BN46)+1,"")</f>
        <v/>
      </c>
      <c r="BO47" s="225" t="str">
        <f>IF(OR(BW47=$BB$20,BZ47=$BB$20),MAX($BO$7:BO46)+1,"")</f>
        <v/>
      </c>
      <c r="BP47" s="225">
        <f>IF(OR(BW47=$BB$21,BZ47=$BB$21),MAX($BP$7:BP46)+1,"")</f>
        <v>40</v>
      </c>
      <c r="BQ47" s="399"/>
      <c r="BR47" s="399"/>
      <c r="BS47" s="399"/>
      <c r="BT47" s="227">
        <f t="shared" si="30"/>
        <v>0</v>
      </c>
      <c r="BU47" s="225">
        <f t="shared" si="31"/>
        <v>0</v>
      </c>
      <c r="BV47" s="225">
        <f t="shared" si="32"/>
        <v>0</v>
      </c>
      <c r="BW47" s="225">
        <f t="shared" si="33"/>
        <v>0</v>
      </c>
      <c r="BX47" s="225">
        <f t="shared" si="34"/>
        <v>0</v>
      </c>
      <c r="BY47" s="225">
        <f t="shared" si="35"/>
        <v>0</v>
      </c>
      <c r="BZ47" s="225">
        <f t="shared" si="36"/>
        <v>0</v>
      </c>
      <c r="CA47" s="228">
        <f t="shared" si="37"/>
        <v>0</v>
      </c>
      <c r="CB47" s="228">
        <f t="shared" si="38"/>
        <v>0</v>
      </c>
      <c r="CC47" s="228">
        <f t="shared" si="39"/>
        <v>0</v>
      </c>
      <c r="CD47" s="228">
        <f t="shared" si="40"/>
        <v>0</v>
      </c>
      <c r="CE47" s="399"/>
      <c r="CF47" s="399"/>
    </row>
    <row r="48" spans="1:84" x14ac:dyDescent="0.4">
      <c r="A48" s="712" t="s">
        <v>545</v>
      </c>
      <c r="B48" s="231" t="str">
        <f t="shared" si="41"/>
        <v/>
      </c>
      <c r="C48" s="732"/>
      <c r="D48" s="401"/>
      <c r="E48" s="733"/>
      <c r="F48" s="734"/>
      <c r="G48" s="401"/>
      <c r="H48" s="733"/>
      <c r="I48" s="733"/>
      <c r="J48" s="735"/>
      <c r="K48" s="736"/>
      <c r="L48" s="737"/>
      <c r="M48" s="737"/>
      <c r="N48" s="741"/>
      <c r="O48" s="739"/>
      <c r="P48" s="740"/>
      <c r="Q48" s="254" t="str">
        <f t="shared" si="20"/>
        <v/>
      </c>
      <c r="R48" s="254" t="str">
        <f t="shared" si="21"/>
        <v/>
      </c>
      <c r="S48" s="258" t="str">
        <f t="shared" si="22"/>
        <v/>
      </c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R48" s="225" t="str">
        <f>IF(AS48&gt;1,MAX($AR$7:AR47)+1,"")</f>
        <v/>
      </c>
      <c r="AS48" s="224">
        <f t="shared" si="26"/>
        <v>0</v>
      </c>
      <c r="AT48" s="225">
        <f t="shared" si="27"/>
        <v>0</v>
      </c>
      <c r="AU48" s="224">
        <f t="shared" si="28"/>
        <v>0</v>
      </c>
      <c r="AV48" s="226">
        <f t="shared" si="29"/>
        <v>0</v>
      </c>
      <c r="AW48" s="224">
        <f t="shared" si="42"/>
        <v>0</v>
      </c>
      <c r="AX48" s="224">
        <f t="shared" si="43"/>
        <v>0</v>
      </c>
      <c r="AY48" s="224">
        <f t="shared" si="44"/>
        <v>0</v>
      </c>
      <c r="AZ48" s="711"/>
      <c r="BA48" s="399"/>
      <c r="BB48" s="399"/>
      <c r="BC48" s="225" t="str">
        <f>IF(OR(BW48=$BB$8,BZ48=$BB$8),MAX($BC$7:BC47)+1,"")</f>
        <v/>
      </c>
      <c r="BD48" s="225" t="str">
        <f>IF(OR(BW48=$BB$9,BZ48=$BB$9),MAX($BD$7:BD47)+1,"")</f>
        <v/>
      </c>
      <c r="BE48" s="225" t="str">
        <f>IF(OR(BW48=$BB$10,BZ48=$BB$10),MAX($BE$7:BE47)+1,"")</f>
        <v/>
      </c>
      <c r="BF48" s="225" t="str">
        <f>IF(OR(BW48=$BB$11,BZ48=$BB$11),MAX($BF$7:BF47)+1,"")</f>
        <v/>
      </c>
      <c r="BG48" s="225" t="str">
        <f>IF(OR(BW48=$BB$12,BZ48=$BB$12),MAX($BG$7:BG47)+1,"")</f>
        <v/>
      </c>
      <c r="BH48" s="225" t="str">
        <f>IF(OR(BW48=$BB$13,BZ48=$BB$13),MAX($BH$7:BH47)+1,"")</f>
        <v/>
      </c>
      <c r="BI48" s="225" t="str">
        <f>IF(OR(BW48=$BB$14,BZ48=$BB$14),MAX($BI$7:BI47)+1,"")</f>
        <v/>
      </c>
      <c r="BJ48" s="225" t="str">
        <f>IF(OR(BW48=$BB$15,BZ48=$BB$15),MAX($BJ$7:BJ47)+1,"")</f>
        <v/>
      </c>
      <c r="BK48" s="225" t="str">
        <f>IF(OR(BW48=$BB$16,BZ48=$BB$16),MAX($BK$7:BK47)+1,"")</f>
        <v/>
      </c>
      <c r="BL48" s="225" t="str">
        <f>IF(OR(BW48=$BB$17,BZ48=$BB$17),MAX($BL$7:BL47)+1,"")</f>
        <v/>
      </c>
      <c r="BM48" s="225" t="str">
        <f>IF(OR(BW48=$BB$18,BZ48=$BB$18),MAX($BM$7:BM47)+1,"")</f>
        <v/>
      </c>
      <c r="BN48" s="225" t="str">
        <f>IF(OR(BW48=$BB$19,BZ48=$BB$19),MAX($BN$7:BN47)+1,"")</f>
        <v/>
      </c>
      <c r="BO48" s="225" t="str">
        <f>IF(OR(BW48=$BB$20,BZ48=$BB$20),MAX($BO$7:BO47)+1,"")</f>
        <v/>
      </c>
      <c r="BP48" s="225">
        <f>IF(OR(BW48=$BB$21,BZ48=$BB$21),MAX($BP$7:BP47)+1,"")</f>
        <v>41</v>
      </c>
      <c r="BQ48" s="399"/>
      <c r="BR48" s="399"/>
      <c r="BS48" s="399"/>
      <c r="BT48" s="227">
        <f t="shared" si="30"/>
        <v>0</v>
      </c>
      <c r="BU48" s="225">
        <f t="shared" si="31"/>
        <v>0</v>
      </c>
      <c r="BV48" s="225">
        <f t="shared" si="32"/>
        <v>0</v>
      </c>
      <c r="BW48" s="225">
        <f t="shared" si="33"/>
        <v>0</v>
      </c>
      <c r="BX48" s="225">
        <f t="shared" si="34"/>
        <v>0</v>
      </c>
      <c r="BY48" s="225">
        <f t="shared" si="35"/>
        <v>0</v>
      </c>
      <c r="BZ48" s="225">
        <f t="shared" si="36"/>
        <v>0</v>
      </c>
      <c r="CA48" s="228">
        <f t="shared" si="37"/>
        <v>0</v>
      </c>
      <c r="CB48" s="228">
        <f t="shared" si="38"/>
        <v>0</v>
      </c>
      <c r="CC48" s="228">
        <f t="shared" si="39"/>
        <v>0</v>
      </c>
      <c r="CD48" s="228">
        <f t="shared" si="40"/>
        <v>0</v>
      </c>
      <c r="CE48" s="399"/>
      <c r="CF48" s="399"/>
    </row>
    <row r="49" spans="1:84" x14ac:dyDescent="0.4">
      <c r="A49" s="712" t="s">
        <v>689</v>
      </c>
      <c r="B49" s="231" t="str">
        <f t="shared" si="41"/>
        <v/>
      </c>
      <c r="C49" s="732"/>
      <c r="D49" s="401"/>
      <c r="E49" s="733"/>
      <c r="F49" s="734"/>
      <c r="G49" s="401"/>
      <c r="H49" s="733"/>
      <c r="I49" s="733"/>
      <c r="J49" s="735"/>
      <c r="K49" s="736"/>
      <c r="L49" s="737"/>
      <c r="M49" s="737"/>
      <c r="N49" s="741"/>
      <c r="O49" s="739"/>
      <c r="P49" s="740"/>
      <c r="Q49" s="254" t="str">
        <f t="shared" si="20"/>
        <v/>
      </c>
      <c r="R49" s="254" t="str">
        <f t="shared" si="21"/>
        <v/>
      </c>
      <c r="S49" s="258" t="str">
        <f t="shared" si="22"/>
        <v/>
      </c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R49" s="225" t="str">
        <f>IF(AS49&gt;1,MAX($AR$7:AR48)+1,"")</f>
        <v/>
      </c>
      <c r="AS49" s="224">
        <f t="shared" si="26"/>
        <v>0</v>
      </c>
      <c r="AT49" s="225">
        <f t="shared" si="27"/>
        <v>0</v>
      </c>
      <c r="AU49" s="224">
        <f t="shared" si="28"/>
        <v>0</v>
      </c>
      <c r="AV49" s="226">
        <f t="shared" si="29"/>
        <v>0</v>
      </c>
      <c r="AW49" s="224">
        <f t="shared" si="42"/>
        <v>0</v>
      </c>
      <c r="AX49" s="224">
        <f t="shared" si="43"/>
        <v>0</v>
      </c>
      <c r="AY49" s="224">
        <f t="shared" si="44"/>
        <v>0</v>
      </c>
      <c r="AZ49" s="711"/>
      <c r="BA49" s="399"/>
      <c r="BB49" s="399"/>
      <c r="BC49" s="225" t="str">
        <f>IF(OR(BW49=$BB$8,BZ49=$BB$8),MAX($BC$7:BC48)+1,"")</f>
        <v/>
      </c>
      <c r="BD49" s="225" t="str">
        <f>IF(OR(BW49=$BB$9,BZ49=$BB$9),MAX($BD$7:BD48)+1,"")</f>
        <v/>
      </c>
      <c r="BE49" s="225" t="str">
        <f>IF(OR(BW49=$BB$10,BZ49=$BB$10),MAX($BE$7:BE48)+1,"")</f>
        <v/>
      </c>
      <c r="BF49" s="225" t="str">
        <f>IF(OR(BW49=$BB$11,BZ49=$BB$11),MAX($BF$7:BF48)+1,"")</f>
        <v/>
      </c>
      <c r="BG49" s="225" t="str">
        <f>IF(OR(BW49=$BB$12,BZ49=$BB$12),MAX($BG$7:BG48)+1,"")</f>
        <v/>
      </c>
      <c r="BH49" s="225" t="str">
        <f>IF(OR(BW49=$BB$13,BZ49=$BB$13),MAX($BH$7:BH48)+1,"")</f>
        <v/>
      </c>
      <c r="BI49" s="225" t="str">
        <f>IF(OR(BW49=$BB$14,BZ49=$BB$14),MAX($BI$7:BI48)+1,"")</f>
        <v/>
      </c>
      <c r="BJ49" s="225" t="str">
        <f>IF(OR(BW49=$BB$15,BZ49=$BB$15),MAX($BJ$7:BJ48)+1,"")</f>
        <v/>
      </c>
      <c r="BK49" s="225" t="str">
        <f>IF(OR(BW49=$BB$16,BZ49=$BB$16),MAX($BK$7:BK48)+1,"")</f>
        <v/>
      </c>
      <c r="BL49" s="225" t="str">
        <f>IF(OR(BW49=$BB$17,BZ49=$BB$17),MAX($BL$7:BL48)+1,"")</f>
        <v/>
      </c>
      <c r="BM49" s="225" t="str">
        <f>IF(OR(BW49=$BB$18,BZ49=$BB$18),MAX($BM$7:BM48)+1,"")</f>
        <v/>
      </c>
      <c r="BN49" s="225" t="str">
        <f>IF(OR(BW49=$BB$19,BZ49=$BB$19),MAX($BN$7:BN48)+1,"")</f>
        <v/>
      </c>
      <c r="BO49" s="225" t="str">
        <f>IF(OR(BW49=$BB$20,BZ49=$BB$20),MAX($BO$7:BO48)+1,"")</f>
        <v/>
      </c>
      <c r="BP49" s="225">
        <f>IF(OR(BW49=$BB$21,BZ49=$BB$21),MAX($BP$7:BP48)+1,"")</f>
        <v>42</v>
      </c>
      <c r="BQ49" s="399"/>
      <c r="BR49" s="399"/>
      <c r="BS49" s="399"/>
      <c r="BT49" s="227">
        <f t="shared" si="30"/>
        <v>0</v>
      </c>
      <c r="BU49" s="225">
        <f t="shared" si="31"/>
        <v>0</v>
      </c>
      <c r="BV49" s="225">
        <f t="shared" si="32"/>
        <v>0</v>
      </c>
      <c r="BW49" s="225">
        <f t="shared" si="33"/>
        <v>0</v>
      </c>
      <c r="BX49" s="225">
        <f t="shared" si="34"/>
        <v>0</v>
      </c>
      <c r="BY49" s="225">
        <f t="shared" si="35"/>
        <v>0</v>
      </c>
      <c r="BZ49" s="225">
        <f t="shared" si="36"/>
        <v>0</v>
      </c>
      <c r="CA49" s="228">
        <f t="shared" si="37"/>
        <v>0</v>
      </c>
      <c r="CB49" s="228">
        <f t="shared" si="38"/>
        <v>0</v>
      </c>
      <c r="CC49" s="228">
        <f t="shared" si="39"/>
        <v>0</v>
      </c>
      <c r="CD49" s="228">
        <f t="shared" si="40"/>
        <v>0</v>
      </c>
      <c r="CE49" s="399"/>
      <c r="CF49" s="399"/>
    </row>
    <row r="50" spans="1:84" x14ac:dyDescent="0.4">
      <c r="A50" s="712" t="s">
        <v>692</v>
      </c>
      <c r="B50" s="231" t="str">
        <f t="shared" si="41"/>
        <v/>
      </c>
      <c r="C50" s="732"/>
      <c r="D50" s="401"/>
      <c r="E50" s="733"/>
      <c r="F50" s="734"/>
      <c r="G50" s="401"/>
      <c r="H50" s="733"/>
      <c r="I50" s="733"/>
      <c r="J50" s="735"/>
      <c r="K50" s="736"/>
      <c r="L50" s="737"/>
      <c r="M50" s="737"/>
      <c r="N50" s="741"/>
      <c r="O50" s="739"/>
      <c r="P50" s="740"/>
      <c r="Q50" s="254" t="str">
        <f t="shared" si="20"/>
        <v/>
      </c>
      <c r="R50" s="254" t="str">
        <f t="shared" si="21"/>
        <v/>
      </c>
      <c r="S50" s="258" t="str">
        <f t="shared" si="22"/>
        <v/>
      </c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R50" s="225" t="str">
        <f>IF(AS50&gt;1,MAX($AR$7:AR49)+1,"")</f>
        <v/>
      </c>
      <c r="AS50" s="224">
        <f t="shared" si="26"/>
        <v>0</v>
      </c>
      <c r="AT50" s="225">
        <f t="shared" si="27"/>
        <v>0</v>
      </c>
      <c r="AU50" s="224">
        <f t="shared" si="28"/>
        <v>0</v>
      </c>
      <c r="AV50" s="226">
        <f t="shared" si="29"/>
        <v>0</v>
      </c>
      <c r="AW50" s="224">
        <f t="shared" si="42"/>
        <v>0</v>
      </c>
      <c r="AX50" s="224">
        <f t="shared" si="43"/>
        <v>0</v>
      </c>
      <c r="AY50" s="224">
        <f t="shared" si="44"/>
        <v>0</v>
      </c>
      <c r="AZ50" s="711"/>
      <c r="BA50" s="399"/>
      <c r="BB50" s="399"/>
      <c r="BC50" s="225" t="str">
        <f>IF(OR(BW50=$BB$8,BZ50=$BB$8),MAX($BC$7:BC49)+1,"")</f>
        <v/>
      </c>
      <c r="BD50" s="225" t="str">
        <f>IF(OR(BW50=$BB$9,BZ50=$BB$9),MAX($BD$7:BD49)+1,"")</f>
        <v/>
      </c>
      <c r="BE50" s="225" t="str">
        <f>IF(OR(BW50=$BB$10,BZ50=$BB$10),MAX($BE$7:BE49)+1,"")</f>
        <v/>
      </c>
      <c r="BF50" s="225" t="str">
        <f>IF(OR(BW50=$BB$11,BZ50=$BB$11),MAX($BF$7:BF49)+1,"")</f>
        <v/>
      </c>
      <c r="BG50" s="225" t="str">
        <f>IF(OR(BW50=$BB$12,BZ50=$BB$12),MAX($BG$7:BG49)+1,"")</f>
        <v/>
      </c>
      <c r="BH50" s="225" t="str">
        <f>IF(OR(BW50=$BB$13,BZ50=$BB$13),MAX($BH$7:BH49)+1,"")</f>
        <v/>
      </c>
      <c r="BI50" s="225" t="str">
        <f>IF(OR(BW50=$BB$14,BZ50=$BB$14),MAX($BI$7:BI49)+1,"")</f>
        <v/>
      </c>
      <c r="BJ50" s="225" t="str">
        <f>IF(OR(BW50=$BB$15,BZ50=$BB$15),MAX($BJ$7:BJ49)+1,"")</f>
        <v/>
      </c>
      <c r="BK50" s="225" t="str">
        <f>IF(OR(BW50=$BB$16,BZ50=$BB$16),MAX($BK$7:BK49)+1,"")</f>
        <v/>
      </c>
      <c r="BL50" s="225" t="str">
        <f>IF(OR(BW50=$BB$17,BZ50=$BB$17),MAX($BL$7:BL49)+1,"")</f>
        <v/>
      </c>
      <c r="BM50" s="225" t="str">
        <f>IF(OR(BW50=$BB$18,BZ50=$BB$18),MAX($BM$7:BM49)+1,"")</f>
        <v/>
      </c>
      <c r="BN50" s="225" t="str">
        <f>IF(OR(BW50=$BB$19,BZ50=$BB$19),MAX($BN$7:BN49)+1,"")</f>
        <v/>
      </c>
      <c r="BO50" s="225" t="str">
        <f>IF(OR(BW50=$BB$20,BZ50=$BB$20),MAX($BO$7:BO49)+1,"")</f>
        <v/>
      </c>
      <c r="BP50" s="225">
        <f>IF(OR(BW50=$BB$21,BZ50=$BB$21),MAX($BP$7:BP49)+1,"")</f>
        <v>43</v>
      </c>
      <c r="BQ50" s="399"/>
      <c r="BR50" s="399"/>
      <c r="BS50" s="399"/>
      <c r="BT50" s="227">
        <f t="shared" si="30"/>
        <v>0</v>
      </c>
      <c r="BU50" s="225">
        <f t="shared" si="31"/>
        <v>0</v>
      </c>
      <c r="BV50" s="225">
        <f t="shared" si="32"/>
        <v>0</v>
      </c>
      <c r="BW50" s="225">
        <f t="shared" si="33"/>
        <v>0</v>
      </c>
      <c r="BX50" s="225">
        <f t="shared" si="34"/>
        <v>0</v>
      </c>
      <c r="BY50" s="225">
        <f t="shared" si="35"/>
        <v>0</v>
      </c>
      <c r="BZ50" s="225">
        <f t="shared" si="36"/>
        <v>0</v>
      </c>
      <c r="CA50" s="228">
        <f t="shared" si="37"/>
        <v>0</v>
      </c>
      <c r="CB50" s="228">
        <f t="shared" si="38"/>
        <v>0</v>
      </c>
      <c r="CC50" s="228">
        <f t="shared" si="39"/>
        <v>0</v>
      </c>
      <c r="CD50" s="228">
        <f t="shared" si="40"/>
        <v>0</v>
      </c>
      <c r="CE50" s="399"/>
      <c r="CF50" s="399"/>
    </row>
    <row r="51" spans="1:84" x14ac:dyDescent="0.4">
      <c r="A51" s="712" t="s">
        <v>690</v>
      </c>
      <c r="B51" s="231" t="str">
        <f t="shared" si="41"/>
        <v/>
      </c>
      <c r="C51" s="732"/>
      <c r="D51" s="401"/>
      <c r="E51" s="733"/>
      <c r="F51" s="734"/>
      <c r="G51" s="401"/>
      <c r="H51" s="733"/>
      <c r="I51" s="733"/>
      <c r="J51" s="735"/>
      <c r="K51" s="736"/>
      <c r="L51" s="737"/>
      <c r="M51" s="737"/>
      <c r="N51" s="741"/>
      <c r="O51" s="739"/>
      <c r="P51" s="740"/>
      <c r="Q51" s="254" t="str">
        <f t="shared" si="20"/>
        <v/>
      </c>
      <c r="R51" s="254" t="str">
        <f t="shared" si="21"/>
        <v/>
      </c>
      <c r="S51" s="258" t="str">
        <f t="shared" si="22"/>
        <v/>
      </c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R51" s="225" t="str">
        <f>IF(AS51&gt;1,MAX($AR$7:AR50)+1,"")</f>
        <v/>
      </c>
      <c r="AS51" s="224">
        <f t="shared" si="26"/>
        <v>0</v>
      </c>
      <c r="AT51" s="225">
        <f t="shared" si="27"/>
        <v>0</v>
      </c>
      <c r="AU51" s="224">
        <f t="shared" si="28"/>
        <v>0</v>
      </c>
      <c r="AV51" s="226">
        <f t="shared" si="29"/>
        <v>0</v>
      </c>
      <c r="AW51" s="224">
        <f t="shared" si="42"/>
        <v>0</v>
      </c>
      <c r="AX51" s="224">
        <f t="shared" si="43"/>
        <v>0</v>
      </c>
      <c r="AY51" s="224">
        <f t="shared" si="44"/>
        <v>0</v>
      </c>
      <c r="AZ51" s="711"/>
      <c r="BA51" s="399"/>
      <c r="BB51" s="399"/>
      <c r="BC51" s="225" t="str">
        <f>IF(OR(BW51=$BB$8,BZ51=$BB$8),MAX($BC$7:BC50)+1,"")</f>
        <v/>
      </c>
      <c r="BD51" s="225" t="str">
        <f>IF(OR(BW51=$BB$9,BZ51=$BB$9),MAX($BD$7:BD50)+1,"")</f>
        <v/>
      </c>
      <c r="BE51" s="225" t="str">
        <f>IF(OR(BW51=$BB$10,BZ51=$BB$10),MAX($BE$7:BE50)+1,"")</f>
        <v/>
      </c>
      <c r="BF51" s="225" t="str">
        <f>IF(OR(BW51=$BB$11,BZ51=$BB$11),MAX($BF$7:BF50)+1,"")</f>
        <v/>
      </c>
      <c r="BG51" s="225" t="str">
        <f>IF(OR(BW51=$BB$12,BZ51=$BB$12),MAX($BG$7:BG50)+1,"")</f>
        <v/>
      </c>
      <c r="BH51" s="225" t="str">
        <f>IF(OR(BW51=$BB$13,BZ51=$BB$13),MAX($BH$7:BH50)+1,"")</f>
        <v/>
      </c>
      <c r="BI51" s="225" t="str">
        <f>IF(OR(BW51=$BB$14,BZ51=$BB$14),MAX($BI$7:BI50)+1,"")</f>
        <v/>
      </c>
      <c r="BJ51" s="225" t="str">
        <f>IF(OR(BW51=$BB$15,BZ51=$BB$15),MAX($BJ$7:BJ50)+1,"")</f>
        <v/>
      </c>
      <c r="BK51" s="225" t="str">
        <f>IF(OR(BW51=$BB$16,BZ51=$BB$16),MAX($BK$7:BK50)+1,"")</f>
        <v/>
      </c>
      <c r="BL51" s="225" t="str">
        <f>IF(OR(BW51=$BB$17,BZ51=$BB$17),MAX($BL$7:BL50)+1,"")</f>
        <v/>
      </c>
      <c r="BM51" s="225" t="str">
        <f>IF(OR(BW51=$BB$18,BZ51=$BB$18),MAX($BM$7:BM50)+1,"")</f>
        <v/>
      </c>
      <c r="BN51" s="225" t="str">
        <f>IF(OR(BW51=$BB$19,BZ51=$BB$19),MAX($BN$7:BN50)+1,"")</f>
        <v/>
      </c>
      <c r="BO51" s="225" t="str">
        <f>IF(OR(BW51=$BB$20,BZ51=$BB$20),MAX($BO$7:BO50)+1,"")</f>
        <v/>
      </c>
      <c r="BP51" s="225">
        <f>IF(OR(BW51=$BB$21,BZ51=$BB$21),MAX($BP$7:BP50)+1,"")</f>
        <v>44</v>
      </c>
      <c r="BQ51" s="399"/>
      <c r="BR51" s="399"/>
      <c r="BS51" s="399"/>
      <c r="BT51" s="227">
        <f t="shared" si="30"/>
        <v>0</v>
      </c>
      <c r="BU51" s="225">
        <f t="shared" si="31"/>
        <v>0</v>
      </c>
      <c r="BV51" s="225">
        <f t="shared" si="32"/>
        <v>0</v>
      </c>
      <c r="BW51" s="225">
        <f t="shared" si="33"/>
        <v>0</v>
      </c>
      <c r="BX51" s="225">
        <f t="shared" si="34"/>
        <v>0</v>
      </c>
      <c r="BY51" s="225">
        <f t="shared" si="35"/>
        <v>0</v>
      </c>
      <c r="BZ51" s="225">
        <f t="shared" si="36"/>
        <v>0</v>
      </c>
      <c r="CA51" s="228">
        <f t="shared" si="37"/>
        <v>0</v>
      </c>
      <c r="CB51" s="228">
        <f t="shared" si="38"/>
        <v>0</v>
      </c>
      <c r="CC51" s="228">
        <f t="shared" si="39"/>
        <v>0</v>
      </c>
      <c r="CD51" s="228">
        <f t="shared" si="40"/>
        <v>0</v>
      </c>
      <c r="CE51" s="399"/>
      <c r="CF51" s="399"/>
    </row>
    <row r="52" spans="1:84" x14ac:dyDescent="0.4">
      <c r="A52" s="712" t="s">
        <v>691</v>
      </c>
      <c r="B52" s="231" t="str">
        <f t="shared" si="41"/>
        <v/>
      </c>
      <c r="C52" s="732"/>
      <c r="D52" s="401"/>
      <c r="E52" s="733"/>
      <c r="F52" s="734"/>
      <c r="G52" s="401"/>
      <c r="H52" s="733"/>
      <c r="I52" s="733"/>
      <c r="J52" s="735"/>
      <c r="K52" s="736"/>
      <c r="L52" s="737"/>
      <c r="M52" s="737"/>
      <c r="N52" s="741"/>
      <c r="O52" s="739"/>
      <c r="P52" s="740"/>
      <c r="Q52" s="254" t="str">
        <f t="shared" si="20"/>
        <v/>
      </c>
      <c r="R52" s="254" t="str">
        <f t="shared" si="21"/>
        <v/>
      </c>
      <c r="S52" s="258" t="str">
        <f t="shared" si="22"/>
        <v/>
      </c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R52" s="225" t="str">
        <f>IF(AS52&gt;1,MAX($AR$7:AR51)+1,"")</f>
        <v/>
      </c>
      <c r="AS52" s="224">
        <f t="shared" si="26"/>
        <v>0</v>
      </c>
      <c r="AT52" s="225">
        <f t="shared" si="27"/>
        <v>0</v>
      </c>
      <c r="AU52" s="224">
        <f t="shared" si="28"/>
        <v>0</v>
      </c>
      <c r="AV52" s="226">
        <f t="shared" si="29"/>
        <v>0</v>
      </c>
      <c r="AW52" s="224">
        <f t="shared" si="42"/>
        <v>0</v>
      </c>
      <c r="AX52" s="224">
        <f t="shared" si="43"/>
        <v>0</v>
      </c>
      <c r="AY52" s="224">
        <f t="shared" si="44"/>
        <v>0</v>
      </c>
      <c r="AZ52" s="711"/>
      <c r="BA52" s="399"/>
      <c r="BB52" s="399"/>
      <c r="BC52" s="225" t="str">
        <f>IF(OR(BW52=$BB$8,BZ52=$BB$8),MAX($BC$7:BC51)+1,"")</f>
        <v/>
      </c>
      <c r="BD52" s="225" t="str">
        <f>IF(OR(BW52=$BB$9,BZ52=$BB$9),MAX($BD$7:BD51)+1,"")</f>
        <v/>
      </c>
      <c r="BE52" s="225" t="str">
        <f>IF(OR(BW52=$BB$10,BZ52=$BB$10),MAX($BE$7:BE51)+1,"")</f>
        <v/>
      </c>
      <c r="BF52" s="225" t="str">
        <f>IF(OR(BW52=$BB$11,BZ52=$BB$11),MAX($BF$7:BF51)+1,"")</f>
        <v/>
      </c>
      <c r="BG52" s="225" t="str">
        <f>IF(OR(BW52=$BB$12,BZ52=$BB$12),MAX($BG$7:BG51)+1,"")</f>
        <v/>
      </c>
      <c r="BH52" s="225" t="str">
        <f>IF(OR(BW52=$BB$13,BZ52=$BB$13),MAX($BH$7:BH51)+1,"")</f>
        <v/>
      </c>
      <c r="BI52" s="225" t="str">
        <f>IF(OR(BW52=$BB$14,BZ52=$BB$14),MAX($BI$7:BI51)+1,"")</f>
        <v/>
      </c>
      <c r="BJ52" s="225" t="str">
        <f>IF(OR(BW52=$BB$15,BZ52=$BB$15),MAX($BJ$7:BJ51)+1,"")</f>
        <v/>
      </c>
      <c r="BK52" s="225" t="str">
        <f>IF(OR(BW52=$BB$16,BZ52=$BB$16),MAX($BK$7:BK51)+1,"")</f>
        <v/>
      </c>
      <c r="BL52" s="225" t="str">
        <f>IF(OR(BW52=$BB$17,BZ52=$BB$17),MAX($BL$7:BL51)+1,"")</f>
        <v/>
      </c>
      <c r="BM52" s="225" t="str">
        <f>IF(OR(BW52=$BB$18,BZ52=$BB$18),MAX($BM$7:BM51)+1,"")</f>
        <v/>
      </c>
      <c r="BN52" s="225" t="str">
        <f>IF(OR(BW52=$BB$19,BZ52=$BB$19),MAX($BN$7:BN51)+1,"")</f>
        <v/>
      </c>
      <c r="BO52" s="225" t="str">
        <f>IF(OR(BW52=$BB$20,BZ52=$BB$20),MAX($BO$7:BO51)+1,"")</f>
        <v/>
      </c>
      <c r="BP52" s="225">
        <f>IF(OR(BW52=$BB$21,BZ52=$BB$21),MAX($BP$7:BP51)+1,"")</f>
        <v>45</v>
      </c>
      <c r="BQ52" s="399"/>
      <c r="BR52" s="399"/>
      <c r="BS52" s="399"/>
      <c r="BT52" s="227">
        <f t="shared" si="30"/>
        <v>0</v>
      </c>
      <c r="BU52" s="225">
        <f t="shared" si="31"/>
        <v>0</v>
      </c>
      <c r="BV52" s="225">
        <f t="shared" si="32"/>
        <v>0</v>
      </c>
      <c r="BW52" s="225">
        <f t="shared" si="33"/>
        <v>0</v>
      </c>
      <c r="BX52" s="225">
        <f t="shared" si="34"/>
        <v>0</v>
      </c>
      <c r="BY52" s="225">
        <f t="shared" si="35"/>
        <v>0</v>
      </c>
      <c r="BZ52" s="225">
        <f t="shared" si="36"/>
        <v>0</v>
      </c>
      <c r="CA52" s="228">
        <f t="shared" si="37"/>
        <v>0</v>
      </c>
      <c r="CB52" s="228">
        <f t="shared" si="38"/>
        <v>0</v>
      </c>
      <c r="CC52" s="228">
        <f t="shared" si="39"/>
        <v>0</v>
      </c>
      <c r="CD52" s="228">
        <f t="shared" si="40"/>
        <v>0</v>
      </c>
      <c r="CE52" s="399"/>
      <c r="CF52" s="399"/>
    </row>
    <row r="53" spans="1:84" x14ac:dyDescent="0.4">
      <c r="B53" s="231" t="str">
        <f t="shared" si="41"/>
        <v/>
      </c>
      <c r="C53" s="732"/>
      <c r="D53" s="401"/>
      <c r="E53" s="733"/>
      <c r="F53" s="734"/>
      <c r="G53" s="401"/>
      <c r="H53" s="733"/>
      <c r="I53" s="733"/>
      <c r="J53" s="735"/>
      <c r="K53" s="736"/>
      <c r="L53" s="737"/>
      <c r="M53" s="737"/>
      <c r="N53" s="741"/>
      <c r="O53" s="739"/>
      <c r="P53" s="740"/>
      <c r="Q53" s="254" t="str">
        <f t="shared" si="20"/>
        <v/>
      </c>
      <c r="R53" s="254" t="str">
        <f t="shared" si="21"/>
        <v/>
      </c>
      <c r="S53" s="258" t="str">
        <f t="shared" si="22"/>
        <v/>
      </c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R53" s="225" t="str">
        <f>IF(AS53&gt;1,MAX($AR$7:AR52)+1,"")</f>
        <v/>
      </c>
      <c r="AS53" s="224">
        <f t="shared" si="26"/>
        <v>0</v>
      </c>
      <c r="AT53" s="225">
        <f t="shared" si="27"/>
        <v>0</v>
      </c>
      <c r="AU53" s="224">
        <f t="shared" si="28"/>
        <v>0</v>
      </c>
      <c r="AV53" s="226">
        <f t="shared" si="29"/>
        <v>0</v>
      </c>
      <c r="AW53" s="224">
        <f t="shared" si="42"/>
        <v>0</v>
      </c>
      <c r="AX53" s="224">
        <f t="shared" si="43"/>
        <v>0</v>
      </c>
      <c r="AY53" s="224">
        <f t="shared" si="44"/>
        <v>0</v>
      </c>
      <c r="AZ53" s="711"/>
      <c r="BA53" s="399"/>
      <c r="BB53" s="399"/>
      <c r="BC53" s="225" t="str">
        <f>IF(OR(BW53=$BB$8,BZ53=$BB$8),MAX($BC$7:BC52)+1,"")</f>
        <v/>
      </c>
      <c r="BD53" s="225" t="str">
        <f>IF(OR(BW53=$BB$9,BZ53=$BB$9),MAX($BD$7:BD52)+1,"")</f>
        <v/>
      </c>
      <c r="BE53" s="225" t="str">
        <f>IF(OR(BW53=$BB$10,BZ53=$BB$10),MAX($BE$7:BE52)+1,"")</f>
        <v/>
      </c>
      <c r="BF53" s="225" t="str">
        <f>IF(OR(BW53=$BB$11,BZ53=$BB$11),MAX($BF$7:BF52)+1,"")</f>
        <v/>
      </c>
      <c r="BG53" s="225" t="str">
        <f>IF(OR(BW53=$BB$12,BZ53=$BB$12),MAX($BG$7:BG52)+1,"")</f>
        <v/>
      </c>
      <c r="BH53" s="225" t="str">
        <f>IF(OR(BW53=$BB$13,BZ53=$BB$13),MAX($BH$7:BH52)+1,"")</f>
        <v/>
      </c>
      <c r="BI53" s="225" t="str">
        <f>IF(OR(BW53=$BB$14,BZ53=$BB$14),MAX($BI$7:BI52)+1,"")</f>
        <v/>
      </c>
      <c r="BJ53" s="225" t="str">
        <f>IF(OR(BW53=$BB$15,BZ53=$BB$15),MAX($BJ$7:BJ52)+1,"")</f>
        <v/>
      </c>
      <c r="BK53" s="225" t="str">
        <f>IF(OR(BW53=$BB$16,BZ53=$BB$16),MAX($BK$7:BK52)+1,"")</f>
        <v/>
      </c>
      <c r="BL53" s="225" t="str">
        <f>IF(OR(BW53=$BB$17,BZ53=$BB$17),MAX($BL$7:BL52)+1,"")</f>
        <v/>
      </c>
      <c r="BM53" s="225" t="str">
        <f>IF(OR(BW53=$BB$18,BZ53=$BB$18),MAX($BM$7:BM52)+1,"")</f>
        <v/>
      </c>
      <c r="BN53" s="225" t="str">
        <f>IF(OR(BW53=$BB$19,BZ53=$BB$19),MAX($BN$7:BN52)+1,"")</f>
        <v/>
      </c>
      <c r="BO53" s="225" t="str">
        <f>IF(OR(BW53=$BB$20,BZ53=$BB$20),MAX($BO$7:BO52)+1,"")</f>
        <v/>
      </c>
      <c r="BP53" s="225">
        <f>IF(OR(BW53=$BB$21,BZ53=$BB$21),MAX($BP$7:BP52)+1,"")</f>
        <v>46</v>
      </c>
      <c r="BQ53" s="399"/>
      <c r="BR53" s="399"/>
      <c r="BS53" s="399"/>
      <c r="BT53" s="227">
        <f t="shared" si="30"/>
        <v>0</v>
      </c>
      <c r="BU53" s="225">
        <f t="shared" si="31"/>
        <v>0</v>
      </c>
      <c r="BV53" s="225">
        <f t="shared" si="32"/>
        <v>0</v>
      </c>
      <c r="BW53" s="225">
        <f t="shared" si="33"/>
        <v>0</v>
      </c>
      <c r="BX53" s="225">
        <f t="shared" si="34"/>
        <v>0</v>
      </c>
      <c r="BY53" s="225">
        <f t="shared" si="35"/>
        <v>0</v>
      </c>
      <c r="BZ53" s="225">
        <f t="shared" si="36"/>
        <v>0</v>
      </c>
      <c r="CA53" s="228">
        <f t="shared" si="37"/>
        <v>0</v>
      </c>
      <c r="CB53" s="228">
        <f t="shared" si="38"/>
        <v>0</v>
      </c>
      <c r="CC53" s="228">
        <f t="shared" si="39"/>
        <v>0</v>
      </c>
      <c r="CD53" s="228">
        <f t="shared" si="40"/>
        <v>0</v>
      </c>
      <c r="CE53" s="399"/>
      <c r="CF53" s="399"/>
    </row>
    <row r="54" spans="1:84" x14ac:dyDescent="0.4">
      <c r="A54" s="712" t="s">
        <v>687</v>
      </c>
      <c r="B54" s="231" t="str">
        <f t="shared" si="41"/>
        <v/>
      </c>
      <c r="C54" s="732"/>
      <c r="D54" s="401"/>
      <c r="E54" s="733"/>
      <c r="F54" s="734"/>
      <c r="G54" s="401"/>
      <c r="H54" s="733"/>
      <c r="I54" s="733"/>
      <c r="J54" s="735"/>
      <c r="K54" s="736"/>
      <c r="L54" s="737"/>
      <c r="M54" s="737"/>
      <c r="N54" s="741"/>
      <c r="O54" s="739"/>
      <c r="P54" s="740"/>
      <c r="Q54" s="254" t="str">
        <f t="shared" si="20"/>
        <v/>
      </c>
      <c r="R54" s="254" t="str">
        <f t="shared" si="21"/>
        <v/>
      </c>
      <c r="S54" s="258" t="str">
        <f t="shared" si="22"/>
        <v/>
      </c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R54" s="225" t="str">
        <f>IF(AS54&gt;1,MAX($AR$7:AR53)+1,"")</f>
        <v/>
      </c>
      <c r="AS54" s="224">
        <f t="shared" si="26"/>
        <v>0</v>
      </c>
      <c r="AT54" s="225">
        <f t="shared" si="27"/>
        <v>0</v>
      </c>
      <c r="AU54" s="224">
        <f t="shared" si="28"/>
        <v>0</v>
      </c>
      <c r="AV54" s="226">
        <f t="shared" si="29"/>
        <v>0</v>
      </c>
      <c r="AW54" s="224">
        <f t="shared" si="42"/>
        <v>0</v>
      </c>
      <c r="AX54" s="224">
        <f t="shared" si="43"/>
        <v>0</v>
      </c>
      <c r="AY54" s="224">
        <f t="shared" si="44"/>
        <v>0</v>
      </c>
      <c r="AZ54" s="711"/>
      <c r="BA54" s="399"/>
      <c r="BB54" s="399"/>
      <c r="BC54" s="225" t="str">
        <f>IF(OR(BW54=$BB$8,BZ54=$BB$8),MAX($BC$7:BC53)+1,"")</f>
        <v/>
      </c>
      <c r="BD54" s="225" t="str">
        <f>IF(OR(BW54=$BB$9,BZ54=$BB$9),MAX($BD$7:BD53)+1,"")</f>
        <v/>
      </c>
      <c r="BE54" s="225" t="str">
        <f>IF(OR(BW54=$BB$10,BZ54=$BB$10),MAX($BE$7:BE53)+1,"")</f>
        <v/>
      </c>
      <c r="BF54" s="225" t="str">
        <f>IF(OR(BW54=$BB$11,BZ54=$BB$11),MAX($BF$7:BF53)+1,"")</f>
        <v/>
      </c>
      <c r="BG54" s="225" t="str">
        <f>IF(OR(BW54=$BB$12,BZ54=$BB$12),MAX($BG$7:BG53)+1,"")</f>
        <v/>
      </c>
      <c r="BH54" s="225" t="str">
        <f>IF(OR(BW54=$BB$13,BZ54=$BB$13),MAX($BH$7:BH53)+1,"")</f>
        <v/>
      </c>
      <c r="BI54" s="225" t="str">
        <f>IF(OR(BW54=$BB$14,BZ54=$BB$14),MAX($BI$7:BI53)+1,"")</f>
        <v/>
      </c>
      <c r="BJ54" s="225" t="str">
        <f>IF(OR(BW54=$BB$15,BZ54=$BB$15),MAX($BJ$7:BJ53)+1,"")</f>
        <v/>
      </c>
      <c r="BK54" s="225" t="str">
        <f>IF(OR(BW54=$BB$16,BZ54=$BB$16),MAX($BK$7:BK53)+1,"")</f>
        <v/>
      </c>
      <c r="BL54" s="225" t="str">
        <f>IF(OR(BW54=$BB$17,BZ54=$BB$17),MAX($BL$7:BL53)+1,"")</f>
        <v/>
      </c>
      <c r="BM54" s="225" t="str">
        <f>IF(OR(BW54=$BB$18,BZ54=$BB$18),MAX($BM$7:BM53)+1,"")</f>
        <v/>
      </c>
      <c r="BN54" s="225" t="str">
        <f>IF(OR(BW54=$BB$19,BZ54=$BB$19),MAX($BN$7:BN53)+1,"")</f>
        <v/>
      </c>
      <c r="BO54" s="225" t="str">
        <f>IF(OR(BW54=$BB$20,BZ54=$BB$20),MAX($BO$7:BO53)+1,"")</f>
        <v/>
      </c>
      <c r="BP54" s="225">
        <f>IF(OR(BW54=$BB$21,BZ54=$BB$21),MAX($BP$7:BP53)+1,"")</f>
        <v>47</v>
      </c>
      <c r="BQ54" s="399"/>
      <c r="BR54" s="399"/>
      <c r="BS54" s="399"/>
      <c r="BT54" s="227">
        <f t="shared" si="30"/>
        <v>0</v>
      </c>
      <c r="BU54" s="225">
        <f t="shared" si="31"/>
        <v>0</v>
      </c>
      <c r="BV54" s="225">
        <f t="shared" si="32"/>
        <v>0</v>
      </c>
      <c r="BW54" s="225">
        <f t="shared" si="33"/>
        <v>0</v>
      </c>
      <c r="BX54" s="225">
        <f t="shared" si="34"/>
        <v>0</v>
      </c>
      <c r="BY54" s="225">
        <f t="shared" si="35"/>
        <v>0</v>
      </c>
      <c r="BZ54" s="225">
        <f t="shared" si="36"/>
        <v>0</v>
      </c>
      <c r="CA54" s="228">
        <f t="shared" si="37"/>
        <v>0</v>
      </c>
      <c r="CB54" s="228">
        <f t="shared" si="38"/>
        <v>0</v>
      </c>
      <c r="CC54" s="228">
        <f t="shared" si="39"/>
        <v>0</v>
      </c>
      <c r="CD54" s="228">
        <f t="shared" si="40"/>
        <v>0</v>
      </c>
      <c r="CE54" s="399"/>
      <c r="CF54" s="399"/>
    </row>
    <row r="55" spans="1:84" x14ac:dyDescent="0.4">
      <c r="A55" s="712" t="s">
        <v>544</v>
      </c>
      <c r="B55" s="231" t="str">
        <f t="shared" si="41"/>
        <v/>
      </c>
      <c r="C55" s="732"/>
      <c r="D55" s="401"/>
      <c r="E55" s="733"/>
      <c r="F55" s="734"/>
      <c r="G55" s="401"/>
      <c r="H55" s="733"/>
      <c r="I55" s="733"/>
      <c r="J55" s="735"/>
      <c r="K55" s="736"/>
      <c r="L55" s="737"/>
      <c r="M55" s="737"/>
      <c r="N55" s="741"/>
      <c r="O55" s="739"/>
      <c r="P55" s="740"/>
      <c r="Q55" s="254" t="str">
        <f t="shared" si="20"/>
        <v/>
      </c>
      <c r="R55" s="254" t="str">
        <f t="shared" si="21"/>
        <v/>
      </c>
      <c r="S55" s="258" t="str">
        <f t="shared" si="22"/>
        <v/>
      </c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R55" s="225" t="str">
        <f>IF(AS55&gt;1,MAX($AR$7:AR54)+1,"")</f>
        <v/>
      </c>
      <c r="AS55" s="224">
        <f t="shared" si="26"/>
        <v>0</v>
      </c>
      <c r="AT55" s="225">
        <f t="shared" si="27"/>
        <v>0</v>
      </c>
      <c r="AU55" s="224">
        <f t="shared" si="28"/>
        <v>0</v>
      </c>
      <c r="AV55" s="226">
        <f t="shared" si="29"/>
        <v>0</v>
      </c>
      <c r="AW55" s="224">
        <f t="shared" si="42"/>
        <v>0</v>
      </c>
      <c r="AX55" s="224">
        <f t="shared" si="43"/>
        <v>0</v>
      </c>
      <c r="AY55" s="224">
        <f t="shared" si="44"/>
        <v>0</v>
      </c>
      <c r="AZ55" s="711"/>
      <c r="BA55" s="399"/>
      <c r="BB55" s="399"/>
      <c r="BC55" s="225" t="str">
        <f>IF(OR(BW55=$BB$8,BZ55=$BB$8),MAX($BC$7:BC54)+1,"")</f>
        <v/>
      </c>
      <c r="BD55" s="225" t="str">
        <f>IF(OR(BW55=$BB$9,BZ55=$BB$9),MAX($BD$7:BD54)+1,"")</f>
        <v/>
      </c>
      <c r="BE55" s="225" t="str">
        <f>IF(OR(BW55=$BB$10,BZ55=$BB$10),MAX($BE$7:BE54)+1,"")</f>
        <v/>
      </c>
      <c r="BF55" s="225" t="str">
        <f>IF(OR(BW55=$BB$11,BZ55=$BB$11),MAX($BF$7:BF54)+1,"")</f>
        <v/>
      </c>
      <c r="BG55" s="225" t="str">
        <f>IF(OR(BW55=$BB$12,BZ55=$BB$12),MAX($BG$7:BG54)+1,"")</f>
        <v/>
      </c>
      <c r="BH55" s="225" t="str">
        <f>IF(OR(BW55=$BB$13,BZ55=$BB$13),MAX($BH$7:BH54)+1,"")</f>
        <v/>
      </c>
      <c r="BI55" s="225" t="str">
        <f>IF(OR(BW55=$BB$14,BZ55=$BB$14),MAX($BI$7:BI54)+1,"")</f>
        <v/>
      </c>
      <c r="BJ55" s="225" t="str">
        <f>IF(OR(BW55=$BB$15,BZ55=$BB$15),MAX($BJ$7:BJ54)+1,"")</f>
        <v/>
      </c>
      <c r="BK55" s="225" t="str">
        <f>IF(OR(BW55=$BB$16,BZ55=$BB$16),MAX($BK$7:BK54)+1,"")</f>
        <v/>
      </c>
      <c r="BL55" s="225" t="str">
        <f>IF(OR(BW55=$BB$17,BZ55=$BB$17),MAX($BL$7:BL54)+1,"")</f>
        <v/>
      </c>
      <c r="BM55" s="225" t="str">
        <f>IF(OR(BW55=$BB$18,BZ55=$BB$18),MAX($BM$7:BM54)+1,"")</f>
        <v/>
      </c>
      <c r="BN55" s="225" t="str">
        <f>IF(OR(BW55=$BB$19,BZ55=$BB$19),MAX($BN$7:BN54)+1,"")</f>
        <v/>
      </c>
      <c r="BO55" s="225" t="str">
        <f>IF(OR(BW55=$BB$20,BZ55=$BB$20),MAX($BO$7:BO54)+1,"")</f>
        <v/>
      </c>
      <c r="BP55" s="225">
        <f>IF(OR(BW55=$BB$21,BZ55=$BB$21),MAX($BP$7:BP54)+1,"")</f>
        <v>48</v>
      </c>
      <c r="BQ55" s="399"/>
      <c r="BR55" s="399"/>
      <c r="BS55" s="399"/>
      <c r="BT55" s="227">
        <f t="shared" si="30"/>
        <v>0</v>
      </c>
      <c r="BU55" s="225">
        <f t="shared" si="31"/>
        <v>0</v>
      </c>
      <c r="BV55" s="225">
        <f t="shared" si="32"/>
        <v>0</v>
      </c>
      <c r="BW55" s="225">
        <f t="shared" si="33"/>
        <v>0</v>
      </c>
      <c r="BX55" s="225">
        <f t="shared" si="34"/>
        <v>0</v>
      </c>
      <c r="BY55" s="225">
        <f t="shared" si="35"/>
        <v>0</v>
      </c>
      <c r="BZ55" s="225">
        <f t="shared" si="36"/>
        <v>0</v>
      </c>
      <c r="CA55" s="228">
        <f t="shared" si="37"/>
        <v>0</v>
      </c>
      <c r="CB55" s="228">
        <f t="shared" si="38"/>
        <v>0</v>
      </c>
      <c r="CC55" s="228">
        <f t="shared" si="39"/>
        <v>0</v>
      </c>
      <c r="CD55" s="228">
        <f t="shared" si="40"/>
        <v>0</v>
      </c>
      <c r="CE55" s="399"/>
      <c r="CF55" s="399"/>
    </row>
    <row r="56" spans="1:84" x14ac:dyDescent="0.4">
      <c r="A56" s="712" t="s">
        <v>688</v>
      </c>
      <c r="B56" s="231" t="str">
        <f t="shared" si="41"/>
        <v/>
      </c>
      <c r="C56" s="732"/>
      <c r="D56" s="401"/>
      <c r="E56" s="733"/>
      <c r="F56" s="734"/>
      <c r="G56" s="401"/>
      <c r="H56" s="733"/>
      <c r="I56" s="733"/>
      <c r="J56" s="735"/>
      <c r="K56" s="736"/>
      <c r="L56" s="737"/>
      <c r="M56" s="737"/>
      <c r="N56" s="741"/>
      <c r="O56" s="739"/>
      <c r="P56" s="740"/>
      <c r="Q56" s="254" t="str">
        <f t="shared" si="20"/>
        <v/>
      </c>
      <c r="R56" s="254" t="str">
        <f t="shared" si="21"/>
        <v/>
      </c>
      <c r="S56" s="258" t="str">
        <f t="shared" si="22"/>
        <v/>
      </c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R56" s="225" t="str">
        <f>IF(AS56&gt;1,MAX($AR$7:AR55)+1,"")</f>
        <v/>
      </c>
      <c r="AS56" s="224">
        <f t="shared" si="26"/>
        <v>0</v>
      </c>
      <c r="AT56" s="225">
        <f t="shared" si="27"/>
        <v>0</v>
      </c>
      <c r="AU56" s="224">
        <f t="shared" si="28"/>
        <v>0</v>
      </c>
      <c r="AV56" s="226">
        <f t="shared" si="29"/>
        <v>0</v>
      </c>
      <c r="AW56" s="224">
        <f t="shared" si="42"/>
        <v>0</v>
      </c>
      <c r="AX56" s="224">
        <f t="shared" si="43"/>
        <v>0</v>
      </c>
      <c r="AY56" s="224">
        <f t="shared" si="44"/>
        <v>0</v>
      </c>
      <c r="AZ56" s="711"/>
      <c r="BA56" s="399"/>
      <c r="BB56" s="399"/>
      <c r="BC56" s="225" t="str">
        <f>IF(OR(BW56=$BB$8,BZ56=$BB$8),MAX($BC$7:BC55)+1,"")</f>
        <v/>
      </c>
      <c r="BD56" s="225" t="str">
        <f>IF(OR(BW56=$BB$9,BZ56=$BB$9),MAX($BD$7:BD55)+1,"")</f>
        <v/>
      </c>
      <c r="BE56" s="225" t="str">
        <f>IF(OR(BW56=$BB$10,BZ56=$BB$10),MAX($BE$7:BE55)+1,"")</f>
        <v/>
      </c>
      <c r="BF56" s="225" t="str">
        <f>IF(OR(BW56=$BB$11,BZ56=$BB$11),MAX($BF$7:BF55)+1,"")</f>
        <v/>
      </c>
      <c r="BG56" s="225" t="str">
        <f>IF(OR(BW56=$BB$12,BZ56=$BB$12),MAX($BG$7:BG55)+1,"")</f>
        <v/>
      </c>
      <c r="BH56" s="225" t="str">
        <f>IF(OR(BW56=$BB$13,BZ56=$BB$13),MAX($BH$7:BH55)+1,"")</f>
        <v/>
      </c>
      <c r="BI56" s="225" t="str">
        <f>IF(OR(BW56=$BB$14,BZ56=$BB$14),MAX($BI$7:BI55)+1,"")</f>
        <v/>
      </c>
      <c r="BJ56" s="225" t="str">
        <f>IF(OR(BW56=$BB$15,BZ56=$BB$15),MAX($BJ$7:BJ55)+1,"")</f>
        <v/>
      </c>
      <c r="BK56" s="225" t="str">
        <f>IF(OR(BW56=$BB$16,BZ56=$BB$16),MAX($BK$7:BK55)+1,"")</f>
        <v/>
      </c>
      <c r="BL56" s="225" t="str">
        <f>IF(OR(BW56=$BB$17,BZ56=$BB$17),MAX($BL$7:BL55)+1,"")</f>
        <v/>
      </c>
      <c r="BM56" s="225" t="str">
        <f>IF(OR(BW56=$BB$18,BZ56=$BB$18),MAX($BM$7:BM55)+1,"")</f>
        <v/>
      </c>
      <c r="BN56" s="225" t="str">
        <f>IF(OR(BW56=$BB$19,BZ56=$BB$19),MAX($BN$7:BN55)+1,"")</f>
        <v/>
      </c>
      <c r="BO56" s="225" t="str">
        <f>IF(OR(BW56=$BB$20,BZ56=$BB$20),MAX($BO$7:BO55)+1,"")</f>
        <v/>
      </c>
      <c r="BP56" s="225">
        <f>IF(OR(BW56=$BB$21,BZ56=$BB$21),MAX($BP$7:BP55)+1,"")</f>
        <v>49</v>
      </c>
      <c r="BQ56" s="399"/>
      <c r="BR56" s="399"/>
      <c r="BS56" s="399"/>
      <c r="BT56" s="227">
        <f t="shared" si="30"/>
        <v>0</v>
      </c>
      <c r="BU56" s="225">
        <f t="shared" si="31"/>
        <v>0</v>
      </c>
      <c r="BV56" s="225">
        <f t="shared" si="32"/>
        <v>0</v>
      </c>
      <c r="BW56" s="225">
        <f t="shared" si="33"/>
        <v>0</v>
      </c>
      <c r="BX56" s="225">
        <f t="shared" si="34"/>
        <v>0</v>
      </c>
      <c r="BY56" s="225">
        <f t="shared" si="35"/>
        <v>0</v>
      </c>
      <c r="BZ56" s="225">
        <f t="shared" si="36"/>
        <v>0</v>
      </c>
      <c r="CA56" s="228">
        <f t="shared" si="37"/>
        <v>0</v>
      </c>
      <c r="CB56" s="228">
        <f t="shared" si="38"/>
        <v>0</v>
      </c>
      <c r="CC56" s="228">
        <f t="shared" si="39"/>
        <v>0</v>
      </c>
      <c r="CD56" s="228">
        <f t="shared" si="40"/>
        <v>0</v>
      </c>
      <c r="CE56" s="399"/>
      <c r="CF56" s="399"/>
    </row>
    <row r="57" spans="1:84" x14ac:dyDescent="0.4">
      <c r="A57" s="712" t="s">
        <v>545</v>
      </c>
      <c r="B57" s="231" t="str">
        <f t="shared" si="41"/>
        <v/>
      </c>
      <c r="C57" s="732"/>
      <c r="D57" s="401"/>
      <c r="E57" s="733"/>
      <c r="F57" s="734"/>
      <c r="G57" s="401"/>
      <c r="H57" s="733"/>
      <c r="I57" s="733"/>
      <c r="J57" s="735"/>
      <c r="K57" s="736"/>
      <c r="L57" s="737"/>
      <c r="M57" s="737"/>
      <c r="N57" s="741"/>
      <c r="O57" s="739"/>
      <c r="P57" s="740"/>
      <c r="Q57" s="254" t="str">
        <f t="shared" si="20"/>
        <v/>
      </c>
      <c r="R57" s="254" t="str">
        <f t="shared" si="21"/>
        <v/>
      </c>
      <c r="S57" s="258" t="str">
        <f t="shared" si="22"/>
        <v/>
      </c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R57" s="225" t="str">
        <f>IF(AS57&gt;1,MAX($AR$7:AR56)+1,"")</f>
        <v/>
      </c>
      <c r="AS57" s="224">
        <f t="shared" si="26"/>
        <v>0</v>
      </c>
      <c r="AT57" s="225">
        <f t="shared" si="27"/>
        <v>0</v>
      </c>
      <c r="AU57" s="224">
        <f t="shared" si="28"/>
        <v>0</v>
      </c>
      <c r="AV57" s="226">
        <f t="shared" si="29"/>
        <v>0</v>
      </c>
      <c r="AW57" s="224">
        <f t="shared" si="42"/>
        <v>0</v>
      </c>
      <c r="AX57" s="224">
        <f t="shared" si="43"/>
        <v>0</v>
      </c>
      <c r="AY57" s="224">
        <f t="shared" si="44"/>
        <v>0</v>
      </c>
      <c r="AZ57" s="711"/>
      <c r="BA57" s="399"/>
      <c r="BB57" s="399"/>
      <c r="BC57" s="225" t="str">
        <f>IF(OR(BW57=$BB$8,BZ57=$BB$8),MAX($BC$7:BC56)+1,"")</f>
        <v/>
      </c>
      <c r="BD57" s="225" t="str">
        <f>IF(OR(BW57=$BB$9,BZ57=$BB$9),MAX($BD$7:BD56)+1,"")</f>
        <v/>
      </c>
      <c r="BE57" s="225" t="str">
        <f>IF(OR(BW57=$BB$10,BZ57=$BB$10),MAX($BE$7:BE56)+1,"")</f>
        <v/>
      </c>
      <c r="BF57" s="225" t="str">
        <f>IF(OR(BW57=$BB$11,BZ57=$BB$11),MAX($BF$7:BF56)+1,"")</f>
        <v/>
      </c>
      <c r="BG57" s="225" t="str">
        <f>IF(OR(BW57=$BB$12,BZ57=$BB$12),MAX($BG$7:BG56)+1,"")</f>
        <v/>
      </c>
      <c r="BH57" s="225" t="str">
        <f>IF(OR(BW57=$BB$13,BZ57=$BB$13),MAX($BH$7:BH56)+1,"")</f>
        <v/>
      </c>
      <c r="BI57" s="225" t="str">
        <f>IF(OR(BW57=$BB$14,BZ57=$BB$14),MAX($BI$7:BI56)+1,"")</f>
        <v/>
      </c>
      <c r="BJ57" s="225" t="str">
        <f>IF(OR(BW57=$BB$15,BZ57=$BB$15),MAX($BJ$7:BJ56)+1,"")</f>
        <v/>
      </c>
      <c r="BK57" s="225" t="str">
        <f>IF(OR(BW57=$BB$16,BZ57=$BB$16),MAX($BK$7:BK56)+1,"")</f>
        <v/>
      </c>
      <c r="BL57" s="225" t="str">
        <f>IF(OR(BW57=$BB$17,BZ57=$BB$17),MAX($BL$7:BL56)+1,"")</f>
        <v/>
      </c>
      <c r="BM57" s="225" t="str">
        <f>IF(OR(BW57=$BB$18,BZ57=$BB$18),MAX($BM$7:BM56)+1,"")</f>
        <v/>
      </c>
      <c r="BN57" s="225" t="str">
        <f>IF(OR(BW57=$BB$19,BZ57=$BB$19),MAX($BN$7:BN56)+1,"")</f>
        <v/>
      </c>
      <c r="BO57" s="225" t="str">
        <f>IF(OR(BW57=$BB$20,BZ57=$BB$20),MAX($BO$7:BO56)+1,"")</f>
        <v/>
      </c>
      <c r="BP57" s="225">
        <f>IF(OR(BW57=$BB$21,BZ57=$BB$21),MAX($BP$7:BP56)+1,"")</f>
        <v>50</v>
      </c>
      <c r="BQ57" s="399"/>
      <c r="BR57" s="399"/>
      <c r="BS57" s="399"/>
      <c r="BT57" s="227">
        <f t="shared" si="30"/>
        <v>0</v>
      </c>
      <c r="BU57" s="225">
        <f t="shared" si="31"/>
        <v>0</v>
      </c>
      <c r="BV57" s="225">
        <f t="shared" si="32"/>
        <v>0</v>
      </c>
      <c r="BW57" s="225">
        <f t="shared" si="33"/>
        <v>0</v>
      </c>
      <c r="BX57" s="225">
        <f t="shared" si="34"/>
        <v>0</v>
      </c>
      <c r="BY57" s="225">
        <f t="shared" si="35"/>
        <v>0</v>
      </c>
      <c r="BZ57" s="225">
        <f t="shared" si="36"/>
        <v>0</v>
      </c>
      <c r="CA57" s="228">
        <f t="shared" si="37"/>
        <v>0</v>
      </c>
      <c r="CB57" s="228">
        <f t="shared" si="38"/>
        <v>0</v>
      </c>
      <c r="CC57" s="228">
        <f t="shared" si="39"/>
        <v>0</v>
      </c>
      <c r="CD57" s="228">
        <f t="shared" si="40"/>
        <v>0</v>
      </c>
      <c r="CE57" s="399"/>
      <c r="CF57" s="399"/>
    </row>
    <row r="58" spans="1:84" x14ac:dyDescent="0.4">
      <c r="A58" s="712" t="s">
        <v>689</v>
      </c>
      <c r="B58" s="231" t="str">
        <f t="shared" si="41"/>
        <v/>
      </c>
      <c r="C58" s="732"/>
      <c r="D58" s="401"/>
      <c r="E58" s="733"/>
      <c r="F58" s="734"/>
      <c r="G58" s="401"/>
      <c r="H58" s="733"/>
      <c r="I58" s="733"/>
      <c r="J58" s="735"/>
      <c r="K58" s="736"/>
      <c r="L58" s="737"/>
      <c r="M58" s="737"/>
      <c r="N58" s="741"/>
      <c r="O58" s="739"/>
      <c r="P58" s="740"/>
      <c r="Q58" s="254" t="str">
        <f t="shared" si="20"/>
        <v/>
      </c>
      <c r="R58" s="254" t="str">
        <f t="shared" si="21"/>
        <v/>
      </c>
      <c r="S58" s="258" t="str">
        <f t="shared" si="22"/>
        <v/>
      </c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R58" s="225" t="str">
        <f>IF(AS58&gt;1,MAX($AR$7:AR57)+1,"")</f>
        <v/>
      </c>
      <c r="AS58" s="224">
        <f t="shared" si="26"/>
        <v>0</v>
      </c>
      <c r="AT58" s="225">
        <f t="shared" si="27"/>
        <v>0</v>
      </c>
      <c r="AU58" s="224">
        <f t="shared" si="28"/>
        <v>0</v>
      </c>
      <c r="AV58" s="226">
        <f t="shared" si="29"/>
        <v>0</v>
      </c>
      <c r="AW58" s="224">
        <f t="shared" si="42"/>
        <v>0</v>
      </c>
      <c r="AX58" s="224">
        <f t="shared" si="43"/>
        <v>0</v>
      </c>
      <c r="AY58" s="224">
        <f t="shared" si="44"/>
        <v>0</v>
      </c>
      <c r="AZ58" s="711"/>
      <c r="BA58" s="399"/>
      <c r="BB58" s="399"/>
      <c r="BC58" s="225" t="str">
        <f>IF(OR(BW58=$BB$8,BZ58=$BB$8),MAX($BC$7:BC57)+1,"")</f>
        <v/>
      </c>
      <c r="BD58" s="225" t="str">
        <f>IF(OR(BW58=$BB$9,BZ58=$BB$9),MAX($BD$7:BD57)+1,"")</f>
        <v/>
      </c>
      <c r="BE58" s="225" t="str">
        <f>IF(OR(BW58=$BB$10,BZ58=$BB$10),MAX($BE$7:BE57)+1,"")</f>
        <v/>
      </c>
      <c r="BF58" s="225" t="str">
        <f>IF(OR(BW58=$BB$11,BZ58=$BB$11),MAX($BF$7:BF57)+1,"")</f>
        <v/>
      </c>
      <c r="BG58" s="225" t="str">
        <f>IF(OR(BW58=$BB$12,BZ58=$BB$12),MAX($BG$7:BG57)+1,"")</f>
        <v/>
      </c>
      <c r="BH58" s="225" t="str">
        <f>IF(OR(BW58=$BB$13,BZ58=$BB$13),MAX($BH$7:BH57)+1,"")</f>
        <v/>
      </c>
      <c r="BI58" s="225" t="str">
        <f>IF(OR(BW58=$BB$14,BZ58=$BB$14),MAX($BI$7:BI57)+1,"")</f>
        <v/>
      </c>
      <c r="BJ58" s="225" t="str">
        <f>IF(OR(BW58=$BB$15,BZ58=$BB$15),MAX($BJ$7:BJ57)+1,"")</f>
        <v/>
      </c>
      <c r="BK58" s="225" t="str">
        <f>IF(OR(BW58=$BB$16,BZ58=$BB$16),MAX($BK$7:BK57)+1,"")</f>
        <v/>
      </c>
      <c r="BL58" s="225" t="str">
        <f>IF(OR(BW58=$BB$17,BZ58=$BB$17),MAX($BL$7:BL57)+1,"")</f>
        <v/>
      </c>
      <c r="BM58" s="225" t="str">
        <f>IF(OR(BW58=$BB$18,BZ58=$BB$18),MAX($BM$7:BM57)+1,"")</f>
        <v/>
      </c>
      <c r="BN58" s="225" t="str">
        <f>IF(OR(BW58=$BB$19,BZ58=$BB$19),MAX($BN$7:BN57)+1,"")</f>
        <v/>
      </c>
      <c r="BO58" s="225" t="str">
        <f>IF(OR(BW58=$BB$20,BZ58=$BB$20),MAX($BO$7:BO57)+1,"")</f>
        <v/>
      </c>
      <c r="BP58" s="225">
        <f>IF(OR(BW58=$BB$21,BZ58=$BB$21),MAX($BP$7:BP57)+1,"")</f>
        <v>51</v>
      </c>
      <c r="BQ58" s="399"/>
      <c r="BR58" s="399"/>
      <c r="BS58" s="399"/>
      <c r="BT58" s="227">
        <f t="shared" si="30"/>
        <v>0</v>
      </c>
      <c r="BU58" s="225">
        <f t="shared" si="31"/>
        <v>0</v>
      </c>
      <c r="BV58" s="225">
        <f t="shared" si="32"/>
        <v>0</v>
      </c>
      <c r="BW58" s="225">
        <f t="shared" si="33"/>
        <v>0</v>
      </c>
      <c r="BX58" s="225">
        <f t="shared" si="34"/>
        <v>0</v>
      </c>
      <c r="BY58" s="225">
        <f t="shared" si="35"/>
        <v>0</v>
      </c>
      <c r="BZ58" s="225">
        <f t="shared" si="36"/>
        <v>0</v>
      </c>
      <c r="CA58" s="228">
        <f t="shared" si="37"/>
        <v>0</v>
      </c>
      <c r="CB58" s="228">
        <f t="shared" si="38"/>
        <v>0</v>
      </c>
      <c r="CC58" s="228">
        <f t="shared" si="39"/>
        <v>0</v>
      </c>
      <c r="CD58" s="228">
        <f t="shared" si="40"/>
        <v>0</v>
      </c>
      <c r="CE58" s="399"/>
      <c r="CF58" s="399"/>
    </row>
    <row r="59" spans="1:84" x14ac:dyDescent="0.4">
      <c r="A59" s="712" t="s">
        <v>692</v>
      </c>
      <c r="B59" s="231" t="str">
        <f t="shared" si="41"/>
        <v/>
      </c>
      <c r="C59" s="732"/>
      <c r="D59" s="401"/>
      <c r="E59" s="733"/>
      <c r="F59" s="734"/>
      <c r="G59" s="401"/>
      <c r="H59" s="733"/>
      <c r="I59" s="733"/>
      <c r="J59" s="735"/>
      <c r="K59" s="736"/>
      <c r="L59" s="737"/>
      <c r="M59" s="737"/>
      <c r="N59" s="741"/>
      <c r="O59" s="739"/>
      <c r="P59" s="740"/>
      <c r="Q59" s="254" t="str">
        <f t="shared" si="20"/>
        <v/>
      </c>
      <c r="R59" s="254" t="str">
        <f t="shared" si="21"/>
        <v/>
      </c>
      <c r="S59" s="258" t="str">
        <f t="shared" si="22"/>
        <v/>
      </c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R59" s="225" t="str">
        <f>IF(AS59&gt;1,MAX($AR$7:AR58)+1,"")</f>
        <v/>
      </c>
      <c r="AS59" s="224">
        <f t="shared" si="26"/>
        <v>0</v>
      </c>
      <c r="AT59" s="225">
        <f t="shared" si="27"/>
        <v>0</v>
      </c>
      <c r="AU59" s="224">
        <f t="shared" si="28"/>
        <v>0</v>
      </c>
      <c r="AV59" s="226">
        <f t="shared" si="29"/>
        <v>0</v>
      </c>
      <c r="AW59" s="224">
        <f t="shared" si="42"/>
        <v>0</v>
      </c>
      <c r="AX59" s="224">
        <f t="shared" si="43"/>
        <v>0</v>
      </c>
      <c r="AY59" s="224">
        <f t="shared" si="44"/>
        <v>0</v>
      </c>
      <c r="AZ59" s="711"/>
      <c r="BA59" s="399"/>
      <c r="BB59" s="399"/>
      <c r="BC59" s="225" t="str">
        <f>IF(OR(BW59=$BB$8,BZ59=$BB$8),MAX($BC$7:BC58)+1,"")</f>
        <v/>
      </c>
      <c r="BD59" s="225" t="str">
        <f>IF(OR(BW59=$BB$9,BZ59=$BB$9),MAX($BD$7:BD58)+1,"")</f>
        <v/>
      </c>
      <c r="BE59" s="225" t="str">
        <f>IF(OR(BW59=$BB$10,BZ59=$BB$10),MAX($BE$7:BE58)+1,"")</f>
        <v/>
      </c>
      <c r="BF59" s="225" t="str">
        <f>IF(OR(BW59=$BB$11,BZ59=$BB$11),MAX($BF$7:BF58)+1,"")</f>
        <v/>
      </c>
      <c r="BG59" s="225" t="str">
        <f>IF(OR(BW59=$BB$12,BZ59=$BB$12),MAX($BG$7:BG58)+1,"")</f>
        <v/>
      </c>
      <c r="BH59" s="225" t="str">
        <f>IF(OR(BW59=$BB$13,BZ59=$BB$13),MAX($BH$7:BH58)+1,"")</f>
        <v/>
      </c>
      <c r="BI59" s="225" t="str">
        <f>IF(OR(BW59=$BB$14,BZ59=$BB$14),MAX($BI$7:BI58)+1,"")</f>
        <v/>
      </c>
      <c r="BJ59" s="225" t="str">
        <f>IF(OR(BW59=$BB$15,BZ59=$BB$15),MAX($BJ$7:BJ58)+1,"")</f>
        <v/>
      </c>
      <c r="BK59" s="225" t="str">
        <f>IF(OR(BW59=$BB$16,BZ59=$BB$16),MAX($BK$7:BK58)+1,"")</f>
        <v/>
      </c>
      <c r="BL59" s="225" t="str">
        <f>IF(OR(BW59=$BB$17,BZ59=$BB$17),MAX($BL$7:BL58)+1,"")</f>
        <v/>
      </c>
      <c r="BM59" s="225" t="str">
        <f>IF(OR(BW59=$BB$18,BZ59=$BB$18),MAX($BM$7:BM58)+1,"")</f>
        <v/>
      </c>
      <c r="BN59" s="225" t="str">
        <f>IF(OR(BW59=$BB$19,BZ59=$BB$19),MAX($BN$7:BN58)+1,"")</f>
        <v/>
      </c>
      <c r="BO59" s="225" t="str">
        <f>IF(OR(BW59=$BB$20,BZ59=$BB$20),MAX($BO$7:BO58)+1,"")</f>
        <v/>
      </c>
      <c r="BP59" s="225">
        <f>IF(OR(BW59=$BB$21,BZ59=$BB$21),MAX($BP$7:BP58)+1,"")</f>
        <v>52</v>
      </c>
      <c r="BQ59" s="399"/>
      <c r="BR59" s="399"/>
      <c r="BS59" s="399"/>
      <c r="BT59" s="227">
        <f t="shared" si="30"/>
        <v>0</v>
      </c>
      <c r="BU59" s="225">
        <f t="shared" si="31"/>
        <v>0</v>
      </c>
      <c r="BV59" s="225">
        <f t="shared" si="32"/>
        <v>0</v>
      </c>
      <c r="BW59" s="225">
        <f t="shared" si="33"/>
        <v>0</v>
      </c>
      <c r="BX59" s="225">
        <f t="shared" si="34"/>
        <v>0</v>
      </c>
      <c r="BY59" s="225">
        <f t="shared" si="35"/>
        <v>0</v>
      </c>
      <c r="BZ59" s="225">
        <f t="shared" si="36"/>
        <v>0</v>
      </c>
      <c r="CA59" s="228">
        <f t="shared" si="37"/>
        <v>0</v>
      </c>
      <c r="CB59" s="228">
        <f t="shared" si="38"/>
        <v>0</v>
      </c>
      <c r="CC59" s="228">
        <f t="shared" si="39"/>
        <v>0</v>
      </c>
      <c r="CD59" s="228">
        <f t="shared" si="40"/>
        <v>0</v>
      </c>
      <c r="CE59" s="399"/>
      <c r="CF59" s="399"/>
    </row>
    <row r="60" spans="1:84" x14ac:dyDescent="0.4">
      <c r="A60" s="712" t="s">
        <v>690</v>
      </c>
      <c r="B60" s="231" t="str">
        <f t="shared" si="41"/>
        <v/>
      </c>
      <c r="C60" s="732"/>
      <c r="D60" s="401"/>
      <c r="E60" s="733"/>
      <c r="F60" s="734"/>
      <c r="G60" s="401"/>
      <c r="H60" s="733"/>
      <c r="I60" s="733"/>
      <c r="J60" s="735"/>
      <c r="K60" s="736"/>
      <c r="L60" s="737"/>
      <c r="M60" s="737"/>
      <c r="N60" s="741"/>
      <c r="O60" s="739"/>
      <c r="P60" s="740"/>
      <c r="Q60" s="254" t="str">
        <f t="shared" si="20"/>
        <v/>
      </c>
      <c r="R60" s="254" t="str">
        <f t="shared" si="21"/>
        <v/>
      </c>
      <c r="S60" s="258" t="str">
        <f t="shared" si="22"/>
        <v/>
      </c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R60" s="225" t="str">
        <f>IF(AS60&gt;1,MAX($AR$7:AR59)+1,"")</f>
        <v/>
      </c>
      <c r="AS60" s="224">
        <f t="shared" si="26"/>
        <v>0</v>
      </c>
      <c r="AT60" s="225">
        <f t="shared" si="27"/>
        <v>0</v>
      </c>
      <c r="AU60" s="224">
        <f t="shared" si="28"/>
        <v>0</v>
      </c>
      <c r="AV60" s="226">
        <f t="shared" si="29"/>
        <v>0</v>
      </c>
      <c r="AW60" s="224">
        <f t="shared" si="42"/>
        <v>0</v>
      </c>
      <c r="AX60" s="224">
        <f t="shared" si="43"/>
        <v>0</v>
      </c>
      <c r="AY60" s="224">
        <f t="shared" si="44"/>
        <v>0</v>
      </c>
      <c r="AZ60" s="711"/>
      <c r="BA60" s="399"/>
      <c r="BB60" s="399"/>
      <c r="BC60" s="225" t="str">
        <f>IF(OR(BW60=$BB$8,BZ60=$BB$8),MAX($BC$7:BC59)+1,"")</f>
        <v/>
      </c>
      <c r="BD60" s="225" t="str">
        <f>IF(OR(BW60=$BB$9,BZ60=$BB$9),MAX($BD$7:BD59)+1,"")</f>
        <v/>
      </c>
      <c r="BE60" s="225" t="str">
        <f>IF(OR(BW60=$BB$10,BZ60=$BB$10),MAX($BE$7:BE59)+1,"")</f>
        <v/>
      </c>
      <c r="BF60" s="225" t="str">
        <f>IF(OR(BW60=$BB$11,BZ60=$BB$11),MAX($BF$7:BF59)+1,"")</f>
        <v/>
      </c>
      <c r="BG60" s="225" t="str">
        <f>IF(OR(BW60=$BB$12,BZ60=$BB$12),MAX($BG$7:BG59)+1,"")</f>
        <v/>
      </c>
      <c r="BH60" s="225" t="str">
        <f>IF(OR(BW60=$BB$13,BZ60=$BB$13),MAX($BH$7:BH59)+1,"")</f>
        <v/>
      </c>
      <c r="BI60" s="225" t="str">
        <f>IF(OR(BW60=$BB$14,BZ60=$BB$14),MAX($BI$7:BI59)+1,"")</f>
        <v/>
      </c>
      <c r="BJ60" s="225" t="str">
        <f>IF(OR(BW60=$BB$15,BZ60=$BB$15),MAX($BJ$7:BJ59)+1,"")</f>
        <v/>
      </c>
      <c r="BK60" s="225" t="str">
        <f>IF(OR(BW60=$BB$16,BZ60=$BB$16),MAX($BK$7:BK59)+1,"")</f>
        <v/>
      </c>
      <c r="BL60" s="225" t="str">
        <f>IF(OR(BW60=$BB$17,BZ60=$BB$17),MAX($BL$7:BL59)+1,"")</f>
        <v/>
      </c>
      <c r="BM60" s="225" t="str">
        <f>IF(OR(BW60=$BB$18,BZ60=$BB$18),MAX($BM$7:BM59)+1,"")</f>
        <v/>
      </c>
      <c r="BN60" s="225" t="str">
        <f>IF(OR(BW60=$BB$19,BZ60=$BB$19),MAX($BN$7:BN59)+1,"")</f>
        <v/>
      </c>
      <c r="BO60" s="225" t="str">
        <f>IF(OR(BW60=$BB$20,BZ60=$BB$20),MAX($BO$7:BO59)+1,"")</f>
        <v/>
      </c>
      <c r="BP60" s="225">
        <f>IF(OR(BW60=$BB$21,BZ60=$BB$21),MAX($BP$7:BP59)+1,"")</f>
        <v>53</v>
      </c>
      <c r="BQ60" s="399"/>
      <c r="BR60" s="399"/>
      <c r="BS60" s="399"/>
      <c r="BT60" s="227">
        <f t="shared" si="30"/>
        <v>0</v>
      </c>
      <c r="BU60" s="225">
        <f t="shared" si="31"/>
        <v>0</v>
      </c>
      <c r="BV60" s="225">
        <f t="shared" si="32"/>
        <v>0</v>
      </c>
      <c r="BW60" s="225">
        <f t="shared" si="33"/>
        <v>0</v>
      </c>
      <c r="BX60" s="225">
        <f t="shared" si="34"/>
        <v>0</v>
      </c>
      <c r="BY60" s="225">
        <f t="shared" si="35"/>
        <v>0</v>
      </c>
      <c r="BZ60" s="225">
        <f t="shared" si="36"/>
        <v>0</v>
      </c>
      <c r="CA60" s="228">
        <f t="shared" si="37"/>
        <v>0</v>
      </c>
      <c r="CB60" s="228">
        <f t="shared" si="38"/>
        <v>0</v>
      </c>
      <c r="CC60" s="228">
        <f t="shared" si="39"/>
        <v>0</v>
      </c>
      <c r="CD60" s="228">
        <f t="shared" si="40"/>
        <v>0</v>
      </c>
      <c r="CE60" s="399"/>
      <c r="CF60" s="399"/>
    </row>
    <row r="61" spans="1:84" x14ac:dyDescent="0.4">
      <c r="A61" s="712" t="s">
        <v>691</v>
      </c>
      <c r="B61" s="231" t="str">
        <f t="shared" si="41"/>
        <v/>
      </c>
      <c r="C61" s="732"/>
      <c r="D61" s="401"/>
      <c r="E61" s="733"/>
      <c r="F61" s="734"/>
      <c r="G61" s="401"/>
      <c r="H61" s="733"/>
      <c r="I61" s="733"/>
      <c r="J61" s="735"/>
      <c r="K61" s="736"/>
      <c r="L61" s="737"/>
      <c r="M61" s="737"/>
      <c r="N61" s="741"/>
      <c r="O61" s="739"/>
      <c r="P61" s="740"/>
      <c r="Q61" s="254" t="str">
        <f t="shared" si="20"/>
        <v/>
      </c>
      <c r="R61" s="254" t="str">
        <f t="shared" si="21"/>
        <v/>
      </c>
      <c r="S61" s="258" t="str">
        <f t="shared" si="22"/>
        <v/>
      </c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R61" s="225" t="str">
        <f>IF(AS61&gt;1,MAX($AR$7:AR60)+1,"")</f>
        <v/>
      </c>
      <c r="AS61" s="224">
        <f t="shared" si="26"/>
        <v>0</v>
      </c>
      <c r="AT61" s="225">
        <f t="shared" si="27"/>
        <v>0</v>
      </c>
      <c r="AU61" s="224">
        <f t="shared" si="28"/>
        <v>0</v>
      </c>
      <c r="AV61" s="226">
        <f t="shared" si="29"/>
        <v>0</v>
      </c>
      <c r="AW61" s="224">
        <f t="shared" si="42"/>
        <v>0</v>
      </c>
      <c r="AX61" s="224">
        <f t="shared" si="43"/>
        <v>0</v>
      </c>
      <c r="AY61" s="224">
        <f t="shared" si="44"/>
        <v>0</v>
      </c>
      <c r="AZ61" s="711"/>
      <c r="BA61" s="399"/>
      <c r="BB61" s="399"/>
      <c r="BC61" s="225" t="str">
        <f>IF(OR(BW61=$BB$8,BZ61=$BB$8),MAX($BC$7:BC60)+1,"")</f>
        <v/>
      </c>
      <c r="BD61" s="225" t="str">
        <f>IF(OR(BW61=$BB$9,BZ61=$BB$9),MAX($BD$7:BD60)+1,"")</f>
        <v/>
      </c>
      <c r="BE61" s="225" t="str">
        <f>IF(OR(BW61=$BB$10,BZ61=$BB$10),MAX($BE$7:BE60)+1,"")</f>
        <v/>
      </c>
      <c r="BF61" s="225" t="str">
        <f>IF(OR(BW61=$BB$11,BZ61=$BB$11),MAX($BF$7:BF60)+1,"")</f>
        <v/>
      </c>
      <c r="BG61" s="225" t="str">
        <f>IF(OR(BW61=$BB$12,BZ61=$BB$12),MAX($BG$7:BG60)+1,"")</f>
        <v/>
      </c>
      <c r="BH61" s="225" t="str">
        <f>IF(OR(BW61=$BB$13,BZ61=$BB$13),MAX($BH$7:BH60)+1,"")</f>
        <v/>
      </c>
      <c r="BI61" s="225" t="str">
        <f>IF(OR(BW61=$BB$14,BZ61=$BB$14),MAX($BI$7:BI60)+1,"")</f>
        <v/>
      </c>
      <c r="BJ61" s="225" t="str">
        <f>IF(OR(BW61=$BB$15,BZ61=$BB$15),MAX($BJ$7:BJ60)+1,"")</f>
        <v/>
      </c>
      <c r="BK61" s="225" t="str">
        <f>IF(OR(BW61=$BB$16,BZ61=$BB$16),MAX($BK$7:BK60)+1,"")</f>
        <v/>
      </c>
      <c r="BL61" s="225" t="str">
        <f>IF(OR(BW61=$BB$17,BZ61=$BB$17),MAX($BL$7:BL60)+1,"")</f>
        <v/>
      </c>
      <c r="BM61" s="225" t="str">
        <f>IF(OR(BW61=$BB$18,BZ61=$BB$18),MAX($BM$7:BM60)+1,"")</f>
        <v/>
      </c>
      <c r="BN61" s="225" t="str">
        <f>IF(OR(BW61=$BB$19,BZ61=$BB$19),MAX($BN$7:BN60)+1,"")</f>
        <v/>
      </c>
      <c r="BO61" s="225" t="str">
        <f>IF(OR(BW61=$BB$20,BZ61=$BB$20),MAX($BO$7:BO60)+1,"")</f>
        <v/>
      </c>
      <c r="BP61" s="225">
        <f>IF(OR(BW61=$BB$21,BZ61=$BB$21),MAX($BP$7:BP60)+1,"")</f>
        <v>54</v>
      </c>
      <c r="BQ61" s="399"/>
      <c r="BR61" s="399"/>
      <c r="BS61" s="399"/>
      <c r="BT61" s="227">
        <f t="shared" si="30"/>
        <v>0</v>
      </c>
      <c r="BU61" s="225">
        <f t="shared" si="31"/>
        <v>0</v>
      </c>
      <c r="BV61" s="225">
        <f t="shared" si="32"/>
        <v>0</v>
      </c>
      <c r="BW61" s="225">
        <f t="shared" si="33"/>
        <v>0</v>
      </c>
      <c r="BX61" s="225">
        <f t="shared" si="34"/>
        <v>0</v>
      </c>
      <c r="BY61" s="225">
        <f t="shared" si="35"/>
        <v>0</v>
      </c>
      <c r="BZ61" s="225">
        <f t="shared" si="36"/>
        <v>0</v>
      </c>
      <c r="CA61" s="228">
        <f t="shared" si="37"/>
        <v>0</v>
      </c>
      <c r="CB61" s="228">
        <f t="shared" si="38"/>
        <v>0</v>
      </c>
      <c r="CC61" s="228">
        <f t="shared" si="39"/>
        <v>0</v>
      </c>
      <c r="CD61" s="228">
        <f t="shared" si="40"/>
        <v>0</v>
      </c>
      <c r="CE61" s="399"/>
      <c r="CF61" s="399"/>
    </row>
    <row r="62" spans="1:84" x14ac:dyDescent="0.4">
      <c r="B62" s="231" t="str">
        <f t="shared" si="41"/>
        <v/>
      </c>
      <c r="C62" s="732"/>
      <c r="D62" s="401"/>
      <c r="E62" s="733"/>
      <c r="F62" s="734"/>
      <c r="G62" s="401"/>
      <c r="H62" s="733"/>
      <c r="I62" s="733"/>
      <c r="J62" s="735"/>
      <c r="K62" s="736"/>
      <c r="L62" s="737"/>
      <c r="M62" s="737"/>
      <c r="N62" s="741"/>
      <c r="O62" s="739"/>
      <c r="P62" s="740"/>
      <c r="Q62" s="254" t="str">
        <f t="shared" si="20"/>
        <v/>
      </c>
      <c r="R62" s="254" t="str">
        <f t="shared" si="21"/>
        <v/>
      </c>
      <c r="S62" s="258" t="str">
        <f t="shared" si="22"/>
        <v/>
      </c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R62" s="225" t="str">
        <f>IF(AS62&gt;1,MAX($AR$7:AR61)+1,"")</f>
        <v/>
      </c>
      <c r="AS62" s="224">
        <f t="shared" si="26"/>
        <v>0</v>
      </c>
      <c r="AT62" s="225">
        <f t="shared" si="27"/>
        <v>0</v>
      </c>
      <c r="AU62" s="224">
        <f t="shared" si="28"/>
        <v>0</v>
      </c>
      <c r="AV62" s="226">
        <f t="shared" si="29"/>
        <v>0</v>
      </c>
      <c r="AW62" s="224">
        <f t="shared" si="42"/>
        <v>0</v>
      </c>
      <c r="AX62" s="224">
        <f t="shared" si="43"/>
        <v>0</v>
      </c>
      <c r="AY62" s="224">
        <f t="shared" si="44"/>
        <v>0</v>
      </c>
      <c r="AZ62" s="711"/>
      <c r="BA62" s="399"/>
      <c r="BB62" s="399"/>
      <c r="BC62" s="225" t="str">
        <f>IF(OR(BW62=$BB$8,BZ62=$BB$8),MAX($BC$7:BC61)+1,"")</f>
        <v/>
      </c>
      <c r="BD62" s="225" t="str">
        <f>IF(OR(BW62=$BB$9,BZ62=$BB$9),MAX($BD$7:BD61)+1,"")</f>
        <v/>
      </c>
      <c r="BE62" s="225" t="str">
        <f>IF(OR(BW62=$BB$10,BZ62=$BB$10),MAX($BE$7:BE61)+1,"")</f>
        <v/>
      </c>
      <c r="BF62" s="225" t="str">
        <f>IF(OR(BW62=$BB$11,BZ62=$BB$11),MAX($BF$7:BF61)+1,"")</f>
        <v/>
      </c>
      <c r="BG62" s="225" t="str">
        <f>IF(OR(BW62=$BB$12,BZ62=$BB$12),MAX($BG$7:BG61)+1,"")</f>
        <v/>
      </c>
      <c r="BH62" s="225" t="str">
        <f>IF(OR(BW62=$BB$13,BZ62=$BB$13),MAX($BH$7:BH61)+1,"")</f>
        <v/>
      </c>
      <c r="BI62" s="225" t="str">
        <f>IF(OR(BW62=$BB$14,BZ62=$BB$14),MAX($BI$7:BI61)+1,"")</f>
        <v/>
      </c>
      <c r="BJ62" s="225" t="str">
        <f>IF(OR(BW62=$BB$15,BZ62=$BB$15),MAX($BJ$7:BJ61)+1,"")</f>
        <v/>
      </c>
      <c r="BK62" s="225" t="str">
        <f>IF(OR(BW62=$BB$16,BZ62=$BB$16),MAX($BK$7:BK61)+1,"")</f>
        <v/>
      </c>
      <c r="BL62" s="225" t="str">
        <f>IF(OR(BW62=$BB$17,BZ62=$BB$17),MAX($BL$7:BL61)+1,"")</f>
        <v/>
      </c>
      <c r="BM62" s="225" t="str">
        <f>IF(OR(BW62=$BB$18,BZ62=$BB$18),MAX($BM$7:BM61)+1,"")</f>
        <v/>
      </c>
      <c r="BN62" s="225" t="str">
        <f>IF(OR(BW62=$BB$19,BZ62=$BB$19),MAX($BN$7:BN61)+1,"")</f>
        <v/>
      </c>
      <c r="BO62" s="225" t="str">
        <f>IF(OR(BW62=$BB$20,BZ62=$BB$20),MAX($BO$7:BO61)+1,"")</f>
        <v/>
      </c>
      <c r="BP62" s="225">
        <f>IF(OR(BW62=$BB$21,BZ62=$BB$21),MAX($BP$7:BP61)+1,"")</f>
        <v>55</v>
      </c>
      <c r="BQ62" s="399"/>
      <c r="BR62" s="399"/>
      <c r="BS62" s="399"/>
      <c r="BT62" s="227">
        <f t="shared" si="30"/>
        <v>0</v>
      </c>
      <c r="BU62" s="225">
        <f t="shared" si="31"/>
        <v>0</v>
      </c>
      <c r="BV62" s="225">
        <f t="shared" si="32"/>
        <v>0</v>
      </c>
      <c r="BW62" s="225">
        <f t="shared" si="33"/>
        <v>0</v>
      </c>
      <c r="BX62" s="225">
        <f t="shared" si="34"/>
        <v>0</v>
      </c>
      <c r="BY62" s="225">
        <f t="shared" si="35"/>
        <v>0</v>
      </c>
      <c r="BZ62" s="225">
        <f t="shared" si="36"/>
        <v>0</v>
      </c>
      <c r="CA62" s="228">
        <f t="shared" si="37"/>
        <v>0</v>
      </c>
      <c r="CB62" s="228">
        <f t="shared" si="38"/>
        <v>0</v>
      </c>
      <c r="CC62" s="228">
        <f t="shared" si="39"/>
        <v>0</v>
      </c>
      <c r="CD62" s="228">
        <f t="shared" si="40"/>
        <v>0</v>
      </c>
      <c r="CE62" s="399"/>
      <c r="CF62" s="399"/>
    </row>
    <row r="63" spans="1:84" x14ac:dyDescent="0.4">
      <c r="A63" s="712" t="s">
        <v>687</v>
      </c>
      <c r="B63" s="231" t="str">
        <f t="shared" si="41"/>
        <v/>
      </c>
      <c r="C63" s="732"/>
      <c r="D63" s="401"/>
      <c r="E63" s="733"/>
      <c r="F63" s="734"/>
      <c r="G63" s="401"/>
      <c r="H63" s="733"/>
      <c r="I63" s="733"/>
      <c r="J63" s="735"/>
      <c r="K63" s="736"/>
      <c r="L63" s="737"/>
      <c r="M63" s="737"/>
      <c r="N63" s="741"/>
      <c r="O63" s="739"/>
      <c r="P63" s="740"/>
      <c r="Q63" s="254" t="str">
        <f t="shared" si="20"/>
        <v/>
      </c>
      <c r="R63" s="254" t="str">
        <f t="shared" si="21"/>
        <v/>
      </c>
      <c r="S63" s="258" t="str">
        <f t="shared" si="22"/>
        <v/>
      </c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R63" s="225" t="str">
        <f>IF(AS63&gt;1,MAX($AR$7:AR62)+1,"")</f>
        <v/>
      </c>
      <c r="AS63" s="224">
        <f t="shared" si="26"/>
        <v>0</v>
      </c>
      <c r="AT63" s="225">
        <f t="shared" si="27"/>
        <v>0</v>
      </c>
      <c r="AU63" s="224">
        <f t="shared" si="28"/>
        <v>0</v>
      </c>
      <c r="AV63" s="226">
        <f t="shared" si="29"/>
        <v>0</v>
      </c>
      <c r="AW63" s="224">
        <f t="shared" si="42"/>
        <v>0</v>
      </c>
      <c r="AX63" s="224">
        <f t="shared" si="43"/>
        <v>0</v>
      </c>
      <c r="AY63" s="224">
        <f t="shared" si="44"/>
        <v>0</v>
      </c>
      <c r="AZ63" s="711"/>
      <c r="BA63" s="399"/>
      <c r="BB63" s="399"/>
      <c r="BC63" s="225" t="str">
        <f>IF(OR(BW63=$BB$8,BZ63=$BB$8),MAX($BC$7:BC62)+1,"")</f>
        <v/>
      </c>
      <c r="BD63" s="225" t="str">
        <f>IF(OR(BW63=$BB$9,BZ63=$BB$9),MAX($BD$7:BD62)+1,"")</f>
        <v/>
      </c>
      <c r="BE63" s="225" t="str">
        <f>IF(OR(BW63=$BB$10,BZ63=$BB$10),MAX($BE$7:BE62)+1,"")</f>
        <v/>
      </c>
      <c r="BF63" s="225" t="str">
        <f>IF(OR(BW63=$BB$11,BZ63=$BB$11),MAX($BF$7:BF62)+1,"")</f>
        <v/>
      </c>
      <c r="BG63" s="225" t="str">
        <f>IF(OR(BW63=$BB$12,BZ63=$BB$12),MAX($BG$7:BG62)+1,"")</f>
        <v/>
      </c>
      <c r="BH63" s="225" t="str">
        <f>IF(OR(BW63=$BB$13,BZ63=$BB$13),MAX($BH$7:BH62)+1,"")</f>
        <v/>
      </c>
      <c r="BI63" s="225" t="str">
        <f>IF(OR(BW63=$BB$14,BZ63=$BB$14),MAX($BI$7:BI62)+1,"")</f>
        <v/>
      </c>
      <c r="BJ63" s="225" t="str">
        <f>IF(OR(BW63=$BB$15,BZ63=$BB$15),MAX($BJ$7:BJ62)+1,"")</f>
        <v/>
      </c>
      <c r="BK63" s="225" t="str">
        <f>IF(OR(BW63=$BB$16,BZ63=$BB$16),MAX($BK$7:BK62)+1,"")</f>
        <v/>
      </c>
      <c r="BL63" s="225" t="str">
        <f>IF(OR(BW63=$BB$17,BZ63=$BB$17),MAX($BL$7:BL62)+1,"")</f>
        <v/>
      </c>
      <c r="BM63" s="225" t="str">
        <f>IF(OR(BW63=$BB$18,BZ63=$BB$18),MAX($BM$7:BM62)+1,"")</f>
        <v/>
      </c>
      <c r="BN63" s="225" t="str">
        <f>IF(OR(BW63=$BB$19,BZ63=$BB$19),MAX($BN$7:BN62)+1,"")</f>
        <v/>
      </c>
      <c r="BO63" s="225" t="str">
        <f>IF(OR(BW63=$BB$20,BZ63=$BB$20),MAX($BO$7:BO62)+1,"")</f>
        <v/>
      </c>
      <c r="BP63" s="225">
        <f>IF(OR(BW63=$BB$21,BZ63=$BB$21),MAX($BP$7:BP62)+1,"")</f>
        <v>56</v>
      </c>
      <c r="BQ63" s="399"/>
      <c r="BR63" s="399"/>
      <c r="BS63" s="399"/>
      <c r="BT63" s="227">
        <f t="shared" si="30"/>
        <v>0</v>
      </c>
      <c r="BU63" s="225">
        <f t="shared" si="31"/>
        <v>0</v>
      </c>
      <c r="BV63" s="225">
        <f t="shared" si="32"/>
        <v>0</v>
      </c>
      <c r="BW63" s="225">
        <f t="shared" si="33"/>
        <v>0</v>
      </c>
      <c r="BX63" s="225">
        <f t="shared" si="34"/>
        <v>0</v>
      </c>
      <c r="BY63" s="225">
        <f t="shared" si="35"/>
        <v>0</v>
      </c>
      <c r="BZ63" s="225">
        <f t="shared" si="36"/>
        <v>0</v>
      </c>
      <c r="CA63" s="228">
        <f t="shared" si="37"/>
        <v>0</v>
      </c>
      <c r="CB63" s="228">
        <f t="shared" si="38"/>
        <v>0</v>
      </c>
      <c r="CC63" s="228">
        <f t="shared" si="39"/>
        <v>0</v>
      </c>
      <c r="CD63" s="228">
        <f t="shared" si="40"/>
        <v>0</v>
      </c>
      <c r="CE63" s="399"/>
      <c r="CF63" s="399"/>
    </row>
    <row r="64" spans="1:84" x14ac:dyDescent="0.4">
      <c r="A64" s="712" t="s">
        <v>544</v>
      </c>
      <c r="B64" s="231" t="str">
        <f t="shared" si="41"/>
        <v/>
      </c>
      <c r="C64" s="732"/>
      <c r="D64" s="401"/>
      <c r="E64" s="733"/>
      <c r="F64" s="734"/>
      <c r="G64" s="401"/>
      <c r="H64" s="733"/>
      <c r="I64" s="733"/>
      <c r="J64" s="735"/>
      <c r="K64" s="736"/>
      <c r="L64" s="737"/>
      <c r="M64" s="737"/>
      <c r="N64" s="741"/>
      <c r="O64" s="739"/>
      <c r="P64" s="740"/>
      <c r="Q64" s="254" t="str">
        <f t="shared" si="20"/>
        <v/>
      </c>
      <c r="R64" s="254" t="str">
        <f t="shared" si="21"/>
        <v/>
      </c>
      <c r="S64" s="258" t="str">
        <f t="shared" si="22"/>
        <v/>
      </c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R64" s="225" t="str">
        <f>IF(AS64&gt;1,MAX($AR$7:AR63)+1,"")</f>
        <v/>
      </c>
      <c r="AS64" s="224">
        <f t="shared" si="26"/>
        <v>0</v>
      </c>
      <c r="AT64" s="225">
        <f t="shared" si="27"/>
        <v>0</v>
      </c>
      <c r="AU64" s="224">
        <f t="shared" si="28"/>
        <v>0</v>
      </c>
      <c r="AV64" s="226">
        <f t="shared" si="29"/>
        <v>0</v>
      </c>
      <c r="AW64" s="224">
        <f t="shared" si="42"/>
        <v>0</v>
      </c>
      <c r="AX64" s="224">
        <f t="shared" si="43"/>
        <v>0</v>
      </c>
      <c r="AY64" s="224">
        <f t="shared" si="44"/>
        <v>0</v>
      </c>
      <c r="AZ64" s="711"/>
      <c r="BA64" s="399"/>
      <c r="BB64" s="399"/>
      <c r="BC64" s="225" t="str">
        <f>IF(OR(BW64=$BB$8,BZ64=$BB$8),MAX($BC$7:BC63)+1,"")</f>
        <v/>
      </c>
      <c r="BD64" s="225" t="str">
        <f>IF(OR(BW64=$BB$9,BZ64=$BB$9),MAX($BD$7:BD63)+1,"")</f>
        <v/>
      </c>
      <c r="BE64" s="225" t="str">
        <f>IF(OR(BW64=$BB$10,BZ64=$BB$10),MAX($BE$7:BE63)+1,"")</f>
        <v/>
      </c>
      <c r="BF64" s="225" t="str">
        <f>IF(OR(BW64=$BB$11,BZ64=$BB$11),MAX($BF$7:BF63)+1,"")</f>
        <v/>
      </c>
      <c r="BG64" s="225" t="str">
        <f>IF(OR(BW64=$BB$12,BZ64=$BB$12),MAX($BG$7:BG63)+1,"")</f>
        <v/>
      </c>
      <c r="BH64" s="225" t="str">
        <f>IF(OR(BW64=$BB$13,BZ64=$BB$13),MAX($BH$7:BH63)+1,"")</f>
        <v/>
      </c>
      <c r="BI64" s="225" t="str">
        <f>IF(OR(BW64=$BB$14,BZ64=$BB$14),MAX($BI$7:BI63)+1,"")</f>
        <v/>
      </c>
      <c r="BJ64" s="225" t="str">
        <f>IF(OR(BW64=$BB$15,BZ64=$BB$15),MAX($BJ$7:BJ63)+1,"")</f>
        <v/>
      </c>
      <c r="BK64" s="225" t="str">
        <f>IF(OR(BW64=$BB$16,BZ64=$BB$16),MAX($BK$7:BK63)+1,"")</f>
        <v/>
      </c>
      <c r="BL64" s="225" t="str">
        <f>IF(OR(BW64=$BB$17,BZ64=$BB$17),MAX($BL$7:BL63)+1,"")</f>
        <v/>
      </c>
      <c r="BM64" s="225" t="str">
        <f>IF(OR(BW64=$BB$18,BZ64=$BB$18),MAX($BM$7:BM63)+1,"")</f>
        <v/>
      </c>
      <c r="BN64" s="225" t="str">
        <f>IF(OR(BW64=$BB$19,BZ64=$BB$19),MAX($BN$7:BN63)+1,"")</f>
        <v/>
      </c>
      <c r="BO64" s="225" t="str">
        <f>IF(OR(BW64=$BB$20,BZ64=$BB$20),MAX($BO$7:BO63)+1,"")</f>
        <v/>
      </c>
      <c r="BP64" s="225">
        <f>IF(OR(BW64=$BB$21,BZ64=$BB$21),MAX($BP$7:BP63)+1,"")</f>
        <v>57</v>
      </c>
      <c r="BQ64" s="399"/>
      <c r="BR64" s="399"/>
      <c r="BS64" s="399"/>
      <c r="BT64" s="227">
        <f t="shared" si="30"/>
        <v>0</v>
      </c>
      <c r="BU64" s="225">
        <f t="shared" si="31"/>
        <v>0</v>
      </c>
      <c r="BV64" s="225">
        <f t="shared" si="32"/>
        <v>0</v>
      </c>
      <c r="BW64" s="225">
        <f t="shared" si="33"/>
        <v>0</v>
      </c>
      <c r="BX64" s="225">
        <f t="shared" si="34"/>
        <v>0</v>
      </c>
      <c r="BY64" s="225">
        <f t="shared" si="35"/>
        <v>0</v>
      </c>
      <c r="BZ64" s="225">
        <f t="shared" si="36"/>
        <v>0</v>
      </c>
      <c r="CA64" s="228">
        <f t="shared" si="37"/>
        <v>0</v>
      </c>
      <c r="CB64" s="228">
        <f t="shared" si="38"/>
        <v>0</v>
      </c>
      <c r="CC64" s="228">
        <f t="shared" si="39"/>
        <v>0</v>
      </c>
      <c r="CD64" s="228">
        <f t="shared" si="40"/>
        <v>0</v>
      </c>
      <c r="CE64" s="399"/>
      <c r="CF64" s="399"/>
    </row>
    <row r="65" spans="1:84" x14ac:dyDescent="0.4">
      <c r="A65" s="712" t="s">
        <v>688</v>
      </c>
      <c r="B65" s="231" t="str">
        <f t="shared" si="41"/>
        <v/>
      </c>
      <c r="C65" s="732"/>
      <c r="D65" s="401"/>
      <c r="E65" s="733"/>
      <c r="F65" s="734"/>
      <c r="G65" s="401"/>
      <c r="H65" s="733"/>
      <c r="I65" s="733"/>
      <c r="J65" s="735"/>
      <c r="K65" s="736"/>
      <c r="L65" s="737"/>
      <c r="M65" s="737"/>
      <c r="N65" s="741"/>
      <c r="O65" s="739"/>
      <c r="P65" s="740"/>
      <c r="Q65" s="254" t="str">
        <f t="shared" si="20"/>
        <v/>
      </c>
      <c r="R65" s="254" t="str">
        <f t="shared" si="21"/>
        <v/>
      </c>
      <c r="S65" s="258" t="str">
        <f t="shared" si="22"/>
        <v/>
      </c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R65" s="225" t="str">
        <f>IF(AS65&gt;1,MAX($AR$7:AR64)+1,"")</f>
        <v/>
      </c>
      <c r="AS65" s="224">
        <f t="shared" si="26"/>
        <v>0</v>
      </c>
      <c r="AT65" s="225">
        <f t="shared" si="27"/>
        <v>0</v>
      </c>
      <c r="AU65" s="224">
        <f t="shared" si="28"/>
        <v>0</v>
      </c>
      <c r="AV65" s="226">
        <f t="shared" si="29"/>
        <v>0</v>
      </c>
      <c r="AW65" s="224">
        <f t="shared" si="42"/>
        <v>0</v>
      </c>
      <c r="AX65" s="224">
        <f t="shared" si="43"/>
        <v>0</v>
      </c>
      <c r="AY65" s="224">
        <f t="shared" si="44"/>
        <v>0</v>
      </c>
      <c r="AZ65" s="711"/>
      <c r="BA65" s="399"/>
      <c r="BB65" s="399"/>
      <c r="BC65" s="225" t="str">
        <f>IF(OR(BW65=$BB$8,BZ65=$BB$8),MAX($BC$7:BC64)+1,"")</f>
        <v/>
      </c>
      <c r="BD65" s="225" t="str">
        <f>IF(OR(BW65=$BB$9,BZ65=$BB$9),MAX($BD$7:BD64)+1,"")</f>
        <v/>
      </c>
      <c r="BE65" s="225" t="str">
        <f>IF(OR(BW65=$BB$10,BZ65=$BB$10),MAX($BE$7:BE64)+1,"")</f>
        <v/>
      </c>
      <c r="BF65" s="225" t="str">
        <f>IF(OR(BW65=$BB$11,BZ65=$BB$11),MAX($BF$7:BF64)+1,"")</f>
        <v/>
      </c>
      <c r="BG65" s="225" t="str">
        <f>IF(OR(BW65=$BB$12,BZ65=$BB$12),MAX($BG$7:BG64)+1,"")</f>
        <v/>
      </c>
      <c r="BH65" s="225" t="str">
        <f>IF(OR(BW65=$BB$13,BZ65=$BB$13),MAX($BH$7:BH64)+1,"")</f>
        <v/>
      </c>
      <c r="BI65" s="225" t="str">
        <f>IF(OR(BW65=$BB$14,BZ65=$BB$14),MAX($BI$7:BI64)+1,"")</f>
        <v/>
      </c>
      <c r="BJ65" s="225" t="str">
        <f>IF(OR(BW65=$BB$15,BZ65=$BB$15),MAX($BJ$7:BJ64)+1,"")</f>
        <v/>
      </c>
      <c r="BK65" s="225" t="str">
        <f>IF(OR(BW65=$BB$16,BZ65=$BB$16),MAX($BK$7:BK64)+1,"")</f>
        <v/>
      </c>
      <c r="BL65" s="225" t="str">
        <f>IF(OR(BW65=$BB$17,BZ65=$BB$17),MAX($BL$7:BL64)+1,"")</f>
        <v/>
      </c>
      <c r="BM65" s="225" t="str">
        <f>IF(OR(BW65=$BB$18,BZ65=$BB$18),MAX($BM$7:BM64)+1,"")</f>
        <v/>
      </c>
      <c r="BN65" s="225" t="str">
        <f>IF(OR(BW65=$BB$19,BZ65=$BB$19),MAX($BN$7:BN64)+1,"")</f>
        <v/>
      </c>
      <c r="BO65" s="225" t="str">
        <f>IF(OR(BW65=$BB$20,BZ65=$BB$20),MAX($BO$7:BO64)+1,"")</f>
        <v/>
      </c>
      <c r="BP65" s="225">
        <f>IF(OR(BW65=$BB$21,BZ65=$BB$21),MAX($BP$7:BP64)+1,"")</f>
        <v>58</v>
      </c>
      <c r="BQ65" s="399"/>
      <c r="BR65" s="399"/>
      <c r="BS65" s="399"/>
      <c r="BT65" s="227">
        <f t="shared" si="30"/>
        <v>0</v>
      </c>
      <c r="BU65" s="225">
        <f t="shared" si="31"/>
        <v>0</v>
      </c>
      <c r="BV65" s="225">
        <f t="shared" si="32"/>
        <v>0</v>
      </c>
      <c r="BW65" s="225">
        <f t="shared" si="33"/>
        <v>0</v>
      </c>
      <c r="BX65" s="225">
        <f t="shared" si="34"/>
        <v>0</v>
      </c>
      <c r="BY65" s="225">
        <f t="shared" si="35"/>
        <v>0</v>
      </c>
      <c r="BZ65" s="225">
        <f t="shared" si="36"/>
        <v>0</v>
      </c>
      <c r="CA65" s="228">
        <f t="shared" si="37"/>
        <v>0</v>
      </c>
      <c r="CB65" s="228">
        <f t="shared" si="38"/>
        <v>0</v>
      </c>
      <c r="CC65" s="228">
        <f t="shared" si="39"/>
        <v>0</v>
      </c>
      <c r="CD65" s="228">
        <f t="shared" si="40"/>
        <v>0</v>
      </c>
      <c r="CE65" s="399"/>
      <c r="CF65" s="399"/>
    </row>
    <row r="66" spans="1:84" x14ac:dyDescent="0.4">
      <c r="A66" s="712" t="s">
        <v>545</v>
      </c>
      <c r="B66" s="231" t="str">
        <f t="shared" si="41"/>
        <v/>
      </c>
      <c r="C66" s="732"/>
      <c r="D66" s="401"/>
      <c r="E66" s="733"/>
      <c r="F66" s="734"/>
      <c r="G66" s="401"/>
      <c r="H66" s="733"/>
      <c r="I66" s="733"/>
      <c r="J66" s="735"/>
      <c r="K66" s="736"/>
      <c r="L66" s="737"/>
      <c r="M66" s="737"/>
      <c r="N66" s="741"/>
      <c r="O66" s="739"/>
      <c r="P66" s="740"/>
      <c r="Q66" s="254" t="str">
        <f t="shared" si="20"/>
        <v/>
      </c>
      <c r="R66" s="254" t="str">
        <f t="shared" si="21"/>
        <v/>
      </c>
      <c r="S66" s="258" t="str">
        <f t="shared" si="22"/>
        <v/>
      </c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R66" s="225" t="str">
        <f>IF(AS66&gt;1,MAX($AR$7:AR65)+1,"")</f>
        <v/>
      </c>
      <c r="AS66" s="224">
        <f t="shared" si="26"/>
        <v>0</v>
      </c>
      <c r="AT66" s="225">
        <f t="shared" si="27"/>
        <v>0</v>
      </c>
      <c r="AU66" s="224">
        <f t="shared" si="28"/>
        <v>0</v>
      </c>
      <c r="AV66" s="226">
        <f t="shared" si="29"/>
        <v>0</v>
      </c>
      <c r="AW66" s="224">
        <f t="shared" si="42"/>
        <v>0</v>
      </c>
      <c r="AX66" s="224">
        <f t="shared" si="43"/>
        <v>0</v>
      </c>
      <c r="AY66" s="224">
        <f t="shared" si="44"/>
        <v>0</v>
      </c>
      <c r="AZ66" s="711"/>
      <c r="BA66" s="399"/>
      <c r="BB66" s="399"/>
      <c r="BC66" s="225" t="str">
        <f>IF(OR(BW66=$BB$8,BZ66=$BB$8),MAX($BC$7:BC65)+1,"")</f>
        <v/>
      </c>
      <c r="BD66" s="225" t="str">
        <f>IF(OR(BW66=$BB$9,BZ66=$BB$9),MAX($BD$7:BD65)+1,"")</f>
        <v/>
      </c>
      <c r="BE66" s="225" t="str">
        <f>IF(OR(BW66=$BB$10,BZ66=$BB$10),MAX($BE$7:BE65)+1,"")</f>
        <v/>
      </c>
      <c r="BF66" s="225" t="str">
        <f>IF(OR(BW66=$BB$11,BZ66=$BB$11),MAX($BF$7:BF65)+1,"")</f>
        <v/>
      </c>
      <c r="BG66" s="225" t="str">
        <f>IF(OR(BW66=$BB$12,BZ66=$BB$12),MAX($BG$7:BG65)+1,"")</f>
        <v/>
      </c>
      <c r="BH66" s="225" t="str">
        <f>IF(OR(BW66=$BB$13,BZ66=$BB$13),MAX($BH$7:BH65)+1,"")</f>
        <v/>
      </c>
      <c r="BI66" s="225" t="str">
        <f>IF(OR(BW66=$BB$14,BZ66=$BB$14),MAX($BI$7:BI65)+1,"")</f>
        <v/>
      </c>
      <c r="BJ66" s="225" t="str">
        <f>IF(OR(BW66=$BB$15,BZ66=$BB$15),MAX($BJ$7:BJ65)+1,"")</f>
        <v/>
      </c>
      <c r="BK66" s="225" t="str">
        <f>IF(OR(BW66=$BB$16,BZ66=$BB$16),MAX($BK$7:BK65)+1,"")</f>
        <v/>
      </c>
      <c r="BL66" s="225" t="str">
        <f>IF(OR(BW66=$BB$17,BZ66=$BB$17),MAX($BL$7:BL65)+1,"")</f>
        <v/>
      </c>
      <c r="BM66" s="225" t="str">
        <f>IF(OR(BW66=$BB$18,BZ66=$BB$18),MAX($BM$7:BM65)+1,"")</f>
        <v/>
      </c>
      <c r="BN66" s="225" t="str">
        <f>IF(OR(BW66=$BB$19,BZ66=$BB$19),MAX($BN$7:BN65)+1,"")</f>
        <v/>
      </c>
      <c r="BO66" s="225" t="str">
        <f>IF(OR(BW66=$BB$20,BZ66=$BB$20),MAX($BO$7:BO65)+1,"")</f>
        <v/>
      </c>
      <c r="BP66" s="225">
        <f>IF(OR(BW66=$BB$21,BZ66=$BB$21),MAX($BP$7:BP65)+1,"")</f>
        <v>59</v>
      </c>
      <c r="BQ66" s="399"/>
      <c r="BR66" s="399"/>
      <c r="BS66" s="399"/>
      <c r="BT66" s="227">
        <f t="shared" si="30"/>
        <v>0</v>
      </c>
      <c r="BU66" s="225">
        <f t="shared" si="31"/>
        <v>0</v>
      </c>
      <c r="BV66" s="225">
        <f t="shared" si="32"/>
        <v>0</v>
      </c>
      <c r="BW66" s="225">
        <f t="shared" si="33"/>
        <v>0</v>
      </c>
      <c r="BX66" s="225">
        <f t="shared" si="34"/>
        <v>0</v>
      </c>
      <c r="BY66" s="225">
        <f t="shared" si="35"/>
        <v>0</v>
      </c>
      <c r="BZ66" s="225">
        <f t="shared" si="36"/>
        <v>0</v>
      </c>
      <c r="CA66" s="228">
        <f t="shared" si="37"/>
        <v>0</v>
      </c>
      <c r="CB66" s="228">
        <f t="shared" si="38"/>
        <v>0</v>
      </c>
      <c r="CC66" s="228">
        <f t="shared" si="39"/>
        <v>0</v>
      </c>
      <c r="CD66" s="228">
        <f t="shared" si="40"/>
        <v>0</v>
      </c>
      <c r="CE66" s="399"/>
      <c r="CF66" s="399"/>
    </row>
    <row r="67" spans="1:84" x14ac:dyDescent="0.4">
      <c r="A67" s="712" t="s">
        <v>689</v>
      </c>
      <c r="B67" s="231" t="str">
        <f t="shared" si="41"/>
        <v/>
      </c>
      <c r="C67" s="732"/>
      <c r="D67" s="401"/>
      <c r="E67" s="733"/>
      <c r="F67" s="734"/>
      <c r="G67" s="401"/>
      <c r="H67" s="733"/>
      <c r="I67" s="733"/>
      <c r="J67" s="735"/>
      <c r="K67" s="736"/>
      <c r="L67" s="737"/>
      <c r="M67" s="737"/>
      <c r="N67" s="741"/>
      <c r="O67" s="739"/>
      <c r="P67" s="740"/>
      <c r="Q67" s="254" t="str">
        <f t="shared" si="20"/>
        <v/>
      </c>
      <c r="R67" s="254" t="str">
        <f t="shared" si="21"/>
        <v/>
      </c>
      <c r="S67" s="258" t="str">
        <f t="shared" si="22"/>
        <v/>
      </c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R67" s="225" t="str">
        <f>IF(AS67&gt;1,MAX($AR$7:AR66)+1,"")</f>
        <v/>
      </c>
      <c r="AS67" s="224">
        <f t="shared" si="26"/>
        <v>0</v>
      </c>
      <c r="AT67" s="225">
        <f t="shared" si="27"/>
        <v>0</v>
      </c>
      <c r="AU67" s="224">
        <f t="shared" si="28"/>
        <v>0</v>
      </c>
      <c r="AV67" s="226">
        <f t="shared" si="29"/>
        <v>0</v>
      </c>
      <c r="AW67" s="224">
        <f t="shared" si="42"/>
        <v>0</v>
      </c>
      <c r="AX67" s="224">
        <f t="shared" si="43"/>
        <v>0</v>
      </c>
      <c r="AY67" s="224">
        <f t="shared" si="44"/>
        <v>0</v>
      </c>
      <c r="AZ67" s="711"/>
      <c r="BA67" s="399"/>
      <c r="BB67" s="399"/>
      <c r="BC67" s="225" t="str">
        <f>IF(OR(BW67=$BB$8,BZ67=$BB$8),MAX($BC$7:BC66)+1,"")</f>
        <v/>
      </c>
      <c r="BD67" s="225" t="str">
        <f>IF(OR(BW67=$BB$9,BZ67=$BB$9),MAX($BD$7:BD66)+1,"")</f>
        <v/>
      </c>
      <c r="BE67" s="225" t="str">
        <f>IF(OR(BW67=$BB$10,BZ67=$BB$10),MAX($BE$7:BE66)+1,"")</f>
        <v/>
      </c>
      <c r="BF67" s="225" t="str">
        <f>IF(OR(BW67=$BB$11,BZ67=$BB$11),MAX($BF$7:BF66)+1,"")</f>
        <v/>
      </c>
      <c r="BG67" s="225" t="str">
        <f>IF(OR(BW67=$BB$12,BZ67=$BB$12),MAX($BG$7:BG66)+1,"")</f>
        <v/>
      </c>
      <c r="BH67" s="225" t="str">
        <f>IF(OR(BW67=$BB$13,BZ67=$BB$13),MAX($BH$7:BH66)+1,"")</f>
        <v/>
      </c>
      <c r="BI67" s="225" t="str">
        <f>IF(OR(BW67=$BB$14,BZ67=$BB$14),MAX($BI$7:BI66)+1,"")</f>
        <v/>
      </c>
      <c r="BJ67" s="225" t="str">
        <f>IF(OR(BW67=$BB$15,BZ67=$BB$15),MAX($BJ$7:BJ66)+1,"")</f>
        <v/>
      </c>
      <c r="BK67" s="225" t="str">
        <f>IF(OR(BW67=$BB$16,BZ67=$BB$16),MAX($BK$7:BK66)+1,"")</f>
        <v/>
      </c>
      <c r="BL67" s="225" t="str">
        <f>IF(OR(BW67=$BB$17,BZ67=$BB$17),MAX($BL$7:BL66)+1,"")</f>
        <v/>
      </c>
      <c r="BM67" s="225" t="str">
        <f>IF(OR(BW67=$BB$18,BZ67=$BB$18),MAX($BM$7:BM66)+1,"")</f>
        <v/>
      </c>
      <c r="BN67" s="225" t="str">
        <f>IF(OR(BW67=$BB$19,BZ67=$BB$19),MAX($BN$7:BN66)+1,"")</f>
        <v/>
      </c>
      <c r="BO67" s="225" t="str">
        <f>IF(OR(BW67=$BB$20,BZ67=$BB$20),MAX($BO$7:BO66)+1,"")</f>
        <v/>
      </c>
      <c r="BP67" s="225">
        <f>IF(OR(BW67=$BB$21,BZ67=$BB$21),MAX($BP$7:BP66)+1,"")</f>
        <v>60</v>
      </c>
      <c r="BQ67" s="399"/>
      <c r="BR67" s="399"/>
      <c r="BS67" s="399"/>
      <c r="BT67" s="227">
        <f t="shared" si="30"/>
        <v>0</v>
      </c>
      <c r="BU67" s="225">
        <f t="shared" si="31"/>
        <v>0</v>
      </c>
      <c r="BV67" s="225">
        <f t="shared" si="32"/>
        <v>0</v>
      </c>
      <c r="BW67" s="225">
        <f t="shared" si="33"/>
        <v>0</v>
      </c>
      <c r="BX67" s="225">
        <f t="shared" si="34"/>
        <v>0</v>
      </c>
      <c r="BY67" s="225">
        <f t="shared" si="35"/>
        <v>0</v>
      </c>
      <c r="BZ67" s="225">
        <f t="shared" si="36"/>
        <v>0</v>
      </c>
      <c r="CA67" s="228">
        <f t="shared" si="37"/>
        <v>0</v>
      </c>
      <c r="CB67" s="228">
        <f t="shared" si="38"/>
        <v>0</v>
      </c>
      <c r="CC67" s="228">
        <f t="shared" si="39"/>
        <v>0</v>
      </c>
      <c r="CD67" s="228">
        <f t="shared" si="40"/>
        <v>0</v>
      </c>
      <c r="CE67" s="399"/>
      <c r="CF67" s="399"/>
    </row>
    <row r="68" spans="1:84" x14ac:dyDescent="0.4">
      <c r="A68" s="712" t="s">
        <v>692</v>
      </c>
      <c r="B68" s="231" t="str">
        <f t="shared" si="41"/>
        <v/>
      </c>
      <c r="C68" s="732"/>
      <c r="D68" s="401"/>
      <c r="E68" s="733"/>
      <c r="F68" s="734"/>
      <c r="G68" s="401"/>
      <c r="H68" s="733"/>
      <c r="I68" s="733"/>
      <c r="J68" s="735"/>
      <c r="K68" s="736"/>
      <c r="L68" s="737"/>
      <c r="M68" s="737"/>
      <c r="N68" s="741"/>
      <c r="O68" s="739"/>
      <c r="P68" s="740"/>
      <c r="Q68" s="254" t="str">
        <f t="shared" si="20"/>
        <v/>
      </c>
      <c r="R68" s="254" t="str">
        <f t="shared" si="21"/>
        <v/>
      </c>
      <c r="S68" s="258" t="str">
        <f t="shared" si="22"/>
        <v/>
      </c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R68" s="225" t="str">
        <f>IF(AS68&gt;1,MAX($AR$7:AR67)+1,"")</f>
        <v/>
      </c>
      <c r="AS68" s="224">
        <f t="shared" si="26"/>
        <v>0</v>
      </c>
      <c r="AT68" s="225">
        <f t="shared" si="27"/>
        <v>0</v>
      </c>
      <c r="AU68" s="224">
        <f t="shared" si="28"/>
        <v>0</v>
      </c>
      <c r="AV68" s="226">
        <f t="shared" si="29"/>
        <v>0</v>
      </c>
      <c r="AW68" s="224">
        <f t="shared" si="42"/>
        <v>0</v>
      </c>
      <c r="AX68" s="224">
        <f t="shared" si="43"/>
        <v>0</v>
      </c>
      <c r="AY68" s="224">
        <f t="shared" si="44"/>
        <v>0</v>
      </c>
      <c r="AZ68" s="711"/>
      <c r="BA68" s="399"/>
      <c r="BB68" s="399"/>
      <c r="BC68" s="225" t="str">
        <f>IF(OR(BW68=$BB$8,BZ68=$BB$8),MAX($BC$7:BC67)+1,"")</f>
        <v/>
      </c>
      <c r="BD68" s="225" t="str">
        <f>IF(OR(BW68=$BB$9,BZ68=$BB$9),MAX($BD$7:BD67)+1,"")</f>
        <v/>
      </c>
      <c r="BE68" s="225" t="str">
        <f>IF(OR(BW68=$BB$10,BZ68=$BB$10),MAX($BE$7:BE67)+1,"")</f>
        <v/>
      </c>
      <c r="BF68" s="225" t="str">
        <f>IF(OR(BW68=$BB$11,BZ68=$BB$11),MAX($BF$7:BF67)+1,"")</f>
        <v/>
      </c>
      <c r="BG68" s="225" t="str">
        <f>IF(OR(BW68=$BB$12,BZ68=$BB$12),MAX($BG$7:BG67)+1,"")</f>
        <v/>
      </c>
      <c r="BH68" s="225" t="str">
        <f>IF(OR(BW68=$BB$13,BZ68=$BB$13),MAX($BH$7:BH67)+1,"")</f>
        <v/>
      </c>
      <c r="BI68" s="225" t="str">
        <f>IF(OR(BW68=$BB$14,BZ68=$BB$14),MAX($BI$7:BI67)+1,"")</f>
        <v/>
      </c>
      <c r="BJ68" s="225" t="str">
        <f>IF(OR(BW68=$BB$15,BZ68=$BB$15),MAX($BJ$7:BJ67)+1,"")</f>
        <v/>
      </c>
      <c r="BK68" s="225" t="str">
        <f>IF(OR(BW68=$BB$16,BZ68=$BB$16),MAX($BK$7:BK67)+1,"")</f>
        <v/>
      </c>
      <c r="BL68" s="225" t="str">
        <f>IF(OR(BW68=$BB$17,BZ68=$BB$17),MAX($BL$7:BL67)+1,"")</f>
        <v/>
      </c>
      <c r="BM68" s="225" t="str">
        <f>IF(OR(BW68=$BB$18,BZ68=$BB$18),MAX($BM$7:BM67)+1,"")</f>
        <v/>
      </c>
      <c r="BN68" s="225" t="str">
        <f>IF(OR(BW68=$BB$19,BZ68=$BB$19),MAX($BN$7:BN67)+1,"")</f>
        <v/>
      </c>
      <c r="BO68" s="225" t="str">
        <f>IF(OR(BW68=$BB$20,BZ68=$BB$20),MAX($BO$7:BO67)+1,"")</f>
        <v/>
      </c>
      <c r="BP68" s="225">
        <f>IF(OR(BW68=$BB$21,BZ68=$BB$21),MAX($BP$7:BP67)+1,"")</f>
        <v>61</v>
      </c>
      <c r="BQ68" s="399"/>
      <c r="BR68" s="399"/>
      <c r="BS68" s="399"/>
      <c r="BT68" s="227">
        <f t="shared" si="30"/>
        <v>0</v>
      </c>
      <c r="BU68" s="225">
        <f t="shared" si="31"/>
        <v>0</v>
      </c>
      <c r="BV68" s="225">
        <f t="shared" si="32"/>
        <v>0</v>
      </c>
      <c r="BW68" s="225">
        <f t="shared" si="33"/>
        <v>0</v>
      </c>
      <c r="BX68" s="225">
        <f t="shared" si="34"/>
        <v>0</v>
      </c>
      <c r="BY68" s="225">
        <f t="shared" si="35"/>
        <v>0</v>
      </c>
      <c r="BZ68" s="225">
        <f t="shared" si="36"/>
        <v>0</v>
      </c>
      <c r="CA68" s="228">
        <f t="shared" si="37"/>
        <v>0</v>
      </c>
      <c r="CB68" s="228">
        <f t="shared" si="38"/>
        <v>0</v>
      </c>
      <c r="CC68" s="228">
        <f t="shared" si="39"/>
        <v>0</v>
      </c>
      <c r="CD68" s="228">
        <f t="shared" si="40"/>
        <v>0</v>
      </c>
      <c r="CE68" s="399"/>
      <c r="CF68" s="399"/>
    </row>
    <row r="69" spans="1:84" x14ac:dyDescent="0.4">
      <c r="A69" s="712" t="s">
        <v>690</v>
      </c>
      <c r="B69" s="231" t="str">
        <f t="shared" si="41"/>
        <v/>
      </c>
      <c r="C69" s="732"/>
      <c r="D69" s="401"/>
      <c r="E69" s="733"/>
      <c r="F69" s="734"/>
      <c r="G69" s="401"/>
      <c r="H69" s="733"/>
      <c r="I69" s="733"/>
      <c r="J69" s="735"/>
      <c r="K69" s="736"/>
      <c r="L69" s="737"/>
      <c r="M69" s="737"/>
      <c r="N69" s="741"/>
      <c r="O69" s="739"/>
      <c r="P69" s="740"/>
      <c r="Q69" s="254" t="str">
        <f t="shared" si="20"/>
        <v/>
      </c>
      <c r="R69" s="254" t="str">
        <f t="shared" si="21"/>
        <v/>
      </c>
      <c r="S69" s="258" t="str">
        <f t="shared" si="22"/>
        <v/>
      </c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R69" s="225" t="str">
        <f>IF(AS69&gt;1,MAX($AR$7:AR68)+1,"")</f>
        <v/>
      </c>
      <c r="AS69" s="224">
        <f t="shared" si="26"/>
        <v>0</v>
      </c>
      <c r="AT69" s="225">
        <f t="shared" si="27"/>
        <v>0</v>
      </c>
      <c r="AU69" s="224">
        <f t="shared" si="28"/>
        <v>0</v>
      </c>
      <c r="AV69" s="226">
        <f t="shared" si="29"/>
        <v>0</v>
      </c>
      <c r="AW69" s="224">
        <f t="shared" si="42"/>
        <v>0</v>
      </c>
      <c r="AX69" s="224">
        <f t="shared" si="43"/>
        <v>0</v>
      </c>
      <c r="AY69" s="224">
        <f t="shared" si="44"/>
        <v>0</v>
      </c>
      <c r="AZ69" s="711"/>
      <c r="BA69" s="399"/>
      <c r="BB69" s="399"/>
      <c r="BC69" s="225" t="str">
        <f>IF(OR(BW69=$BB$8,BZ69=$BB$8),MAX($BC$7:BC68)+1,"")</f>
        <v/>
      </c>
      <c r="BD69" s="225" t="str">
        <f>IF(OR(BW69=$BB$9,BZ69=$BB$9),MAX($BD$7:BD68)+1,"")</f>
        <v/>
      </c>
      <c r="BE69" s="225" t="str">
        <f>IF(OR(BW69=$BB$10,BZ69=$BB$10),MAX($BE$7:BE68)+1,"")</f>
        <v/>
      </c>
      <c r="BF69" s="225" t="str">
        <f>IF(OR(BW69=$BB$11,BZ69=$BB$11),MAX($BF$7:BF68)+1,"")</f>
        <v/>
      </c>
      <c r="BG69" s="225" t="str">
        <f>IF(OR(BW69=$BB$12,BZ69=$BB$12),MAX($BG$7:BG68)+1,"")</f>
        <v/>
      </c>
      <c r="BH69" s="225" t="str">
        <f>IF(OR(BW69=$BB$13,BZ69=$BB$13),MAX($BH$7:BH68)+1,"")</f>
        <v/>
      </c>
      <c r="BI69" s="225" t="str">
        <f>IF(OR(BW69=$BB$14,BZ69=$BB$14),MAX($BI$7:BI68)+1,"")</f>
        <v/>
      </c>
      <c r="BJ69" s="225" t="str">
        <f>IF(OR(BW69=$BB$15,BZ69=$BB$15),MAX($BJ$7:BJ68)+1,"")</f>
        <v/>
      </c>
      <c r="BK69" s="225" t="str">
        <f>IF(OR(BW69=$BB$16,BZ69=$BB$16),MAX($BK$7:BK68)+1,"")</f>
        <v/>
      </c>
      <c r="BL69" s="225" t="str">
        <f>IF(OR(BW69=$BB$17,BZ69=$BB$17),MAX($BL$7:BL68)+1,"")</f>
        <v/>
      </c>
      <c r="BM69" s="225" t="str">
        <f>IF(OR(BW69=$BB$18,BZ69=$BB$18),MAX($BM$7:BM68)+1,"")</f>
        <v/>
      </c>
      <c r="BN69" s="225" t="str">
        <f>IF(OR(BW69=$BB$19,BZ69=$BB$19),MAX($BN$7:BN68)+1,"")</f>
        <v/>
      </c>
      <c r="BO69" s="225" t="str">
        <f>IF(OR(BW69=$BB$20,BZ69=$BB$20),MAX($BO$7:BO68)+1,"")</f>
        <v/>
      </c>
      <c r="BP69" s="225">
        <f>IF(OR(BW69=$BB$21,BZ69=$BB$21),MAX($BP$7:BP68)+1,"")</f>
        <v>62</v>
      </c>
      <c r="BQ69" s="399"/>
      <c r="BR69" s="399"/>
      <c r="BS69" s="399"/>
      <c r="BT69" s="227">
        <f t="shared" si="30"/>
        <v>0</v>
      </c>
      <c r="BU69" s="225">
        <f t="shared" si="31"/>
        <v>0</v>
      </c>
      <c r="BV69" s="225">
        <f t="shared" si="32"/>
        <v>0</v>
      </c>
      <c r="BW69" s="225">
        <f t="shared" si="33"/>
        <v>0</v>
      </c>
      <c r="BX69" s="225">
        <f t="shared" si="34"/>
        <v>0</v>
      </c>
      <c r="BY69" s="225">
        <f t="shared" si="35"/>
        <v>0</v>
      </c>
      <c r="BZ69" s="225">
        <f t="shared" si="36"/>
        <v>0</v>
      </c>
      <c r="CA69" s="228">
        <f t="shared" si="37"/>
        <v>0</v>
      </c>
      <c r="CB69" s="228">
        <f t="shared" si="38"/>
        <v>0</v>
      </c>
      <c r="CC69" s="228">
        <f t="shared" si="39"/>
        <v>0</v>
      </c>
      <c r="CD69" s="228">
        <f t="shared" si="40"/>
        <v>0</v>
      </c>
      <c r="CE69" s="399"/>
      <c r="CF69" s="399"/>
    </row>
    <row r="70" spans="1:84" x14ac:dyDescent="0.4">
      <c r="A70" s="712" t="s">
        <v>691</v>
      </c>
      <c r="B70" s="231" t="str">
        <f t="shared" si="41"/>
        <v/>
      </c>
      <c r="C70" s="732"/>
      <c r="D70" s="401"/>
      <c r="E70" s="733"/>
      <c r="F70" s="734"/>
      <c r="G70" s="401"/>
      <c r="H70" s="733"/>
      <c r="I70" s="733"/>
      <c r="J70" s="735"/>
      <c r="K70" s="736"/>
      <c r="L70" s="737"/>
      <c r="M70" s="737"/>
      <c r="N70" s="741"/>
      <c r="O70" s="739"/>
      <c r="P70" s="740"/>
      <c r="Q70" s="254" t="str">
        <f t="shared" si="20"/>
        <v/>
      </c>
      <c r="R70" s="254" t="str">
        <f t="shared" si="21"/>
        <v/>
      </c>
      <c r="S70" s="258" t="str">
        <f t="shared" si="22"/>
        <v/>
      </c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R70" s="225" t="str">
        <f>IF(AS70&gt;1,MAX($AR$7:AR69)+1,"")</f>
        <v/>
      </c>
      <c r="AS70" s="224">
        <f t="shared" si="26"/>
        <v>0</v>
      </c>
      <c r="AT70" s="225">
        <f t="shared" si="27"/>
        <v>0</v>
      </c>
      <c r="AU70" s="224">
        <f t="shared" si="28"/>
        <v>0</v>
      </c>
      <c r="AV70" s="226">
        <f t="shared" si="29"/>
        <v>0</v>
      </c>
      <c r="AW70" s="224">
        <f t="shared" si="42"/>
        <v>0</v>
      </c>
      <c r="AX70" s="224">
        <f t="shared" si="43"/>
        <v>0</v>
      </c>
      <c r="AY70" s="224">
        <f t="shared" si="44"/>
        <v>0</v>
      </c>
      <c r="AZ70" s="711"/>
      <c r="BA70" s="399"/>
      <c r="BB70" s="399"/>
      <c r="BC70" s="225" t="str">
        <f>IF(OR(BW70=$BB$8,BZ70=$BB$8),MAX($BC$7:BC69)+1,"")</f>
        <v/>
      </c>
      <c r="BD70" s="225" t="str">
        <f>IF(OR(BW70=$BB$9,BZ70=$BB$9),MAX($BD$7:BD69)+1,"")</f>
        <v/>
      </c>
      <c r="BE70" s="225" t="str">
        <f>IF(OR(BW70=$BB$10,BZ70=$BB$10),MAX($BE$7:BE69)+1,"")</f>
        <v/>
      </c>
      <c r="BF70" s="225" t="str">
        <f>IF(OR(BW70=$BB$11,BZ70=$BB$11),MAX($BF$7:BF69)+1,"")</f>
        <v/>
      </c>
      <c r="BG70" s="225" t="str">
        <f>IF(OR(BW70=$BB$12,BZ70=$BB$12),MAX($BG$7:BG69)+1,"")</f>
        <v/>
      </c>
      <c r="BH70" s="225" t="str">
        <f>IF(OR(BW70=$BB$13,BZ70=$BB$13),MAX($BH$7:BH69)+1,"")</f>
        <v/>
      </c>
      <c r="BI70" s="225" t="str">
        <f>IF(OR(BW70=$BB$14,BZ70=$BB$14),MAX($BI$7:BI69)+1,"")</f>
        <v/>
      </c>
      <c r="BJ70" s="225" t="str">
        <f>IF(OR(BW70=$BB$15,BZ70=$BB$15),MAX($BJ$7:BJ69)+1,"")</f>
        <v/>
      </c>
      <c r="BK70" s="225" t="str">
        <f>IF(OR(BW70=$BB$16,BZ70=$BB$16),MAX($BK$7:BK69)+1,"")</f>
        <v/>
      </c>
      <c r="BL70" s="225" t="str">
        <f>IF(OR(BW70=$BB$17,BZ70=$BB$17),MAX($BL$7:BL69)+1,"")</f>
        <v/>
      </c>
      <c r="BM70" s="225" t="str">
        <f>IF(OR(BW70=$BB$18,BZ70=$BB$18),MAX($BM$7:BM69)+1,"")</f>
        <v/>
      </c>
      <c r="BN70" s="225" t="str">
        <f>IF(OR(BW70=$BB$19,BZ70=$BB$19),MAX($BN$7:BN69)+1,"")</f>
        <v/>
      </c>
      <c r="BO70" s="225" t="str">
        <f>IF(OR(BW70=$BB$20,BZ70=$BB$20),MAX($BO$7:BO69)+1,"")</f>
        <v/>
      </c>
      <c r="BP70" s="225">
        <f>IF(OR(BW70=$BB$21,BZ70=$BB$21),MAX($BP$7:BP69)+1,"")</f>
        <v>63</v>
      </c>
      <c r="BQ70" s="399"/>
      <c r="BR70" s="399"/>
      <c r="BS70" s="399"/>
      <c r="BT70" s="227">
        <f t="shared" si="30"/>
        <v>0</v>
      </c>
      <c r="BU70" s="225">
        <f t="shared" si="31"/>
        <v>0</v>
      </c>
      <c r="BV70" s="225">
        <f t="shared" si="32"/>
        <v>0</v>
      </c>
      <c r="BW70" s="225">
        <f t="shared" si="33"/>
        <v>0</v>
      </c>
      <c r="BX70" s="225">
        <f t="shared" si="34"/>
        <v>0</v>
      </c>
      <c r="BY70" s="225">
        <f t="shared" si="35"/>
        <v>0</v>
      </c>
      <c r="BZ70" s="225">
        <f t="shared" si="36"/>
        <v>0</v>
      </c>
      <c r="CA70" s="228">
        <f t="shared" si="37"/>
        <v>0</v>
      </c>
      <c r="CB70" s="228">
        <f t="shared" si="38"/>
        <v>0</v>
      </c>
      <c r="CC70" s="228">
        <f t="shared" si="39"/>
        <v>0</v>
      </c>
      <c r="CD70" s="228">
        <f t="shared" si="40"/>
        <v>0</v>
      </c>
      <c r="CE70" s="399"/>
      <c r="CF70" s="399"/>
    </row>
    <row r="71" spans="1:84" x14ac:dyDescent="0.4">
      <c r="B71" s="231" t="str">
        <f t="shared" si="41"/>
        <v/>
      </c>
      <c r="C71" s="732"/>
      <c r="D71" s="401"/>
      <c r="E71" s="733"/>
      <c r="F71" s="734"/>
      <c r="G71" s="401"/>
      <c r="H71" s="733"/>
      <c r="I71" s="733"/>
      <c r="J71" s="735"/>
      <c r="K71" s="736"/>
      <c r="L71" s="737"/>
      <c r="M71" s="737"/>
      <c r="N71" s="741"/>
      <c r="O71" s="739"/>
      <c r="P71" s="740"/>
      <c r="Q71" s="254" t="str">
        <f t="shared" si="20"/>
        <v/>
      </c>
      <c r="R71" s="254" t="str">
        <f t="shared" si="21"/>
        <v/>
      </c>
      <c r="S71" s="258" t="str">
        <f t="shared" si="22"/>
        <v/>
      </c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R71" s="225" t="str">
        <f>IF(AS71&gt;1,MAX($AR$7:AR70)+1,"")</f>
        <v/>
      </c>
      <c r="AS71" s="224">
        <f t="shared" si="26"/>
        <v>0</v>
      </c>
      <c r="AT71" s="225">
        <f t="shared" si="27"/>
        <v>0</v>
      </c>
      <c r="AU71" s="224">
        <f t="shared" si="28"/>
        <v>0</v>
      </c>
      <c r="AV71" s="226">
        <f t="shared" si="29"/>
        <v>0</v>
      </c>
      <c r="AW71" s="224">
        <f t="shared" si="42"/>
        <v>0</v>
      </c>
      <c r="AX71" s="224">
        <f t="shared" si="43"/>
        <v>0</v>
      </c>
      <c r="AY71" s="224">
        <f t="shared" si="44"/>
        <v>0</v>
      </c>
      <c r="AZ71" s="711"/>
      <c r="BA71" s="399"/>
      <c r="BB71" s="399"/>
      <c r="BC71" s="225" t="str">
        <f>IF(OR(BW71=$BB$8,BZ71=$BB$8),MAX($BC$7:BC70)+1,"")</f>
        <v/>
      </c>
      <c r="BD71" s="225" t="str">
        <f>IF(OR(BW71=$BB$9,BZ71=$BB$9),MAX($BD$7:BD70)+1,"")</f>
        <v/>
      </c>
      <c r="BE71" s="225" t="str">
        <f>IF(OR(BW71=$BB$10,BZ71=$BB$10),MAX($BE$7:BE70)+1,"")</f>
        <v/>
      </c>
      <c r="BF71" s="225" t="str">
        <f>IF(OR(BW71=$BB$11,BZ71=$BB$11),MAX($BF$7:BF70)+1,"")</f>
        <v/>
      </c>
      <c r="BG71" s="225" t="str">
        <f>IF(OR(BW71=$BB$12,BZ71=$BB$12),MAX($BG$7:BG70)+1,"")</f>
        <v/>
      </c>
      <c r="BH71" s="225" t="str">
        <f>IF(OR(BW71=$BB$13,BZ71=$BB$13),MAX($BH$7:BH70)+1,"")</f>
        <v/>
      </c>
      <c r="BI71" s="225" t="str">
        <f>IF(OR(BW71=$BB$14,BZ71=$BB$14),MAX($BI$7:BI70)+1,"")</f>
        <v/>
      </c>
      <c r="BJ71" s="225" t="str">
        <f>IF(OR(BW71=$BB$15,BZ71=$BB$15),MAX($BJ$7:BJ70)+1,"")</f>
        <v/>
      </c>
      <c r="BK71" s="225" t="str">
        <f>IF(OR(BW71=$BB$16,BZ71=$BB$16),MAX($BK$7:BK70)+1,"")</f>
        <v/>
      </c>
      <c r="BL71" s="225" t="str">
        <f>IF(OR(BW71=$BB$17,BZ71=$BB$17),MAX($BL$7:BL70)+1,"")</f>
        <v/>
      </c>
      <c r="BM71" s="225" t="str">
        <f>IF(OR(BW71=$BB$18,BZ71=$BB$18),MAX($BM$7:BM70)+1,"")</f>
        <v/>
      </c>
      <c r="BN71" s="225" t="str">
        <f>IF(OR(BW71=$BB$19,BZ71=$BB$19),MAX($BN$7:BN70)+1,"")</f>
        <v/>
      </c>
      <c r="BO71" s="225" t="str">
        <f>IF(OR(BW71=$BB$20,BZ71=$BB$20),MAX($BO$7:BO70)+1,"")</f>
        <v/>
      </c>
      <c r="BP71" s="225">
        <f>IF(OR(BW71=$BB$21,BZ71=$BB$21),MAX($BP$7:BP70)+1,"")</f>
        <v>64</v>
      </c>
      <c r="BQ71" s="399"/>
      <c r="BR71" s="399"/>
      <c r="BS71" s="399"/>
      <c r="BT71" s="227">
        <f t="shared" si="30"/>
        <v>0</v>
      </c>
      <c r="BU71" s="225">
        <f t="shared" si="31"/>
        <v>0</v>
      </c>
      <c r="BV71" s="225">
        <f t="shared" si="32"/>
        <v>0</v>
      </c>
      <c r="BW71" s="225">
        <f t="shared" si="33"/>
        <v>0</v>
      </c>
      <c r="BX71" s="225">
        <f t="shared" si="34"/>
        <v>0</v>
      </c>
      <c r="BY71" s="225">
        <f t="shared" si="35"/>
        <v>0</v>
      </c>
      <c r="BZ71" s="225">
        <f t="shared" si="36"/>
        <v>0</v>
      </c>
      <c r="CA71" s="228">
        <f t="shared" si="37"/>
        <v>0</v>
      </c>
      <c r="CB71" s="228">
        <f t="shared" si="38"/>
        <v>0</v>
      </c>
      <c r="CC71" s="228">
        <f t="shared" si="39"/>
        <v>0</v>
      </c>
      <c r="CD71" s="228">
        <f t="shared" si="40"/>
        <v>0</v>
      </c>
      <c r="CE71" s="399"/>
      <c r="CF71" s="399"/>
    </row>
    <row r="72" spans="1:84" x14ac:dyDescent="0.4">
      <c r="A72" s="712" t="s">
        <v>687</v>
      </c>
      <c r="B72" s="231" t="str">
        <f t="shared" si="41"/>
        <v/>
      </c>
      <c r="C72" s="732"/>
      <c r="D72" s="401"/>
      <c r="E72" s="733"/>
      <c r="F72" s="734"/>
      <c r="G72" s="401"/>
      <c r="H72" s="733"/>
      <c r="I72" s="733"/>
      <c r="J72" s="735"/>
      <c r="K72" s="736"/>
      <c r="L72" s="737"/>
      <c r="M72" s="737"/>
      <c r="N72" s="741"/>
      <c r="O72" s="739"/>
      <c r="P72" s="740"/>
      <c r="Q72" s="254" t="str">
        <f t="shared" si="20"/>
        <v/>
      </c>
      <c r="R72" s="254" t="str">
        <f t="shared" si="21"/>
        <v/>
      </c>
      <c r="S72" s="258" t="str">
        <f t="shared" si="22"/>
        <v/>
      </c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R72" s="225" t="str">
        <f>IF(AS72&gt;1,MAX($AR$7:AR71)+1,"")</f>
        <v/>
      </c>
      <c r="AS72" s="224">
        <f t="shared" ref="AS72:AS103" si="45">N72</f>
        <v>0</v>
      </c>
      <c r="AT72" s="225">
        <f t="shared" ref="AT72:AT103" si="46">O72</f>
        <v>0</v>
      </c>
      <c r="AU72" s="224">
        <f t="shared" ref="AU72:AU103" si="47">P72</f>
        <v>0</v>
      </c>
      <c r="AV72" s="226">
        <f t="shared" ref="AV72:AV103" si="48">C72</f>
        <v>0</v>
      </c>
      <c r="AW72" s="224">
        <f t="shared" si="42"/>
        <v>0</v>
      </c>
      <c r="AX72" s="224">
        <f t="shared" si="43"/>
        <v>0</v>
      </c>
      <c r="AY72" s="224">
        <f t="shared" si="44"/>
        <v>0</v>
      </c>
      <c r="AZ72" s="711"/>
      <c r="BA72" s="399"/>
      <c r="BB72" s="399"/>
      <c r="BC72" s="225" t="str">
        <f>IF(OR(BW72=$BB$8,BZ72=$BB$8),MAX($BC$7:BC71)+1,"")</f>
        <v/>
      </c>
      <c r="BD72" s="225" t="str">
        <f>IF(OR(BW72=$BB$9,BZ72=$BB$9),MAX($BD$7:BD71)+1,"")</f>
        <v/>
      </c>
      <c r="BE72" s="225" t="str">
        <f>IF(OR(BW72=$BB$10,BZ72=$BB$10),MAX($BE$7:BE71)+1,"")</f>
        <v/>
      </c>
      <c r="BF72" s="225" t="str">
        <f>IF(OR(BW72=$BB$11,BZ72=$BB$11),MAX($BF$7:BF71)+1,"")</f>
        <v/>
      </c>
      <c r="BG72" s="225" t="str">
        <f>IF(OR(BW72=$BB$12,BZ72=$BB$12),MAX($BG$7:BG71)+1,"")</f>
        <v/>
      </c>
      <c r="BH72" s="225" t="str">
        <f>IF(OR(BW72=$BB$13,BZ72=$BB$13),MAX($BH$7:BH71)+1,"")</f>
        <v/>
      </c>
      <c r="BI72" s="225" t="str">
        <f>IF(OR(BW72=$BB$14,BZ72=$BB$14),MAX($BI$7:BI71)+1,"")</f>
        <v/>
      </c>
      <c r="BJ72" s="225" t="str">
        <f>IF(OR(BW72=$BB$15,BZ72=$BB$15),MAX($BJ$7:BJ71)+1,"")</f>
        <v/>
      </c>
      <c r="BK72" s="225" t="str">
        <f>IF(OR(BW72=$BB$16,BZ72=$BB$16),MAX($BK$7:BK71)+1,"")</f>
        <v/>
      </c>
      <c r="BL72" s="225" t="str">
        <f>IF(OR(BW72=$BB$17,BZ72=$BB$17),MAX($BL$7:BL71)+1,"")</f>
        <v/>
      </c>
      <c r="BM72" s="225" t="str">
        <f>IF(OR(BW72=$BB$18,BZ72=$BB$18),MAX($BM$7:BM71)+1,"")</f>
        <v/>
      </c>
      <c r="BN72" s="225" t="str">
        <f>IF(OR(BW72=$BB$19,BZ72=$BB$19),MAX($BN$7:BN71)+1,"")</f>
        <v/>
      </c>
      <c r="BO72" s="225" t="str">
        <f>IF(OR(BW72=$BB$20,BZ72=$BB$20),MAX($BO$7:BO71)+1,"")</f>
        <v/>
      </c>
      <c r="BP72" s="225">
        <f>IF(OR(BW72=$BB$21,BZ72=$BB$21),MAX($BP$7:BP71)+1,"")</f>
        <v>65</v>
      </c>
      <c r="BQ72" s="399"/>
      <c r="BR72" s="399"/>
      <c r="BS72" s="399"/>
      <c r="BT72" s="227">
        <f t="shared" ref="BT72:BT103" si="49">C72</f>
        <v>0</v>
      </c>
      <c r="BU72" s="225">
        <f t="shared" ref="BU72:BU103" si="50">D72</f>
        <v>0</v>
      </c>
      <c r="BV72" s="225">
        <f t="shared" ref="BV72:BV103" si="51">E72</f>
        <v>0</v>
      </c>
      <c r="BW72" s="225">
        <f t="shared" ref="BW72:BW103" si="52">F72</f>
        <v>0</v>
      </c>
      <c r="BX72" s="225">
        <f t="shared" ref="BX72:BX103" si="53">G72</f>
        <v>0</v>
      </c>
      <c r="BY72" s="225">
        <f t="shared" ref="BY72:BY103" si="54">H72</f>
        <v>0</v>
      </c>
      <c r="BZ72" s="225">
        <f t="shared" ref="BZ72:BZ103" si="55">I72</f>
        <v>0</v>
      </c>
      <c r="CA72" s="228">
        <f t="shared" ref="CA72:CA103" si="56">J72</f>
        <v>0</v>
      </c>
      <c r="CB72" s="228">
        <f t="shared" ref="CB72:CB103" si="57">K72</f>
        <v>0</v>
      </c>
      <c r="CC72" s="228">
        <f t="shared" ref="CC72:CC103" si="58">L72</f>
        <v>0</v>
      </c>
      <c r="CD72" s="228">
        <f t="shared" ref="CD72:CD103" si="59">M72</f>
        <v>0</v>
      </c>
      <c r="CE72" s="399"/>
      <c r="CF72" s="399"/>
    </row>
    <row r="73" spans="1:84" x14ac:dyDescent="0.4">
      <c r="A73" s="712" t="s">
        <v>544</v>
      </c>
      <c r="B73" s="231" t="str">
        <f t="shared" ref="B73:B104" si="60">IF(C73="","",ROW(65:65))</f>
        <v/>
      </c>
      <c r="C73" s="732"/>
      <c r="D73" s="401"/>
      <c r="E73" s="733"/>
      <c r="F73" s="734"/>
      <c r="G73" s="401"/>
      <c r="H73" s="733"/>
      <c r="I73" s="733"/>
      <c r="J73" s="735"/>
      <c r="K73" s="736"/>
      <c r="L73" s="737"/>
      <c r="M73" s="737"/>
      <c r="N73" s="741"/>
      <c r="O73" s="739"/>
      <c r="P73" s="740"/>
      <c r="Q73" s="254" t="str">
        <f t="shared" si="20"/>
        <v/>
      </c>
      <c r="R73" s="254" t="str">
        <f t="shared" si="21"/>
        <v/>
      </c>
      <c r="S73" s="258" t="str">
        <f t="shared" si="22"/>
        <v/>
      </c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R73" s="225" t="str">
        <f>IF(AS73&gt;1,MAX($AR$7:AR72)+1,"")</f>
        <v/>
      </c>
      <c r="AS73" s="224">
        <f t="shared" si="45"/>
        <v>0</v>
      </c>
      <c r="AT73" s="225">
        <f t="shared" si="46"/>
        <v>0</v>
      </c>
      <c r="AU73" s="224">
        <f t="shared" si="47"/>
        <v>0</v>
      </c>
      <c r="AV73" s="226">
        <f t="shared" si="48"/>
        <v>0</v>
      </c>
      <c r="AW73" s="224">
        <f t="shared" ref="AW73:AW104" si="61">G73</f>
        <v>0</v>
      </c>
      <c r="AX73" s="224">
        <f t="shared" ref="AX73:AX104" si="62">H73</f>
        <v>0</v>
      </c>
      <c r="AY73" s="224">
        <f t="shared" ref="AY73:AY104" si="63">I73</f>
        <v>0</v>
      </c>
      <c r="AZ73" s="711"/>
      <c r="BA73" s="399"/>
      <c r="BB73" s="399"/>
      <c r="BC73" s="225" t="str">
        <f>IF(OR(BW73=$BB$8,BZ73=$BB$8),MAX($BC$7:BC72)+1,"")</f>
        <v/>
      </c>
      <c r="BD73" s="225" t="str">
        <f>IF(OR(BW73=$BB$9,BZ73=$BB$9),MAX($BD$7:BD72)+1,"")</f>
        <v/>
      </c>
      <c r="BE73" s="225" t="str">
        <f>IF(OR(BW73=$BB$10,BZ73=$BB$10),MAX($BE$7:BE72)+1,"")</f>
        <v/>
      </c>
      <c r="BF73" s="225" t="str">
        <f>IF(OR(BW73=$BB$11,BZ73=$BB$11),MAX($BF$7:BF72)+1,"")</f>
        <v/>
      </c>
      <c r="BG73" s="225" t="str">
        <f>IF(OR(BW73=$BB$12,BZ73=$BB$12),MAX($BG$7:BG72)+1,"")</f>
        <v/>
      </c>
      <c r="BH73" s="225" t="str">
        <f>IF(OR(BW73=$BB$13,BZ73=$BB$13),MAX($BH$7:BH72)+1,"")</f>
        <v/>
      </c>
      <c r="BI73" s="225" t="str">
        <f>IF(OR(BW73=$BB$14,BZ73=$BB$14),MAX($BI$7:BI72)+1,"")</f>
        <v/>
      </c>
      <c r="BJ73" s="225" t="str">
        <f>IF(OR(BW73=$BB$15,BZ73=$BB$15),MAX($BJ$7:BJ72)+1,"")</f>
        <v/>
      </c>
      <c r="BK73" s="225" t="str">
        <f>IF(OR(BW73=$BB$16,BZ73=$BB$16),MAX($BK$7:BK72)+1,"")</f>
        <v/>
      </c>
      <c r="BL73" s="225" t="str">
        <f>IF(OR(BW73=$BB$17,BZ73=$BB$17),MAX($BL$7:BL72)+1,"")</f>
        <v/>
      </c>
      <c r="BM73" s="225" t="str">
        <f>IF(OR(BW73=$BB$18,BZ73=$BB$18),MAX($BM$7:BM72)+1,"")</f>
        <v/>
      </c>
      <c r="BN73" s="225" t="str">
        <f>IF(OR(BW73=$BB$19,BZ73=$BB$19),MAX($BN$7:BN72)+1,"")</f>
        <v/>
      </c>
      <c r="BO73" s="225" t="str">
        <f>IF(OR(BW73=$BB$20,BZ73=$BB$20),MAX($BO$7:BO72)+1,"")</f>
        <v/>
      </c>
      <c r="BP73" s="225">
        <f>IF(OR(BW73=$BB$21,BZ73=$BB$21),MAX($BP$7:BP72)+1,"")</f>
        <v>66</v>
      </c>
      <c r="BQ73" s="399"/>
      <c r="BR73" s="399"/>
      <c r="BS73" s="399"/>
      <c r="BT73" s="227">
        <f t="shared" si="49"/>
        <v>0</v>
      </c>
      <c r="BU73" s="225">
        <f t="shared" si="50"/>
        <v>0</v>
      </c>
      <c r="BV73" s="225">
        <f t="shared" si="51"/>
        <v>0</v>
      </c>
      <c r="BW73" s="225">
        <f t="shared" si="52"/>
        <v>0</v>
      </c>
      <c r="BX73" s="225">
        <f t="shared" si="53"/>
        <v>0</v>
      </c>
      <c r="BY73" s="225">
        <f t="shared" si="54"/>
        <v>0</v>
      </c>
      <c r="BZ73" s="225">
        <f t="shared" si="55"/>
        <v>0</v>
      </c>
      <c r="CA73" s="228">
        <f t="shared" si="56"/>
        <v>0</v>
      </c>
      <c r="CB73" s="228">
        <f t="shared" si="57"/>
        <v>0</v>
      </c>
      <c r="CC73" s="228">
        <f t="shared" si="58"/>
        <v>0</v>
      </c>
      <c r="CD73" s="228">
        <f t="shared" si="59"/>
        <v>0</v>
      </c>
      <c r="CE73" s="399"/>
      <c r="CF73" s="399"/>
    </row>
    <row r="74" spans="1:84" x14ac:dyDescent="0.4">
      <c r="A74" s="712" t="s">
        <v>688</v>
      </c>
      <c r="B74" s="231" t="str">
        <f t="shared" si="60"/>
        <v/>
      </c>
      <c r="C74" s="732"/>
      <c r="D74" s="401"/>
      <c r="E74" s="733"/>
      <c r="F74" s="734"/>
      <c r="G74" s="401"/>
      <c r="H74" s="733"/>
      <c r="I74" s="733"/>
      <c r="J74" s="735"/>
      <c r="K74" s="736"/>
      <c r="L74" s="737"/>
      <c r="M74" s="737"/>
      <c r="N74" s="741"/>
      <c r="O74" s="739"/>
      <c r="P74" s="740"/>
      <c r="Q74" s="254" t="str">
        <f t="shared" si="20"/>
        <v/>
      </c>
      <c r="R74" s="254" t="str">
        <f t="shared" si="21"/>
        <v/>
      </c>
      <c r="S74" s="258" t="str">
        <f t="shared" si="22"/>
        <v/>
      </c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R74" s="225" t="str">
        <f>IF(AS74&gt;1,MAX($AR$7:AR73)+1,"")</f>
        <v/>
      </c>
      <c r="AS74" s="224">
        <f t="shared" si="45"/>
        <v>0</v>
      </c>
      <c r="AT74" s="225">
        <f t="shared" si="46"/>
        <v>0</v>
      </c>
      <c r="AU74" s="224">
        <f t="shared" si="47"/>
        <v>0</v>
      </c>
      <c r="AV74" s="226">
        <f t="shared" si="48"/>
        <v>0</v>
      </c>
      <c r="AW74" s="224">
        <f t="shared" si="61"/>
        <v>0</v>
      </c>
      <c r="AX74" s="224">
        <f t="shared" si="62"/>
        <v>0</v>
      </c>
      <c r="AY74" s="224">
        <f t="shared" si="63"/>
        <v>0</v>
      </c>
      <c r="AZ74" s="711"/>
      <c r="BA74" s="399"/>
      <c r="BB74" s="399"/>
      <c r="BC74" s="225" t="str">
        <f>IF(OR(BW74=$BB$8,BZ74=$BB$8),MAX($BC$7:BC73)+1,"")</f>
        <v/>
      </c>
      <c r="BD74" s="225" t="str">
        <f>IF(OR(BW74=$BB$9,BZ74=$BB$9),MAX($BD$7:BD73)+1,"")</f>
        <v/>
      </c>
      <c r="BE74" s="225" t="str">
        <f>IF(OR(BW74=$BB$10,BZ74=$BB$10),MAX($BE$7:BE73)+1,"")</f>
        <v/>
      </c>
      <c r="BF74" s="225" t="str">
        <f>IF(OR(BW74=$BB$11,BZ74=$BB$11),MAX($BF$7:BF73)+1,"")</f>
        <v/>
      </c>
      <c r="BG74" s="225" t="str">
        <f>IF(OR(BW74=$BB$12,BZ74=$BB$12),MAX($BG$7:BG73)+1,"")</f>
        <v/>
      </c>
      <c r="BH74" s="225" t="str">
        <f>IF(OR(BW74=$BB$13,BZ74=$BB$13),MAX($BH$7:BH73)+1,"")</f>
        <v/>
      </c>
      <c r="BI74" s="225" t="str">
        <f>IF(OR(BW74=$BB$14,BZ74=$BB$14),MAX($BI$7:BI73)+1,"")</f>
        <v/>
      </c>
      <c r="BJ74" s="225" t="str">
        <f>IF(OR(BW74=$BB$15,BZ74=$BB$15),MAX($BJ$7:BJ73)+1,"")</f>
        <v/>
      </c>
      <c r="BK74" s="225" t="str">
        <f>IF(OR(BW74=$BB$16,BZ74=$BB$16),MAX($BK$7:BK73)+1,"")</f>
        <v/>
      </c>
      <c r="BL74" s="225" t="str">
        <f>IF(OR(BW74=$BB$17,BZ74=$BB$17),MAX($BL$7:BL73)+1,"")</f>
        <v/>
      </c>
      <c r="BM74" s="225" t="str">
        <f>IF(OR(BW74=$BB$18,BZ74=$BB$18),MAX($BM$7:BM73)+1,"")</f>
        <v/>
      </c>
      <c r="BN74" s="225" t="str">
        <f>IF(OR(BW74=$BB$19,BZ74=$BB$19),MAX($BN$7:BN73)+1,"")</f>
        <v/>
      </c>
      <c r="BO74" s="225" t="str">
        <f>IF(OR(BW74=$BB$20,BZ74=$BB$20),MAX($BO$7:BO73)+1,"")</f>
        <v/>
      </c>
      <c r="BP74" s="225">
        <f>IF(OR(BW74=$BB$21,BZ74=$BB$21),MAX($BP$7:BP73)+1,"")</f>
        <v>67</v>
      </c>
      <c r="BQ74" s="399"/>
      <c r="BR74" s="399"/>
      <c r="BS74" s="399"/>
      <c r="BT74" s="227">
        <f t="shared" si="49"/>
        <v>0</v>
      </c>
      <c r="BU74" s="225">
        <f t="shared" si="50"/>
        <v>0</v>
      </c>
      <c r="BV74" s="225">
        <f t="shared" si="51"/>
        <v>0</v>
      </c>
      <c r="BW74" s="225">
        <f t="shared" si="52"/>
        <v>0</v>
      </c>
      <c r="BX74" s="225">
        <f t="shared" si="53"/>
        <v>0</v>
      </c>
      <c r="BY74" s="225">
        <f t="shared" si="54"/>
        <v>0</v>
      </c>
      <c r="BZ74" s="225">
        <f t="shared" si="55"/>
        <v>0</v>
      </c>
      <c r="CA74" s="228">
        <f t="shared" si="56"/>
        <v>0</v>
      </c>
      <c r="CB74" s="228">
        <f t="shared" si="57"/>
        <v>0</v>
      </c>
      <c r="CC74" s="228">
        <f t="shared" si="58"/>
        <v>0</v>
      </c>
      <c r="CD74" s="228">
        <f t="shared" si="59"/>
        <v>0</v>
      </c>
      <c r="CE74" s="399"/>
      <c r="CF74" s="399"/>
    </row>
    <row r="75" spans="1:84" x14ac:dyDescent="0.4">
      <c r="A75" s="712" t="s">
        <v>545</v>
      </c>
      <c r="B75" s="231" t="str">
        <f t="shared" si="60"/>
        <v/>
      </c>
      <c r="C75" s="732"/>
      <c r="D75" s="401"/>
      <c r="E75" s="733"/>
      <c r="F75" s="734"/>
      <c r="G75" s="401"/>
      <c r="H75" s="733"/>
      <c r="I75" s="733"/>
      <c r="J75" s="735"/>
      <c r="K75" s="736"/>
      <c r="L75" s="737"/>
      <c r="M75" s="737"/>
      <c r="N75" s="741"/>
      <c r="O75" s="739"/>
      <c r="P75" s="740"/>
      <c r="Q75" s="254" t="str">
        <f t="shared" ref="Q75:Q110" si="64">IF(OR(J75&gt;0,K75&gt;0,L75&gt;0,M75&gt;0),SUM(Q74+J75-L75),"")</f>
        <v/>
      </c>
      <c r="R75" s="254" t="str">
        <f t="shared" ref="R75:R110" si="65">IF(OR(J75&gt;0,K75&gt;0,L75&gt;0,M75&gt;0),SUM(R74+K75-M75),"")</f>
        <v/>
      </c>
      <c r="S75" s="258" t="str">
        <f t="shared" ref="S75:S110" si="66">IFERROR(IF(OR(Q75&gt;=0,R75&gt;=0,),SUM(Q75+R75),""),"")</f>
        <v/>
      </c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R75" s="225" t="str">
        <f>IF(AS75&gt;1,MAX($AR$7:AR74)+1,"")</f>
        <v/>
      </c>
      <c r="AS75" s="224">
        <f t="shared" si="45"/>
        <v>0</v>
      </c>
      <c r="AT75" s="225">
        <f t="shared" si="46"/>
        <v>0</v>
      </c>
      <c r="AU75" s="224">
        <f t="shared" si="47"/>
        <v>0</v>
      </c>
      <c r="AV75" s="226">
        <f t="shared" si="48"/>
        <v>0</v>
      </c>
      <c r="AW75" s="224">
        <f t="shared" si="61"/>
        <v>0</v>
      </c>
      <c r="AX75" s="224">
        <f t="shared" si="62"/>
        <v>0</v>
      </c>
      <c r="AY75" s="224">
        <f t="shared" si="63"/>
        <v>0</v>
      </c>
      <c r="AZ75" s="711"/>
      <c r="BA75" s="399"/>
      <c r="BB75" s="399"/>
      <c r="BC75" s="225" t="str">
        <f>IF(OR(BW75=$BB$8,BZ75=$BB$8),MAX($BC$7:BC74)+1,"")</f>
        <v/>
      </c>
      <c r="BD75" s="225" t="str">
        <f>IF(OR(BW75=$BB$9,BZ75=$BB$9),MAX($BD$7:BD74)+1,"")</f>
        <v/>
      </c>
      <c r="BE75" s="225" t="str">
        <f>IF(OR(BW75=$BB$10,BZ75=$BB$10),MAX($BE$7:BE74)+1,"")</f>
        <v/>
      </c>
      <c r="BF75" s="225" t="str">
        <f>IF(OR(BW75=$BB$11,BZ75=$BB$11),MAX($BF$7:BF74)+1,"")</f>
        <v/>
      </c>
      <c r="BG75" s="225" t="str">
        <f>IF(OR(BW75=$BB$12,BZ75=$BB$12),MAX($BG$7:BG74)+1,"")</f>
        <v/>
      </c>
      <c r="BH75" s="225" t="str">
        <f>IF(OR(BW75=$BB$13,BZ75=$BB$13),MAX($BH$7:BH74)+1,"")</f>
        <v/>
      </c>
      <c r="BI75" s="225" t="str">
        <f>IF(OR(BW75=$BB$14,BZ75=$BB$14),MAX($BI$7:BI74)+1,"")</f>
        <v/>
      </c>
      <c r="BJ75" s="225" t="str">
        <f>IF(OR(BW75=$BB$15,BZ75=$BB$15),MAX($BJ$7:BJ74)+1,"")</f>
        <v/>
      </c>
      <c r="BK75" s="225" t="str">
        <f>IF(OR(BW75=$BB$16,BZ75=$BB$16),MAX($BK$7:BK74)+1,"")</f>
        <v/>
      </c>
      <c r="BL75" s="225" t="str">
        <f>IF(OR(BW75=$BB$17,BZ75=$BB$17),MAX($BL$7:BL74)+1,"")</f>
        <v/>
      </c>
      <c r="BM75" s="225" t="str">
        <f>IF(OR(BW75=$BB$18,BZ75=$BB$18),MAX($BM$7:BM74)+1,"")</f>
        <v/>
      </c>
      <c r="BN75" s="225" t="str">
        <f>IF(OR(BW75=$BB$19,BZ75=$BB$19),MAX($BN$7:BN74)+1,"")</f>
        <v/>
      </c>
      <c r="BO75" s="225" t="str">
        <f>IF(OR(BW75=$BB$20,BZ75=$BB$20),MAX($BO$7:BO74)+1,"")</f>
        <v/>
      </c>
      <c r="BP75" s="225">
        <f>IF(OR(BW75=$BB$21,BZ75=$BB$21),MAX($BP$7:BP74)+1,"")</f>
        <v>68</v>
      </c>
      <c r="BQ75" s="399"/>
      <c r="BR75" s="399"/>
      <c r="BS75" s="399"/>
      <c r="BT75" s="227">
        <f t="shared" si="49"/>
        <v>0</v>
      </c>
      <c r="BU75" s="225">
        <f t="shared" si="50"/>
        <v>0</v>
      </c>
      <c r="BV75" s="225">
        <f t="shared" si="51"/>
        <v>0</v>
      </c>
      <c r="BW75" s="225">
        <f t="shared" si="52"/>
        <v>0</v>
      </c>
      <c r="BX75" s="225">
        <f t="shared" si="53"/>
        <v>0</v>
      </c>
      <c r="BY75" s="225">
        <f t="shared" si="54"/>
        <v>0</v>
      </c>
      <c r="BZ75" s="225">
        <f t="shared" si="55"/>
        <v>0</v>
      </c>
      <c r="CA75" s="228">
        <f t="shared" si="56"/>
        <v>0</v>
      </c>
      <c r="CB75" s="228">
        <f t="shared" si="57"/>
        <v>0</v>
      </c>
      <c r="CC75" s="228">
        <f t="shared" si="58"/>
        <v>0</v>
      </c>
      <c r="CD75" s="228">
        <f t="shared" si="59"/>
        <v>0</v>
      </c>
      <c r="CE75" s="399"/>
      <c r="CF75" s="399"/>
    </row>
    <row r="76" spans="1:84" x14ac:dyDescent="0.4">
      <c r="A76" s="712" t="s">
        <v>689</v>
      </c>
      <c r="B76" s="231" t="str">
        <f t="shared" si="60"/>
        <v/>
      </c>
      <c r="C76" s="732"/>
      <c r="D76" s="401"/>
      <c r="E76" s="733"/>
      <c r="F76" s="734"/>
      <c r="G76" s="401"/>
      <c r="H76" s="733"/>
      <c r="I76" s="733"/>
      <c r="J76" s="735"/>
      <c r="K76" s="736"/>
      <c r="L76" s="737"/>
      <c r="M76" s="737"/>
      <c r="N76" s="741"/>
      <c r="O76" s="739"/>
      <c r="P76" s="740"/>
      <c r="Q76" s="254" t="str">
        <f t="shared" si="64"/>
        <v/>
      </c>
      <c r="R76" s="254" t="str">
        <f t="shared" si="65"/>
        <v/>
      </c>
      <c r="S76" s="258" t="str">
        <f t="shared" si="66"/>
        <v/>
      </c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R76" s="225" t="str">
        <f>IF(AS76&gt;1,MAX($AR$7:AR75)+1,"")</f>
        <v/>
      </c>
      <c r="AS76" s="224">
        <f t="shared" si="45"/>
        <v>0</v>
      </c>
      <c r="AT76" s="225">
        <f t="shared" si="46"/>
        <v>0</v>
      </c>
      <c r="AU76" s="224">
        <f t="shared" si="47"/>
        <v>0</v>
      </c>
      <c r="AV76" s="226">
        <f t="shared" si="48"/>
        <v>0</v>
      </c>
      <c r="AW76" s="224">
        <f t="shared" si="61"/>
        <v>0</v>
      </c>
      <c r="AX76" s="224">
        <f t="shared" si="62"/>
        <v>0</v>
      </c>
      <c r="AY76" s="224">
        <f t="shared" si="63"/>
        <v>0</v>
      </c>
      <c r="AZ76" s="711"/>
      <c r="BA76" s="399"/>
      <c r="BB76" s="399"/>
      <c r="BC76" s="225" t="str">
        <f>IF(OR(BW76=$BB$8,BZ76=$BB$8),MAX($BC$7:BC75)+1,"")</f>
        <v/>
      </c>
      <c r="BD76" s="225" t="str">
        <f>IF(OR(BW76=$BB$9,BZ76=$BB$9),MAX($BD$7:BD75)+1,"")</f>
        <v/>
      </c>
      <c r="BE76" s="225" t="str">
        <f>IF(OR(BW76=$BB$10,BZ76=$BB$10),MAX($BE$7:BE75)+1,"")</f>
        <v/>
      </c>
      <c r="BF76" s="225" t="str">
        <f>IF(OR(BW76=$BB$11,BZ76=$BB$11),MAX($BF$7:BF75)+1,"")</f>
        <v/>
      </c>
      <c r="BG76" s="225" t="str">
        <f>IF(OR(BW76=$BB$12,BZ76=$BB$12),MAX($BG$7:BG75)+1,"")</f>
        <v/>
      </c>
      <c r="BH76" s="225" t="str">
        <f>IF(OR(BW76=$BB$13,BZ76=$BB$13),MAX($BH$7:BH75)+1,"")</f>
        <v/>
      </c>
      <c r="BI76" s="225" t="str">
        <f>IF(OR(BW76=$BB$14,BZ76=$BB$14),MAX($BI$7:BI75)+1,"")</f>
        <v/>
      </c>
      <c r="BJ76" s="225" t="str">
        <f>IF(OR(BW76=$BB$15,BZ76=$BB$15),MAX($BJ$7:BJ75)+1,"")</f>
        <v/>
      </c>
      <c r="BK76" s="225" t="str">
        <f>IF(OR(BW76=$BB$16,BZ76=$BB$16),MAX($BK$7:BK75)+1,"")</f>
        <v/>
      </c>
      <c r="BL76" s="225" t="str">
        <f>IF(OR(BW76=$BB$17,BZ76=$BB$17),MAX($BL$7:BL75)+1,"")</f>
        <v/>
      </c>
      <c r="BM76" s="225" t="str">
        <f>IF(OR(BW76=$BB$18,BZ76=$BB$18),MAX($BM$7:BM75)+1,"")</f>
        <v/>
      </c>
      <c r="BN76" s="225" t="str">
        <f>IF(OR(BW76=$BB$19,BZ76=$BB$19),MAX($BN$7:BN75)+1,"")</f>
        <v/>
      </c>
      <c r="BO76" s="225" t="str">
        <f>IF(OR(BW76=$BB$20,BZ76=$BB$20),MAX($BO$7:BO75)+1,"")</f>
        <v/>
      </c>
      <c r="BP76" s="225">
        <f>IF(OR(BW76=$BB$21,BZ76=$BB$21),MAX($BP$7:BP75)+1,"")</f>
        <v>69</v>
      </c>
      <c r="BQ76" s="399"/>
      <c r="BR76" s="399"/>
      <c r="BS76" s="399"/>
      <c r="BT76" s="227">
        <f t="shared" si="49"/>
        <v>0</v>
      </c>
      <c r="BU76" s="225">
        <f t="shared" si="50"/>
        <v>0</v>
      </c>
      <c r="BV76" s="225">
        <f t="shared" si="51"/>
        <v>0</v>
      </c>
      <c r="BW76" s="225">
        <f t="shared" si="52"/>
        <v>0</v>
      </c>
      <c r="BX76" s="225">
        <f t="shared" si="53"/>
        <v>0</v>
      </c>
      <c r="BY76" s="225">
        <f t="shared" si="54"/>
        <v>0</v>
      </c>
      <c r="BZ76" s="225">
        <f t="shared" si="55"/>
        <v>0</v>
      </c>
      <c r="CA76" s="228">
        <f t="shared" si="56"/>
        <v>0</v>
      </c>
      <c r="CB76" s="228">
        <f t="shared" si="57"/>
        <v>0</v>
      </c>
      <c r="CC76" s="228">
        <f t="shared" si="58"/>
        <v>0</v>
      </c>
      <c r="CD76" s="228">
        <f t="shared" si="59"/>
        <v>0</v>
      </c>
      <c r="CE76" s="399"/>
      <c r="CF76" s="399"/>
    </row>
    <row r="77" spans="1:84" x14ac:dyDescent="0.4">
      <c r="A77" s="712" t="s">
        <v>692</v>
      </c>
      <c r="B77" s="231" t="str">
        <f t="shared" si="60"/>
        <v/>
      </c>
      <c r="C77" s="732"/>
      <c r="D77" s="401"/>
      <c r="E77" s="733"/>
      <c r="F77" s="734"/>
      <c r="G77" s="401"/>
      <c r="H77" s="733"/>
      <c r="I77" s="733"/>
      <c r="J77" s="735"/>
      <c r="K77" s="736"/>
      <c r="L77" s="737"/>
      <c r="M77" s="737"/>
      <c r="N77" s="741"/>
      <c r="O77" s="739"/>
      <c r="P77" s="740"/>
      <c r="Q77" s="254" t="str">
        <f t="shared" si="64"/>
        <v/>
      </c>
      <c r="R77" s="254" t="str">
        <f t="shared" si="65"/>
        <v/>
      </c>
      <c r="S77" s="258" t="str">
        <f t="shared" si="66"/>
        <v/>
      </c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R77" s="225" t="str">
        <f>IF(AS77&gt;1,MAX($AR$7:AR76)+1,"")</f>
        <v/>
      </c>
      <c r="AS77" s="224">
        <f t="shared" si="45"/>
        <v>0</v>
      </c>
      <c r="AT77" s="225">
        <f t="shared" si="46"/>
        <v>0</v>
      </c>
      <c r="AU77" s="224">
        <f t="shared" si="47"/>
        <v>0</v>
      </c>
      <c r="AV77" s="226">
        <f t="shared" si="48"/>
        <v>0</v>
      </c>
      <c r="AW77" s="224">
        <f t="shared" si="61"/>
        <v>0</v>
      </c>
      <c r="AX77" s="224">
        <f t="shared" si="62"/>
        <v>0</v>
      </c>
      <c r="AY77" s="224">
        <f t="shared" si="63"/>
        <v>0</v>
      </c>
      <c r="AZ77" s="711"/>
      <c r="BA77" s="399"/>
      <c r="BB77" s="399"/>
      <c r="BC77" s="225" t="str">
        <f>IF(OR(BW77=$BB$8,BZ77=$BB$8),MAX($BC$7:BC76)+1,"")</f>
        <v/>
      </c>
      <c r="BD77" s="225" t="str">
        <f>IF(OR(BW77=$BB$9,BZ77=$BB$9),MAX($BD$7:BD76)+1,"")</f>
        <v/>
      </c>
      <c r="BE77" s="225" t="str">
        <f>IF(OR(BW77=$BB$10,BZ77=$BB$10),MAX($BE$7:BE76)+1,"")</f>
        <v/>
      </c>
      <c r="BF77" s="225" t="str">
        <f>IF(OR(BW77=$BB$11,BZ77=$BB$11),MAX($BF$7:BF76)+1,"")</f>
        <v/>
      </c>
      <c r="BG77" s="225" t="str">
        <f>IF(OR(BW77=$BB$12,BZ77=$BB$12),MAX($BG$7:BG76)+1,"")</f>
        <v/>
      </c>
      <c r="BH77" s="225" t="str">
        <f>IF(OR(BW77=$BB$13,BZ77=$BB$13),MAX($BH$7:BH76)+1,"")</f>
        <v/>
      </c>
      <c r="BI77" s="225" t="str">
        <f>IF(OR(BW77=$BB$14,BZ77=$BB$14),MAX($BI$7:BI76)+1,"")</f>
        <v/>
      </c>
      <c r="BJ77" s="225" t="str">
        <f>IF(OR(BW77=$BB$15,BZ77=$BB$15),MAX($BJ$7:BJ76)+1,"")</f>
        <v/>
      </c>
      <c r="BK77" s="225" t="str">
        <f>IF(OR(BW77=$BB$16,BZ77=$BB$16),MAX($BK$7:BK76)+1,"")</f>
        <v/>
      </c>
      <c r="BL77" s="225" t="str">
        <f>IF(OR(BW77=$BB$17,BZ77=$BB$17),MAX($BL$7:BL76)+1,"")</f>
        <v/>
      </c>
      <c r="BM77" s="225" t="str">
        <f>IF(OR(BW77=$BB$18,BZ77=$BB$18),MAX($BM$7:BM76)+1,"")</f>
        <v/>
      </c>
      <c r="BN77" s="225" t="str">
        <f>IF(OR(BW77=$BB$19,BZ77=$BB$19),MAX($BN$7:BN76)+1,"")</f>
        <v/>
      </c>
      <c r="BO77" s="225" t="str">
        <f>IF(OR(BW77=$BB$20,BZ77=$BB$20),MAX($BO$7:BO76)+1,"")</f>
        <v/>
      </c>
      <c r="BP77" s="225">
        <f>IF(OR(BW77=$BB$21,BZ77=$BB$21),MAX($BP$7:BP76)+1,"")</f>
        <v>70</v>
      </c>
      <c r="BQ77" s="399"/>
      <c r="BR77" s="399"/>
      <c r="BS77" s="399"/>
      <c r="BT77" s="227">
        <f t="shared" si="49"/>
        <v>0</v>
      </c>
      <c r="BU77" s="225">
        <f t="shared" si="50"/>
        <v>0</v>
      </c>
      <c r="BV77" s="225">
        <f t="shared" si="51"/>
        <v>0</v>
      </c>
      <c r="BW77" s="225">
        <f t="shared" si="52"/>
        <v>0</v>
      </c>
      <c r="BX77" s="225">
        <f t="shared" si="53"/>
        <v>0</v>
      </c>
      <c r="BY77" s="225">
        <f t="shared" si="54"/>
        <v>0</v>
      </c>
      <c r="BZ77" s="225">
        <f t="shared" si="55"/>
        <v>0</v>
      </c>
      <c r="CA77" s="228">
        <f t="shared" si="56"/>
        <v>0</v>
      </c>
      <c r="CB77" s="228">
        <f t="shared" si="57"/>
        <v>0</v>
      </c>
      <c r="CC77" s="228">
        <f t="shared" si="58"/>
        <v>0</v>
      </c>
      <c r="CD77" s="228">
        <f t="shared" si="59"/>
        <v>0</v>
      </c>
      <c r="CE77" s="399"/>
      <c r="CF77" s="399"/>
    </row>
    <row r="78" spans="1:84" x14ac:dyDescent="0.4">
      <c r="A78" s="712" t="s">
        <v>690</v>
      </c>
      <c r="B78" s="231" t="str">
        <f t="shared" si="60"/>
        <v/>
      </c>
      <c r="C78" s="732"/>
      <c r="D78" s="401"/>
      <c r="E78" s="733"/>
      <c r="F78" s="734"/>
      <c r="G78" s="401"/>
      <c r="H78" s="733"/>
      <c r="I78" s="733"/>
      <c r="J78" s="735"/>
      <c r="K78" s="736"/>
      <c r="L78" s="737"/>
      <c r="M78" s="737"/>
      <c r="N78" s="741"/>
      <c r="O78" s="739"/>
      <c r="P78" s="740"/>
      <c r="Q78" s="254" t="str">
        <f t="shared" si="64"/>
        <v/>
      </c>
      <c r="R78" s="254" t="str">
        <f t="shared" si="65"/>
        <v/>
      </c>
      <c r="S78" s="258" t="str">
        <f t="shared" si="66"/>
        <v/>
      </c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R78" s="225" t="str">
        <f>IF(AS78&gt;1,MAX($AR$7:AR77)+1,"")</f>
        <v/>
      </c>
      <c r="AS78" s="224">
        <f t="shared" si="45"/>
        <v>0</v>
      </c>
      <c r="AT78" s="225">
        <f t="shared" si="46"/>
        <v>0</v>
      </c>
      <c r="AU78" s="224">
        <f t="shared" si="47"/>
        <v>0</v>
      </c>
      <c r="AV78" s="226">
        <f t="shared" si="48"/>
        <v>0</v>
      </c>
      <c r="AW78" s="224">
        <f t="shared" si="61"/>
        <v>0</v>
      </c>
      <c r="AX78" s="224">
        <f t="shared" si="62"/>
        <v>0</v>
      </c>
      <c r="AY78" s="224">
        <f t="shared" si="63"/>
        <v>0</v>
      </c>
      <c r="AZ78" s="711"/>
      <c r="BA78" s="399"/>
      <c r="BB78" s="399"/>
      <c r="BC78" s="225" t="str">
        <f>IF(OR(BW78=$BB$8,BZ78=$BB$8),MAX($BC$7:BC77)+1,"")</f>
        <v/>
      </c>
      <c r="BD78" s="225" t="str">
        <f>IF(OR(BW78=$BB$9,BZ78=$BB$9),MAX($BD$7:BD77)+1,"")</f>
        <v/>
      </c>
      <c r="BE78" s="225" t="str">
        <f>IF(OR(BW78=$BB$10,BZ78=$BB$10),MAX($BE$7:BE77)+1,"")</f>
        <v/>
      </c>
      <c r="BF78" s="225" t="str">
        <f>IF(OR(BW78=$BB$11,BZ78=$BB$11),MAX($BF$7:BF77)+1,"")</f>
        <v/>
      </c>
      <c r="BG78" s="225" t="str">
        <f>IF(OR(BW78=$BB$12,BZ78=$BB$12),MAX($BG$7:BG77)+1,"")</f>
        <v/>
      </c>
      <c r="BH78" s="225" t="str">
        <f>IF(OR(BW78=$BB$13,BZ78=$BB$13),MAX($BH$7:BH77)+1,"")</f>
        <v/>
      </c>
      <c r="BI78" s="225" t="str">
        <f>IF(OR(BW78=$BB$14,BZ78=$BB$14),MAX($BI$7:BI77)+1,"")</f>
        <v/>
      </c>
      <c r="BJ78" s="225" t="str">
        <f>IF(OR(BW78=$BB$15,BZ78=$BB$15),MAX($BJ$7:BJ77)+1,"")</f>
        <v/>
      </c>
      <c r="BK78" s="225" t="str">
        <f>IF(OR(BW78=$BB$16,BZ78=$BB$16),MAX($BK$7:BK77)+1,"")</f>
        <v/>
      </c>
      <c r="BL78" s="225" t="str">
        <f>IF(OR(BW78=$BB$17,BZ78=$BB$17),MAX($BL$7:BL77)+1,"")</f>
        <v/>
      </c>
      <c r="BM78" s="225" t="str">
        <f>IF(OR(BW78=$BB$18,BZ78=$BB$18),MAX($BM$7:BM77)+1,"")</f>
        <v/>
      </c>
      <c r="BN78" s="225" t="str">
        <f>IF(OR(BW78=$BB$19,BZ78=$BB$19),MAX($BN$7:BN77)+1,"")</f>
        <v/>
      </c>
      <c r="BO78" s="225" t="str">
        <f>IF(OR(BW78=$BB$20,BZ78=$BB$20),MAX($BO$7:BO77)+1,"")</f>
        <v/>
      </c>
      <c r="BP78" s="225">
        <f>IF(OR(BW78=$BB$21,BZ78=$BB$21),MAX($BP$7:BP77)+1,"")</f>
        <v>71</v>
      </c>
      <c r="BQ78" s="399"/>
      <c r="BR78" s="399"/>
      <c r="BS78" s="399"/>
      <c r="BT78" s="227">
        <f t="shared" si="49"/>
        <v>0</v>
      </c>
      <c r="BU78" s="225">
        <f t="shared" si="50"/>
        <v>0</v>
      </c>
      <c r="BV78" s="225">
        <f t="shared" si="51"/>
        <v>0</v>
      </c>
      <c r="BW78" s="225">
        <f t="shared" si="52"/>
        <v>0</v>
      </c>
      <c r="BX78" s="225">
        <f t="shared" si="53"/>
        <v>0</v>
      </c>
      <c r="BY78" s="225">
        <f t="shared" si="54"/>
        <v>0</v>
      </c>
      <c r="BZ78" s="225">
        <f t="shared" si="55"/>
        <v>0</v>
      </c>
      <c r="CA78" s="228">
        <f t="shared" si="56"/>
        <v>0</v>
      </c>
      <c r="CB78" s="228">
        <f t="shared" si="57"/>
        <v>0</v>
      </c>
      <c r="CC78" s="228">
        <f t="shared" si="58"/>
        <v>0</v>
      </c>
      <c r="CD78" s="228">
        <f t="shared" si="59"/>
        <v>0</v>
      </c>
      <c r="CE78" s="399"/>
      <c r="CF78" s="399"/>
    </row>
    <row r="79" spans="1:84" x14ac:dyDescent="0.4">
      <c r="A79" s="712" t="s">
        <v>691</v>
      </c>
      <c r="B79" s="231" t="str">
        <f t="shared" si="60"/>
        <v/>
      </c>
      <c r="C79" s="732"/>
      <c r="D79" s="401"/>
      <c r="E79" s="733"/>
      <c r="F79" s="734"/>
      <c r="G79" s="401"/>
      <c r="H79" s="733"/>
      <c r="I79" s="733"/>
      <c r="J79" s="735"/>
      <c r="K79" s="736"/>
      <c r="L79" s="737"/>
      <c r="M79" s="737"/>
      <c r="N79" s="741"/>
      <c r="O79" s="739"/>
      <c r="P79" s="740"/>
      <c r="Q79" s="254" t="str">
        <f t="shared" si="64"/>
        <v/>
      </c>
      <c r="R79" s="254" t="str">
        <f t="shared" si="65"/>
        <v/>
      </c>
      <c r="S79" s="258" t="str">
        <f t="shared" si="66"/>
        <v/>
      </c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R79" s="225" t="str">
        <f>IF(AS79&gt;1,MAX($AR$7:AR78)+1,"")</f>
        <v/>
      </c>
      <c r="AS79" s="224">
        <f t="shared" si="45"/>
        <v>0</v>
      </c>
      <c r="AT79" s="225">
        <f t="shared" si="46"/>
        <v>0</v>
      </c>
      <c r="AU79" s="224">
        <f t="shared" si="47"/>
        <v>0</v>
      </c>
      <c r="AV79" s="226">
        <f t="shared" si="48"/>
        <v>0</v>
      </c>
      <c r="AW79" s="224">
        <f t="shared" si="61"/>
        <v>0</v>
      </c>
      <c r="AX79" s="224">
        <f t="shared" si="62"/>
        <v>0</v>
      </c>
      <c r="AY79" s="224">
        <f t="shared" si="63"/>
        <v>0</v>
      </c>
      <c r="AZ79" s="711"/>
      <c r="BA79" s="399"/>
      <c r="BB79" s="399"/>
      <c r="BC79" s="225" t="str">
        <f>IF(OR(BW79=$BB$8,BZ79=$BB$8),MAX($BC$7:BC78)+1,"")</f>
        <v/>
      </c>
      <c r="BD79" s="225" t="str">
        <f>IF(OR(BW79=$BB$9,BZ79=$BB$9),MAX($BD$7:BD78)+1,"")</f>
        <v/>
      </c>
      <c r="BE79" s="225" t="str">
        <f>IF(OR(BW79=$BB$10,BZ79=$BB$10),MAX($BE$7:BE78)+1,"")</f>
        <v/>
      </c>
      <c r="BF79" s="225" t="str">
        <f>IF(OR(BW79=$BB$11,BZ79=$BB$11),MAX($BF$7:BF78)+1,"")</f>
        <v/>
      </c>
      <c r="BG79" s="225" t="str">
        <f>IF(OR(BW79=$BB$12,BZ79=$BB$12),MAX($BG$7:BG78)+1,"")</f>
        <v/>
      </c>
      <c r="BH79" s="225" t="str">
        <f>IF(OR(BW79=$BB$13,BZ79=$BB$13),MAX($BH$7:BH78)+1,"")</f>
        <v/>
      </c>
      <c r="BI79" s="225" t="str">
        <f>IF(OR(BW79=$BB$14,BZ79=$BB$14),MAX($BI$7:BI78)+1,"")</f>
        <v/>
      </c>
      <c r="BJ79" s="225" t="str">
        <f>IF(OR(BW79=$BB$15,BZ79=$BB$15),MAX($BJ$7:BJ78)+1,"")</f>
        <v/>
      </c>
      <c r="BK79" s="225" t="str">
        <f>IF(OR(BW79=$BB$16,BZ79=$BB$16),MAX($BK$7:BK78)+1,"")</f>
        <v/>
      </c>
      <c r="BL79" s="225" t="str">
        <f>IF(OR(BW79=$BB$17,BZ79=$BB$17),MAX($BL$7:BL78)+1,"")</f>
        <v/>
      </c>
      <c r="BM79" s="225" t="str">
        <f>IF(OR(BW79=$BB$18,BZ79=$BB$18),MAX($BM$7:BM78)+1,"")</f>
        <v/>
      </c>
      <c r="BN79" s="225" t="str">
        <f>IF(OR(BW79=$BB$19,BZ79=$BB$19),MAX($BN$7:BN78)+1,"")</f>
        <v/>
      </c>
      <c r="BO79" s="225" t="str">
        <f>IF(OR(BW79=$BB$20,BZ79=$BB$20),MAX($BO$7:BO78)+1,"")</f>
        <v/>
      </c>
      <c r="BP79" s="225">
        <f>IF(OR(BW79=$BB$21,BZ79=$BB$21),MAX($BP$7:BP78)+1,"")</f>
        <v>72</v>
      </c>
      <c r="BQ79" s="399"/>
      <c r="BR79" s="399"/>
      <c r="BS79" s="399"/>
      <c r="BT79" s="227">
        <f t="shared" si="49"/>
        <v>0</v>
      </c>
      <c r="BU79" s="225">
        <f t="shared" si="50"/>
        <v>0</v>
      </c>
      <c r="BV79" s="225">
        <f t="shared" si="51"/>
        <v>0</v>
      </c>
      <c r="BW79" s="225">
        <f t="shared" si="52"/>
        <v>0</v>
      </c>
      <c r="BX79" s="225">
        <f t="shared" si="53"/>
        <v>0</v>
      </c>
      <c r="BY79" s="225">
        <f t="shared" si="54"/>
        <v>0</v>
      </c>
      <c r="BZ79" s="225">
        <f t="shared" si="55"/>
        <v>0</v>
      </c>
      <c r="CA79" s="228">
        <f t="shared" si="56"/>
        <v>0</v>
      </c>
      <c r="CB79" s="228">
        <f t="shared" si="57"/>
        <v>0</v>
      </c>
      <c r="CC79" s="228">
        <f t="shared" si="58"/>
        <v>0</v>
      </c>
      <c r="CD79" s="228">
        <f t="shared" si="59"/>
        <v>0</v>
      </c>
      <c r="CE79" s="399"/>
      <c r="CF79" s="399"/>
    </row>
    <row r="80" spans="1:84" x14ac:dyDescent="0.4">
      <c r="B80" s="231" t="str">
        <f t="shared" si="60"/>
        <v/>
      </c>
      <c r="C80" s="732"/>
      <c r="D80" s="401"/>
      <c r="E80" s="733"/>
      <c r="F80" s="734"/>
      <c r="G80" s="401"/>
      <c r="H80" s="733"/>
      <c r="I80" s="733"/>
      <c r="J80" s="735"/>
      <c r="K80" s="736"/>
      <c r="L80" s="737"/>
      <c r="M80" s="737"/>
      <c r="N80" s="741"/>
      <c r="O80" s="739"/>
      <c r="P80" s="740"/>
      <c r="Q80" s="254" t="str">
        <f t="shared" si="64"/>
        <v/>
      </c>
      <c r="R80" s="254" t="str">
        <f t="shared" si="65"/>
        <v/>
      </c>
      <c r="S80" s="258" t="str">
        <f t="shared" si="66"/>
        <v/>
      </c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R80" s="225" t="str">
        <f>IF(AS80&gt;1,MAX($AR$7:AR79)+1,"")</f>
        <v/>
      </c>
      <c r="AS80" s="224">
        <f t="shared" si="45"/>
        <v>0</v>
      </c>
      <c r="AT80" s="225">
        <f t="shared" si="46"/>
        <v>0</v>
      </c>
      <c r="AU80" s="224">
        <f t="shared" si="47"/>
        <v>0</v>
      </c>
      <c r="AV80" s="226">
        <f t="shared" si="48"/>
        <v>0</v>
      </c>
      <c r="AW80" s="224">
        <f t="shared" si="61"/>
        <v>0</v>
      </c>
      <c r="AX80" s="224">
        <f t="shared" si="62"/>
        <v>0</v>
      </c>
      <c r="AY80" s="224">
        <f t="shared" si="63"/>
        <v>0</v>
      </c>
      <c r="AZ80" s="711"/>
      <c r="BA80" s="399"/>
      <c r="BB80" s="399"/>
      <c r="BC80" s="225" t="str">
        <f>IF(OR(BW80=$BB$8,BZ80=$BB$8),MAX($BC$7:BC79)+1,"")</f>
        <v/>
      </c>
      <c r="BD80" s="225" t="str">
        <f>IF(OR(BW80=$BB$9,BZ80=$BB$9),MAX($BD$7:BD79)+1,"")</f>
        <v/>
      </c>
      <c r="BE80" s="225" t="str">
        <f>IF(OR(BW80=$BB$10,BZ80=$BB$10),MAX($BE$7:BE79)+1,"")</f>
        <v/>
      </c>
      <c r="BF80" s="225" t="str">
        <f>IF(OR(BW80=$BB$11,BZ80=$BB$11),MAX($BF$7:BF79)+1,"")</f>
        <v/>
      </c>
      <c r="BG80" s="225" t="str">
        <f>IF(OR(BW80=$BB$12,BZ80=$BB$12),MAX($BG$7:BG79)+1,"")</f>
        <v/>
      </c>
      <c r="BH80" s="225" t="str">
        <f>IF(OR(BW80=$BB$13,BZ80=$BB$13),MAX($BH$7:BH79)+1,"")</f>
        <v/>
      </c>
      <c r="BI80" s="225" t="str">
        <f>IF(OR(BW80=$BB$14,BZ80=$BB$14),MAX($BI$7:BI79)+1,"")</f>
        <v/>
      </c>
      <c r="BJ80" s="225" t="str">
        <f>IF(OR(BW80=$BB$15,BZ80=$BB$15),MAX($BJ$7:BJ79)+1,"")</f>
        <v/>
      </c>
      <c r="BK80" s="225" t="str">
        <f>IF(OR(BW80=$BB$16,BZ80=$BB$16),MAX($BK$7:BK79)+1,"")</f>
        <v/>
      </c>
      <c r="BL80" s="225" t="str">
        <f>IF(OR(BW80=$BB$17,BZ80=$BB$17),MAX($BL$7:BL79)+1,"")</f>
        <v/>
      </c>
      <c r="BM80" s="225" t="str">
        <f>IF(OR(BW80=$BB$18,BZ80=$BB$18),MAX($BM$7:BM79)+1,"")</f>
        <v/>
      </c>
      <c r="BN80" s="225" t="str">
        <f>IF(OR(BW80=$BB$19,BZ80=$BB$19),MAX($BN$7:BN79)+1,"")</f>
        <v/>
      </c>
      <c r="BO80" s="225" t="str">
        <f>IF(OR(BW80=$BB$20,BZ80=$BB$20),MAX($BO$7:BO79)+1,"")</f>
        <v/>
      </c>
      <c r="BP80" s="225">
        <f>IF(OR(BW80=$BB$21,BZ80=$BB$21),MAX($BP$7:BP79)+1,"")</f>
        <v>73</v>
      </c>
      <c r="BQ80" s="399"/>
      <c r="BR80" s="399"/>
      <c r="BS80" s="399"/>
      <c r="BT80" s="227">
        <f t="shared" si="49"/>
        <v>0</v>
      </c>
      <c r="BU80" s="225">
        <f t="shared" si="50"/>
        <v>0</v>
      </c>
      <c r="BV80" s="225">
        <f t="shared" si="51"/>
        <v>0</v>
      </c>
      <c r="BW80" s="225">
        <f t="shared" si="52"/>
        <v>0</v>
      </c>
      <c r="BX80" s="225">
        <f t="shared" si="53"/>
        <v>0</v>
      </c>
      <c r="BY80" s="225">
        <f t="shared" si="54"/>
        <v>0</v>
      </c>
      <c r="BZ80" s="225">
        <f t="shared" si="55"/>
        <v>0</v>
      </c>
      <c r="CA80" s="228">
        <f t="shared" si="56"/>
        <v>0</v>
      </c>
      <c r="CB80" s="228">
        <f t="shared" si="57"/>
        <v>0</v>
      </c>
      <c r="CC80" s="228">
        <f t="shared" si="58"/>
        <v>0</v>
      </c>
      <c r="CD80" s="228">
        <f t="shared" si="59"/>
        <v>0</v>
      </c>
      <c r="CE80" s="399"/>
      <c r="CF80" s="399"/>
    </row>
    <row r="81" spans="1:84" x14ac:dyDescent="0.4">
      <c r="A81" s="712" t="s">
        <v>687</v>
      </c>
      <c r="B81" s="231" t="str">
        <f t="shared" si="60"/>
        <v/>
      </c>
      <c r="C81" s="732"/>
      <c r="D81" s="401"/>
      <c r="E81" s="733"/>
      <c r="F81" s="734"/>
      <c r="G81" s="401"/>
      <c r="H81" s="733"/>
      <c r="I81" s="733"/>
      <c r="J81" s="735"/>
      <c r="K81" s="736"/>
      <c r="L81" s="737"/>
      <c r="M81" s="737"/>
      <c r="N81" s="741"/>
      <c r="O81" s="739"/>
      <c r="P81" s="740"/>
      <c r="Q81" s="254" t="str">
        <f t="shared" si="64"/>
        <v/>
      </c>
      <c r="R81" s="254" t="str">
        <f t="shared" si="65"/>
        <v/>
      </c>
      <c r="S81" s="258" t="str">
        <f t="shared" si="66"/>
        <v/>
      </c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R81" s="225" t="str">
        <f>IF(AS81&gt;1,MAX($AR$7:AR80)+1,"")</f>
        <v/>
      </c>
      <c r="AS81" s="224">
        <f t="shared" si="45"/>
        <v>0</v>
      </c>
      <c r="AT81" s="225">
        <f t="shared" si="46"/>
        <v>0</v>
      </c>
      <c r="AU81" s="224">
        <f t="shared" si="47"/>
        <v>0</v>
      </c>
      <c r="AV81" s="226">
        <f t="shared" si="48"/>
        <v>0</v>
      </c>
      <c r="AW81" s="224">
        <f t="shared" si="61"/>
        <v>0</v>
      </c>
      <c r="AX81" s="224">
        <f t="shared" si="62"/>
        <v>0</v>
      </c>
      <c r="AY81" s="224">
        <f t="shared" si="63"/>
        <v>0</v>
      </c>
      <c r="AZ81" s="711"/>
      <c r="BA81" s="399"/>
      <c r="BB81" s="399"/>
      <c r="BC81" s="225" t="str">
        <f>IF(OR(BW81=$BB$8,BZ81=$BB$8),MAX($BC$7:BC80)+1,"")</f>
        <v/>
      </c>
      <c r="BD81" s="225" t="str">
        <f>IF(OR(BW81=$BB$9,BZ81=$BB$9),MAX($BD$7:BD80)+1,"")</f>
        <v/>
      </c>
      <c r="BE81" s="225" t="str">
        <f>IF(OR(BW81=$BB$10,BZ81=$BB$10),MAX($BE$7:BE80)+1,"")</f>
        <v/>
      </c>
      <c r="BF81" s="225" t="str">
        <f>IF(OR(BW81=$BB$11,BZ81=$BB$11),MAX($BF$7:BF80)+1,"")</f>
        <v/>
      </c>
      <c r="BG81" s="225" t="str">
        <f>IF(OR(BW81=$BB$12,BZ81=$BB$12),MAX($BG$7:BG80)+1,"")</f>
        <v/>
      </c>
      <c r="BH81" s="225" t="str">
        <f>IF(OR(BW81=$BB$13,BZ81=$BB$13),MAX($BH$7:BH80)+1,"")</f>
        <v/>
      </c>
      <c r="BI81" s="225" t="str">
        <f>IF(OR(BW81=$BB$14,BZ81=$BB$14),MAX($BI$7:BI80)+1,"")</f>
        <v/>
      </c>
      <c r="BJ81" s="225" t="str">
        <f>IF(OR(BW81=$BB$15,BZ81=$BB$15),MAX($BJ$7:BJ80)+1,"")</f>
        <v/>
      </c>
      <c r="BK81" s="225" t="str">
        <f>IF(OR(BW81=$BB$16,BZ81=$BB$16),MAX($BK$7:BK80)+1,"")</f>
        <v/>
      </c>
      <c r="BL81" s="225" t="str">
        <f>IF(OR(BW81=$BB$17,BZ81=$BB$17),MAX($BL$7:BL80)+1,"")</f>
        <v/>
      </c>
      <c r="BM81" s="225" t="str">
        <f>IF(OR(BW81=$BB$18,BZ81=$BB$18),MAX($BM$7:BM80)+1,"")</f>
        <v/>
      </c>
      <c r="BN81" s="225" t="str">
        <f>IF(OR(BW81=$BB$19,BZ81=$BB$19),MAX($BN$7:BN80)+1,"")</f>
        <v/>
      </c>
      <c r="BO81" s="225" t="str">
        <f>IF(OR(BW81=$BB$20,BZ81=$BB$20),MAX($BO$7:BO80)+1,"")</f>
        <v/>
      </c>
      <c r="BP81" s="225">
        <f>IF(OR(BW81=$BB$21,BZ81=$BB$21),MAX($BP$7:BP80)+1,"")</f>
        <v>74</v>
      </c>
      <c r="BQ81" s="399"/>
      <c r="BR81" s="399"/>
      <c r="BS81" s="399"/>
      <c r="BT81" s="227">
        <f t="shared" si="49"/>
        <v>0</v>
      </c>
      <c r="BU81" s="225">
        <f t="shared" si="50"/>
        <v>0</v>
      </c>
      <c r="BV81" s="225">
        <f t="shared" si="51"/>
        <v>0</v>
      </c>
      <c r="BW81" s="225">
        <f t="shared" si="52"/>
        <v>0</v>
      </c>
      <c r="BX81" s="225">
        <f t="shared" si="53"/>
        <v>0</v>
      </c>
      <c r="BY81" s="225">
        <f t="shared" si="54"/>
        <v>0</v>
      </c>
      <c r="BZ81" s="225">
        <f t="shared" si="55"/>
        <v>0</v>
      </c>
      <c r="CA81" s="228">
        <f t="shared" si="56"/>
        <v>0</v>
      </c>
      <c r="CB81" s="228">
        <f t="shared" si="57"/>
        <v>0</v>
      </c>
      <c r="CC81" s="228">
        <f t="shared" si="58"/>
        <v>0</v>
      </c>
      <c r="CD81" s="228">
        <f t="shared" si="59"/>
        <v>0</v>
      </c>
      <c r="CE81" s="399"/>
      <c r="CF81" s="399"/>
    </row>
    <row r="82" spans="1:84" x14ac:dyDescent="0.4">
      <c r="A82" s="712" t="s">
        <v>544</v>
      </c>
      <c r="B82" s="231" t="str">
        <f t="shared" si="60"/>
        <v/>
      </c>
      <c r="C82" s="732"/>
      <c r="D82" s="401"/>
      <c r="E82" s="733"/>
      <c r="F82" s="734"/>
      <c r="G82" s="401"/>
      <c r="H82" s="733"/>
      <c r="I82" s="733"/>
      <c r="J82" s="735"/>
      <c r="K82" s="736"/>
      <c r="L82" s="737"/>
      <c r="M82" s="737"/>
      <c r="N82" s="741"/>
      <c r="O82" s="739"/>
      <c r="P82" s="740"/>
      <c r="Q82" s="254" t="str">
        <f t="shared" si="64"/>
        <v/>
      </c>
      <c r="R82" s="254" t="str">
        <f t="shared" si="65"/>
        <v/>
      </c>
      <c r="S82" s="258" t="str">
        <f t="shared" si="66"/>
        <v/>
      </c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R82" s="225" t="str">
        <f>IF(AS82&gt;1,MAX($AR$7:AR81)+1,"")</f>
        <v/>
      </c>
      <c r="AS82" s="224">
        <f t="shared" si="45"/>
        <v>0</v>
      </c>
      <c r="AT82" s="225">
        <f t="shared" si="46"/>
        <v>0</v>
      </c>
      <c r="AU82" s="224">
        <f t="shared" si="47"/>
        <v>0</v>
      </c>
      <c r="AV82" s="226">
        <f t="shared" si="48"/>
        <v>0</v>
      </c>
      <c r="AW82" s="224">
        <f t="shared" si="61"/>
        <v>0</v>
      </c>
      <c r="AX82" s="224">
        <f t="shared" si="62"/>
        <v>0</v>
      </c>
      <c r="AY82" s="224">
        <f t="shared" si="63"/>
        <v>0</v>
      </c>
      <c r="AZ82" s="711"/>
      <c r="BA82" s="399"/>
      <c r="BB82" s="399"/>
      <c r="BC82" s="225" t="str">
        <f>IF(OR(BW82=$BB$8,BZ82=$BB$8),MAX($BC$7:BC81)+1,"")</f>
        <v/>
      </c>
      <c r="BD82" s="225" t="str">
        <f>IF(OR(BW82=$BB$9,BZ82=$BB$9),MAX($BD$7:BD81)+1,"")</f>
        <v/>
      </c>
      <c r="BE82" s="225" t="str">
        <f>IF(OR(BW82=$BB$10,BZ82=$BB$10),MAX($BE$7:BE81)+1,"")</f>
        <v/>
      </c>
      <c r="BF82" s="225" t="str">
        <f>IF(OR(BW82=$BB$11,BZ82=$BB$11),MAX($BF$7:BF81)+1,"")</f>
        <v/>
      </c>
      <c r="BG82" s="225" t="str">
        <f>IF(OR(BW82=$BB$12,BZ82=$BB$12),MAX($BG$7:BG81)+1,"")</f>
        <v/>
      </c>
      <c r="BH82" s="225" t="str">
        <f>IF(OR(BW82=$BB$13,BZ82=$BB$13),MAX($BH$7:BH81)+1,"")</f>
        <v/>
      </c>
      <c r="BI82" s="225" t="str">
        <f>IF(OR(BW82=$BB$14,BZ82=$BB$14),MAX($BI$7:BI81)+1,"")</f>
        <v/>
      </c>
      <c r="BJ82" s="225" t="str">
        <f>IF(OR(BW82=$BB$15,BZ82=$BB$15),MAX($BJ$7:BJ81)+1,"")</f>
        <v/>
      </c>
      <c r="BK82" s="225" t="str">
        <f>IF(OR(BW82=$BB$16,BZ82=$BB$16),MAX($BK$7:BK81)+1,"")</f>
        <v/>
      </c>
      <c r="BL82" s="225" t="str">
        <f>IF(OR(BW82=$BB$17,BZ82=$BB$17),MAX($BL$7:BL81)+1,"")</f>
        <v/>
      </c>
      <c r="BM82" s="225" t="str">
        <f>IF(OR(BW82=$BB$18,BZ82=$BB$18),MAX($BM$7:BM81)+1,"")</f>
        <v/>
      </c>
      <c r="BN82" s="225" t="str">
        <f>IF(OR(BW82=$BB$19,BZ82=$BB$19),MAX($BN$7:BN81)+1,"")</f>
        <v/>
      </c>
      <c r="BO82" s="225" t="str">
        <f>IF(OR(BW82=$BB$20,BZ82=$BB$20),MAX($BO$7:BO81)+1,"")</f>
        <v/>
      </c>
      <c r="BP82" s="225">
        <f>IF(OR(BW82=$BB$21,BZ82=$BB$21),MAX($BP$7:BP81)+1,"")</f>
        <v>75</v>
      </c>
      <c r="BQ82" s="399"/>
      <c r="BR82" s="399"/>
      <c r="BS82" s="399"/>
      <c r="BT82" s="227">
        <f t="shared" si="49"/>
        <v>0</v>
      </c>
      <c r="BU82" s="225">
        <f t="shared" si="50"/>
        <v>0</v>
      </c>
      <c r="BV82" s="225">
        <f t="shared" si="51"/>
        <v>0</v>
      </c>
      <c r="BW82" s="225">
        <f t="shared" si="52"/>
        <v>0</v>
      </c>
      <c r="BX82" s="225">
        <f t="shared" si="53"/>
        <v>0</v>
      </c>
      <c r="BY82" s="225">
        <f t="shared" si="54"/>
        <v>0</v>
      </c>
      <c r="BZ82" s="225">
        <f t="shared" si="55"/>
        <v>0</v>
      </c>
      <c r="CA82" s="228">
        <f t="shared" si="56"/>
        <v>0</v>
      </c>
      <c r="CB82" s="228">
        <f t="shared" si="57"/>
        <v>0</v>
      </c>
      <c r="CC82" s="228">
        <f t="shared" si="58"/>
        <v>0</v>
      </c>
      <c r="CD82" s="228">
        <f t="shared" si="59"/>
        <v>0</v>
      </c>
      <c r="CE82" s="399"/>
      <c r="CF82" s="399"/>
    </row>
    <row r="83" spans="1:84" x14ac:dyDescent="0.4">
      <c r="A83" s="712" t="s">
        <v>688</v>
      </c>
      <c r="B83" s="231" t="str">
        <f t="shared" si="60"/>
        <v/>
      </c>
      <c r="C83" s="732"/>
      <c r="D83" s="401"/>
      <c r="E83" s="733"/>
      <c r="F83" s="734"/>
      <c r="G83" s="401"/>
      <c r="H83" s="733"/>
      <c r="I83" s="733"/>
      <c r="J83" s="735"/>
      <c r="K83" s="736"/>
      <c r="L83" s="737"/>
      <c r="M83" s="737"/>
      <c r="N83" s="741"/>
      <c r="O83" s="739"/>
      <c r="P83" s="740"/>
      <c r="Q83" s="254" t="str">
        <f t="shared" si="64"/>
        <v/>
      </c>
      <c r="R83" s="254" t="str">
        <f t="shared" si="65"/>
        <v/>
      </c>
      <c r="S83" s="258" t="str">
        <f t="shared" si="66"/>
        <v/>
      </c>
      <c r="AR83" s="225" t="str">
        <f>IF(AS83&gt;1,MAX($AR$7:AR82)+1,"")</f>
        <v/>
      </c>
      <c r="AS83" s="224">
        <f t="shared" si="45"/>
        <v>0</v>
      </c>
      <c r="AT83" s="225">
        <f t="shared" si="46"/>
        <v>0</v>
      </c>
      <c r="AU83" s="224">
        <f t="shared" si="47"/>
        <v>0</v>
      </c>
      <c r="AV83" s="226">
        <f t="shared" si="48"/>
        <v>0</v>
      </c>
      <c r="AW83" s="224">
        <f t="shared" si="61"/>
        <v>0</v>
      </c>
      <c r="AX83" s="224">
        <f t="shared" si="62"/>
        <v>0</v>
      </c>
      <c r="AY83" s="224">
        <f t="shared" si="63"/>
        <v>0</v>
      </c>
      <c r="AZ83" s="711"/>
      <c r="BA83" s="399"/>
      <c r="BB83" s="399"/>
      <c r="BC83" s="225" t="str">
        <f>IF(OR(BW83=$BB$8,BZ83=$BB$8),MAX($BC$7:BC82)+1,"")</f>
        <v/>
      </c>
      <c r="BD83" s="225" t="str">
        <f>IF(OR(BW83=$BB$9,BZ83=$BB$9),MAX($BD$7:BD82)+1,"")</f>
        <v/>
      </c>
      <c r="BE83" s="225" t="str">
        <f>IF(OR(BW83=$BB$10,BZ83=$BB$10),MAX($BE$7:BE82)+1,"")</f>
        <v/>
      </c>
      <c r="BF83" s="225" t="str">
        <f>IF(OR(BW83=$BB$11,BZ83=$BB$11),MAX($BF$7:BF82)+1,"")</f>
        <v/>
      </c>
      <c r="BG83" s="225" t="str">
        <f>IF(OR(BW83=$BB$12,BZ83=$BB$12),MAX($BG$7:BG82)+1,"")</f>
        <v/>
      </c>
      <c r="BH83" s="225" t="str">
        <f>IF(OR(BW83=$BB$13,BZ83=$BB$13),MAX($BH$7:BH82)+1,"")</f>
        <v/>
      </c>
      <c r="BI83" s="225" t="str">
        <f>IF(OR(BW83=$BB$14,BZ83=$BB$14),MAX($BI$7:BI82)+1,"")</f>
        <v/>
      </c>
      <c r="BJ83" s="225" t="str">
        <f>IF(OR(BW83=$BB$15,BZ83=$BB$15),MAX($BJ$7:BJ82)+1,"")</f>
        <v/>
      </c>
      <c r="BK83" s="225" t="str">
        <f>IF(OR(BW83=$BB$16,BZ83=$BB$16),MAX($BK$7:BK82)+1,"")</f>
        <v/>
      </c>
      <c r="BL83" s="225" t="str">
        <f>IF(OR(BW83=$BB$17,BZ83=$BB$17),MAX($BL$7:BL82)+1,"")</f>
        <v/>
      </c>
      <c r="BM83" s="225" t="str">
        <f>IF(OR(BW83=$BB$18,BZ83=$BB$18),MAX($BM$7:BM82)+1,"")</f>
        <v/>
      </c>
      <c r="BN83" s="225" t="str">
        <f>IF(OR(BW83=$BB$19,BZ83=$BB$19),MAX($BN$7:BN82)+1,"")</f>
        <v/>
      </c>
      <c r="BO83" s="225" t="str">
        <f>IF(OR(BW83=$BB$20,BZ83=$BB$20),MAX($BO$7:BO82)+1,"")</f>
        <v/>
      </c>
      <c r="BP83" s="225">
        <f>IF(OR(BW83=$BB$21,BZ83=$BB$21),MAX($BP$7:BP82)+1,"")</f>
        <v>76</v>
      </c>
      <c r="BQ83" s="399"/>
      <c r="BR83" s="399"/>
      <c r="BS83" s="399"/>
      <c r="BT83" s="227">
        <f t="shared" si="49"/>
        <v>0</v>
      </c>
      <c r="BU83" s="225">
        <f t="shared" si="50"/>
        <v>0</v>
      </c>
      <c r="BV83" s="225">
        <f t="shared" si="51"/>
        <v>0</v>
      </c>
      <c r="BW83" s="225">
        <f t="shared" si="52"/>
        <v>0</v>
      </c>
      <c r="BX83" s="225">
        <f t="shared" si="53"/>
        <v>0</v>
      </c>
      <c r="BY83" s="225">
        <f t="shared" si="54"/>
        <v>0</v>
      </c>
      <c r="BZ83" s="225">
        <f t="shared" si="55"/>
        <v>0</v>
      </c>
      <c r="CA83" s="228">
        <f t="shared" si="56"/>
        <v>0</v>
      </c>
      <c r="CB83" s="228">
        <f t="shared" si="57"/>
        <v>0</v>
      </c>
      <c r="CC83" s="228">
        <f t="shared" si="58"/>
        <v>0</v>
      </c>
      <c r="CD83" s="228">
        <f t="shared" si="59"/>
        <v>0</v>
      </c>
      <c r="CE83" s="399"/>
      <c r="CF83" s="399"/>
    </row>
    <row r="84" spans="1:84" x14ac:dyDescent="0.4">
      <c r="A84" s="712" t="s">
        <v>545</v>
      </c>
      <c r="B84" s="231" t="str">
        <f t="shared" si="60"/>
        <v/>
      </c>
      <c r="C84" s="732"/>
      <c r="D84" s="401"/>
      <c r="E84" s="733"/>
      <c r="F84" s="734"/>
      <c r="G84" s="401"/>
      <c r="H84" s="733"/>
      <c r="I84" s="733"/>
      <c r="J84" s="735"/>
      <c r="K84" s="736"/>
      <c r="L84" s="737"/>
      <c r="M84" s="737"/>
      <c r="N84" s="741"/>
      <c r="O84" s="739"/>
      <c r="P84" s="740"/>
      <c r="Q84" s="254" t="str">
        <f t="shared" si="64"/>
        <v/>
      </c>
      <c r="R84" s="254" t="str">
        <f t="shared" si="65"/>
        <v/>
      </c>
      <c r="S84" s="258" t="str">
        <f t="shared" si="66"/>
        <v/>
      </c>
      <c r="AR84" s="225" t="str">
        <f>IF(AS84&gt;1,MAX($AR$7:AR83)+1,"")</f>
        <v/>
      </c>
      <c r="AS84" s="224">
        <f t="shared" si="45"/>
        <v>0</v>
      </c>
      <c r="AT84" s="225">
        <f t="shared" si="46"/>
        <v>0</v>
      </c>
      <c r="AU84" s="224">
        <f t="shared" si="47"/>
        <v>0</v>
      </c>
      <c r="AV84" s="226">
        <f t="shared" si="48"/>
        <v>0</v>
      </c>
      <c r="AW84" s="224">
        <f t="shared" si="61"/>
        <v>0</v>
      </c>
      <c r="AX84" s="224">
        <f t="shared" si="62"/>
        <v>0</v>
      </c>
      <c r="AY84" s="224">
        <f t="shared" si="63"/>
        <v>0</v>
      </c>
      <c r="AZ84" s="711"/>
      <c r="BA84" s="399"/>
      <c r="BB84" s="399"/>
      <c r="BC84" s="225" t="str">
        <f>IF(OR(BW84=$BB$8,BZ84=$BB$8),MAX($BC$7:BC83)+1,"")</f>
        <v/>
      </c>
      <c r="BD84" s="225" t="str">
        <f>IF(OR(BW84=$BB$9,BZ84=$BB$9),MAX($BD$7:BD83)+1,"")</f>
        <v/>
      </c>
      <c r="BE84" s="225" t="str">
        <f>IF(OR(BW84=$BB$10,BZ84=$BB$10),MAX($BE$7:BE83)+1,"")</f>
        <v/>
      </c>
      <c r="BF84" s="225" t="str">
        <f>IF(OR(BW84=$BB$11,BZ84=$BB$11),MAX($BF$7:BF83)+1,"")</f>
        <v/>
      </c>
      <c r="BG84" s="225" t="str">
        <f>IF(OR(BW84=$BB$12,BZ84=$BB$12),MAX($BG$7:BG83)+1,"")</f>
        <v/>
      </c>
      <c r="BH84" s="225" t="str">
        <f>IF(OR(BW84=$BB$13,BZ84=$BB$13),MAX($BH$7:BH83)+1,"")</f>
        <v/>
      </c>
      <c r="BI84" s="225" t="str">
        <f>IF(OR(BW84=$BB$14,BZ84=$BB$14),MAX($BI$7:BI83)+1,"")</f>
        <v/>
      </c>
      <c r="BJ84" s="225" t="str">
        <f>IF(OR(BW84=$BB$15,BZ84=$BB$15),MAX($BJ$7:BJ83)+1,"")</f>
        <v/>
      </c>
      <c r="BK84" s="225" t="str">
        <f>IF(OR(BW84=$BB$16,BZ84=$BB$16),MAX($BK$7:BK83)+1,"")</f>
        <v/>
      </c>
      <c r="BL84" s="225" t="str">
        <f>IF(OR(BW84=$BB$17,BZ84=$BB$17),MAX($BL$7:BL83)+1,"")</f>
        <v/>
      </c>
      <c r="BM84" s="225" t="str">
        <f>IF(OR(BW84=$BB$18,BZ84=$BB$18),MAX($BM$7:BM83)+1,"")</f>
        <v/>
      </c>
      <c r="BN84" s="225" t="str">
        <f>IF(OR(BW84=$BB$19,BZ84=$BB$19),MAX($BN$7:BN83)+1,"")</f>
        <v/>
      </c>
      <c r="BO84" s="225" t="str">
        <f>IF(OR(BW84=$BB$20,BZ84=$BB$20),MAX($BO$7:BO83)+1,"")</f>
        <v/>
      </c>
      <c r="BP84" s="225">
        <f>IF(OR(BW84=$BB$21,BZ84=$BB$21),MAX($BP$7:BP83)+1,"")</f>
        <v>77</v>
      </c>
      <c r="BQ84" s="399"/>
      <c r="BR84" s="399"/>
      <c r="BS84" s="399"/>
      <c r="BT84" s="227">
        <f t="shared" si="49"/>
        <v>0</v>
      </c>
      <c r="BU84" s="225">
        <f t="shared" si="50"/>
        <v>0</v>
      </c>
      <c r="BV84" s="225">
        <f t="shared" si="51"/>
        <v>0</v>
      </c>
      <c r="BW84" s="225">
        <f t="shared" si="52"/>
        <v>0</v>
      </c>
      <c r="BX84" s="225">
        <f t="shared" si="53"/>
        <v>0</v>
      </c>
      <c r="BY84" s="225">
        <f t="shared" si="54"/>
        <v>0</v>
      </c>
      <c r="BZ84" s="225">
        <f t="shared" si="55"/>
        <v>0</v>
      </c>
      <c r="CA84" s="228">
        <f t="shared" si="56"/>
        <v>0</v>
      </c>
      <c r="CB84" s="228">
        <f t="shared" si="57"/>
        <v>0</v>
      </c>
      <c r="CC84" s="228">
        <f t="shared" si="58"/>
        <v>0</v>
      </c>
      <c r="CD84" s="228">
        <f t="shared" si="59"/>
        <v>0</v>
      </c>
      <c r="CE84" s="399"/>
      <c r="CF84" s="399"/>
    </row>
    <row r="85" spans="1:84" x14ac:dyDescent="0.4">
      <c r="A85" s="712" t="s">
        <v>689</v>
      </c>
      <c r="B85" s="231" t="str">
        <f t="shared" si="60"/>
        <v/>
      </c>
      <c r="C85" s="732"/>
      <c r="D85" s="401"/>
      <c r="E85" s="733"/>
      <c r="F85" s="734"/>
      <c r="G85" s="401"/>
      <c r="H85" s="733"/>
      <c r="I85" s="733"/>
      <c r="J85" s="735"/>
      <c r="K85" s="736"/>
      <c r="L85" s="737"/>
      <c r="M85" s="737"/>
      <c r="N85" s="741"/>
      <c r="O85" s="739"/>
      <c r="P85" s="740"/>
      <c r="Q85" s="254" t="str">
        <f t="shared" si="64"/>
        <v/>
      </c>
      <c r="R85" s="254" t="str">
        <f t="shared" si="65"/>
        <v/>
      </c>
      <c r="S85" s="258" t="str">
        <f t="shared" si="66"/>
        <v/>
      </c>
      <c r="AR85" s="225" t="str">
        <f>IF(AS85&gt;1,MAX($AR$7:AR84)+1,"")</f>
        <v/>
      </c>
      <c r="AS85" s="224">
        <f t="shared" si="45"/>
        <v>0</v>
      </c>
      <c r="AT85" s="225">
        <f t="shared" si="46"/>
        <v>0</v>
      </c>
      <c r="AU85" s="224">
        <f t="shared" si="47"/>
        <v>0</v>
      </c>
      <c r="AV85" s="226">
        <f t="shared" si="48"/>
        <v>0</v>
      </c>
      <c r="AW85" s="224">
        <f t="shared" si="61"/>
        <v>0</v>
      </c>
      <c r="AX85" s="224">
        <f t="shared" si="62"/>
        <v>0</v>
      </c>
      <c r="AY85" s="224">
        <f t="shared" si="63"/>
        <v>0</v>
      </c>
      <c r="AZ85" s="711"/>
      <c r="BA85" s="399"/>
      <c r="BB85" s="399"/>
      <c r="BC85" s="225" t="str">
        <f>IF(OR(BW85=$BB$8,BZ85=$BB$8),MAX($BC$7:BC84)+1,"")</f>
        <v/>
      </c>
      <c r="BD85" s="225" t="str">
        <f>IF(OR(BW85=$BB$9,BZ85=$BB$9),MAX($BD$7:BD84)+1,"")</f>
        <v/>
      </c>
      <c r="BE85" s="225" t="str">
        <f>IF(OR(BW85=$BB$10,BZ85=$BB$10),MAX($BE$7:BE84)+1,"")</f>
        <v/>
      </c>
      <c r="BF85" s="225" t="str">
        <f>IF(OR(BW85=$BB$11,BZ85=$BB$11),MAX($BF$7:BF84)+1,"")</f>
        <v/>
      </c>
      <c r="BG85" s="225" t="str">
        <f>IF(OR(BW85=$BB$12,BZ85=$BB$12),MAX($BG$7:BG84)+1,"")</f>
        <v/>
      </c>
      <c r="BH85" s="225" t="str">
        <f>IF(OR(BW85=$BB$13,BZ85=$BB$13),MAX($BH$7:BH84)+1,"")</f>
        <v/>
      </c>
      <c r="BI85" s="225" t="str">
        <f>IF(OR(BW85=$BB$14,BZ85=$BB$14),MAX($BI$7:BI84)+1,"")</f>
        <v/>
      </c>
      <c r="BJ85" s="225" t="str">
        <f>IF(OR(BW85=$BB$15,BZ85=$BB$15),MAX($BJ$7:BJ84)+1,"")</f>
        <v/>
      </c>
      <c r="BK85" s="225" t="str">
        <f>IF(OR(BW85=$BB$16,BZ85=$BB$16),MAX($BK$7:BK84)+1,"")</f>
        <v/>
      </c>
      <c r="BL85" s="225" t="str">
        <f>IF(OR(BW85=$BB$17,BZ85=$BB$17),MAX($BL$7:BL84)+1,"")</f>
        <v/>
      </c>
      <c r="BM85" s="225" t="str">
        <f>IF(OR(BW85=$BB$18,BZ85=$BB$18),MAX($BM$7:BM84)+1,"")</f>
        <v/>
      </c>
      <c r="BN85" s="225" t="str">
        <f>IF(OR(BW85=$BB$19,BZ85=$BB$19),MAX($BN$7:BN84)+1,"")</f>
        <v/>
      </c>
      <c r="BO85" s="225" t="str">
        <f>IF(OR(BW85=$BB$20,BZ85=$BB$20),MAX($BO$7:BO84)+1,"")</f>
        <v/>
      </c>
      <c r="BP85" s="225">
        <f>IF(OR(BW85=$BB$21,BZ85=$BB$21),MAX($BP$7:BP84)+1,"")</f>
        <v>78</v>
      </c>
      <c r="BQ85" s="399"/>
      <c r="BR85" s="399"/>
      <c r="BS85" s="399"/>
      <c r="BT85" s="227">
        <f t="shared" si="49"/>
        <v>0</v>
      </c>
      <c r="BU85" s="225">
        <f t="shared" si="50"/>
        <v>0</v>
      </c>
      <c r="BV85" s="225">
        <f t="shared" si="51"/>
        <v>0</v>
      </c>
      <c r="BW85" s="225">
        <f t="shared" si="52"/>
        <v>0</v>
      </c>
      <c r="BX85" s="225">
        <f t="shared" si="53"/>
        <v>0</v>
      </c>
      <c r="BY85" s="225">
        <f t="shared" si="54"/>
        <v>0</v>
      </c>
      <c r="BZ85" s="225">
        <f t="shared" si="55"/>
        <v>0</v>
      </c>
      <c r="CA85" s="228">
        <f t="shared" si="56"/>
        <v>0</v>
      </c>
      <c r="CB85" s="228">
        <f t="shared" si="57"/>
        <v>0</v>
      </c>
      <c r="CC85" s="228">
        <f t="shared" si="58"/>
        <v>0</v>
      </c>
      <c r="CD85" s="228">
        <f t="shared" si="59"/>
        <v>0</v>
      </c>
      <c r="CE85" s="399"/>
      <c r="CF85" s="399"/>
    </row>
    <row r="86" spans="1:84" x14ac:dyDescent="0.4">
      <c r="A86" s="712" t="s">
        <v>692</v>
      </c>
      <c r="B86" s="231" t="str">
        <f t="shared" si="60"/>
        <v/>
      </c>
      <c r="C86" s="732"/>
      <c r="D86" s="401"/>
      <c r="E86" s="733"/>
      <c r="F86" s="734"/>
      <c r="G86" s="401"/>
      <c r="H86" s="733"/>
      <c r="I86" s="733"/>
      <c r="J86" s="735"/>
      <c r="K86" s="736"/>
      <c r="L86" s="737"/>
      <c r="M86" s="737"/>
      <c r="N86" s="741"/>
      <c r="O86" s="739"/>
      <c r="P86" s="740"/>
      <c r="Q86" s="254" t="str">
        <f t="shared" si="64"/>
        <v/>
      </c>
      <c r="R86" s="254" t="str">
        <f t="shared" si="65"/>
        <v/>
      </c>
      <c r="S86" s="258" t="str">
        <f t="shared" si="66"/>
        <v/>
      </c>
      <c r="AR86" s="225" t="str">
        <f>IF(AS86&gt;1,MAX($AR$7:AR85)+1,"")</f>
        <v/>
      </c>
      <c r="AS86" s="224">
        <f t="shared" si="45"/>
        <v>0</v>
      </c>
      <c r="AT86" s="225">
        <f t="shared" si="46"/>
        <v>0</v>
      </c>
      <c r="AU86" s="224">
        <f t="shared" si="47"/>
        <v>0</v>
      </c>
      <c r="AV86" s="226">
        <f t="shared" si="48"/>
        <v>0</v>
      </c>
      <c r="AW86" s="224">
        <f t="shared" si="61"/>
        <v>0</v>
      </c>
      <c r="AX86" s="224">
        <f t="shared" si="62"/>
        <v>0</v>
      </c>
      <c r="AY86" s="224">
        <f t="shared" si="63"/>
        <v>0</v>
      </c>
      <c r="AZ86" s="711"/>
      <c r="BA86" s="399"/>
      <c r="BB86" s="399"/>
      <c r="BC86" s="225" t="str">
        <f>IF(OR(BW86=$BB$8,BZ86=$BB$8),MAX($BC$7:BC85)+1,"")</f>
        <v/>
      </c>
      <c r="BD86" s="225" t="str">
        <f>IF(OR(BW86=$BB$9,BZ86=$BB$9),MAX($BD$7:BD85)+1,"")</f>
        <v/>
      </c>
      <c r="BE86" s="225" t="str">
        <f>IF(OR(BW86=$BB$10,BZ86=$BB$10),MAX($BE$7:BE85)+1,"")</f>
        <v/>
      </c>
      <c r="BF86" s="225" t="str">
        <f>IF(OR(BW86=$BB$11,BZ86=$BB$11),MAX($BF$7:BF85)+1,"")</f>
        <v/>
      </c>
      <c r="BG86" s="225" t="str">
        <f>IF(OR(BW86=$BB$12,BZ86=$BB$12),MAX($BG$7:BG85)+1,"")</f>
        <v/>
      </c>
      <c r="BH86" s="225" t="str">
        <f>IF(OR(BW86=$BB$13,BZ86=$BB$13),MAX($BH$7:BH85)+1,"")</f>
        <v/>
      </c>
      <c r="BI86" s="225" t="str">
        <f>IF(OR(BW86=$BB$14,BZ86=$BB$14),MAX($BI$7:BI85)+1,"")</f>
        <v/>
      </c>
      <c r="BJ86" s="225" t="str">
        <f>IF(OR(BW86=$BB$15,BZ86=$BB$15),MAX($BJ$7:BJ85)+1,"")</f>
        <v/>
      </c>
      <c r="BK86" s="225" t="str">
        <f>IF(OR(BW86=$BB$16,BZ86=$BB$16),MAX($BK$7:BK85)+1,"")</f>
        <v/>
      </c>
      <c r="BL86" s="225" t="str">
        <f>IF(OR(BW86=$BB$17,BZ86=$BB$17),MAX($BL$7:BL85)+1,"")</f>
        <v/>
      </c>
      <c r="BM86" s="225" t="str">
        <f>IF(OR(BW86=$BB$18,BZ86=$BB$18),MAX($BM$7:BM85)+1,"")</f>
        <v/>
      </c>
      <c r="BN86" s="225" t="str">
        <f>IF(OR(BW86=$BB$19,BZ86=$BB$19),MAX($BN$7:BN85)+1,"")</f>
        <v/>
      </c>
      <c r="BO86" s="225" t="str">
        <f>IF(OR(BW86=$BB$20,BZ86=$BB$20),MAX($BO$7:BO85)+1,"")</f>
        <v/>
      </c>
      <c r="BP86" s="225">
        <f>IF(OR(BW86=$BB$21,BZ86=$BB$21),MAX($BP$7:BP85)+1,"")</f>
        <v>79</v>
      </c>
      <c r="BQ86" s="399"/>
      <c r="BR86" s="399"/>
      <c r="BS86" s="399"/>
      <c r="BT86" s="227">
        <f t="shared" si="49"/>
        <v>0</v>
      </c>
      <c r="BU86" s="225">
        <f t="shared" si="50"/>
        <v>0</v>
      </c>
      <c r="BV86" s="225">
        <f t="shared" si="51"/>
        <v>0</v>
      </c>
      <c r="BW86" s="225">
        <f t="shared" si="52"/>
        <v>0</v>
      </c>
      <c r="BX86" s="225">
        <f t="shared" si="53"/>
        <v>0</v>
      </c>
      <c r="BY86" s="225">
        <f t="shared" si="54"/>
        <v>0</v>
      </c>
      <c r="BZ86" s="225">
        <f t="shared" si="55"/>
        <v>0</v>
      </c>
      <c r="CA86" s="228">
        <f t="shared" si="56"/>
        <v>0</v>
      </c>
      <c r="CB86" s="228">
        <f t="shared" si="57"/>
        <v>0</v>
      </c>
      <c r="CC86" s="228">
        <f t="shared" si="58"/>
        <v>0</v>
      </c>
      <c r="CD86" s="228">
        <f t="shared" si="59"/>
        <v>0</v>
      </c>
      <c r="CE86" s="399"/>
      <c r="CF86" s="399"/>
    </row>
    <row r="87" spans="1:84" x14ac:dyDescent="0.4">
      <c r="A87" s="712" t="s">
        <v>690</v>
      </c>
      <c r="B87" s="231" t="str">
        <f t="shared" si="60"/>
        <v/>
      </c>
      <c r="C87" s="732"/>
      <c r="D87" s="401"/>
      <c r="E87" s="733"/>
      <c r="F87" s="734"/>
      <c r="G87" s="401"/>
      <c r="H87" s="733"/>
      <c r="I87" s="733"/>
      <c r="J87" s="735"/>
      <c r="K87" s="736"/>
      <c r="L87" s="737"/>
      <c r="M87" s="737"/>
      <c r="N87" s="741"/>
      <c r="O87" s="739"/>
      <c r="P87" s="740"/>
      <c r="Q87" s="254" t="str">
        <f t="shared" si="64"/>
        <v/>
      </c>
      <c r="R87" s="254" t="str">
        <f t="shared" si="65"/>
        <v/>
      </c>
      <c r="S87" s="258" t="str">
        <f t="shared" si="66"/>
        <v/>
      </c>
      <c r="AR87" s="225" t="str">
        <f>IF(AS87&gt;1,MAX($AR$7:AR86)+1,"")</f>
        <v/>
      </c>
      <c r="AS87" s="224">
        <f t="shared" si="45"/>
        <v>0</v>
      </c>
      <c r="AT87" s="225">
        <f t="shared" si="46"/>
        <v>0</v>
      </c>
      <c r="AU87" s="224">
        <f t="shared" si="47"/>
        <v>0</v>
      </c>
      <c r="AV87" s="226">
        <f t="shared" si="48"/>
        <v>0</v>
      </c>
      <c r="AW87" s="224">
        <f t="shared" si="61"/>
        <v>0</v>
      </c>
      <c r="AX87" s="224">
        <f t="shared" si="62"/>
        <v>0</v>
      </c>
      <c r="AY87" s="224">
        <f t="shared" si="63"/>
        <v>0</v>
      </c>
      <c r="AZ87" s="711"/>
      <c r="BA87" s="399"/>
      <c r="BB87" s="399"/>
      <c r="BC87" s="225" t="str">
        <f>IF(OR(BW87=$BB$8,BZ87=$BB$8),MAX($BC$7:BC86)+1,"")</f>
        <v/>
      </c>
      <c r="BD87" s="225" t="str">
        <f>IF(OR(BW87=$BB$9,BZ87=$BB$9),MAX($BD$7:BD86)+1,"")</f>
        <v/>
      </c>
      <c r="BE87" s="225" t="str">
        <f>IF(OR(BW87=$BB$10,BZ87=$BB$10),MAX($BE$7:BE86)+1,"")</f>
        <v/>
      </c>
      <c r="BF87" s="225" t="str">
        <f>IF(OR(BW87=$BB$11,BZ87=$BB$11),MAX($BF$7:BF86)+1,"")</f>
        <v/>
      </c>
      <c r="BG87" s="225" t="str">
        <f>IF(OR(BW87=$BB$12,BZ87=$BB$12),MAX($BG$7:BG86)+1,"")</f>
        <v/>
      </c>
      <c r="BH87" s="225" t="str">
        <f>IF(OR(BW87=$BB$13,BZ87=$BB$13),MAX($BH$7:BH86)+1,"")</f>
        <v/>
      </c>
      <c r="BI87" s="225" t="str">
        <f>IF(OR(BW87=$BB$14,BZ87=$BB$14),MAX($BI$7:BI86)+1,"")</f>
        <v/>
      </c>
      <c r="BJ87" s="225" t="str">
        <f>IF(OR(BW87=$BB$15,BZ87=$BB$15),MAX($BJ$7:BJ86)+1,"")</f>
        <v/>
      </c>
      <c r="BK87" s="225" t="str">
        <f>IF(OR(BW87=$BB$16,BZ87=$BB$16),MAX($BK$7:BK86)+1,"")</f>
        <v/>
      </c>
      <c r="BL87" s="225" t="str">
        <f>IF(OR(BW87=$BB$17,BZ87=$BB$17),MAX($BL$7:BL86)+1,"")</f>
        <v/>
      </c>
      <c r="BM87" s="225" t="str">
        <f>IF(OR(BW87=$BB$18,BZ87=$BB$18),MAX($BM$7:BM86)+1,"")</f>
        <v/>
      </c>
      <c r="BN87" s="225" t="str">
        <f>IF(OR(BW87=$BB$19,BZ87=$BB$19),MAX($BN$7:BN86)+1,"")</f>
        <v/>
      </c>
      <c r="BO87" s="225" t="str">
        <f>IF(OR(BW87=$BB$20,BZ87=$BB$20),MAX($BO$7:BO86)+1,"")</f>
        <v/>
      </c>
      <c r="BP87" s="225">
        <f>IF(OR(BW87=$BB$21,BZ87=$BB$21),MAX($BP$7:BP86)+1,"")</f>
        <v>80</v>
      </c>
      <c r="BQ87" s="399"/>
      <c r="BR87" s="399"/>
      <c r="BS87" s="399"/>
      <c r="BT87" s="227">
        <f t="shared" si="49"/>
        <v>0</v>
      </c>
      <c r="BU87" s="225">
        <f t="shared" si="50"/>
        <v>0</v>
      </c>
      <c r="BV87" s="225">
        <f t="shared" si="51"/>
        <v>0</v>
      </c>
      <c r="BW87" s="225">
        <f t="shared" si="52"/>
        <v>0</v>
      </c>
      <c r="BX87" s="225">
        <f t="shared" si="53"/>
        <v>0</v>
      </c>
      <c r="BY87" s="225">
        <f t="shared" si="54"/>
        <v>0</v>
      </c>
      <c r="BZ87" s="225">
        <f t="shared" si="55"/>
        <v>0</v>
      </c>
      <c r="CA87" s="228">
        <f t="shared" si="56"/>
        <v>0</v>
      </c>
      <c r="CB87" s="228">
        <f t="shared" si="57"/>
        <v>0</v>
      </c>
      <c r="CC87" s="228">
        <f t="shared" si="58"/>
        <v>0</v>
      </c>
      <c r="CD87" s="228">
        <f t="shared" si="59"/>
        <v>0</v>
      </c>
      <c r="CE87" s="399"/>
      <c r="CF87" s="399"/>
    </row>
    <row r="88" spans="1:84" x14ac:dyDescent="0.4">
      <c r="A88" s="712" t="s">
        <v>691</v>
      </c>
      <c r="B88" s="231" t="str">
        <f t="shared" si="60"/>
        <v/>
      </c>
      <c r="C88" s="732"/>
      <c r="D88" s="401"/>
      <c r="E88" s="733"/>
      <c r="F88" s="734"/>
      <c r="G88" s="401"/>
      <c r="H88" s="733"/>
      <c r="I88" s="733"/>
      <c r="J88" s="735"/>
      <c r="K88" s="736"/>
      <c r="L88" s="737"/>
      <c r="M88" s="737"/>
      <c r="N88" s="741"/>
      <c r="O88" s="739"/>
      <c r="P88" s="740"/>
      <c r="Q88" s="254" t="str">
        <f t="shared" si="64"/>
        <v/>
      </c>
      <c r="R88" s="254" t="str">
        <f t="shared" si="65"/>
        <v/>
      </c>
      <c r="S88" s="258" t="str">
        <f t="shared" si="66"/>
        <v/>
      </c>
      <c r="AR88" s="225" t="str">
        <f>IF(AS88&gt;1,MAX($AR$7:AR87)+1,"")</f>
        <v/>
      </c>
      <c r="AS88" s="224">
        <f t="shared" si="45"/>
        <v>0</v>
      </c>
      <c r="AT88" s="225">
        <f t="shared" si="46"/>
        <v>0</v>
      </c>
      <c r="AU88" s="224">
        <f t="shared" si="47"/>
        <v>0</v>
      </c>
      <c r="AV88" s="226">
        <f t="shared" si="48"/>
        <v>0</v>
      </c>
      <c r="AW88" s="224">
        <f t="shared" si="61"/>
        <v>0</v>
      </c>
      <c r="AX88" s="224">
        <f t="shared" si="62"/>
        <v>0</v>
      </c>
      <c r="AY88" s="224">
        <f t="shared" si="63"/>
        <v>0</v>
      </c>
      <c r="AZ88" s="711"/>
      <c r="BA88" s="399"/>
      <c r="BB88" s="399"/>
      <c r="BC88" s="225" t="str">
        <f>IF(OR(BW88=$BB$8,BZ88=$BB$8),MAX($BC$7:BC87)+1,"")</f>
        <v/>
      </c>
      <c r="BD88" s="225" t="str">
        <f>IF(OR(BW88=$BB$9,BZ88=$BB$9),MAX($BD$7:BD87)+1,"")</f>
        <v/>
      </c>
      <c r="BE88" s="225" t="str">
        <f>IF(OR(BW88=$BB$10,BZ88=$BB$10),MAX($BE$7:BE87)+1,"")</f>
        <v/>
      </c>
      <c r="BF88" s="225" t="str">
        <f>IF(OR(BW88=$BB$11,BZ88=$BB$11),MAX($BF$7:BF87)+1,"")</f>
        <v/>
      </c>
      <c r="BG88" s="225" t="str">
        <f>IF(OR(BW88=$BB$12,BZ88=$BB$12),MAX($BG$7:BG87)+1,"")</f>
        <v/>
      </c>
      <c r="BH88" s="225" t="str">
        <f>IF(OR(BW88=$BB$13,BZ88=$BB$13),MAX($BH$7:BH87)+1,"")</f>
        <v/>
      </c>
      <c r="BI88" s="225" t="str">
        <f>IF(OR(BW88=$BB$14,BZ88=$BB$14),MAX($BI$7:BI87)+1,"")</f>
        <v/>
      </c>
      <c r="BJ88" s="225" t="str">
        <f>IF(OR(BW88=$BB$15,BZ88=$BB$15),MAX($BJ$7:BJ87)+1,"")</f>
        <v/>
      </c>
      <c r="BK88" s="225" t="str">
        <f>IF(OR(BW88=$BB$16,BZ88=$BB$16),MAX($BK$7:BK87)+1,"")</f>
        <v/>
      </c>
      <c r="BL88" s="225" t="str">
        <f>IF(OR(BW88=$BB$17,BZ88=$BB$17),MAX($BL$7:BL87)+1,"")</f>
        <v/>
      </c>
      <c r="BM88" s="225" t="str">
        <f>IF(OR(BW88=$BB$18,BZ88=$BB$18),MAX($BM$7:BM87)+1,"")</f>
        <v/>
      </c>
      <c r="BN88" s="225" t="str">
        <f>IF(OR(BW88=$BB$19,BZ88=$BB$19),MAX($BN$7:BN87)+1,"")</f>
        <v/>
      </c>
      <c r="BO88" s="225" t="str">
        <f>IF(OR(BW88=$BB$20,BZ88=$BB$20),MAX($BO$7:BO87)+1,"")</f>
        <v/>
      </c>
      <c r="BP88" s="225">
        <f>IF(OR(BW88=$BB$21,BZ88=$BB$21),MAX($BP$7:BP87)+1,"")</f>
        <v>81</v>
      </c>
      <c r="BQ88" s="399"/>
      <c r="BR88" s="399"/>
      <c r="BS88" s="399"/>
      <c r="BT88" s="227">
        <f t="shared" si="49"/>
        <v>0</v>
      </c>
      <c r="BU88" s="225">
        <f t="shared" si="50"/>
        <v>0</v>
      </c>
      <c r="BV88" s="225">
        <f t="shared" si="51"/>
        <v>0</v>
      </c>
      <c r="BW88" s="225">
        <f t="shared" si="52"/>
        <v>0</v>
      </c>
      <c r="BX88" s="225">
        <f t="shared" si="53"/>
        <v>0</v>
      </c>
      <c r="BY88" s="225">
        <f t="shared" si="54"/>
        <v>0</v>
      </c>
      <c r="BZ88" s="225">
        <f t="shared" si="55"/>
        <v>0</v>
      </c>
      <c r="CA88" s="228">
        <f t="shared" si="56"/>
        <v>0</v>
      </c>
      <c r="CB88" s="228">
        <f t="shared" si="57"/>
        <v>0</v>
      </c>
      <c r="CC88" s="228">
        <f t="shared" si="58"/>
        <v>0</v>
      </c>
      <c r="CD88" s="228">
        <f t="shared" si="59"/>
        <v>0</v>
      </c>
      <c r="CE88" s="399"/>
      <c r="CF88" s="399"/>
    </row>
    <row r="89" spans="1:84" x14ac:dyDescent="0.4">
      <c r="B89" s="231" t="str">
        <f t="shared" si="60"/>
        <v/>
      </c>
      <c r="C89" s="732"/>
      <c r="D89" s="401"/>
      <c r="E89" s="733"/>
      <c r="F89" s="734"/>
      <c r="G89" s="401"/>
      <c r="H89" s="733"/>
      <c r="I89" s="733"/>
      <c r="J89" s="735"/>
      <c r="K89" s="736"/>
      <c r="L89" s="737"/>
      <c r="M89" s="737"/>
      <c r="N89" s="741"/>
      <c r="O89" s="739"/>
      <c r="P89" s="740"/>
      <c r="Q89" s="254" t="str">
        <f t="shared" si="64"/>
        <v/>
      </c>
      <c r="R89" s="254" t="str">
        <f t="shared" si="65"/>
        <v/>
      </c>
      <c r="S89" s="258" t="str">
        <f t="shared" si="66"/>
        <v/>
      </c>
      <c r="AR89" s="225" t="str">
        <f>IF(AS89&gt;1,MAX($AR$7:AR88)+1,"")</f>
        <v/>
      </c>
      <c r="AS89" s="224">
        <f t="shared" si="45"/>
        <v>0</v>
      </c>
      <c r="AT89" s="225">
        <f t="shared" si="46"/>
        <v>0</v>
      </c>
      <c r="AU89" s="224">
        <f t="shared" si="47"/>
        <v>0</v>
      </c>
      <c r="AV89" s="226">
        <f t="shared" si="48"/>
        <v>0</v>
      </c>
      <c r="AW89" s="224">
        <f t="shared" si="61"/>
        <v>0</v>
      </c>
      <c r="AX89" s="224">
        <f t="shared" si="62"/>
        <v>0</v>
      </c>
      <c r="AY89" s="224">
        <f t="shared" si="63"/>
        <v>0</v>
      </c>
      <c r="AZ89" s="711"/>
      <c r="BA89" s="399"/>
      <c r="BB89" s="399"/>
      <c r="BC89" s="225" t="str">
        <f>IF(OR(BW89=$BB$8,BZ89=$BB$8),MAX($BC$7:BC88)+1,"")</f>
        <v/>
      </c>
      <c r="BD89" s="225" t="str">
        <f>IF(OR(BW89=$BB$9,BZ89=$BB$9),MAX($BD$7:BD88)+1,"")</f>
        <v/>
      </c>
      <c r="BE89" s="225" t="str">
        <f>IF(OR(BW89=$BB$10,BZ89=$BB$10),MAX($BE$7:BE88)+1,"")</f>
        <v/>
      </c>
      <c r="BF89" s="225" t="str">
        <f>IF(OR(BW89=$BB$11,BZ89=$BB$11),MAX($BF$7:BF88)+1,"")</f>
        <v/>
      </c>
      <c r="BG89" s="225" t="str">
        <f>IF(OR(BW89=$BB$12,BZ89=$BB$12),MAX($BG$7:BG88)+1,"")</f>
        <v/>
      </c>
      <c r="BH89" s="225" t="str">
        <f>IF(OR(BW89=$BB$13,BZ89=$BB$13),MAX($BH$7:BH88)+1,"")</f>
        <v/>
      </c>
      <c r="BI89" s="225" t="str">
        <f>IF(OR(BW89=$BB$14,BZ89=$BB$14),MAX($BI$7:BI88)+1,"")</f>
        <v/>
      </c>
      <c r="BJ89" s="225" t="str">
        <f>IF(OR(BW89=$BB$15,BZ89=$BB$15),MAX($BJ$7:BJ88)+1,"")</f>
        <v/>
      </c>
      <c r="BK89" s="225" t="str">
        <f>IF(OR(BW89=$BB$16,BZ89=$BB$16),MAX($BK$7:BK88)+1,"")</f>
        <v/>
      </c>
      <c r="BL89" s="225" t="str">
        <f>IF(OR(BW89=$BB$17,BZ89=$BB$17),MAX($BL$7:BL88)+1,"")</f>
        <v/>
      </c>
      <c r="BM89" s="225" t="str">
        <f>IF(OR(BW89=$BB$18,BZ89=$BB$18),MAX($BM$7:BM88)+1,"")</f>
        <v/>
      </c>
      <c r="BN89" s="225" t="str">
        <f>IF(OR(BW89=$BB$19,BZ89=$BB$19),MAX($BN$7:BN88)+1,"")</f>
        <v/>
      </c>
      <c r="BO89" s="225" t="str">
        <f>IF(OR(BW89=$BB$20,BZ89=$BB$20),MAX($BO$7:BO88)+1,"")</f>
        <v/>
      </c>
      <c r="BP89" s="225">
        <f>IF(OR(BW89=$BB$21,BZ89=$BB$21),MAX($BP$7:BP88)+1,"")</f>
        <v>82</v>
      </c>
      <c r="BQ89" s="399"/>
      <c r="BR89" s="399"/>
      <c r="BS89" s="399"/>
      <c r="BT89" s="227">
        <f t="shared" si="49"/>
        <v>0</v>
      </c>
      <c r="BU89" s="225">
        <f t="shared" si="50"/>
        <v>0</v>
      </c>
      <c r="BV89" s="225">
        <f t="shared" si="51"/>
        <v>0</v>
      </c>
      <c r="BW89" s="225">
        <f t="shared" si="52"/>
        <v>0</v>
      </c>
      <c r="BX89" s="225">
        <f t="shared" si="53"/>
        <v>0</v>
      </c>
      <c r="BY89" s="225">
        <f t="shared" si="54"/>
        <v>0</v>
      </c>
      <c r="BZ89" s="225">
        <f t="shared" si="55"/>
        <v>0</v>
      </c>
      <c r="CA89" s="228">
        <f t="shared" si="56"/>
        <v>0</v>
      </c>
      <c r="CB89" s="228">
        <f t="shared" si="57"/>
        <v>0</v>
      </c>
      <c r="CC89" s="228">
        <f t="shared" si="58"/>
        <v>0</v>
      </c>
      <c r="CD89" s="228">
        <f t="shared" si="59"/>
        <v>0</v>
      </c>
      <c r="CE89" s="399"/>
      <c r="CF89" s="399"/>
    </row>
    <row r="90" spans="1:84" x14ac:dyDescent="0.4">
      <c r="A90" s="712" t="s">
        <v>687</v>
      </c>
      <c r="B90" s="231" t="str">
        <f t="shared" si="60"/>
        <v/>
      </c>
      <c r="C90" s="732"/>
      <c r="D90" s="401"/>
      <c r="E90" s="733"/>
      <c r="F90" s="734"/>
      <c r="G90" s="401"/>
      <c r="H90" s="733"/>
      <c r="I90" s="733"/>
      <c r="J90" s="735"/>
      <c r="K90" s="736"/>
      <c r="L90" s="737"/>
      <c r="M90" s="737"/>
      <c r="N90" s="741"/>
      <c r="O90" s="739"/>
      <c r="P90" s="740"/>
      <c r="Q90" s="254" t="str">
        <f t="shared" si="64"/>
        <v/>
      </c>
      <c r="R90" s="254" t="str">
        <f t="shared" si="65"/>
        <v/>
      </c>
      <c r="S90" s="258" t="str">
        <f t="shared" si="66"/>
        <v/>
      </c>
      <c r="AR90" s="225" t="str">
        <f>IF(AS90&gt;1,MAX($AR$7:AR89)+1,"")</f>
        <v/>
      </c>
      <c r="AS90" s="224">
        <f t="shared" si="45"/>
        <v>0</v>
      </c>
      <c r="AT90" s="225">
        <f t="shared" si="46"/>
        <v>0</v>
      </c>
      <c r="AU90" s="224">
        <f t="shared" si="47"/>
        <v>0</v>
      </c>
      <c r="AV90" s="226">
        <f t="shared" si="48"/>
        <v>0</v>
      </c>
      <c r="AW90" s="224">
        <f t="shared" si="61"/>
        <v>0</v>
      </c>
      <c r="AX90" s="224">
        <f t="shared" si="62"/>
        <v>0</v>
      </c>
      <c r="AY90" s="224">
        <f t="shared" si="63"/>
        <v>0</v>
      </c>
      <c r="AZ90" s="711"/>
      <c r="BA90" s="399"/>
      <c r="BB90" s="399"/>
      <c r="BC90" s="225" t="str">
        <f>IF(OR(BW90=$BB$8,BZ90=$BB$8),MAX($BC$7:BC89)+1,"")</f>
        <v/>
      </c>
      <c r="BD90" s="225" t="str">
        <f>IF(OR(BW90=$BB$9,BZ90=$BB$9),MAX($BD$7:BD89)+1,"")</f>
        <v/>
      </c>
      <c r="BE90" s="225" t="str">
        <f>IF(OR(BW90=$BB$10,BZ90=$BB$10),MAX($BE$7:BE89)+1,"")</f>
        <v/>
      </c>
      <c r="BF90" s="225" t="str">
        <f>IF(OR(BW90=$BB$11,BZ90=$BB$11),MAX($BF$7:BF89)+1,"")</f>
        <v/>
      </c>
      <c r="BG90" s="225" t="str">
        <f>IF(OR(BW90=$BB$12,BZ90=$BB$12),MAX($BG$7:BG89)+1,"")</f>
        <v/>
      </c>
      <c r="BH90" s="225" t="str">
        <f>IF(OR(BW90=$BB$13,BZ90=$BB$13),MAX($BH$7:BH89)+1,"")</f>
        <v/>
      </c>
      <c r="BI90" s="225" t="str">
        <f>IF(OR(BW90=$BB$14,BZ90=$BB$14),MAX($BI$7:BI89)+1,"")</f>
        <v/>
      </c>
      <c r="BJ90" s="225" t="str">
        <f>IF(OR(BW90=$BB$15,BZ90=$BB$15),MAX($BJ$7:BJ89)+1,"")</f>
        <v/>
      </c>
      <c r="BK90" s="225" t="str">
        <f>IF(OR(BW90=$BB$16,BZ90=$BB$16),MAX($BK$7:BK89)+1,"")</f>
        <v/>
      </c>
      <c r="BL90" s="225" t="str">
        <f>IF(OR(BW90=$BB$17,BZ90=$BB$17),MAX($BL$7:BL89)+1,"")</f>
        <v/>
      </c>
      <c r="BM90" s="225" t="str">
        <f>IF(OR(BW90=$BB$18,BZ90=$BB$18),MAX($BM$7:BM89)+1,"")</f>
        <v/>
      </c>
      <c r="BN90" s="225" t="str">
        <f>IF(OR(BW90=$BB$19,BZ90=$BB$19),MAX($BN$7:BN89)+1,"")</f>
        <v/>
      </c>
      <c r="BO90" s="225" t="str">
        <f>IF(OR(BW90=$BB$20,BZ90=$BB$20),MAX($BO$7:BO89)+1,"")</f>
        <v/>
      </c>
      <c r="BP90" s="225">
        <f>IF(OR(BW90=$BB$21,BZ90=$BB$21),MAX($BP$7:BP89)+1,"")</f>
        <v>83</v>
      </c>
      <c r="BQ90" s="399"/>
      <c r="BR90" s="399"/>
      <c r="BS90" s="399"/>
      <c r="BT90" s="227">
        <f t="shared" si="49"/>
        <v>0</v>
      </c>
      <c r="BU90" s="225">
        <f t="shared" si="50"/>
        <v>0</v>
      </c>
      <c r="BV90" s="225">
        <f t="shared" si="51"/>
        <v>0</v>
      </c>
      <c r="BW90" s="225">
        <f t="shared" si="52"/>
        <v>0</v>
      </c>
      <c r="BX90" s="225">
        <f t="shared" si="53"/>
        <v>0</v>
      </c>
      <c r="BY90" s="225">
        <f t="shared" si="54"/>
        <v>0</v>
      </c>
      <c r="BZ90" s="225">
        <f t="shared" si="55"/>
        <v>0</v>
      </c>
      <c r="CA90" s="228">
        <f t="shared" si="56"/>
        <v>0</v>
      </c>
      <c r="CB90" s="228">
        <f t="shared" si="57"/>
        <v>0</v>
      </c>
      <c r="CC90" s="228">
        <f t="shared" si="58"/>
        <v>0</v>
      </c>
      <c r="CD90" s="228">
        <f t="shared" si="59"/>
        <v>0</v>
      </c>
      <c r="CE90" s="399"/>
      <c r="CF90" s="399"/>
    </row>
    <row r="91" spans="1:84" x14ac:dyDescent="0.4">
      <c r="A91" s="712" t="s">
        <v>544</v>
      </c>
      <c r="B91" s="231" t="str">
        <f t="shared" si="60"/>
        <v/>
      </c>
      <c r="C91" s="732"/>
      <c r="D91" s="401"/>
      <c r="E91" s="733"/>
      <c r="F91" s="734"/>
      <c r="G91" s="401"/>
      <c r="H91" s="733"/>
      <c r="I91" s="733"/>
      <c r="J91" s="735"/>
      <c r="K91" s="736"/>
      <c r="L91" s="737"/>
      <c r="M91" s="737"/>
      <c r="N91" s="741"/>
      <c r="O91" s="739"/>
      <c r="P91" s="740"/>
      <c r="Q91" s="254" t="str">
        <f t="shared" si="64"/>
        <v/>
      </c>
      <c r="R91" s="254" t="str">
        <f t="shared" si="65"/>
        <v/>
      </c>
      <c r="S91" s="258" t="str">
        <f t="shared" si="66"/>
        <v/>
      </c>
      <c r="AR91" s="225" t="str">
        <f>IF(AS91&gt;1,MAX($AR$7:AR90)+1,"")</f>
        <v/>
      </c>
      <c r="AS91" s="224">
        <f t="shared" si="45"/>
        <v>0</v>
      </c>
      <c r="AT91" s="225">
        <f t="shared" si="46"/>
        <v>0</v>
      </c>
      <c r="AU91" s="224">
        <f t="shared" si="47"/>
        <v>0</v>
      </c>
      <c r="AV91" s="226">
        <f t="shared" si="48"/>
        <v>0</v>
      </c>
      <c r="AW91" s="224">
        <f t="shared" si="61"/>
        <v>0</v>
      </c>
      <c r="AX91" s="224">
        <f t="shared" si="62"/>
        <v>0</v>
      </c>
      <c r="AY91" s="224">
        <f t="shared" si="63"/>
        <v>0</v>
      </c>
      <c r="AZ91" s="711"/>
      <c r="BA91" s="399"/>
      <c r="BB91" s="399"/>
      <c r="BC91" s="225" t="str">
        <f>IF(OR(BW91=$BB$8,BZ91=$BB$8),MAX($BC$7:BC90)+1,"")</f>
        <v/>
      </c>
      <c r="BD91" s="225" t="str">
        <f>IF(OR(BW91=$BB$9,BZ91=$BB$9),MAX($BD$7:BD90)+1,"")</f>
        <v/>
      </c>
      <c r="BE91" s="225" t="str">
        <f>IF(OR(BW91=$BB$10,BZ91=$BB$10),MAX($BE$7:BE90)+1,"")</f>
        <v/>
      </c>
      <c r="BF91" s="225" t="str">
        <f>IF(OR(BW91=$BB$11,BZ91=$BB$11),MAX($BF$7:BF90)+1,"")</f>
        <v/>
      </c>
      <c r="BG91" s="225" t="str">
        <f>IF(OR(BW91=$BB$12,BZ91=$BB$12),MAX($BG$7:BG90)+1,"")</f>
        <v/>
      </c>
      <c r="BH91" s="225" t="str">
        <f>IF(OR(BW91=$BB$13,BZ91=$BB$13),MAX($BH$7:BH90)+1,"")</f>
        <v/>
      </c>
      <c r="BI91" s="225" t="str">
        <f>IF(OR(BW91=$BB$14,BZ91=$BB$14),MAX($BI$7:BI90)+1,"")</f>
        <v/>
      </c>
      <c r="BJ91" s="225" t="str">
        <f>IF(OR(BW91=$BB$15,BZ91=$BB$15),MAX($BJ$7:BJ90)+1,"")</f>
        <v/>
      </c>
      <c r="BK91" s="225" t="str">
        <f>IF(OR(BW91=$BB$16,BZ91=$BB$16),MAX($BK$7:BK90)+1,"")</f>
        <v/>
      </c>
      <c r="BL91" s="225" t="str">
        <f>IF(OR(BW91=$BB$17,BZ91=$BB$17),MAX($BL$7:BL90)+1,"")</f>
        <v/>
      </c>
      <c r="BM91" s="225" t="str">
        <f>IF(OR(BW91=$BB$18,BZ91=$BB$18),MAX($BM$7:BM90)+1,"")</f>
        <v/>
      </c>
      <c r="BN91" s="225" t="str">
        <f>IF(OR(BW91=$BB$19,BZ91=$BB$19),MAX($BN$7:BN90)+1,"")</f>
        <v/>
      </c>
      <c r="BO91" s="225" t="str">
        <f>IF(OR(BW91=$BB$20,BZ91=$BB$20),MAX($BO$7:BO90)+1,"")</f>
        <v/>
      </c>
      <c r="BP91" s="225">
        <f>IF(OR(BW91=$BB$21,BZ91=$BB$21),MAX($BP$7:BP90)+1,"")</f>
        <v>84</v>
      </c>
      <c r="BQ91" s="399"/>
      <c r="BR91" s="399"/>
      <c r="BS91" s="399"/>
      <c r="BT91" s="227">
        <f t="shared" si="49"/>
        <v>0</v>
      </c>
      <c r="BU91" s="225">
        <f t="shared" si="50"/>
        <v>0</v>
      </c>
      <c r="BV91" s="225">
        <f t="shared" si="51"/>
        <v>0</v>
      </c>
      <c r="BW91" s="225">
        <f t="shared" si="52"/>
        <v>0</v>
      </c>
      <c r="BX91" s="225">
        <f t="shared" si="53"/>
        <v>0</v>
      </c>
      <c r="BY91" s="225">
        <f t="shared" si="54"/>
        <v>0</v>
      </c>
      <c r="BZ91" s="225">
        <f t="shared" si="55"/>
        <v>0</v>
      </c>
      <c r="CA91" s="228">
        <f t="shared" si="56"/>
        <v>0</v>
      </c>
      <c r="CB91" s="228">
        <f t="shared" si="57"/>
        <v>0</v>
      </c>
      <c r="CC91" s="228">
        <f t="shared" si="58"/>
        <v>0</v>
      </c>
      <c r="CD91" s="228">
        <f t="shared" si="59"/>
        <v>0</v>
      </c>
      <c r="CE91" s="399"/>
      <c r="CF91" s="399"/>
    </row>
    <row r="92" spans="1:84" x14ac:dyDescent="0.4">
      <c r="A92" s="712" t="s">
        <v>688</v>
      </c>
      <c r="B92" s="231" t="str">
        <f t="shared" si="60"/>
        <v/>
      </c>
      <c r="C92" s="732"/>
      <c r="D92" s="401"/>
      <c r="E92" s="733"/>
      <c r="F92" s="734"/>
      <c r="G92" s="401"/>
      <c r="H92" s="733"/>
      <c r="I92" s="733"/>
      <c r="J92" s="735"/>
      <c r="K92" s="736"/>
      <c r="L92" s="737"/>
      <c r="M92" s="737"/>
      <c r="N92" s="741"/>
      <c r="O92" s="739"/>
      <c r="P92" s="740"/>
      <c r="Q92" s="254" t="str">
        <f t="shared" si="64"/>
        <v/>
      </c>
      <c r="R92" s="254" t="str">
        <f t="shared" si="65"/>
        <v/>
      </c>
      <c r="S92" s="258" t="str">
        <f t="shared" si="66"/>
        <v/>
      </c>
      <c r="AR92" s="225" t="str">
        <f>IF(AS92&gt;1,MAX($AR$7:AR91)+1,"")</f>
        <v/>
      </c>
      <c r="AS92" s="224">
        <f t="shared" si="45"/>
        <v>0</v>
      </c>
      <c r="AT92" s="225">
        <f t="shared" si="46"/>
        <v>0</v>
      </c>
      <c r="AU92" s="224">
        <f t="shared" si="47"/>
        <v>0</v>
      </c>
      <c r="AV92" s="226">
        <f t="shared" si="48"/>
        <v>0</v>
      </c>
      <c r="AW92" s="224">
        <f t="shared" si="61"/>
        <v>0</v>
      </c>
      <c r="AX92" s="224">
        <f t="shared" si="62"/>
        <v>0</v>
      </c>
      <c r="AY92" s="224">
        <f t="shared" si="63"/>
        <v>0</v>
      </c>
      <c r="AZ92" s="711"/>
      <c r="BA92" s="399"/>
      <c r="BB92" s="399"/>
      <c r="BC92" s="225" t="str">
        <f>IF(OR(BW92=$BB$8,BZ92=$BB$8),MAX($BC$7:BC91)+1,"")</f>
        <v/>
      </c>
      <c r="BD92" s="225" t="str">
        <f>IF(OR(BW92=$BB$9,BZ92=$BB$9),MAX($BD$7:BD91)+1,"")</f>
        <v/>
      </c>
      <c r="BE92" s="225" t="str">
        <f>IF(OR(BW92=$BB$10,BZ92=$BB$10),MAX($BE$7:BE91)+1,"")</f>
        <v/>
      </c>
      <c r="BF92" s="225" t="str">
        <f>IF(OR(BW92=$BB$11,BZ92=$BB$11),MAX($BF$7:BF91)+1,"")</f>
        <v/>
      </c>
      <c r="BG92" s="225" t="str">
        <f>IF(OR(BW92=$BB$12,BZ92=$BB$12),MAX($BG$7:BG91)+1,"")</f>
        <v/>
      </c>
      <c r="BH92" s="225" t="str">
        <f>IF(OR(BW92=$BB$13,BZ92=$BB$13),MAX($BH$7:BH91)+1,"")</f>
        <v/>
      </c>
      <c r="BI92" s="225" t="str">
        <f>IF(OR(BW92=$BB$14,BZ92=$BB$14),MAX($BI$7:BI91)+1,"")</f>
        <v/>
      </c>
      <c r="BJ92" s="225" t="str">
        <f>IF(OR(BW92=$BB$15,BZ92=$BB$15),MAX($BJ$7:BJ91)+1,"")</f>
        <v/>
      </c>
      <c r="BK92" s="225" t="str">
        <f>IF(OR(BW92=$BB$16,BZ92=$BB$16),MAX($BK$7:BK91)+1,"")</f>
        <v/>
      </c>
      <c r="BL92" s="225" t="str">
        <f>IF(OR(BW92=$BB$17,BZ92=$BB$17),MAX($BL$7:BL91)+1,"")</f>
        <v/>
      </c>
      <c r="BM92" s="225" t="str">
        <f>IF(OR(BW92=$BB$18,BZ92=$BB$18),MAX($BM$7:BM91)+1,"")</f>
        <v/>
      </c>
      <c r="BN92" s="225" t="str">
        <f>IF(OR(BW92=$BB$19,BZ92=$BB$19),MAX($BN$7:BN91)+1,"")</f>
        <v/>
      </c>
      <c r="BO92" s="225" t="str">
        <f>IF(OR(BW92=$BB$20,BZ92=$BB$20),MAX($BO$7:BO91)+1,"")</f>
        <v/>
      </c>
      <c r="BP92" s="225">
        <f>IF(OR(BW92=$BB$21,BZ92=$BB$21),MAX($BP$7:BP91)+1,"")</f>
        <v>85</v>
      </c>
      <c r="BQ92" s="399"/>
      <c r="BR92" s="399"/>
      <c r="BS92" s="399"/>
      <c r="BT92" s="227">
        <f t="shared" si="49"/>
        <v>0</v>
      </c>
      <c r="BU92" s="225">
        <f t="shared" si="50"/>
        <v>0</v>
      </c>
      <c r="BV92" s="225">
        <f t="shared" si="51"/>
        <v>0</v>
      </c>
      <c r="BW92" s="225">
        <f t="shared" si="52"/>
        <v>0</v>
      </c>
      <c r="BX92" s="225">
        <f t="shared" si="53"/>
        <v>0</v>
      </c>
      <c r="BY92" s="225">
        <f t="shared" si="54"/>
        <v>0</v>
      </c>
      <c r="BZ92" s="225">
        <f t="shared" si="55"/>
        <v>0</v>
      </c>
      <c r="CA92" s="228">
        <f t="shared" si="56"/>
        <v>0</v>
      </c>
      <c r="CB92" s="228">
        <f t="shared" si="57"/>
        <v>0</v>
      </c>
      <c r="CC92" s="228">
        <f t="shared" si="58"/>
        <v>0</v>
      </c>
      <c r="CD92" s="228">
        <f t="shared" si="59"/>
        <v>0</v>
      </c>
      <c r="CE92" s="399"/>
      <c r="CF92" s="399"/>
    </row>
    <row r="93" spans="1:84" x14ac:dyDescent="0.4">
      <c r="A93" s="712" t="s">
        <v>545</v>
      </c>
      <c r="B93" s="231" t="str">
        <f t="shared" si="60"/>
        <v/>
      </c>
      <c r="C93" s="732"/>
      <c r="D93" s="401"/>
      <c r="E93" s="733"/>
      <c r="F93" s="734"/>
      <c r="G93" s="401"/>
      <c r="H93" s="733"/>
      <c r="I93" s="733"/>
      <c r="J93" s="735"/>
      <c r="K93" s="736"/>
      <c r="L93" s="737"/>
      <c r="M93" s="737"/>
      <c r="N93" s="741"/>
      <c r="O93" s="739"/>
      <c r="P93" s="740"/>
      <c r="Q93" s="254" t="str">
        <f t="shared" si="64"/>
        <v/>
      </c>
      <c r="R93" s="254" t="str">
        <f t="shared" si="65"/>
        <v/>
      </c>
      <c r="S93" s="258" t="str">
        <f t="shared" si="66"/>
        <v/>
      </c>
      <c r="AR93" s="225" t="str">
        <f>IF(AS93&gt;1,MAX($AR$7:AR92)+1,"")</f>
        <v/>
      </c>
      <c r="AS93" s="224">
        <f t="shared" si="45"/>
        <v>0</v>
      </c>
      <c r="AT93" s="225">
        <f t="shared" si="46"/>
        <v>0</v>
      </c>
      <c r="AU93" s="224">
        <f t="shared" si="47"/>
        <v>0</v>
      </c>
      <c r="AV93" s="226">
        <f t="shared" si="48"/>
        <v>0</v>
      </c>
      <c r="AW93" s="224">
        <f t="shared" si="61"/>
        <v>0</v>
      </c>
      <c r="AX93" s="224">
        <f t="shared" si="62"/>
        <v>0</v>
      </c>
      <c r="AY93" s="224">
        <f t="shared" si="63"/>
        <v>0</v>
      </c>
      <c r="AZ93" s="711"/>
      <c r="BA93" s="399"/>
      <c r="BB93" s="399"/>
      <c r="BC93" s="225" t="str">
        <f>IF(OR(BW93=$BB$8,BZ93=$BB$8),MAX($BC$7:BC92)+1,"")</f>
        <v/>
      </c>
      <c r="BD93" s="225" t="str">
        <f>IF(OR(BW93=$BB$9,BZ93=$BB$9),MAX($BD$7:BD92)+1,"")</f>
        <v/>
      </c>
      <c r="BE93" s="225" t="str">
        <f>IF(OR(BW93=$BB$10,BZ93=$BB$10),MAX($BE$7:BE92)+1,"")</f>
        <v/>
      </c>
      <c r="BF93" s="225" t="str">
        <f>IF(OR(BW93=$BB$11,BZ93=$BB$11),MAX($BF$7:BF92)+1,"")</f>
        <v/>
      </c>
      <c r="BG93" s="225" t="str">
        <f>IF(OR(BW93=$BB$12,BZ93=$BB$12),MAX($BG$7:BG92)+1,"")</f>
        <v/>
      </c>
      <c r="BH93" s="225" t="str">
        <f>IF(OR(BW93=$BB$13,BZ93=$BB$13),MAX($BH$7:BH92)+1,"")</f>
        <v/>
      </c>
      <c r="BI93" s="225" t="str">
        <f>IF(OR(BW93=$BB$14,BZ93=$BB$14),MAX($BI$7:BI92)+1,"")</f>
        <v/>
      </c>
      <c r="BJ93" s="225" t="str">
        <f>IF(OR(BW93=$BB$15,BZ93=$BB$15),MAX($BJ$7:BJ92)+1,"")</f>
        <v/>
      </c>
      <c r="BK93" s="225" t="str">
        <f>IF(OR(BW93=$BB$16,BZ93=$BB$16),MAX($BK$7:BK92)+1,"")</f>
        <v/>
      </c>
      <c r="BL93" s="225" t="str">
        <f>IF(OR(BW93=$BB$17,BZ93=$BB$17),MAX($BL$7:BL92)+1,"")</f>
        <v/>
      </c>
      <c r="BM93" s="225" t="str">
        <f>IF(OR(BW93=$BB$18,BZ93=$BB$18),MAX($BM$7:BM92)+1,"")</f>
        <v/>
      </c>
      <c r="BN93" s="225" t="str">
        <f>IF(OR(BW93=$BB$19,BZ93=$BB$19),MAX($BN$7:BN92)+1,"")</f>
        <v/>
      </c>
      <c r="BO93" s="225" t="str">
        <f>IF(OR(BW93=$BB$20,BZ93=$BB$20),MAX($BO$7:BO92)+1,"")</f>
        <v/>
      </c>
      <c r="BP93" s="225">
        <f>IF(OR(BW93=$BB$21,BZ93=$BB$21),MAX($BP$7:BP92)+1,"")</f>
        <v>86</v>
      </c>
      <c r="BQ93" s="399"/>
      <c r="BR93" s="399"/>
      <c r="BS93" s="399"/>
      <c r="BT93" s="227">
        <f t="shared" si="49"/>
        <v>0</v>
      </c>
      <c r="BU93" s="225">
        <f t="shared" si="50"/>
        <v>0</v>
      </c>
      <c r="BV93" s="225">
        <f t="shared" si="51"/>
        <v>0</v>
      </c>
      <c r="BW93" s="225">
        <f t="shared" si="52"/>
        <v>0</v>
      </c>
      <c r="BX93" s="225">
        <f t="shared" si="53"/>
        <v>0</v>
      </c>
      <c r="BY93" s="225">
        <f t="shared" si="54"/>
        <v>0</v>
      </c>
      <c r="BZ93" s="225">
        <f t="shared" si="55"/>
        <v>0</v>
      </c>
      <c r="CA93" s="228">
        <f t="shared" si="56"/>
        <v>0</v>
      </c>
      <c r="CB93" s="228">
        <f t="shared" si="57"/>
        <v>0</v>
      </c>
      <c r="CC93" s="228">
        <f t="shared" si="58"/>
        <v>0</v>
      </c>
      <c r="CD93" s="228">
        <f t="shared" si="59"/>
        <v>0</v>
      </c>
      <c r="CE93" s="399"/>
      <c r="CF93" s="399"/>
    </row>
    <row r="94" spans="1:84" x14ac:dyDescent="0.4">
      <c r="A94" s="712" t="s">
        <v>689</v>
      </c>
      <c r="B94" s="231" t="str">
        <f t="shared" si="60"/>
        <v/>
      </c>
      <c r="C94" s="732"/>
      <c r="D94" s="401"/>
      <c r="E94" s="733"/>
      <c r="F94" s="734"/>
      <c r="G94" s="401"/>
      <c r="H94" s="733"/>
      <c r="I94" s="733"/>
      <c r="J94" s="735"/>
      <c r="K94" s="736"/>
      <c r="L94" s="737"/>
      <c r="M94" s="737"/>
      <c r="N94" s="741"/>
      <c r="O94" s="739"/>
      <c r="P94" s="740"/>
      <c r="Q94" s="254" t="str">
        <f t="shared" si="64"/>
        <v/>
      </c>
      <c r="R94" s="254" t="str">
        <f t="shared" si="65"/>
        <v/>
      </c>
      <c r="S94" s="258" t="str">
        <f t="shared" si="66"/>
        <v/>
      </c>
      <c r="AR94" s="225" t="str">
        <f>IF(AS94&gt;1,MAX($AR$7:AR93)+1,"")</f>
        <v/>
      </c>
      <c r="AS94" s="224">
        <f t="shared" si="45"/>
        <v>0</v>
      </c>
      <c r="AT94" s="225">
        <f t="shared" si="46"/>
        <v>0</v>
      </c>
      <c r="AU94" s="224">
        <f t="shared" si="47"/>
        <v>0</v>
      </c>
      <c r="AV94" s="226">
        <f t="shared" si="48"/>
        <v>0</v>
      </c>
      <c r="AW94" s="224">
        <f t="shared" si="61"/>
        <v>0</v>
      </c>
      <c r="AX94" s="224">
        <f t="shared" si="62"/>
        <v>0</v>
      </c>
      <c r="AY94" s="224">
        <f t="shared" si="63"/>
        <v>0</v>
      </c>
      <c r="AZ94" s="711"/>
      <c r="BA94" s="399"/>
      <c r="BB94" s="399"/>
      <c r="BC94" s="225" t="str">
        <f>IF(OR(BW94=$BB$8,BZ94=$BB$8),MAX($BC$7:BC93)+1,"")</f>
        <v/>
      </c>
      <c r="BD94" s="225" t="str">
        <f>IF(OR(BW94=$BB$9,BZ94=$BB$9),MAX($BD$7:BD93)+1,"")</f>
        <v/>
      </c>
      <c r="BE94" s="225" t="str">
        <f>IF(OR(BW94=$BB$10,BZ94=$BB$10),MAX($BE$7:BE93)+1,"")</f>
        <v/>
      </c>
      <c r="BF94" s="225" t="str">
        <f>IF(OR(BW94=$BB$11,BZ94=$BB$11),MAX($BF$7:BF93)+1,"")</f>
        <v/>
      </c>
      <c r="BG94" s="225" t="str">
        <f>IF(OR(BW94=$BB$12,BZ94=$BB$12),MAX($BG$7:BG93)+1,"")</f>
        <v/>
      </c>
      <c r="BH94" s="225" t="str">
        <f>IF(OR(BW94=$BB$13,BZ94=$BB$13),MAX($BH$7:BH93)+1,"")</f>
        <v/>
      </c>
      <c r="BI94" s="225" t="str">
        <f>IF(OR(BW94=$BB$14,BZ94=$BB$14),MAX($BI$7:BI93)+1,"")</f>
        <v/>
      </c>
      <c r="BJ94" s="225" t="str">
        <f>IF(OR(BW94=$BB$15,BZ94=$BB$15),MAX($BJ$7:BJ93)+1,"")</f>
        <v/>
      </c>
      <c r="BK94" s="225" t="str">
        <f>IF(OR(BW94=$BB$16,BZ94=$BB$16),MAX($BK$7:BK93)+1,"")</f>
        <v/>
      </c>
      <c r="BL94" s="225" t="str">
        <f>IF(OR(BW94=$BB$17,BZ94=$BB$17),MAX($BL$7:BL93)+1,"")</f>
        <v/>
      </c>
      <c r="BM94" s="225" t="str">
        <f>IF(OR(BW94=$BB$18,BZ94=$BB$18),MAX($BM$7:BM93)+1,"")</f>
        <v/>
      </c>
      <c r="BN94" s="225" t="str">
        <f>IF(OR(BW94=$BB$19,BZ94=$BB$19),MAX($BN$7:BN93)+1,"")</f>
        <v/>
      </c>
      <c r="BO94" s="225" t="str">
        <f>IF(OR(BW94=$BB$20,BZ94=$BB$20),MAX($BO$7:BO93)+1,"")</f>
        <v/>
      </c>
      <c r="BP94" s="225">
        <f>IF(OR(BW94=$BB$21,BZ94=$BB$21),MAX($BP$7:BP93)+1,"")</f>
        <v>87</v>
      </c>
      <c r="BQ94" s="399"/>
      <c r="BR94" s="399"/>
      <c r="BS94" s="399"/>
      <c r="BT94" s="227">
        <f t="shared" si="49"/>
        <v>0</v>
      </c>
      <c r="BU94" s="225">
        <f t="shared" si="50"/>
        <v>0</v>
      </c>
      <c r="BV94" s="225">
        <f t="shared" si="51"/>
        <v>0</v>
      </c>
      <c r="BW94" s="225">
        <f t="shared" si="52"/>
        <v>0</v>
      </c>
      <c r="BX94" s="225">
        <f t="shared" si="53"/>
        <v>0</v>
      </c>
      <c r="BY94" s="225">
        <f t="shared" si="54"/>
        <v>0</v>
      </c>
      <c r="BZ94" s="225">
        <f t="shared" si="55"/>
        <v>0</v>
      </c>
      <c r="CA94" s="228">
        <f t="shared" si="56"/>
        <v>0</v>
      </c>
      <c r="CB94" s="228">
        <f t="shared" si="57"/>
        <v>0</v>
      </c>
      <c r="CC94" s="228">
        <f t="shared" si="58"/>
        <v>0</v>
      </c>
      <c r="CD94" s="228">
        <f t="shared" si="59"/>
        <v>0</v>
      </c>
      <c r="CE94" s="399"/>
      <c r="CF94" s="399"/>
    </row>
    <row r="95" spans="1:84" x14ac:dyDescent="0.4">
      <c r="A95" s="712" t="s">
        <v>692</v>
      </c>
      <c r="B95" s="231" t="str">
        <f t="shared" si="60"/>
        <v/>
      </c>
      <c r="C95" s="732"/>
      <c r="D95" s="401"/>
      <c r="E95" s="733"/>
      <c r="F95" s="734"/>
      <c r="G95" s="401"/>
      <c r="H95" s="733"/>
      <c r="I95" s="733"/>
      <c r="J95" s="735"/>
      <c r="K95" s="736"/>
      <c r="L95" s="737"/>
      <c r="M95" s="737"/>
      <c r="N95" s="741"/>
      <c r="O95" s="739"/>
      <c r="P95" s="740"/>
      <c r="Q95" s="254" t="str">
        <f t="shared" si="64"/>
        <v/>
      </c>
      <c r="R95" s="254" t="str">
        <f t="shared" si="65"/>
        <v/>
      </c>
      <c r="S95" s="258" t="str">
        <f t="shared" si="66"/>
        <v/>
      </c>
      <c r="AR95" s="225" t="str">
        <f>IF(AS95&gt;1,MAX($AR$7:AR94)+1,"")</f>
        <v/>
      </c>
      <c r="AS95" s="224">
        <f t="shared" si="45"/>
        <v>0</v>
      </c>
      <c r="AT95" s="225">
        <f t="shared" si="46"/>
        <v>0</v>
      </c>
      <c r="AU95" s="224">
        <f t="shared" si="47"/>
        <v>0</v>
      </c>
      <c r="AV95" s="226">
        <f t="shared" si="48"/>
        <v>0</v>
      </c>
      <c r="AW95" s="224">
        <f t="shared" si="61"/>
        <v>0</v>
      </c>
      <c r="AX95" s="224">
        <f t="shared" si="62"/>
        <v>0</v>
      </c>
      <c r="AY95" s="224">
        <f t="shared" si="63"/>
        <v>0</v>
      </c>
      <c r="AZ95" s="711"/>
      <c r="BA95" s="399"/>
      <c r="BB95" s="399"/>
      <c r="BC95" s="225" t="str">
        <f>IF(OR(BW95=$BB$8,BZ95=$BB$8),MAX($BC$7:BC94)+1,"")</f>
        <v/>
      </c>
      <c r="BD95" s="225" t="str">
        <f>IF(OR(BW95=$BB$9,BZ95=$BB$9),MAX($BD$7:BD94)+1,"")</f>
        <v/>
      </c>
      <c r="BE95" s="225" t="str">
        <f>IF(OR(BW95=$BB$10,BZ95=$BB$10),MAX($BE$7:BE94)+1,"")</f>
        <v/>
      </c>
      <c r="BF95" s="225" t="str">
        <f>IF(OR(BW95=$BB$11,BZ95=$BB$11),MAX($BF$7:BF94)+1,"")</f>
        <v/>
      </c>
      <c r="BG95" s="225" t="str">
        <f>IF(OR(BW95=$BB$12,BZ95=$BB$12),MAX($BG$7:BG94)+1,"")</f>
        <v/>
      </c>
      <c r="BH95" s="225" t="str">
        <f>IF(OR(BW95=$BB$13,BZ95=$BB$13),MAX($BH$7:BH94)+1,"")</f>
        <v/>
      </c>
      <c r="BI95" s="225" t="str">
        <f>IF(OR(BW95=$BB$14,BZ95=$BB$14),MAX($BI$7:BI94)+1,"")</f>
        <v/>
      </c>
      <c r="BJ95" s="225" t="str">
        <f>IF(OR(BW95=$BB$15,BZ95=$BB$15),MAX($BJ$7:BJ94)+1,"")</f>
        <v/>
      </c>
      <c r="BK95" s="225" t="str">
        <f>IF(OR(BW95=$BB$16,BZ95=$BB$16),MAX($BK$7:BK94)+1,"")</f>
        <v/>
      </c>
      <c r="BL95" s="225" t="str">
        <f>IF(OR(BW95=$BB$17,BZ95=$BB$17),MAX($BL$7:BL94)+1,"")</f>
        <v/>
      </c>
      <c r="BM95" s="225" t="str">
        <f>IF(OR(BW95=$BB$18,BZ95=$BB$18),MAX($BM$7:BM94)+1,"")</f>
        <v/>
      </c>
      <c r="BN95" s="225" t="str">
        <f>IF(OR(BW95=$BB$19,BZ95=$BB$19),MAX($BN$7:BN94)+1,"")</f>
        <v/>
      </c>
      <c r="BO95" s="225" t="str">
        <f>IF(OR(BW95=$BB$20,BZ95=$BB$20),MAX($BO$7:BO94)+1,"")</f>
        <v/>
      </c>
      <c r="BP95" s="225">
        <f>IF(OR(BW95=$BB$21,BZ95=$BB$21),MAX($BP$7:BP94)+1,"")</f>
        <v>88</v>
      </c>
      <c r="BQ95" s="399"/>
      <c r="BR95" s="399"/>
      <c r="BS95" s="399"/>
      <c r="BT95" s="227">
        <f t="shared" si="49"/>
        <v>0</v>
      </c>
      <c r="BU95" s="225">
        <f t="shared" si="50"/>
        <v>0</v>
      </c>
      <c r="BV95" s="225">
        <f t="shared" si="51"/>
        <v>0</v>
      </c>
      <c r="BW95" s="225">
        <f t="shared" si="52"/>
        <v>0</v>
      </c>
      <c r="BX95" s="225">
        <f t="shared" si="53"/>
        <v>0</v>
      </c>
      <c r="BY95" s="225">
        <f t="shared" si="54"/>
        <v>0</v>
      </c>
      <c r="BZ95" s="225">
        <f t="shared" si="55"/>
        <v>0</v>
      </c>
      <c r="CA95" s="228">
        <f t="shared" si="56"/>
        <v>0</v>
      </c>
      <c r="CB95" s="228">
        <f t="shared" si="57"/>
        <v>0</v>
      </c>
      <c r="CC95" s="228">
        <f t="shared" si="58"/>
        <v>0</v>
      </c>
      <c r="CD95" s="228">
        <f t="shared" si="59"/>
        <v>0</v>
      </c>
      <c r="CE95" s="399"/>
      <c r="CF95" s="399"/>
    </row>
    <row r="96" spans="1:84" x14ac:dyDescent="0.4">
      <c r="A96" s="712" t="s">
        <v>690</v>
      </c>
      <c r="B96" s="231" t="str">
        <f t="shared" si="60"/>
        <v/>
      </c>
      <c r="C96" s="732"/>
      <c r="D96" s="401"/>
      <c r="E96" s="733"/>
      <c r="F96" s="734"/>
      <c r="G96" s="401"/>
      <c r="H96" s="733"/>
      <c r="I96" s="733"/>
      <c r="J96" s="735"/>
      <c r="K96" s="736"/>
      <c r="L96" s="737"/>
      <c r="M96" s="737"/>
      <c r="N96" s="741"/>
      <c r="O96" s="739"/>
      <c r="P96" s="740"/>
      <c r="Q96" s="254" t="str">
        <f t="shared" si="64"/>
        <v/>
      </c>
      <c r="R96" s="254" t="str">
        <f t="shared" si="65"/>
        <v/>
      </c>
      <c r="S96" s="258" t="str">
        <f t="shared" si="66"/>
        <v/>
      </c>
      <c r="AR96" s="225" t="str">
        <f>IF(AS96&gt;1,MAX($AR$7:AR95)+1,"")</f>
        <v/>
      </c>
      <c r="AS96" s="224">
        <f t="shared" si="45"/>
        <v>0</v>
      </c>
      <c r="AT96" s="225">
        <f t="shared" si="46"/>
        <v>0</v>
      </c>
      <c r="AU96" s="224">
        <f t="shared" si="47"/>
        <v>0</v>
      </c>
      <c r="AV96" s="226">
        <f t="shared" si="48"/>
        <v>0</v>
      </c>
      <c r="AW96" s="224">
        <f t="shared" si="61"/>
        <v>0</v>
      </c>
      <c r="AX96" s="224">
        <f t="shared" si="62"/>
        <v>0</v>
      </c>
      <c r="AY96" s="224">
        <f t="shared" si="63"/>
        <v>0</v>
      </c>
      <c r="AZ96" s="711"/>
      <c r="BA96" s="399"/>
      <c r="BB96" s="399"/>
      <c r="BC96" s="225" t="str">
        <f>IF(OR(BW96=$BB$8,BZ96=$BB$8),MAX($BC$7:BC95)+1,"")</f>
        <v/>
      </c>
      <c r="BD96" s="225" t="str">
        <f>IF(OR(BW96=$BB$9,BZ96=$BB$9),MAX($BD$7:BD95)+1,"")</f>
        <v/>
      </c>
      <c r="BE96" s="225" t="str">
        <f>IF(OR(BW96=$BB$10,BZ96=$BB$10),MAX($BE$7:BE95)+1,"")</f>
        <v/>
      </c>
      <c r="BF96" s="225" t="str">
        <f>IF(OR(BW96=$BB$11,BZ96=$BB$11),MAX($BF$7:BF95)+1,"")</f>
        <v/>
      </c>
      <c r="BG96" s="225" t="str">
        <f>IF(OR(BW96=$BB$12,BZ96=$BB$12),MAX($BG$7:BG95)+1,"")</f>
        <v/>
      </c>
      <c r="BH96" s="225" t="str">
        <f>IF(OR(BW96=$BB$13,BZ96=$BB$13),MAX($BH$7:BH95)+1,"")</f>
        <v/>
      </c>
      <c r="BI96" s="225" t="str">
        <f>IF(OR(BW96=$BB$14,BZ96=$BB$14),MAX($BI$7:BI95)+1,"")</f>
        <v/>
      </c>
      <c r="BJ96" s="225" t="str">
        <f>IF(OR(BW96=$BB$15,BZ96=$BB$15),MAX($BJ$7:BJ95)+1,"")</f>
        <v/>
      </c>
      <c r="BK96" s="225" t="str">
        <f>IF(OR(BW96=$BB$16,BZ96=$BB$16),MAX($BK$7:BK95)+1,"")</f>
        <v/>
      </c>
      <c r="BL96" s="225" t="str">
        <f>IF(OR(BW96=$BB$17,BZ96=$BB$17),MAX($BL$7:BL95)+1,"")</f>
        <v/>
      </c>
      <c r="BM96" s="225" t="str">
        <f>IF(OR(BW96=$BB$18,BZ96=$BB$18),MAX($BM$7:BM95)+1,"")</f>
        <v/>
      </c>
      <c r="BN96" s="225" t="str">
        <f>IF(OR(BW96=$BB$19,BZ96=$BB$19),MAX($BN$7:BN95)+1,"")</f>
        <v/>
      </c>
      <c r="BO96" s="225" t="str">
        <f>IF(OR(BW96=$BB$20,BZ96=$BB$20),MAX($BO$7:BO95)+1,"")</f>
        <v/>
      </c>
      <c r="BP96" s="225">
        <f>IF(OR(BW96=$BB$21,BZ96=$BB$21),MAX($BP$7:BP95)+1,"")</f>
        <v>89</v>
      </c>
      <c r="BQ96" s="399"/>
      <c r="BR96" s="399"/>
      <c r="BS96" s="399"/>
      <c r="BT96" s="227">
        <f t="shared" si="49"/>
        <v>0</v>
      </c>
      <c r="BU96" s="225">
        <f t="shared" si="50"/>
        <v>0</v>
      </c>
      <c r="BV96" s="225">
        <f t="shared" si="51"/>
        <v>0</v>
      </c>
      <c r="BW96" s="225">
        <f t="shared" si="52"/>
        <v>0</v>
      </c>
      <c r="BX96" s="225">
        <f t="shared" si="53"/>
        <v>0</v>
      </c>
      <c r="BY96" s="225">
        <f t="shared" si="54"/>
        <v>0</v>
      </c>
      <c r="BZ96" s="225">
        <f t="shared" si="55"/>
        <v>0</v>
      </c>
      <c r="CA96" s="228">
        <f t="shared" si="56"/>
        <v>0</v>
      </c>
      <c r="CB96" s="228">
        <f t="shared" si="57"/>
        <v>0</v>
      </c>
      <c r="CC96" s="228">
        <f t="shared" si="58"/>
        <v>0</v>
      </c>
      <c r="CD96" s="228">
        <f t="shared" si="59"/>
        <v>0</v>
      </c>
      <c r="CE96" s="399"/>
      <c r="CF96" s="399"/>
    </row>
    <row r="97" spans="1:84" x14ac:dyDescent="0.4">
      <c r="A97" s="712" t="s">
        <v>691</v>
      </c>
      <c r="B97" s="231" t="str">
        <f t="shared" si="60"/>
        <v/>
      </c>
      <c r="C97" s="732"/>
      <c r="D97" s="401"/>
      <c r="E97" s="733"/>
      <c r="F97" s="734"/>
      <c r="G97" s="401"/>
      <c r="H97" s="733"/>
      <c r="I97" s="733"/>
      <c r="J97" s="735"/>
      <c r="K97" s="736"/>
      <c r="L97" s="737"/>
      <c r="M97" s="737"/>
      <c r="N97" s="741"/>
      <c r="O97" s="739"/>
      <c r="P97" s="740"/>
      <c r="Q97" s="254" t="str">
        <f t="shared" si="64"/>
        <v/>
      </c>
      <c r="R97" s="254" t="str">
        <f t="shared" si="65"/>
        <v/>
      </c>
      <c r="S97" s="258" t="str">
        <f t="shared" si="66"/>
        <v/>
      </c>
      <c r="AR97" s="225" t="str">
        <f>IF(AS97&gt;1,MAX($AR$7:AR96)+1,"")</f>
        <v/>
      </c>
      <c r="AS97" s="224">
        <f t="shared" si="45"/>
        <v>0</v>
      </c>
      <c r="AT97" s="225">
        <f t="shared" si="46"/>
        <v>0</v>
      </c>
      <c r="AU97" s="224">
        <f t="shared" si="47"/>
        <v>0</v>
      </c>
      <c r="AV97" s="226">
        <f t="shared" si="48"/>
        <v>0</v>
      </c>
      <c r="AW97" s="224">
        <f t="shared" si="61"/>
        <v>0</v>
      </c>
      <c r="AX97" s="224">
        <f t="shared" si="62"/>
        <v>0</v>
      </c>
      <c r="AY97" s="224">
        <f t="shared" si="63"/>
        <v>0</v>
      </c>
      <c r="AZ97" s="711"/>
      <c r="BA97" s="399"/>
      <c r="BB97" s="399"/>
      <c r="BC97" s="225" t="str">
        <f>IF(OR(BW97=$BB$8,BZ97=$BB$8),MAX($BC$7:BC96)+1,"")</f>
        <v/>
      </c>
      <c r="BD97" s="225" t="str">
        <f>IF(OR(BW97=$BB$9,BZ97=$BB$9),MAX($BD$7:BD96)+1,"")</f>
        <v/>
      </c>
      <c r="BE97" s="225" t="str">
        <f>IF(OR(BW97=$BB$10,BZ97=$BB$10),MAX($BE$7:BE96)+1,"")</f>
        <v/>
      </c>
      <c r="BF97" s="225" t="str">
        <f>IF(OR(BW97=$BB$11,BZ97=$BB$11),MAX($BF$7:BF96)+1,"")</f>
        <v/>
      </c>
      <c r="BG97" s="225" t="str">
        <f>IF(OR(BW97=$BB$12,BZ97=$BB$12),MAX($BG$7:BG96)+1,"")</f>
        <v/>
      </c>
      <c r="BH97" s="225" t="str">
        <f>IF(OR(BW97=$BB$13,BZ97=$BB$13),MAX($BH$7:BH96)+1,"")</f>
        <v/>
      </c>
      <c r="BI97" s="225" t="str">
        <f>IF(OR(BW97=$BB$14,BZ97=$BB$14),MAX($BI$7:BI96)+1,"")</f>
        <v/>
      </c>
      <c r="BJ97" s="225" t="str">
        <f>IF(OR(BW97=$BB$15,BZ97=$BB$15),MAX($BJ$7:BJ96)+1,"")</f>
        <v/>
      </c>
      <c r="BK97" s="225" t="str">
        <f>IF(OR(BW97=$BB$16,BZ97=$BB$16),MAX($BK$7:BK96)+1,"")</f>
        <v/>
      </c>
      <c r="BL97" s="225" t="str">
        <f>IF(OR(BW97=$BB$17,BZ97=$BB$17),MAX($BL$7:BL96)+1,"")</f>
        <v/>
      </c>
      <c r="BM97" s="225" t="str">
        <f>IF(OR(BW97=$BB$18,BZ97=$BB$18),MAX($BM$7:BM96)+1,"")</f>
        <v/>
      </c>
      <c r="BN97" s="225" t="str">
        <f>IF(OR(BW97=$BB$19,BZ97=$BB$19),MAX($BN$7:BN96)+1,"")</f>
        <v/>
      </c>
      <c r="BO97" s="225" t="str">
        <f>IF(OR(BW97=$BB$20,BZ97=$BB$20),MAX($BO$7:BO96)+1,"")</f>
        <v/>
      </c>
      <c r="BP97" s="225">
        <f>IF(OR(BW97=$BB$21,BZ97=$BB$21),MAX($BP$7:BP96)+1,"")</f>
        <v>90</v>
      </c>
      <c r="BQ97" s="399"/>
      <c r="BR97" s="399"/>
      <c r="BS97" s="399"/>
      <c r="BT97" s="227">
        <f t="shared" si="49"/>
        <v>0</v>
      </c>
      <c r="BU97" s="225">
        <f t="shared" si="50"/>
        <v>0</v>
      </c>
      <c r="BV97" s="225">
        <f t="shared" si="51"/>
        <v>0</v>
      </c>
      <c r="BW97" s="225">
        <f t="shared" si="52"/>
        <v>0</v>
      </c>
      <c r="BX97" s="225">
        <f t="shared" si="53"/>
        <v>0</v>
      </c>
      <c r="BY97" s="225">
        <f t="shared" si="54"/>
        <v>0</v>
      </c>
      <c r="BZ97" s="225">
        <f t="shared" si="55"/>
        <v>0</v>
      </c>
      <c r="CA97" s="228">
        <f t="shared" si="56"/>
        <v>0</v>
      </c>
      <c r="CB97" s="228">
        <f t="shared" si="57"/>
        <v>0</v>
      </c>
      <c r="CC97" s="228">
        <f t="shared" si="58"/>
        <v>0</v>
      </c>
      <c r="CD97" s="228">
        <f t="shared" si="59"/>
        <v>0</v>
      </c>
      <c r="CE97" s="399"/>
      <c r="CF97" s="399"/>
    </row>
    <row r="98" spans="1:84" x14ac:dyDescent="0.4">
      <c r="B98" s="231" t="str">
        <f t="shared" si="60"/>
        <v/>
      </c>
      <c r="C98" s="732"/>
      <c r="D98" s="401"/>
      <c r="E98" s="733"/>
      <c r="F98" s="734"/>
      <c r="G98" s="401"/>
      <c r="H98" s="733"/>
      <c r="I98" s="733"/>
      <c r="J98" s="735"/>
      <c r="K98" s="736"/>
      <c r="L98" s="737"/>
      <c r="M98" s="737"/>
      <c r="N98" s="741"/>
      <c r="O98" s="739"/>
      <c r="P98" s="740"/>
      <c r="Q98" s="254" t="str">
        <f t="shared" si="64"/>
        <v/>
      </c>
      <c r="R98" s="254" t="str">
        <f t="shared" si="65"/>
        <v/>
      </c>
      <c r="S98" s="258" t="str">
        <f t="shared" si="66"/>
        <v/>
      </c>
      <c r="AR98" s="225" t="str">
        <f>IF(AS98&gt;1,MAX($AR$7:AR97)+1,"")</f>
        <v/>
      </c>
      <c r="AS98" s="224">
        <f t="shared" si="45"/>
        <v>0</v>
      </c>
      <c r="AT98" s="225">
        <f t="shared" si="46"/>
        <v>0</v>
      </c>
      <c r="AU98" s="224">
        <f t="shared" si="47"/>
        <v>0</v>
      </c>
      <c r="AV98" s="226">
        <f t="shared" si="48"/>
        <v>0</v>
      </c>
      <c r="AW98" s="224">
        <f t="shared" si="61"/>
        <v>0</v>
      </c>
      <c r="AX98" s="224">
        <f t="shared" si="62"/>
        <v>0</v>
      </c>
      <c r="AY98" s="224">
        <f t="shared" si="63"/>
        <v>0</v>
      </c>
      <c r="AZ98" s="711"/>
      <c r="BA98" s="399"/>
      <c r="BB98" s="399"/>
      <c r="BC98" s="225" t="str">
        <f>IF(OR(BW98=$BB$8,BZ98=$BB$8),MAX($BC$7:BC97)+1,"")</f>
        <v/>
      </c>
      <c r="BD98" s="225" t="str">
        <f>IF(OR(BW98=$BB$9,BZ98=$BB$9),MAX($BD$7:BD97)+1,"")</f>
        <v/>
      </c>
      <c r="BE98" s="225" t="str">
        <f>IF(OR(BW98=$BB$10,BZ98=$BB$10),MAX($BE$7:BE97)+1,"")</f>
        <v/>
      </c>
      <c r="BF98" s="225" t="str">
        <f>IF(OR(BW98=$BB$11,BZ98=$BB$11),MAX($BF$7:BF97)+1,"")</f>
        <v/>
      </c>
      <c r="BG98" s="225" t="str">
        <f>IF(OR(BW98=$BB$12,BZ98=$BB$12),MAX($BG$7:BG97)+1,"")</f>
        <v/>
      </c>
      <c r="BH98" s="225" t="str">
        <f>IF(OR(BW98=$BB$13,BZ98=$BB$13),MAX($BH$7:BH97)+1,"")</f>
        <v/>
      </c>
      <c r="BI98" s="225" t="str">
        <f>IF(OR(BW98=$BB$14,BZ98=$BB$14),MAX($BI$7:BI97)+1,"")</f>
        <v/>
      </c>
      <c r="BJ98" s="225" t="str">
        <f>IF(OR(BW98=$BB$15,BZ98=$BB$15),MAX($BJ$7:BJ97)+1,"")</f>
        <v/>
      </c>
      <c r="BK98" s="225" t="str">
        <f>IF(OR(BW98=$BB$16,BZ98=$BB$16),MAX($BK$7:BK97)+1,"")</f>
        <v/>
      </c>
      <c r="BL98" s="225" t="str">
        <f>IF(OR(BW98=$BB$17,BZ98=$BB$17),MAX($BL$7:BL97)+1,"")</f>
        <v/>
      </c>
      <c r="BM98" s="225" t="str">
        <f>IF(OR(BW98=$BB$18,BZ98=$BB$18),MAX($BM$7:BM97)+1,"")</f>
        <v/>
      </c>
      <c r="BN98" s="225" t="str">
        <f>IF(OR(BW98=$BB$19,BZ98=$BB$19),MAX($BN$7:BN97)+1,"")</f>
        <v/>
      </c>
      <c r="BO98" s="225" t="str">
        <f>IF(OR(BW98=$BB$20,BZ98=$BB$20),MAX($BO$7:BO97)+1,"")</f>
        <v/>
      </c>
      <c r="BP98" s="225">
        <f>IF(OR(BW98=$BB$21,BZ98=$BB$21),MAX($BP$7:BP97)+1,"")</f>
        <v>91</v>
      </c>
      <c r="BQ98" s="399"/>
      <c r="BR98" s="399"/>
      <c r="BS98" s="399"/>
      <c r="BT98" s="227">
        <f t="shared" si="49"/>
        <v>0</v>
      </c>
      <c r="BU98" s="225">
        <f t="shared" si="50"/>
        <v>0</v>
      </c>
      <c r="BV98" s="225">
        <f t="shared" si="51"/>
        <v>0</v>
      </c>
      <c r="BW98" s="225">
        <f t="shared" si="52"/>
        <v>0</v>
      </c>
      <c r="BX98" s="225">
        <f t="shared" si="53"/>
        <v>0</v>
      </c>
      <c r="BY98" s="225">
        <f t="shared" si="54"/>
        <v>0</v>
      </c>
      <c r="BZ98" s="225">
        <f t="shared" si="55"/>
        <v>0</v>
      </c>
      <c r="CA98" s="228">
        <f t="shared" si="56"/>
        <v>0</v>
      </c>
      <c r="CB98" s="228">
        <f t="shared" si="57"/>
        <v>0</v>
      </c>
      <c r="CC98" s="228">
        <f t="shared" si="58"/>
        <v>0</v>
      </c>
      <c r="CD98" s="228">
        <f t="shared" si="59"/>
        <v>0</v>
      </c>
      <c r="CE98" s="399"/>
      <c r="CF98" s="399"/>
    </row>
    <row r="99" spans="1:84" x14ac:dyDescent="0.4">
      <c r="A99" s="712" t="s">
        <v>687</v>
      </c>
      <c r="B99" s="231" t="str">
        <f t="shared" si="60"/>
        <v/>
      </c>
      <c r="C99" s="732"/>
      <c r="D99" s="401"/>
      <c r="E99" s="733"/>
      <c r="F99" s="734"/>
      <c r="G99" s="401"/>
      <c r="H99" s="733"/>
      <c r="I99" s="733"/>
      <c r="J99" s="735"/>
      <c r="K99" s="736"/>
      <c r="L99" s="737"/>
      <c r="M99" s="737"/>
      <c r="N99" s="741"/>
      <c r="O99" s="739"/>
      <c r="P99" s="740"/>
      <c r="Q99" s="254" t="str">
        <f t="shared" si="64"/>
        <v/>
      </c>
      <c r="R99" s="254" t="str">
        <f t="shared" si="65"/>
        <v/>
      </c>
      <c r="S99" s="258" t="str">
        <f t="shared" si="66"/>
        <v/>
      </c>
      <c r="AR99" s="225" t="str">
        <f>IF(AS99&gt;1,MAX($AR$7:AR98)+1,"")</f>
        <v/>
      </c>
      <c r="AS99" s="224">
        <f t="shared" si="45"/>
        <v>0</v>
      </c>
      <c r="AT99" s="225">
        <f t="shared" si="46"/>
        <v>0</v>
      </c>
      <c r="AU99" s="224">
        <f t="shared" si="47"/>
        <v>0</v>
      </c>
      <c r="AV99" s="226">
        <f t="shared" si="48"/>
        <v>0</v>
      </c>
      <c r="AW99" s="224">
        <f t="shared" si="61"/>
        <v>0</v>
      </c>
      <c r="AX99" s="224">
        <f t="shared" si="62"/>
        <v>0</v>
      </c>
      <c r="AY99" s="224">
        <f t="shared" si="63"/>
        <v>0</v>
      </c>
      <c r="AZ99" s="711"/>
      <c r="BA99" s="399"/>
      <c r="BB99" s="399"/>
      <c r="BC99" s="225" t="str">
        <f>IF(OR(BW99=$BB$8,BZ99=$BB$8),MAX($BC$7:BC98)+1,"")</f>
        <v/>
      </c>
      <c r="BD99" s="225" t="str">
        <f>IF(OR(BW99=$BB$9,BZ99=$BB$9),MAX($BD$7:BD98)+1,"")</f>
        <v/>
      </c>
      <c r="BE99" s="225" t="str">
        <f>IF(OR(BW99=$BB$10,BZ99=$BB$10),MAX($BE$7:BE98)+1,"")</f>
        <v/>
      </c>
      <c r="BF99" s="225" t="str">
        <f>IF(OR(BW99=$BB$11,BZ99=$BB$11),MAX($BF$7:BF98)+1,"")</f>
        <v/>
      </c>
      <c r="BG99" s="225" t="str">
        <f>IF(OR(BW99=$BB$12,BZ99=$BB$12),MAX($BG$7:BG98)+1,"")</f>
        <v/>
      </c>
      <c r="BH99" s="225" t="str">
        <f>IF(OR(BW99=$BB$13,BZ99=$BB$13),MAX($BH$7:BH98)+1,"")</f>
        <v/>
      </c>
      <c r="BI99" s="225" t="str">
        <f>IF(OR(BW99=$BB$14,BZ99=$BB$14),MAX($BI$7:BI98)+1,"")</f>
        <v/>
      </c>
      <c r="BJ99" s="225" t="str">
        <f>IF(OR(BW99=$BB$15,BZ99=$BB$15),MAX($BJ$7:BJ98)+1,"")</f>
        <v/>
      </c>
      <c r="BK99" s="225" t="str">
        <f>IF(OR(BW99=$BB$16,BZ99=$BB$16),MAX($BK$7:BK98)+1,"")</f>
        <v/>
      </c>
      <c r="BL99" s="225" t="str">
        <f>IF(OR(BW99=$BB$17,BZ99=$BB$17),MAX($BL$7:BL98)+1,"")</f>
        <v/>
      </c>
      <c r="BM99" s="225" t="str">
        <f>IF(OR(BW99=$BB$18,BZ99=$BB$18),MAX($BM$7:BM98)+1,"")</f>
        <v/>
      </c>
      <c r="BN99" s="225" t="str">
        <f>IF(OR(BW99=$BB$19,BZ99=$BB$19),MAX($BN$7:BN98)+1,"")</f>
        <v/>
      </c>
      <c r="BO99" s="225" t="str">
        <f>IF(OR(BW99=$BB$20,BZ99=$BB$20),MAX($BO$7:BO98)+1,"")</f>
        <v/>
      </c>
      <c r="BP99" s="225">
        <f>IF(OR(BW99=$BB$21,BZ99=$BB$21),MAX($BP$7:BP98)+1,"")</f>
        <v>92</v>
      </c>
      <c r="BQ99" s="399"/>
      <c r="BR99" s="399"/>
      <c r="BS99" s="399"/>
      <c r="BT99" s="227">
        <f t="shared" si="49"/>
        <v>0</v>
      </c>
      <c r="BU99" s="225">
        <f t="shared" si="50"/>
        <v>0</v>
      </c>
      <c r="BV99" s="225">
        <f t="shared" si="51"/>
        <v>0</v>
      </c>
      <c r="BW99" s="225">
        <f t="shared" si="52"/>
        <v>0</v>
      </c>
      <c r="BX99" s="225">
        <f t="shared" si="53"/>
        <v>0</v>
      </c>
      <c r="BY99" s="225">
        <f t="shared" si="54"/>
        <v>0</v>
      </c>
      <c r="BZ99" s="225">
        <f t="shared" si="55"/>
        <v>0</v>
      </c>
      <c r="CA99" s="228">
        <f t="shared" si="56"/>
        <v>0</v>
      </c>
      <c r="CB99" s="228">
        <f t="shared" si="57"/>
        <v>0</v>
      </c>
      <c r="CC99" s="228">
        <f t="shared" si="58"/>
        <v>0</v>
      </c>
      <c r="CD99" s="228">
        <f t="shared" si="59"/>
        <v>0</v>
      </c>
      <c r="CE99" s="399"/>
      <c r="CF99" s="399"/>
    </row>
    <row r="100" spans="1:84" x14ac:dyDescent="0.4">
      <c r="A100" s="712" t="s">
        <v>544</v>
      </c>
      <c r="B100" s="231" t="str">
        <f t="shared" si="60"/>
        <v/>
      </c>
      <c r="C100" s="732"/>
      <c r="D100" s="401"/>
      <c r="E100" s="733"/>
      <c r="F100" s="734"/>
      <c r="G100" s="401"/>
      <c r="H100" s="733"/>
      <c r="I100" s="733"/>
      <c r="J100" s="735"/>
      <c r="K100" s="736"/>
      <c r="L100" s="737"/>
      <c r="M100" s="737"/>
      <c r="N100" s="741"/>
      <c r="O100" s="739"/>
      <c r="P100" s="740"/>
      <c r="Q100" s="254" t="str">
        <f t="shared" si="64"/>
        <v/>
      </c>
      <c r="R100" s="254" t="str">
        <f t="shared" si="65"/>
        <v/>
      </c>
      <c r="S100" s="258" t="str">
        <f t="shared" si="66"/>
        <v/>
      </c>
      <c r="AR100" s="225" t="str">
        <f>IF(AS100&gt;1,MAX($AR$7:AR99)+1,"")</f>
        <v/>
      </c>
      <c r="AS100" s="224">
        <f t="shared" si="45"/>
        <v>0</v>
      </c>
      <c r="AT100" s="225">
        <f t="shared" si="46"/>
        <v>0</v>
      </c>
      <c r="AU100" s="224">
        <f t="shared" si="47"/>
        <v>0</v>
      </c>
      <c r="AV100" s="226">
        <f t="shared" si="48"/>
        <v>0</v>
      </c>
      <c r="AW100" s="224">
        <f t="shared" si="61"/>
        <v>0</v>
      </c>
      <c r="AX100" s="224">
        <f t="shared" si="62"/>
        <v>0</v>
      </c>
      <c r="AY100" s="224">
        <f t="shared" si="63"/>
        <v>0</v>
      </c>
      <c r="AZ100" s="711"/>
      <c r="BA100" s="399"/>
      <c r="BB100" s="399"/>
      <c r="BC100" s="225" t="str">
        <f>IF(OR(BW100=$BB$8,BZ100=$BB$8),MAX($BC$7:BC99)+1,"")</f>
        <v/>
      </c>
      <c r="BD100" s="225" t="str">
        <f>IF(OR(BW100=$BB$9,BZ100=$BB$9),MAX($BD$7:BD99)+1,"")</f>
        <v/>
      </c>
      <c r="BE100" s="225" t="str">
        <f>IF(OR(BW100=$BB$10,BZ100=$BB$10),MAX($BE$7:BE99)+1,"")</f>
        <v/>
      </c>
      <c r="BF100" s="225" t="str">
        <f>IF(OR(BW100=$BB$11,BZ100=$BB$11),MAX($BF$7:BF99)+1,"")</f>
        <v/>
      </c>
      <c r="BG100" s="225" t="str">
        <f>IF(OR(BW100=$BB$12,BZ100=$BB$12),MAX($BG$7:BG99)+1,"")</f>
        <v/>
      </c>
      <c r="BH100" s="225" t="str">
        <f>IF(OR(BW100=$BB$13,BZ100=$BB$13),MAX($BH$7:BH99)+1,"")</f>
        <v/>
      </c>
      <c r="BI100" s="225" t="str">
        <f>IF(OR(BW100=$BB$14,BZ100=$BB$14),MAX($BI$7:BI99)+1,"")</f>
        <v/>
      </c>
      <c r="BJ100" s="225" t="str">
        <f>IF(OR(BW100=$BB$15,BZ100=$BB$15),MAX($BJ$7:BJ99)+1,"")</f>
        <v/>
      </c>
      <c r="BK100" s="225" t="str">
        <f>IF(OR(BW100=$BB$16,BZ100=$BB$16),MAX($BK$7:BK99)+1,"")</f>
        <v/>
      </c>
      <c r="BL100" s="225" t="str">
        <f>IF(OR(BW100=$BB$17,BZ100=$BB$17),MAX($BL$7:BL99)+1,"")</f>
        <v/>
      </c>
      <c r="BM100" s="225" t="str">
        <f>IF(OR(BW100=$BB$18,BZ100=$BB$18),MAX($BM$7:BM99)+1,"")</f>
        <v/>
      </c>
      <c r="BN100" s="225" t="str">
        <f>IF(OR(BW100=$BB$19,BZ100=$BB$19),MAX($BN$7:BN99)+1,"")</f>
        <v/>
      </c>
      <c r="BO100" s="225" t="str">
        <f>IF(OR(BW100=$BB$20,BZ100=$BB$20),MAX($BO$7:BO99)+1,"")</f>
        <v/>
      </c>
      <c r="BP100" s="225">
        <f>IF(OR(BW100=$BB$21,BZ100=$BB$21),MAX($BP$7:BP99)+1,"")</f>
        <v>93</v>
      </c>
      <c r="BQ100" s="399"/>
      <c r="BR100" s="399"/>
      <c r="BS100" s="399"/>
      <c r="BT100" s="227">
        <f t="shared" si="49"/>
        <v>0</v>
      </c>
      <c r="BU100" s="225">
        <f t="shared" si="50"/>
        <v>0</v>
      </c>
      <c r="BV100" s="225">
        <f t="shared" si="51"/>
        <v>0</v>
      </c>
      <c r="BW100" s="225">
        <f t="shared" si="52"/>
        <v>0</v>
      </c>
      <c r="BX100" s="225">
        <f t="shared" si="53"/>
        <v>0</v>
      </c>
      <c r="BY100" s="225">
        <f t="shared" si="54"/>
        <v>0</v>
      </c>
      <c r="BZ100" s="225">
        <f t="shared" si="55"/>
        <v>0</v>
      </c>
      <c r="CA100" s="228">
        <f t="shared" si="56"/>
        <v>0</v>
      </c>
      <c r="CB100" s="228">
        <f t="shared" si="57"/>
        <v>0</v>
      </c>
      <c r="CC100" s="228">
        <f t="shared" si="58"/>
        <v>0</v>
      </c>
      <c r="CD100" s="228">
        <f t="shared" si="59"/>
        <v>0</v>
      </c>
      <c r="CE100" s="399"/>
      <c r="CF100" s="399"/>
    </row>
    <row r="101" spans="1:84" x14ac:dyDescent="0.4">
      <c r="A101" s="712" t="s">
        <v>688</v>
      </c>
      <c r="B101" s="231" t="str">
        <f t="shared" si="60"/>
        <v/>
      </c>
      <c r="C101" s="732"/>
      <c r="D101" s="401"/>
      <c r="E101" s="733"/>
      <c r="F101" s="734"/>
      <c r="G101" s="401"/>
      <c r="H101" s="733"/>
      <c r="I101" s="733"/>
      <c r="J101" s="735"/>
      <c r="K101" s="736"/>
      <c r="L101" s="737"/>
      <c r="M101" s="737"/>
      <c r="N101" s="741"/>
      <c r="O101" s="739"/>
      <c r="P101" s="740"/>
      <c r="Q101" s="254" t="str">
        <f t="shared" si="64"/>
        <v/>
      </c>
      <c r="R101" s="254" t="str">
        <f t="shared" si="65"/>
        <v/>
      </c>
      <c r="S101" s="258" t="str">
        <f t="shared" si="66"/>
        <v/>
      </c>
      <c r="AR101" s="225" t="str">
        <f>IF(AS101&gt;1,MAX($AR$7:AR100)+1,"")</f>
        <v/>
      </c>
      <c r="AS101" s="224">
        <f t="shared" si="45"/>
        <v>0</v>
      </c>
      <c r="AT101" s="225">
        <f t="shared" si="46"/>
        <v>0</v>
      </c>
      <c r="AU101" s="224">
        <f t="shared" si="47"/>
        <v>0</v>
      </c>
      <c r="AV101" s="226">
        <f t="shared" si="48"/>
        <v>0</v>
      </c>
      <c r="AW101" s="224">
        <f t="shared" si="61"/>
        <v>0</v>
      </c>
      <c r="AX101" s="224">
        <f t="shared" si="62"/>
        <v>0</v>
      </c>
      <c r="AY101" s="224">
        <f t="shared" si="63"/>
        <v>0</v>
      </c>
      <c r="AZ101" s="711"/>
      <c r="BA101" s="399"/>
      <c r="BB101" s="399"/>
      <c r="BC101" s="225" t="str">
        <f>IF(OR(BW101=$BB$8,BZ101=$BB$8),MAX($BC$7:BC100)+1,"")</f>
        <v/>
      </c>
      <c r="BD101" s="225" t="str">
        <f>IF(OR(BW101=$BB$9,BZ101=$BB$9),MAX($BD$7:BD100)+1,"")</f>
        <v/>
      </c>
      <c r="BE101" s="225" t="str">
        <f>IF(OR(BW101=$BB$10,BZ101=$BB$10),MAX($BE$7:BE100)+1,"")</f>
        <v/>
      </c>
      <c r="BF101" s="225" t="str">
        <f>IF(OR(BW101=$BB$11,BZ101=$BB$11),MAX($BF$7:BF100)+1,"")</f>
        <v/>
      </c>
      <c r="BG101" s="225" t="str">
        <f>IF(OR(BW101=$BB$12,BZ101=$BB$12),MAX($BG$7:BG100)+1,"")</f>
        <v/>
      </c>
      <c r="BH101" s="225" t="str">
        <f>IF(OR(BW101=$BB$13,BZ101=$BB$13),MAX($BH$7:BH100)+1,"")</f>
        <v/>
      </c>
      <c r="BI101" s="225" t="str">
        <f>IF(OR(BW101=$BB$14,BZ101=$BB$14),MAX($BI$7:BI100)+1,"")</f>
        <v/>
      </c>
      <c r="BJ101" s="225" t="str">
        <f>IF(OR(BW101=$BB$15,BZ101=$BB$15),MAX($BJ$7:BJ100)+1,"")</f>
        <v/>
      </c>
      <c r="BK101" s="225" t="str">
        <f>IF(OR(BW101=$BB$16,BZ101=$BB$16),MAX($BK$7:BK100)+1,"")</f>
        <v/>
      </c>
      <c r="BL101" s="225" t="str">
        <f>IF(OR(BW101=$BB$17,BZ101=$BB$17),MAX($BL$7:BL100)+1,"")</f>
        <v/>
      </c>
      <c r="BM101" s="225" t="str">
        <f>IF(OR(BW101=$BB$18,BZ101=$BB$18),MAX($BM$7:BM100)+1,"")</f>
        <v/>
      </c>
      <c r="BN101" s="225" t="str">
        <f>IF(OR(BW101=$BB$19,BZ101=$BB$19),MAX($BN$7:BN100)+1,"")</f>
        <v/>
      </c>
      <c r="BO101" s="225" t="str">
        <f>IF(OR(BW101=$BB$20,BZ101=$BB$20),MAX($BO$7:BO100)+1,"")</f>
        <v/>
      </c>
      <c r="BP101" s="225">
        <f>IF(OR(BW101=$BB$21,BZ101=$BB$21),MAX($BP$7:BP100)+1,"")</f>
        <v>94</v>
      </c>
      <c r="BQ101" s="399"/>
      <c r="BR101" s="399"/>
      <c r="BS101" s="399"/>
      <c r="BT101" s="227">
        <f t="shared" si="49"/>
        <v>0</v>
      </c>
      <c r="BU101" s="225">
        <f t="shared" si="50"/>
        <v>0</v>
      </c>
      <c r="BV101" s="225">
        <f t="shared" si="51"/>
        <v>0</v>
      </c>
      <c r="BW101" s="225">
        <f t="shared" si="52"/>
        <v>0</v>
      </c>
      <c r="BX101" s="225">
        <f t="shared" si="53"/>
        <v>0</v>
      </c>
      <c r="BY101" s="225">
        <f t="shared" si="54"/>
        <v>0</v>
      </c>
      <c r="BZ101" s="225">
        <f t="shared" si="55"/>
        <v>0</v>
      </c>
      <c r="CA101" s="228">
        <f t="shared" si="56"/>
        <v>0</v>
      </c>
      <c r="CB101" s="228">
        <f t="shared" si="57"/>
        <v>0</v>
      </c>
      <c r="CC101" s="228">
        <f t="shared" si="58"/>
        <v>0</v>
      </c>
      <c r="CD101" s="228">
        <f t="shared" si="59"/>
        <v>0</v>
      </c>
      <c r="CE101" s="399"/>
      <c r="CF101" s="399"/>
    </row>
    <row r="102" spans="1:84" x14ac:dyDescent="0.4">
      <c r="A102" s="712" t="s">
        <v>545</v>
      </c>
      <c r="B102" s="231" t="str">
        <f t="shared" si="60"/>
        <v/>
      </c>
      <c r="C102" s="732"/>
      <c r="D102" s="401"/>
      <c r="E102" s="733"/>
      <c r="F102" s="734"/>
      <c r="G102" s="401"/>
      <c r="H102" s="733"/>
      <c r="I102" s="733"/>
      <c r="J102" s="735"/>
      <c r="K102" s="736"/>
      <c r="L102" s="737"/>
      <c r="M102" s="737"/>
      <c r="N102" s="741"/>
      <c r="O102" s="739"/>
      <c r="P102" s="740"/>
      <c r="Q102" s="254" t="str">
        <f t="shared" si="64"/>
        <v/>
      </c>
      <c r="R102" s="254" t="str">
        <f t="shared" si="65"/>
        <v/>
      </c>
      <c r="S102" s="258" t="str">
        <f t="shared" si="66"/>
        <v/>
      </c>
      <c r="AR102" s="225" t="str">
        <f>IF(AS102&gt;1,MAX($AR$7:AR101)+1,"")</f>
        <v/>
      </c>
      <c r="AS102" s="224">
        <f t="shared" si="45"/>
        <v>0</v>
      </c>
      <c r="AT102" s="225">
        <f t="shared" si="46"/>
        <v>0</v>
      </c>
      <c r="AU102" s="224">
        <f t="shared" si="47"/>
        <v>0</v>
      </c>
      <c r="AV102" s="226">
        <f t="shared" si="48"/>
        <v>0</v>
      </c>
      <c r="AW102" s="224">
        <f t="shared" si="61"/>
        <v>0</v>
      </c>
      <c r="AX102" s="224">
        <f t="shared" si="62"/>
        <v>0</v>
      </c>
      <c r="AY102" s="224">
        <f t="shared" si="63"/>
        <v>0</v>
      </c>
      <c r="AZ102" s="711"/>
      <c r="BA102" s="399"/>
      <c r="BB102" s="399"/>
      <c r="BC102" s="225" t="str">
        <f>IF(OR(BW102=$BB$8,BZ102=$BB$8),MAX($BC$7:BC101)+1,"")</f>
        <v/>
      </c>
      <c r="BD102" s="225" t="str">
        <f>IF(OR(BW102=$BB$9,BZ102=$BB$9),MAX($BD$7:BD101)+1,"")</f>
        <v/>
      </c>
      <c r="BE102" s="225" t="str">
        <f>IF(OR(BW102=$BB$10,BZ102=$BB$10),MAX($BE$7:BE101)+1,"")</f>
        <v/>
      </c>
      <c r="BF102" s="225" t="str">
        <f>IF(OR(BW102=$BB$11,BZ102=$BB$11),MAX($BF$7:BF101)+1,"")</f>
        <v/>
      </c>
      <c r="BG102" s="225" t="str">
        <f>IF(OR(BW102=$BB$12,BZ102=$BB$12),MAX($BG$7:BG101)+1,"")</f>
        <v/>
      </c>
      <c r="BH102" s="225" t="str">
        <f>IF(OR(BW102=$BB$13,BZ102=$BB$13),MAX($BH$7:BH101)+1,"")</f>
        <v/>
      </c>
      <c r="BI102" s="225" t="str">
        <f>IF(OR(BW102=$BB$14,BZ102=$BB$14),MAX($BI$7:BI101)+1,"")</f>
        <v/>
      </c>
      <c r="BJ102" s="225" t="str">
        <f>IF(OR(BW102=$BB$15,BZ102=$BB$15),MAX($BJ$7:BJ101)+1,"")</f>
        <v/>
      </c>
      <c r="BK102" s="225" t="str">
        <f>IF(OR(BW102=$BB$16,BZ102=$BB$16),MAX($BK$7:BK101)+1,"")</f>
        <v/>
      </c>
      <c r="BL102" s="225" t="str">
        <f>IF(OR(BW102=$BB$17,BZ102=$BB$17),MAX($BL$7:BL101)+1,"")</f>
        <v/>
      </c>
      <c r="BM102" s="225" t="str">
        <f>IF(OR(BW102=$BB$18,BZ102=$BB$18),MAX($BM$7:BM101)+1,"")</f>
        <v/>
      </c>
      <c r="BN102" s="225" t="str">
        <f>IF(OR(BW102=$BB$19,BZ102=$BB$19),MAX($BN$7:BN101)+1,"")</f>
        <v/>
      </c>
      <c r="BO102" s="225" t="str">
        <f>IF(OR(BW102=$BB$20,BZ102=$BB$20),MAX($BO$7:BO101)+1,"")</f>
        <v/>
      </c>
      <c r="BP102" s="225">
        <f>IF(OR(BW102=$BB$21,BZ102=$BB$21),MAX($BP$7:BP101)+1,"")</f>
        <v>95</v>
      </c>
      <c r="BQ102" s="399"/>
      <c r="BR102" s="399"/>
      <c r="BS102" s="399"/>
      <c r="BT102" s="227">
        <f t="shared" si="49"/>
        <v>0</v>
      </c>
      <c r="BU102" s="225">
        <f t="shared" si="50"/>
        <v>0</v>
      </c>
      <c r="BV102" s="225">
        <f t="shared" si="51"/>
        <v>0</v>
      </c>
      <c r="BW102" s="225">
        <f t="shared" si="52"/>
        <v>0</v>
      </c>
      <c r="BX102" s="225">
        <f t="shared" si="53"/>
        <v>0</v>
      </c>
      <c r="BY102" s="225">
        <f t="shared" si="54"/>
        <v>0</v>
      </c>
      <c r="BZ102" s="225">
        <f t="shared" si="55"/>
        <v>0</v>
      </c>
      <c r="CA102" s="228">
        <f t="shared" si="56"/>
        <v>0</v>
      </c>
      <c r="CB102" s="228">
        <f t="shared" si="57"/>
        <v>0</v>
      </c>
      <c r="CC102" s="228">
        <f t="shared" si="58"/>
        <v>0</v>
      </c>
      <c r="CD102" s="228">
        <f t="shared" si="59"/>
        <v>0</v>
      </c>
      <c r="CE102" s="399"/>
      <c r="CF102" s="399"/>
    </row>
    <row r="103" spans="1:84" x14ac:dyDescent="0.4">
      <c r="A103" s="712" t="s">
        <v>689</v>
      </c>
      <c r="B103" s="231" t="str">
        <f t="shared" si="60"/>
        <v/>
      </c>
      <c r="C103" s="732"/>
      <c r="D103" s="401"/>
      <c r="E103" s="733"/>
      <c r="F103" s="734"/>
      <c r="G103" s="401"/>
      <c r="H103" s="733"/>
      <c r="I103" s="733"/>
      <c r="J103" s="735"/>
      <c r="K103" s="736"/>
      <c r="L103" s="737"/>
      <c r="M103" s="737"/>
      <c r="N103" s="741"/>
      <c r="O103" s="739"/>
      <c r="P103" s="740"/>
      <c r="Q103" s="254" t="str">
        <f t="shared" si="64"/>
        <v/>
      </c>
      <c r="R103" s="254" t="str">
        <f t="shared" si="65"/>
        <v/>
      </c>
      <c r="S103" s="258" t="str">
        <f t="shared" si="66"/>
        <v/>
      </c>
      <c r="AR103" s="225" t="str">
        <f>IF(AS103&gt;1,MAX($AR$7:AR102)+1,"")</f>
        <v/>
      </c>
      <c r="AS103" s="224">
        <f t="shared" si="45"/>
        <v>0</v>
      </c>
      <c r="AT103" s="225">
        <f t="shared" si="46"/>
        <v>0</v>
      </c>
      <c r="AU103" s="224">
        <f t="shared" si="47"/>
        <v>0</v>
      </c>
      <c r="AV103" s="226">
        <f t="shared" si="48"/>
        <v>0</v>
      </c>
      <c r="AW103" s="224">
        <f t="shared" si="61"/>
        <v>0</v>
      </c>
      <c r="AX103" s="224">
        <f t="shared" si="62"/>
        <v>0</v>
      </c>
      <c r="AY103" s="224">
        <f t="shared" si="63"/>
        <v>0</v>
      </c>
      <c r="AZ103" s="711"/>
      <c r="BA103" s="399"/>
      <c r="BB103" s="399"/>
      <c r="BC103" s="225" t="str">
        <f>IF(OR(BW103=$BB$8,BZ103=$BB$8),MAX($BC$7:BC102)+1,"")</f>
        <v/>
      </c>
      <c r="BD103" s="225" t="str">
        <f>IF(OR(BW103=$BB$9,BZ103=$BB$9),MAX($BD$7:BD102)+1,"")</f>
        <v/>
      </c>
      <c r="BE103" s="225" t="str">
        <f>IF(OR(BW103=$BB$10,BZ103=$BB$10),MAX($BE$7:BE102)+1,"")</f>
        <v/>
      </c>
      <c r="BF103" s="225" t="str">
        <f>IF(OR(BW103=$BB$11,BZ103=$BB$11),MAX($BF$7:BF102)+1,"")</f>
        <v/>
      </c>
      <c r="BG103" s="225" t="str">
        <f>IF(OR(BW103=$BB$12,BZ103=$BB$12),MAX($BG$7:BG102)+1,"")</f>
        <v/>
      </c>
      <c r="BH103" s="225" t="str">
        <f>IF(OR(BW103=$BB$13,BZ103=$BB$13),MAX($BH$7:BH102)+1,"")</f>
        <v/>
      </c>
      <c r="BI103" s="225" t="str">
        <f>IF(OR(BW103=$BB$14,BZ103=$BB$14),MAX($BI$7:BI102)+1,"")</f>
        <v/>
      </c>
      <c r="BJ103" s="225" t="str">
        <f>IF(OR(BW103=$BB$15,BZ103=$BB$15),MAX($BJ$7:BJ102)+1,"")</f>
        <v/>
      </c>
      <c r="BK103" s="225" t="str">
        <f>IF(OR(BW103=$BB$16,BZ103=$BB$16),MAX($BK$7:BK102)+1,"")</f>
        <v/>
      </c>
      <c r="BL103" s="225" t="str">
        <f>IF(OR(BW103=$BB$17,BZ103=$BB$17),MAX($BL$7:BL102)+1,"")</f>
        <v/>
      </c>
      <c r="BM103" s="225" t="str">
        <f>IF(OR(BW103=$BB$18,BZ103=$BB$18),MAX($BM$7:BM102)+1,"")</f>
        <v/>
      </c>
      <c r="BN103" s="225" t="str">
        <f>IF(OR(BW103=$BB$19,BZ103=$BB$19),MAX($BN$7:BN102)+1,"")</f>
        <v/>
      </c>
      <c r="BO103" s="225" t="str">
        <f>IF(OR(BW103=$BB$20,BZ103=$BB$20),MAX($BO$7:BO102)+1,"")</f>
        <v/>
      </c>
      <c r="BP103" s="225">
        <f>IF(OR(BW103=$BB$21,BZ103=$BB$21),MAX($BP$7:BP102)+1,"")</f>
        <v>96</v>
      </c>
      <c r="BQ103" s="399"/>
      <c r="BR103" s="399"/>
      <c r="BS103" s="399"/>
      <c r="BT103" s="227">
        <f t="shared" si="49"/>
        <v>0</v>
      </c>
      <c r="BU103" s="225">
        <f t="shared" si="50"/>
        <v>0</v>
      </c>
      <c r="BV103" s="225">
        <f t="shared" si="51"/>
        <v>0</v>
      </c>
      <c r="BW103" s="225">
        <f t="shared" si="52"/>
        <v>0</v>
      </c>
      <c r="BX103" s="225">
        <f t="shared" si="53"/>
        <v>0</v>
      </c>
      <c r="BY103" s="225">
        <f t="shared" si="54"/>
        <v>0</v>
      </c>
      <c r="BZ103" s="225">
        <f t="shared" si="55"/>
        <v>0</v>
      </c>
      <c r="CA103" s="228">
        <f t="shared" si="56"/>
        <v>0</v>
      </c>
      <c r="CB103" s="228">
        <f t="shared" si="57"/>
        <v>0</v>
      </c>
      <c r="CC103" s="228">
        <f t="shared" si="58"/>
        <v>0</v>
      </c>
      <c r="CD103" s="228">
        <f t="shared" si="59"/>
        <v>0</v>
      </c>
      <c r="CE103" s="399"/>
      <c r="CF103" s="399"/>
    </row>
    <row r="104" spans="1:84" x14ac:dyDescent="0.4">
      <c r="A104" s="712" t="s">
        <v>692</v>
      </c>
      <c r="B104" s="231" t="str">
        <f t="shared" si="60"/>
        <v/>
      </c>
      <c r="C104" s="732"/>
      <c r="D104" s="401"/>
      <c r="E104" s="733"/>
      <c r="F104" s="734"/>
      <c r="G104" s="401"/>
      <c r="H104" s="733"/>
      <c r="I104" s="733"/>
      <c r="J104" s="735"/>
      <c r="K104" s="736"/>
      <c r="L104" s="737"/>
      <c r="M104" s="737"/>
      <c r="N104" s="741"/>
      <c r="O104" s="739"/>
      <c r="P104" s="740"/>
      <c r="Q104" s="254" t="str">
        <f t="shared" si="64"/>
        <v/>
      </c>
      <c r="R104" s="254" t="str">
        <f t="shared" si="65"/>
        <v/>
      </c>
      <c r="S104" s="258" t="str">
        <f t="shared" si="66"/>
        <v/>
      </c>
      <c r="AR104" s="225" t="str">
        <f>IF(AS104&gt;1,MAX($AR$7:AR103)+1,"")</f>
        <v/>
      </c>
      <c r="AS104" s="224">
        <f t="shared" ref="AS104:AS111" si="67">N104</f>
        <v>0</v>
      </c>
      <c r="AT104" s="225">
        <f t="shared" ref="AT104:AT111" si="68">O104</f>
        <v>0</v>
      </c>
      <c r="AU104" s="224">
        <f t="shared" ref="AU104:AU111" si="69">P104</f>
        <v>0</v>
      </c>
      <c r="AV104" s="226">
        <f t="shared" ref="AV104:AV111" si="70">C104</f>
        <v>0</v>
      </c>
      <c r="AW104" s="224">
        <f t="shared" si="61"/>
        <v>0</v>
      </c>
      <c r="AX104" s="224">
        <f t="shared" si="62"/>
        <v>0</v>
      </c>
      <c r="AY104" s="224">
        <f t="shared" si="63"/>
        <v>0</v>
      </c>
      <c r="AZ104" s="711"/>
      <c r="BA104" s="399"/>
      <c r="BB104" s="399"/>
      <c r="BC104" s="225" t="str">
        <f>IF(OR(BW104=$BB$8,BZ104=$BB$8),MAX($BC$7:BC103)+1,"")</f>
        <v/>
      </c>
      <c r="BD104" s="225" t="str">
        <f>IF(OR(BW104=$BB$9,BZ104=$BB$9),MAX($BD$7:BD103)+1,"")</f>
        <v/>
      </c>
      <c r="BE104" s="225" t="str">
        <f>IF(OR(BW104=$BB$10,BZ104=$BB$10),MAX($BE$7:BE103)+1,"")</f>
        <v/>
      </c>
      <c r="BF104" s="225" t="str">
        <f>IF(OR(BW104=$BB$11,BZ104=$BB$11),MAX($BF$7:BF103)+1,"")</f>
        <v/>
      </c>
      <c r="BG104" s="225" t="str">
        <f>IF(OR(BW104=$BB$12,BZ104=$BB$12),MAX($BG$7:BG103)+1,"")</f>
        <v/>
      </c>
      <c r="BH104" s="225" t="str">
        <f>IF(OR(BW104=$BB$13,BZ104=$BB$13),MAX($BH$7:BH103)+1,"")</f>
        <v/>
      </c>
      <c r="BI104" s="225" t="str">
        <f>IF(OR(BW104=$BB$14,BZ104=$BB$14),MAX($BI$7:BI103)+1,"")</f>
        <v/>
      </c>
      <c r="BJ104" s="225" t="str">
        <f>IF(OR(BW104=$BB$15,BZ104=$BB$15),MAX($BJ$7:BJ103)+1,"")</f>
        <v/>
      </c>
      <c r="BK104" s="225" t="str">
        <f>IF(OR(BW104=$BB$16,BZ104=$BB$16),MAX($BK$7:BK103)+1,"")</f>
        <v/>
      </c>
      <c r="BL104" s="225" t="str">
        <f>IF(OR(BW104=$BB$17,BZ104=$BB$17),MAX($BL$7:BL103)+1,"")</f>
        <v/>
      </c>
      <c r="BM104" s="225" t="str">
        <f>IF(OR(BW104=$BB$18,BZ104=$BB$18),MAX($BM$7:BM103)+1,"")</f>
        <v/>
      </c>
      <c r="BN104" s="225" t="str">
        <f>IF(OR(BW104=$BB$19,BZ104=$BB$19),MAX($BN$7:BN103)+1,"")</f>
        <v/>
      </c>
      <c r="BO104" s="225" t="str">
        <f>IF(OR(BW104=$BB$20,BZ104=$BB$20),MAX($BO$7:BO103)+1,"")</f>
        <v/>
      </c>
      <c r="BP104" s="225">
        <f>IF(OR(BW104=$BB$21,BZ104=$BB$21),MAX($BP$7:BP103)+1,"")</f>
        <v>97</v>
      </c>
      <c r="BQ104" s="399"/>
      <c r="BR104" s="399"/>
      <c r="BS104" s="399"/>
      <c r="BT104" s="227">
        <f t="shared" ref="BT104:BT110" si="71">C104</f>
        <v>0</v>
      </c>
      <c r="BU104" s="225">
        <f t="shared" ref="BU104:BU110" si="72">D104</f>
        <v>0</v>
      </c>
      <c r="BV104" s="225">
        <f t="shared" ref="BV104:BV110" si="73">E104</f>
        <v>0</v>
      </c>
      <c r="BW104" s="225">
        <f t="shared" ref="BW104:BW110" si="74">F104</f>
        <v>0</v>
      </c>
      <c r="BX104" s="225">
        <f t="shared" ref="BX104:BX110" si="75">G104</f>
        <v>0</v>
      </c>
      <c r="BY104" s="225">
        <f t="shared" ref="BY104:BY110" si="76">H104</f>
        <v>0</v>
      </c>
      <c r="BZ104" s="225">
        <f t="shared" ref="BZ104:BZ110" si="77">I104</f>
        <v>0</v>
      </c>
      <c r="CA104" s="228">
        <f t="shared" ref="CA104:CA110" si="78">J104</f>
        <v>0</v>
      </c>
      <c r="CB104" s="228">
        <f t="shared" ref="CB104:CB110" si="79">K104</f>
        <v>0</v>
      </c>
      <c r="CC104" s="228">
        <f t="shared" ref="CC104:CC110" si="80">L104</f>
        <v>0</v>
      </c>
      <c r="CD104" s="228">
        <f t="shared" ref="CD104:CD110" si="81">M104</f>
        <v>0</v>
      </c>
      <c r="CE104" s="399"/>
      <c r="CF104" s="399"/>
    </row>
    <row r="105" spans="1:84" x14ac:dyDescent="0.4">
      <c r="A105" s="712" t="s">
        <v>690</v>
      </c>
      <c r="B105" s="231" t="str">
        <f t="shared" ref="B105:B110" si="82">IF(C105="","",ROW(97:97))</f>
        <v/>
      </c>
      <c r="C105" s="732"/>
      <c r="D105" s="401"/>
      <c r="E105" s="733"/>
      <c r="F105" s="734"/>
      <c r="G105" s="401"/>
      <c r="H105" s="733"/>
      <c r="I105" s="733"/>
      <c r="J105" s="735"/>
      <c r="K105" s="736"/>
      <c r="L105" s="737"/>
      <c r="M105" s="737"/>
      <c r="N105" s="741"/>
      <c r="O105" s="739"/>
      <c r="P105" s="740"/>
      <c r="Q105" s="254" t="str">
        <f t="shared" si="64"/>
        <v/>
      </c>
      <c r="R105" s="254" t="str">
        <f t="shared" si="65"/>
        <v/>
      </c>
      <c r="S105" s="258" t="str">
        <f t="shared" si="66"/>
        <v/>
      </c>
      <c r="AR105" s="225" t="str">
        <f>IF(AS105&gt;1,MAX($AR$7:AR104)+1,"")</f>
        <v/>
      </c>
      <c r="AS105" s="224">
        <f t="shared" si="67"/>
        <v>0</v>
      </c>
      <c r="AT105" s="225">
        <f t="shared" si="68"/>
        <v>0</v>
      </c>
      <c r="AU105" s="224">
        <f t="shared" si="69"/>
        <v>0</v>
      </c>
      <c r="AV105" s="226">
        <f t="shared" si="70"/>
        <v>0</v>
      </c>
      <c r="AW105" s="224">
        <f t="shared" ref="AW105:AW111" si="83">G105</f>
        <v>0</v>
      </c>
      <c r="AX105" s="224">
        <f t="shared" ref="AX105:AX111" si="84">H105</f>
        <v>0</v>
      </c>
      <c r="AY105" s="224">
        <f t="shared" ref="AY105:AY111" si="85">I105</f>
        <v>0</v>
      </c>
      <c r="AZ105" s="711"/>
      <c r="BA105" s="399"/>
      <c r="BB105" s="399"/>
      <c r="BC105" s="225" t="str">
        <f>IF(OR(BW105=$BB$8,BZ105=$BB$8),MAX($BC$7:BC104)+1,"")</f>
        <v/>
      </c>
      <c r="BD105" s="225" t="str">
        <f>IF(OR(BW105=$BB$9,BZ105=$BB$9),MAX($BD$7:BD104)+1,"")</f>
        <v/>
      </c>
      <c r="BE105" s="225" t="str">
        <f>IF(OR(BW105=$BB$10,BZ105=$BB$10),MAX($BE$7:BE104)+1,"")</f>
        <v/>
      </c>
      <c r="BF105" s="225" t="str">
        <f>IF(OR(BW105=$BB$11,BZ105=$BB$11),MAX($BF$7:BF104)+1,"")</f>
        <v/>
      </c>
      <c r="BG105" s="225" t="str">
        <f>IF(OR(BW105=$BB$12,BZ105=$BB$12),MAX($BG$7:BG104)+1,"")</f>
        <v/>
      </c>
      <c r="BH105" s="225" t="str">
        <f>IF(OR(BW105=$BB$13,BZ105=$BB$13),MAX($BH$7:BH104)+1,"")</f>
        <v/>
      </c>
      <c r="BI105" s="225" t="str">
        <f>IF(OR(BW105=$BB$14,BZ105=$BB$14),MAX($BI$7:BI104)+1,"")</f>
        <v/>
      </c>
      <c r="BJ105" s="225" t="str">
        <f>IF(OR(BW105=$BB$15,BZ105=$BB$15),MAX($BJ$7:BJ104)+1,"")</f>
        <v/>
      </c>
      <c r="BK105" s="225" t="str">
        <f>IF(OR(BW105=$BB$16,BZ105=$BB$16),MAX($BK$7:BK104)+1,"")</f>
        <v/>
      </c>
      <c r="BL105" s="225" t="str">
        <f>IF(OR(BW105=$BB$17,BZ105=$BB$17),MAX($BL$7:BL104)+1,"")</f>
        <v/>
      </c>
      <c r="BM105" s="225" t="str">
        <f>IF(OR(BW105=$BB$18,BZ105=$BB$18),MAX($BM$7:BM104)+1,"")</f>
        <v/>
      </c>
      <c r="BN105" s="225" t="str">
        <f>IF(OR(BW105=$BB$19,BZ105=$BB$19),MAX($BN$7:BN104)+1,"")</f>
        <v/>
      </c>
      <c r="BO105" s="225" t="str">
        <f>IF(OR(BW105=$BB$20,BZ105=$BB$20),MAX($BO$7:BO104)+1,"")</f>
        <v/>
      </c>
      <c r="BP105" s="225">
        <f>IF(OR(BW105=$BB$21,BZ105=$BB$21),MAX($BP$7:BP104)+1,"")</f>
        <v>98</v>
      </c>
      <c r="BQ105" s="399"/>
      <c r="BR105" s="399"/>
      <c r="BS105" s="399"/>
      <c r="BT105" s="227">
        <f t="shared" si="71"/>
        <v>0</v>
      </c>
      <c r="BU105" s="225">
        <f t="shared" si="72"/>
        <v>0</v>
      </c>
      <c r="BV105" s="225">
        <f t="shared" si="73"/>
        <v>0</v>
      </c>
      <c r="BW105" s="225">
        <f t="shared" si="74"/>
        <v>0</v>
      </c>
      <c r="BX105" s="225">
        <f t="shared" si="75"/>
        <v>0</v>
      </c>
      <c r="BY105" s="225">
        <f t="shared" si="76"/>
        <v>0</v>
      </c>
      <c r="BZ105" s="225">
        <f t="shared" si="77"/>
        <v>0</v>
      </c>
      <c r="CA105" s="228">
        <f t="shared" si="78"/>
        <v>0</v>
      </c>
      <c r="CB105" s="228">
        <f t="shared" si="79"/>
        <v>0</v>
      </c>
      <c r="CC105" s="228">
        <f t="shared" si="80"/>
        <v>0</v>
      </c>
      <c r="CD105" s="228">
        <f t="shared" si="81"/>
        <v>0</v>
      </c>
      <c r="CE105" s="399"/>
      <c r="CF105" s="399"/>
    </row>
    <row r="106" spans="1:84" x14ac:dyDescent="0.4">
      <c r="A106" s="712" t="s">
        <v>691</v>
      </c>
      <c r="B106" s="231" t="str">
        <f t="shared" si="82"/>
        <v/>
      </c>
      <c r="C106" s="732"/>
      <c r="D106" s="401"/>
      <c r="E106" s="733"/>
      <c r="F106" s="734"/>
      <c r="G106" s="401"/>
      <c r="H106" s="733"/>
      <c r="I106" s="733"/>
      <c r="J106" s="735"/>
      <c r="K106" s="736"/>
      <c r="L106" s="737"/>
      <c r="M106" s="737"/>
      <c r="N106" s="741"/>
      <c r="O106" s="739"/>
      <c r="P106" s="740"/>
      <c r="Q106" s="254" t="str">
        <f t="shared" si="64"/>
        <v/>
      </c>
      <c r="R106" s="254" t="str">
        <f t="shared" si="65"/>
        <v/>
      </c>
      <c r="S106" s="258" t="str">
        <f t="shared" si="66"/>
        <v/>
      </c>
      <c r="AR106" s="225" t="str">
        <f>IF(AS106&gt;1,MAX($AR$7:AR105)+1,"")</f>
        <v/>
      </c>
      <c r="AS106" s="224">
        <f t="shared" si="67"/>
        <v>0</v>
      </c>
      <c r="AT106" s="225">
        <f t="shared" si="68"/>
        <v>0</v>
      </c>
      <c r="AU106" s="224">
        <f t="shared" si="69"/>
        <v>0</v>
      </c>
      <c r="AV106" s="226">
        <f t="shared" si="70"/>
        <v>0</v>
      </c>
      <c r="AW106" s="224">
        <f t="shared" si="83"/>
        <v>0</v>
      </c>
      <c r="AX106" s="224">
        <f t="shared" si="84"/>
        <v>0</v>
      </c>
      <c r="AY106" s="224">
        <f t="shared" si="85"/>
        <v>0</v>
      </c>
      <c r="AZ106" s="711"/>
      <c r="BA106" s="399"/>
      <c r="BB106" s="399"/>
      <c r="BC106" s="225" t="str">
        <f>IF(OR(BW106=$BB$8,BZ106=$BB$8),MAX($BC$7:BC105)+1,"")</f>
        <v/>
      </c>
      <c r="BD106" s="225" t="str">
        <f>IF(OR(BW106=$BB$9,BZ106=$BB$9),MAX($BD$7:BD105)+1,"")</f>
        <v/>
      </c>
      <c r="BE106" s="225" t="str">
        <f>IF(OR(BW106=$BB$10,BZ106=$BB$10),MAX($BE$7:BE105)+1,"")</f>
        <v/>
      </c>
      <c r="BF106" s="225" t="str">
        <f>IF(OR(BW106=$BB$11,BZ106=$BB$11),MAX($BF$7:BF105)+1,"")</f>
        <v/>
      </c>
      <c r="BG106" s="225" t="str">
        <f>IF(OR(BW106=$BB$12,BZ106=$BB$12),MAX($BG$7:BG105)+1,"")</f>
        <v/>
      </c>
      <c r="BH106" s="225" t="str">
        <f>IF(OR(BW106=$BB$13,BZ106=$BB$13),MAX($BH$7:BH105)+1,"")</f>
        <v/>
      </c>
      <c r="BI106" s="225" t="str">
        <f>IF(OR(BW106=$BB$14,BZ106=$BB$14),MAX($BI$7:BI105)+1,"")</f>
        <v/>
      </c>
      <c r="BJ106" s="225" t="str">
        <f>IF(OR(BW106=$BB$15,BZ106=$BB$15),MAX($BJ$7:BJ105)+1,"")</f>
        <v/>
      </c>
      <c r="BK106" s="225" t="str">
        <f>IF(OR(BW106=$BB$16,BZ106=$BB$16),MAX($BK$7:BK105)+1,"")</f>
        <v/>
      </c>
      <c r="BL106" s="225" t="str">
        <f>IF(OR(BW106=$BB$17,BZ106=$BB$17),MAX($BL$7:BL105)+1,"")</f>
        <v/>
      </c>
      <c r="BM106" s="225" t="str">
        <f>IF(OR(BW106=$BB$18,BZ106=$BB$18),MAX($BM$7:BM105)+1,"")</f>
        <v/>
      </c>
      <c r="BN106" s="225" t="str">
        <f>IF(OR(BW106=$BB$19,BZ106=$BB$19),MAX($BN$7:BN105)+1,"")</f>
        <v/>
      </c>
      <c r="BO106" s="225" t="str">
        <f>IF(OR(BW106=$BB$20,BZ106=$BB$20),MAX($BO$7:BO105)+1,"")</f>
        <v/>
      </c>
      <c r="BP106" s="225">
        <f>IF(OR(BW106=$BB$21,BZ106=$BB$21),MAX($BP$7:BP105)+1,"")</f>
        <v>99</v>
      </c>
      <c r="BQ106" s="399"/>
      <c r="BR106" s="399"/>
      <c r="BS106" s="399"/>
      <c r="BT106" s="227">
        <f t="shared" si="71"/>
        <v>0</v>
      </c>
      <c r="BU106" s="225">
        <f t="shared" si="72"/>
        <v>0</v>
      </c>
      <c r="BV106" s="225">
        <f t="shared" si="73"/>
        <v>0</v>
      </c>
      <c r="BW106" s="225">
        <f t="shared" si="74"/>
        <v>0</v>
      </c>
      <c r="BX106" s="225">
        <f t="shared" si="75"/>
        <v>0</v>
      </c>
      <c r="BY106" s="225">
        <f t="shared" si="76"/>
        <v>0</v>
      </c>
      <c r="BZ106" s="225">
        <f t="shared" si="77"/>
        <v>0</v>
      </c>
      <c r="CA106" s="228">
        <f t="shared" si="78"/>
        <v>0</v>
      </c>
      <c r="CB106" s="228">
        <f t="shared" si="79"/>
        <v>0</v>
      </c>
      <c r="CC106" s="228">
        <f t="shared" si="80"/>
        <v>0</v>
      </c>
      <c r="CD106" s="228">
        <f t="shared" si="81"/>
        <v>0</v>
      </c>
      <c r="CE106" s="399"/>
      <c r="CF106" s="399"/>
    </row>
    <row r="107" spans="1:84" x14ac:dyDescent="0.4">
      <c r="B107" s="231" t="str">
        <f t="shared" si="82"/>
        <v/>
      </c>
      <c r="C107" s="732"/>
      <c r="D107" s="401"/>
      <c r="E107" s="733"/>
      <c r="F107" s="734"/>
      <c r="G107" s="401"/>
      <c r="H107" s="733"/>
      <c r="I107" s="733"/>
      <c r="J107" s="735"/>
      <c r="K107" s="736"/>
      <c r="L107" s="737"/>
      <c r="M107" s="737"/>
      <c r="N107" s="741"/>
      <c r="O107" s="739"/>
      <c r="P107" s="740"/>
      <c r="Q107" s="254" t="str">
        <f t="shared" si="64"/>
        <v/>
      </c>
      <c r="R107" s="254" t="str">
        <f t="shared" si="65"/>
        <v/>
      </c>
      <c r="S107" s="258" t="str">
        <f t="shared" si="66"/>
        <v/>
      </c>
      <c r="AR107" s="225" t="str">
        <f>IF(AS107&gt;1,MAX($AR$7:AR106)+1,"")</f>
        <v/>
      </c>
      <c r="AS107" s="224">
        <f t="shared" si="67"/>
        <v>0</v>
      </c>
      <c r="AT107" s="225">
        <f t="shared" si="68"/>
        <v>0</v>
      </c>
      <c r="AU107" s="224">
        <f t="shared" si="69"/>
        <v>0</v>
      </c>
      <c r="AV107" s="226">
        <f t="shared" si="70"/>
        <v>0</v>
      </c>
      <c r="AW107" s="224">
        <f t="shared" si="83"/>
        <v>0</v>
      </c>
      <c r="AX107" s="224">
        <f t="shared" si="84"/>
        <v>0</v>
      </c>
      <c r="AY107" s="224">
        <f t="shared" si="85"/>
        <v>0</v>
      </c>
      <c r="AZ107" s="711"/>
      <c r="BA107" s="399"/>
      <c r="BB107" s="399"/>
      <c r="BC107" s="225" t="str">
        <f>IF(OR(BW107=$BB$8,BZ107=$BB$8),MAX($BC$7:BC106)+1,"")</f>
        <v/>
      </c>
      <c r="BD107" s="225" t="str">
        <f>IF(OR(BW107=$BB$9,BZ107=$BB$9),MAX($BD$7:BD106)+1,"")</f>
        <v/>
      </c>
      <c r="BE107" s="225" t="str">
        <f>IF(OR(BW107=$BB$10,BZ107=$BB$10),MAX($BE$7:BE106)+1,"")</f>
        <v/>
      </c>
      <c r="BF107" s="225" t="str">
        <f>IF(OR(BW107=$BB$11,BZ107=$BB$11),MAX($BF$7:BF106)+1,"")</f>
        <v/>
      </c>
      <c r="BG107" s="225" t="str">
        <f>IF(OR(BW107=$BB$12,BZ107=$BB$12),MAX($BG$7:BG106)+1,"")</f>
        <v/>
      </c>
      <c r="BH107" s="225" t="str">
        <f>IF(OR(BW107=$BB$13,BZ107=$BB$13),MAX($BH$7:BH106)+1,"")</f>
        <v/>
      </c>
      <c r="BI107" s="225" t="str">
        <f>IF(OR(BW107=$BB$14,BZ107=$BB$14),MAX($BI$7:BI106)+1,"")</f>
        <v/>
      </c>
      <c r="BJ107" s="225" t="str">
        <f>IF(OR(BW107=$BB$15,BZ107=$BB$15),MAX($BJ$7:BJ106)+1,"")</f>
        <v/>
      </c>
      <c r="BK107" s="225" t="str">
        <f>IF(OR(BW107=$BB$16,BZ107=$BB$16),MAX($BK$7:BK106)+1,"")</f>
        <v/>
      </c>
      <c r="BL107" s="225" t="str">
        <f>IF(OR(BW107=$BB$17,BZ107=$BB$17),MAX($BL$7:BL106)+1,"")</f>
        <v/>
      </c>
      <c r="BM107" s="225" t="str">
        <f>IF(OR(BW107=$BB$18,BZ107=$BB$18),MAX($BM$7:BM106)+1,"")</f>
        <v/>
      </c>
      <c r="BN107" s="225" t="str">
        <f>IF(OR(BW107=$BB$19,BZ107=$BB$19),MAX($BN$7:BN106)+1,"")</f>
        <v/>
      </c>
      <c r="BO107" s="225" t="str">
        <f>IF(OR(BW107=$BB$20,BZ107=$BB$20),MAX($BO$7:BO106)+1,"")</f>
        <v/>
      </c>
      <c r="BP107" s="225">
        <f>IF(OR(BW107=$BB$21,BZ107=$BB$21),MAX($BP$7:BP106)+1,"")</f>
        <v>100</v>
      </c>
      <c r="BQ107" s="399"/>
      <c r="BR107" s="399"/>
      <c r="BS107" s="399"/>
      <c r="BT107" s="227">
        <f t="shared" si="71"/>
        <v>0</v>
      </c>
      <c r="BU107" s="225">
        <f t="shared" si="72"/>
        <v>0</v>
      </c>
      <c r="BV107" s="225">
        <f t="shared" si="73"/>
        <v>0</v>
      </c>
      <c r="BW107" s="225">
        <f t="shared" si="74"/>
        <v>0</v>
      </c>
      <c r="BX107" s="225">
        <f t="shared" si="75"/>
        <v>0</v>
      </c>
      <c r="BY107" s="225">
        <f t="shared" si="76"/>
        <v>0</v>
      </c>
      <c r="BZ107" s="225">
        <f t="shared" si="77"/>
        <v>0</v>
      </c>
      <c r="CA107" s="228">
        <f t="shared" si="78"/>
        <v>0</v>
      </c>
      <c r="CB107" s="228">
        <f t="shared" si="79"/>
        <v>0</v>
      </c>
      <c r="CC107" s="228">
        <f t="shared" si="80"/>
        <v>0</v>
      </c>
      <c r="CD107" s="228">
        <f t="shared" si="81"/>
        <v>0</v>
      </c>
      <c r="CE107" s="399"/>
      <c r="CF107" s="399"/>
    </row>
    <row r="108" spans="1:84" x14ac:dyDescent="0.4">
      <c r="B108" s="231" t="str">
        <f t="shared" si="82"/>
        <v/>
      </c>
      <c r="C108" s="732"/>
      <c r="D108" s="401"/>
      <c r="E108" s="733"/>
      <c r="F108" s="734"/>
      <c r="G108" s="401"/>
      <c r="H108" s="733"/>
      <c r="I108" s="733"/>
      <c r="J108" s="735"/>
      <c r="K108" s="736"/>
      <c r="L108" s="737"/>
      <c r="M108" s="737"/>
      <c r="N108" s="741"/>
      <c r="O108" s="739"/>
      <c r="P108" s="740"/>
      <c r="Q108" s="254" t="str">
        <f t="shared" si="64"/>
        <v/>
      </c>
      <c r="R108" s="254" t="str">
        <f t="shared" si="65"/>
        <v/>
      </c>
      <c r="S108" s="258" t="str">
        <f t="shared" si="66"/>
        <v/>
      </c>
      <c r="AR108" s="225" t="str">
        <f>IF(AS108&gt;1,MAX($AR$7:AR107)+1,"")</f>
        <v/>
      </c>
      <c r="AS108" s="224">
        <f t="shared" si="67"/>
        <v>0</v>
      </c>
      <c r="AT108" s="225">
        <f t="shared" si="68"/>
        <v>0</v>
      </c>
      <c r="AU108" s="224">
        <f t="shared" si="69"/>
        <v>0</v>
      </c>
      <c r="AV108" s="226">
        <f t="shared" si="70"/>
        <v>0</v>
      </c>
      <c r="AW108" s="224">
        <f t="shared" si="83"/>
        <v>0</v>
      </c>
      <c r="AX108" s="224">
        <f t="shared" si="84"/>
        <v>0</v>
      </c>
      <c r="AY108" s="224">
        <f t="shared" si="85"/>
        <v>0</v>
      </c>
      <c r="AZ108" s="711"/>
      <c r="BA108" s="399"/>
      <c r="BB108" s="399"/>
      <c r="BC108" s="225" t="str">
        <f>IF(OR(BW108=$BB$8,BZ108=$BB$8),MAX($BC$7:BC107)+1,"")</f>
        <v/>
      </c>
      <c r="BD108" s="225" t="str">
        <f>IF(OR(BW108=$BB$9,BZ108=$BB$9),MAX($BD$7:BD107)+1,"")</f>
        <v/>
      </c>
      <c r="BE108" s="225" t="str">
        <f>IF(OR(BW108=$BB$10,BZ108=$BB$10),MAX($BE$7:BE107)+1,"")</f>
        <v/>
      </c>
      <c r="BF108" s="225" t="str">
        <f>IF(OR(BW108=$BB$11,BZ108=$BB$11),MAX($BF$7:BF107)+1,"")</f>
        <v/>
      </c>
      <c r="BG108" s="225" t="str">
        <f>IF(OR(BW108=$BB$12,BZ108=$BB$12),MAX($BG$7:BG107)+1,"")</f>
        <v/>
      </c>
      <c r="BH108" s="225" t="str">
        <f>IF(OR(BW108=$BB$13,BZ108=$BB$13),MAX($BH$7:BH107)+1,"")</f>
        <v/>
      </c>
      <c r="BI108" s="225" t="str">
        <f>IF(OR(BW108=$BB$14,BZ108=$BB$14),MAX($BI$7:BI107)+1,"")</f>
        <v/>
      </c>
      <c r="BJ108" s="225" t="str">
        <f>IF(OR(BW108=$BB$15,BZ108=$BB$15),MAX($BJ$7:BJ107)+1,"")</f>
        <v/>
      </c>
      <c r="BK108" s="225" t="str">
        <f>IF(OR(BW108=$BB$16,BZ108=$BB$16),MAX($BK$7:BK107)+1,"")</f>
        <v/>
      </c>
      <c r="BL108" s="225" t="str">
        <f>IF(OR(BW108=$BB$17,BZ108=$BB$17),MAX($BL$7:BL107)+1,"")</f>
        <v/>
      </c>
      <c r="BM108" s="225" t="str">
        <f>IF(OR(BW108=$BB$18,BZ108=$BB$18),MAX($BM$7:BM107)+1,"")</f>
        <v/>
      </c>
      <c r="BN108" s="225" t="str">
        <f>IF(OR(BW108=$BB$19,BZ108=$BB$19),MAX($BN$7:BN107)+1,"")</f>
        <v/>
      </c>
      <c r="BO108" s="225" t="str">
        <f>IF(OR(BW108=$BB$20,BZ108=$BB$20),MAX($BO$7:BO107)+1,"")</f>
        <v/>
      </c>
      <c r="BP108" s="225">
        <f>IF(OR(BW108=$BB$21,BZ108=$BB$21),MAX($BP$7:BP107)+1,"")</f>
        <v>101</v>
      </c>
      <c r="BQ108" s="399"/>
      <c r="BR108" s="399"/>
      <c r="BS108" s="399"/>
      <c r="BT108" s="227">
        <f t="shared" si="71"/>
        <v>0</v>
      </c>
      <c r="BU108" s="225">
        <f t="shared" si="72"/>
        <v>0</v>
      </c>
      <c r="BV108" s="225">
        <f t="shared" si="73"/>
        <v>0</v>
      </c>
      <c r="BW108" s="225">
        <f t="shared" si="74"/>
        <v>0</v>
      </c>
      <c r="BX108" s="225">
        <f t="shared" si="75"/>
        <v>0</v>
      </c>
      <c r="BY108" s="225">
        <f t="shared" si="76"/>
        <v>0</v>
      </c>
      <c r="BZ108" s="225">
        <f t="shared" si="77"/>
        <v>0</v>
      </c>
      <c r="CA108" s="228">
        <f t="shared" si="78"/>
        <v>0</v>
      </c>
      <c r="CB108" s="228">
        <f t="shared" si="79"/>
        <v>0</v>
      </c>
      <c r="CC108" s="228">
        <f t="shared" si="80"/>
        <v>0</v>
      </c>
      <c r="CD108" s="228">
        <f t="shared" si="81"/>
        <v>0</v>
      </c>
      <c r="CE108" s="399"/>
      <c r="CF108" s="399"/>
    </row>
    <row r="109" spans="1:84" x14ac:dyDescent="0.4">
      <c r="B109" s="231" t="str">
        <f t="shared" si="82"/>
        <v/>
      </c>
      <c r="C109" s="732"/>
      <c r="D109" s="401"/>
      <c r="E109" s="733"/>
      <c r="F109" s="734"/>
      <c r="G109" s="401"/>
      <c r="H109" s="733"/>
      <c r="I109" s="733"/>
      <c r="J109" s="735"/>
      <c r="K109" s="736"/>
      <c r="L109" s="737"/>
      <c r="M109" s="737"/>
      <c r="N109" s="741"/>
      <c r="O109" s="739"/>
      <c r="P109" s="740"/>
      <c r="Q109" s="254" t="str">
        <f t="shared" si="64"/>
        <v/>
      </c>
      <c r="R109" s="254" t="str">
        <f t="shared" si="65"/>
        <v/>
      </c>
      <c r="S109" s="258" t="str">
        <f t="shared" si="66"/>
        <v/>
      </c>
      <c r="AR109" s="225" t="str">
        <f>IF(AS109&gt;1,MAX($AR$7:AR108)+1,"")</f>
        <v/>
      </c>
      <c r="AS109" s="224">
        <f t="shared" si="67"/>
        <v>0</v>
      </c>
      <c r="AT109" s="225">
        <f t="shared" si="68"/>
        <v>0</v>
      </c>
      <c r="AU109" s="224">
        <f t="shared" si="69"/>
        <v>0</v>
      </c>
      <c r="AV109" s="226">
        <f t="shared" si="70"/>
        <v>0</v>
      </c>
      <c r="AW109" s="224">
        <f t="shared" si="83"/>
        <v>0</v>
      </c>
      <c r="AX109" s="224">
        <f t="shared" si="84"/>
        <v>0</v>
      </c>
      <c r="AY109" s="224">
        <f t="shared" si="85"/>
        <v>0</v>
      </c>
      <c r="AZ109" s="711"/>
      <c r="BA109" s="399"/>
      <c r="BB109" s="399"/>
      <c r="BC109" s="225" t="str">
        <f>IF(OR(BW109=$BB$8,BZ109=$BB$8),MAX($BC$7:BC108)+1,"")</f>
        <v/>
      </c>
      <c r="BD109" s="225" t="str">
        <f>IF(OR(BW109=$BB$9,BZ109=$BB$9),MAX($BD$7:BD108)+1,"")</f>
        <v/>
      </c>
      <c r="BE109" s="225" t="str">
        <f>IF(OR(BW109=$BB$10,BZ109=$BB$10),MAX($BE$7:BE108)+1,"")</f>
        <v/>
      </c>
      <c r="BF109" s="225" t="str">
        <f>IF(OR(BW109=$BB$11,BZ109=$BB$11),MAX($BF$7:BF108)+1,"")</f>
        <v/>
      </c>
      <c r="BG109" s="225" t="str">
        <f>IF(OR(BW109=$BB$12,BZ109=$BB$12),MAX($BG$7:BG108)+1,"")</f>
        <v/>
      </c>
      <c r="BH109" s="225" t="str">
        <f>IF(OR(BW109=$BB$13,BZ109=$BB$13),MAX($BH$7:BH108)+1,"")</f>
        <v/>
      </c>
      <c r="BI109" s="225" t="str">
        <f>IF(OR(BW109=$BB$14,BZ109=$BB$14),MAX($BI$7:BI108)+1,"")</f>
        <v/>
      </c>
      <c r="BJ109" s="225" t="str">
        <f>IF(OR(BW109=$BB$15,BZ109=$BB$15),MAX($BJ$7:BJ108)+1,"")</f>
        <v/>
      </c>
      <c r="BK109" s="225" t="str">
        <f>IF(OR(BW109=$BB$16,BZ109=$BB$16),MAX($BK$7:BK108)+1,"")</f>
        <v/>
      </c>
      <c r="BL109" s="225" t="str">
        <f>IF(OR(BW109=$BB$17,BZ109=$BB$17),MAX($BL$7:BL108)+1,"")</f>
        <v/>
      </c>
      <c r="BM109" s="225" t="str">
        <f>IF(OR(BW109=$BB$18,BZ109=$BB$18),MAX($BM$7:BM108)+1,"")</f>
        <v/>
      </c>
      <c r="BN109" s="225" t="str">
        <f>IF(OR(BW109=$BB$19,BZ109=$BB$19),MAX($BN$7:BN108)+1,"")</f>
        <v/>
      </c>
      <c r="BO109" s="225" t="str">
        <f>IF(OR(BW109=$BB$20,BZ109=$BB$20),MAX($BO$7:BO108)+1,"")</f>
        <v/>
      </c>
      <c r="BP109" s="225">
        <f>IF(OR(BW109=$BB$21,BZ109=$BB$21),MAX($BP$7:BP108)+1,"")</f>
        <v>102</v>
      </c>
      <c r="BQ109" s="399"/>
      <c r="BR109" s="399"/>
      <c r="BS109" s="399"/>
      <c r="BT109" s="227">
        <f t="shared" si="71"/>
        <v>0</v>
      </c>
      <c r="BU109" s="225">
        <f t="shared" si="72"/>
        <v>0</v>
      </c>
      <c r="BV109" s="225">
        <f t="shared" si="73"/>
        <v>0</v>
      </c>
      <c r="BW109" s="225">
        <f t="shared" si="74"/>
        <v>0</v>
      </c>
      <c r="BX109" s="225">
        <f t="shared" si="75"/>
        <v>0</v>
      </c>
      <c r="BY109" s="225">
        <f t="shared" si="76"/>
        <v>0</v>
      </c>
      <c r="BZ109" s="225">
        <f t="shared" si="77"/>
        <v>0</v>
      </c>
      <c r="CA109" s="228">
        <f t="shared" si="78"/>
        <v>0</v>
      </c>
      <c r="CB109" s="228">
        <f t="shared" si="79"/>
        <v>0</v>
      </c>
      <c r="CC109" s="228">
        <f t="shared" si="80"/>
        <v>0</v>
      </c>
      <c r="CD109" s="228">
        <f t="shared" si="81"/>
        <v>0</v>
      </c>
      <c r="CE109" s="399"/>
      <c r="CF109" s="399"/>
    </row>
    <row r="110" spans="1:84" ht="22.5" thickBot="1" x14ac:dyDescent="0.45">
      <c r="B110" s="231" t="str">
        <f t="shared" si="82"/>
        <v/>
      </c>
      <c r="C110" s="732"/>
      <c r="D110" s="401"/>
      <c r="E110" s="733"/>
      <c r="F110" s="734"/>
      <c r="G110" s="401"/>
      <c r="H110" s="733"/>
      <c r="I110" s="733"/>
      <c r="J110" s="735"/>
      <c r="K110" s="736"/>
      <c r="L110" s="737"/>
      <c r="M110" s="737"/>
      <c r="N110" s="741"/>
      <c r="O110" s="739"/>
      <c r="P110" s="740"/>
      <c r="Q110" s="254" t="str">
        <f t="shared" si="64"/>
        <v/>
      </c>
      <c r="R110" s="254" t="str">
        <f t="shared" si="65"/>
        <v/>
      </c>
      <c r="S110" s="258" t="str">
        <f t="shared" si="66"/>
        <v/>
      </c>
      <c r="AR110" s="225" t="str">
        <f>IF(AS110&gt;1,MAX($AR$7:AR109)+1,"")</f>
        <v/>
      </c>
      <c r="AS110" s="224">
        <f t="shared" si="67"/>
        <v>0</v>
      </c>
      <c r="AT110" s="225">
        <f t="shared" si="68"/>
        <v>0</v>
      </c>
      <c r="AU110" s="224">
        <f t="shared" si="69"/>
        <v>0</v>
      </c>
      <c r="AV110" s="226">
        <f t="shared" si="70"/>
        <v>0</v>
      </c>
      <c r="AW110" s="224">
        <f t="shared" si="83"/>
        <v>0</v>
      </c>
      <c r="AX110" s="224">
        <f t="shared" si="84"/>
        <v>0</v>
      </c>
      <c r="AY110" s="224">
        <f t="shared" si="85"/>
        <v>0</v>
      </c>
      <c r="AZ110" s="711"/>
      <c r="BA110" s="399"/>
      <c r="BB110" s="399"/>
      <c r="BC110" s="225" t="str">
        <f>IF(OR(BW110=$BB$8,BZ110=$BB$8),MAX($BC$7:BC109)+1,"")</f>
        <v/>
      </c>
      <c r="BD110" s="225" t="str">
        <f>IF(OR(BW110=$BB$9,BZ110=$BB$9),MAX($BD$7:BD109)+1,"")</f>
        <v/>
      </c>
      <c r="BE110" s="225" t="str">
        <f>IF(OR(BW110=$BB$10,BZ110=$BB$10),MAX($BE$7:BE109)+1,"")</f>
        <v/>
      </c>
      <c r="BF110" s="225" t="str">
        <f>IF(OR(BW110=$BB$11,BZ110=$BB$11),MAX($BF$7:BF109)+1,"")</f>
        <v/>
      </c>
      <c r="BG110" s="225" t="str">
        <f>IF(OR(BW110=$BB$12,BZ110=$BB$12),MAX($BG$7:BG109)+1,"")</f>
        <v/>
      </c>
      <c r="BH110" s="225" t="str">
        <f>IF(OR(BW110=$BB$13,BZ110=$BB$13),MAX($BH$7:BH109)+1,"")</f>
        <v/>
      </c>
      <c r="BI110" s="225" t="str">
        <f>IF(OR(BW110=$BB$14,BZ110=$BB$14),MAX($BI$7:BI109)+1,"")</f>
        <v/>
      </c>
      <c r="BJ110" s="225" t="str">
        <f>IF(OR(BW110=$BB$15,BZ110=$BB$15),MAX($BJ$7:BJ109)+1,"")</f>
        <v/>
      </c>
      <c r="BK110" s="225" t="str">
        <f>IF(OR(BW110=$BB$16,BZ110=$BB$16),MAX($BK$7:BK109)+1,"")</f>
        <v/>
      </c>
      <c r="BL110" s="225" t="str">
        <f>IF(OR(BW110=$BB$17,BZ110=$BB$17),MAX($BL$7:BL109)+1,"")</f>
        <v/>
      </c>
      <c r="BM110" s="225" t="str">
        <f>IF(OR(BW110=$BB$18,BZ110=$BB$18),MAX($BM$7:BM109)+1,"")</f>
        <v/>
      </c>
      <c r="BN110" s="225" t="str">
        <f>IF(OR(BW110=$BB$19,BZ110=$BB$19),MAX($BN$7:BN109)+1,"")</f>
        <v/>
      </c>
      <c r="BO110" s="225" t="str">
        <f>IF(OR(BW110=$BB$20,BZ110=$BB$20),MAX($BO$7:BO109)+1,"")</f>
        <v/>
      </c>
      <c r="BP110" s="225">
        <f>IF(OR(BW110=$BB$21,BZ110=$BB$21),MAX($BP$7:BP109)+1,"")</f>
        <v>103</v>
      </c>
      <c r="BQ110" s="399"/>
      <c r="BR110" s="399"/>
      <c r="BS110" s="399"/>
      <c r="BT110" s="227">
        <f t="shared" si="71"/>
        <v>0</v>
      </c>
      <c r="BU110" s="225">
        <f t="shared" si="72"/>
        <v>0</v>
      </c>
      <c r="BV110" s="225">
        <f t="shared" si="73"/>
        <v>0</v>
      </c>
      <c r="BW110" s="225">
        <f t="shared" si="74"/>
        <v>0</v>
      </c>
      <c r="BX110" s="225">
        <f t="shared" si="75"/>
        <v>0</v>
      </c>
      <c r="BY110" s="225">
        <f t="shared" si="76"/>
        <v>0</v>
      </c>
      <c r="BZ110" s="225">
        <f t="shared" si="77"/>
        <v>0</v>
      </c>
      <c r="CA110" s="228">
        <f t="shared" si="78"/>
        <v>0</v>
      </c>
      <c r="CB110" s="228">
        <f t="shared" si="79"/>
        <v>0</v>
      </c>
      <c r="CC110" s="228">
        <f t="shared" si="80"/>
        <v>0</v>
      </c>
      <c r="CD110" s="228">
        <f t="shared" si="81"/>
        <v>0</v>
      </c>
      <c r="CE110" s="399"/>
      <c r="CF110" s="399"/>
    </row>
    <row r="111" spans="1:84" ht="30.75" customHeight="1" thickBot="1" x14ac:dyDescent="0.45">
      <c r="B111" s="231" t="str">
        <f>IF(C111="","",ROW(106:106))</f>
        <v/>
      </c>
      <c r="C111" s="715"/>
      <c r="D111" s="716"/>
      <c r="E111" s="715"/>
      <c r="F111" s="716" t="s">
        <v>35</v>
      </c>
      <c r="G111" s="717"/>
      <c r="H111" s="717"/>
      <c r="I111" s="717"/>
      <c r="J111" s="255">
        <f>SUM(J8:J110)</f>
        <v>3000</v>
      </c>
      <c r="K111" s="256">
        <f>SUM(K8:K110)</f>
        <v>3000</v>
      </c>
      <c r="L111" s="257">
        <f>SUM(L9:L110)</f>
        <v>0</v>
      </c>
      <c r="M111" s="257">
        <f>SUM(M9:M110)</f>
        <v>0</v>
      </c>
      <c r="N111" s="718"/>
      <c r="O111" s="719"/>
      <c r="P111" s="257">
        <f>SUM(P9:P110)</f>
        <v>0</v>
      </c>
      <c r="Q111" s="257">
        <f>J111-L111</f>
        <v>3000</v>
      </c>
      <c r="R111" s="257">
        <f>K111-M111</f>
        <v>3000</v>
      </c>
      <c r="S111" s="259">
        <f t="shared" ref="S111" si="86">Q111+R111</f>
        <v>6000</v>
      </c>
      <c r="W111" s="21"/>
      <c r="AR111" s="399"/>
      <c r="AS111" s="224">
        <f t="shared" si="67"/>
        <v>0</v>
      </c>
      <c r="AT111" s="225">
        <f t="shared" si="68"/>
        <v>0</v>
      </c>
      <c r="AU111" s="224">
        <f t="shared" si="69"/>
        <v>0</v>
      </c>
      <c r="AV111" s="226">
        <f t="shared" si="70"/>
        <v>0</v>
      </c>
      <c r="AW111" s="224">
        <f t="shared" si="83"/>
        <v>0</v>
      </c>
      <c r="AX111" s="224">
        <f t="shared" si="84"/>
        <v>0</v>
      </c>
      <c r="AY111" s="224">
        <f t="shared" si="85"/>
        <v>0</v>
      </c>
      <c r="AZ111" s="711"/>
      <c r="BA111" s="399"/>
      <c r="BB111" s="399"/>
      <c r="BC111" s="225" t="str">
        <f>IF(OR(BW111=$BB$8,BZ111=$BB$8),MAX($BC$7:BC110)+1,"")</f>
        <v/>
      </c>
      <c r="BD111" s="225" t="str">
        <f>IF(OR(BW111=$BB$9,BZ111=$BB$9),MAX($BD$7:BD110)+1,"")</f>
        <v/>
      </c>
      <c r="BE111" s="225" t="str">
        <f>IF(OR(BW111=$BB$10,BZ111=$BB$10),MAX($BE$7:BE110)+1,"")</f>
        <v/>
      </c>
      <c r="BF111" s="225" t="str">
        <f>IF(OR(BW111=$BB$11,BZ111=$BB$11),MAX($BF$7:BF110)+1,"")</f>
        <v/>
      </c>
      <c r="BG111" s="225" t="str">
        <f>IF(OR(BW111=$BB$12,BZ111=$BB$12),MAX($BG$7:BG110)+1,"")</f>
        <v/>
      </c>
      <c r="BH111" s="225" t="str">
        <f>IF(OR(BW111=$BB$13,BZ111=$BB$13),MAX($BH$7:BH110)+1,"")</f>
        <v/>
      </c>
      <c r="BI111" s="225" t="str">
        <f>IF(OR(BW111=$BB$14,BZ111=$BB$14),MAX($BI$7:BI110)+1,"")</f>
        <v/>
      </c>
      <c r="BJ111" s="225" t="str">
        <f>IF(OR(BW111=$BB$15,BZ111=$BB$15),MAX($BJ$7:BJ110)+1,"")</f>
        <v/>
      </c>
      <c r="BK111" s="225" t="str">
        <f>IF(OR(BW111=$BB$16,BZ111=$BB$16),MAX($BK$7:BK110)+1,"")</f>
        <v/>
      </c>
      <c r="BL111" s="225" t="str">
        <f>IF(OR(BW111=$BB$17,BZ111=$BB$17),MAX($BL$7:BL110)+1,"")</f>
        <v/>
      </c>
      <c r="BM111" s="225" t="str">
        <f>IF(OR(BW111=$BB$18,BZ111=$BB$18),MAX($BM$7:BM110)+1,"")</f>
        <v/>
      </c>
      <c r="BN111" s="225" t="str">
        <f>IF(OR(BW111=$BB$19,BZ111=$BB$19),MAX($BN$7:BN110)+1,"")</f>
        <v/>
      </c>
      <c r="BO111" s="225" t="str">
        <f>IF(OR(BW111=$BB$20,BZ111=$BB$20),MAX($BO$7:BO110)+1,"")</f>
        <v/>
      </c>
      <c r="BP111" s="225">
        <f>IF(OR(BW111=$BB$21,BZ111=$BB$21),MAX($BP$7:BP110)+1,"")</f>
        <v>104</v>
      </c>
      <c r="BQ111" s="399"/>
      <c r="BR111" s="399"/>
      <c r="BS111" s="399"/>
      <c r="BT111" s="227">
        <f t="shared" ref="BT111" si="87">C111</f>
        <v>0</v>
      </c>
      <c r="BU111" s="225">
        <f t="shared" ref="BU111" si="88">D111</f>
        <v>0</v>
      </c>
      <c r="BV111" s="225">
        <f t="shared" ref="BV111" si="89">E111</f>
        <v>0</v>
      </c>
      <c r="BW111" s="225" t="str">
        <f t="shared" ref="BW111" si="90">F111</f>
        <v>एकूण</v>
      </c>
      <c r="BX111" s="225">
        <f t="shared" ref="BX111" si="91">G111</f>
        <v>0</v>
      </c>
      <c r="BY111" s="225">
        <f t="shared" ref="BY111" si="92">H111</f>
        <v>0</v>
      </c>
      <c r="BZ111" s="225">
        <f t="shared" ref="BZ111" si="93">I111</f>
        <v>0</v>
      </c>
      <c r="CA111" s="228">
        <f t="shared" ref="CA111" si="94">J111</f>
        <v>3000</v>
      </c>
      <c r="CB111" s="228">
        <f t="shared" ref="CB111" si="95">K111</f>
        <v>3000</v>
      </c>
      <c r="CC111" s="228">
        <f t="shared" ref="CC111" si="96">L111</f>
        <v>0</v>
      </c>
      <c r="CD111" s="228">
        <f t="shared" ref="CD111" si="97">M111</f>
        <v>0</v>
      </c>
      <c r="CE111" s="399"/>
      <c r="CF111" s="399"/>
    </row>
    <row r="112" spans="1:84" x14ac:dyDescent="0.4">
      <c r="J112" s="720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  <c r="BL112" s="399"/>
      <c r="BM112" s="399"/>
      <c r="BN112" s="399"/>
      <c r="BO112" s="399"/>
      <c r="BP112" s="399"/>
      <c r="BQ112" s="399"/>
      <c r="BR112" s="399"/>
      <c r="BS112" s="399"/>
      <c r="BT112" s="400"/>
      <c r="BU112" s="399"/>
      <c r="BV112" s="399"/>
      <c r="BW112" s="399"/>
      <c r="BX112" s="399"/>
      <c r="BY112" s="399"/>
      <c r="BZ112" s="399"/>
      <c r="CA112" s="399"/>
      <c r="CB112" s="399"/>
      <c r="CC112" s="399"/>
      <c r="CD112" s="399"/>
      <c r="CE112" s="399"/>
      <c r="CF112" s="399"/>
    </row>
    <row r="113" spans="11:84" x14ac:dyDescent="0.4">
      <c r="K113" s="721"/>
      <c r="M113" s="721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  <c r="BL113" s="399"/>
      <c r="BM113" s="399"/>
      <c r="BN113" s="399"/>
      <c r="BO113" s="399"/>
      <c r="BP113" s="399"/>
      <c r="BQ113" s="399"/>
      <c r="BR113" s="399"/>
      <c r="BS113" s="399"/>
      <c r="BT113" s="400"/>
      <c r="BU113" s="399"/>
      <c r="BV113" s="399"/>
      <c r="BW113" s="399"/>
      <c r="BX113" s="399"/>
      <c r="BY113" s="399"/>
      <c r="BZ113" s="399"/>
      <c r="CA113" s="399"/>
      <c r="CB113" s="399"/>
      <c r="CC113" s="399"/>
      <c r="CD113" s="399"/>
      <c r="CE113" s="399"/>
      <c r="CF113" s="399"/>
    </row>
    <row r="114" spans="11:84" x14ac:dyDescent="0.4"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  <c r="BL114" s="399"/>
      <c r="BM114" s="399"/>
      <c r="BN114" s="399"/>
      <c r="BO114" s="399"/>
      <c r="BP114" s="399"/>
      <c r="BQ114" s="399"/>
      <c r="BR114" s="399"/>
      <c r="BS114" s="399"/>
      <c r="BT114" s="400"/>
      <c r="BU114" s="399"/>
      <c r="BV114" s="399"/>
      <c r="BW114" s="399"/>
      <c r="BX114" s="399"/>
      <c r="BY114" s="399"/>
      <c r="BZ114" s="399"/>
      <c r="CA114" s="399"/>
      <c r="CB114" s="399"/>
      <c r="CC114" s="399"/>
      <c r="CD114" s="399"/>
      <c r="CE114" s="399"/>
      <c r="CF114" s="399"/>
    </row>
    <row r="115" spans="11:84" x14ac:dyDescent="0.4">
      <c r="L115" s="721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  <c r="BL115" s="399"/>
      <c r="BM115" s="399"/>
      <c r="BN115" s="399"/>
      <c r="BO115" s="399"/>
      <c r="BP115" s="399"/>
      <c r="BQ115" s="399"/>
      <c r="BR115" s="399"/>
      <c r="BS115" s="399"/>
      <c r="BT115" s="400"/>
      <c r="BU115" s="399"/>
      <c r="BV115" s="399"/>
      <c r="BW115" s="399"/>
      <c r="BX115" s="399"/>
      <c r="BY115" s="399"/>
      <c r="BZ115" s="399"/>
      <c r="CA115" s="399"/>
      <c r="CB115" s="399"/>
      <c r="CC115" s="399"/>
      <c r="CD115" s="399"/>
      <c r="CE115" s="399"/>
      <c r="CF115" s="399"/>
    </row>
    <row r="116" spans="11:84" x14ac:dyDescent="0.4"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  <c r="BL116" s="399"/>
      <c r="BM116" s="399"/>
      <c r="BN116" s="399"/>
      <c r="BO116" s="399"/>
      <c r="BP116" s="399"/>
      <c r="BQ116" s="399"/>
      <c r="BR116" s="399"/>
      <c r="BS116" s="399"/>
      <c r="BT116" s="400"/>
      <c r="BU116" s="399"/>
      <c r="BV116" s="399"/>
      <c r="BW116" s="399"/>
      <c r="BX116" s="399"/>
      <c r="BY116" s="399"/>
      <c r="BZ116" s="399"/>
      <c r="CA116" s="399"/>
      <c r="CB116" s="399"/>
      <c r="CC116" s="399"/>
      <c r="CD116" s="399"/>
      <c r="CE116" s="399"/>
      <c r="CF116" s="399"/>
    </row>
    <row r="117" spans="11:84" x14ac:dyDescent="0.4"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  <c r="BL117" s="399"/>
      <c r="BM117" s="399"/>
      <c r="BN117" s="399"/>
      <c r="BO117" s="399"/>
      <c r="BP117" s="399"/>
      <c r="BQ117" s="399"/>
      <c r="BR117" s="399"/>
      <c r="BS117" s="399"/>
      <c r="BT117" s="400"/>
      <c r="BU117" s="399"/>
      <c r="BV117" s="399"/>
      <c r="BW117" s="399"/>
      <c r="BX117" s="399"/>
      <c r="BY117" s="399"/>
      <c r="BZ117" s="399"/>
      <c r="CA117" s="399"/>
      <c r="CB117" s="399"/>
      <c r="CC117" s="399"/>
      <c r="CD117" s="399"/>
      <c r="CE117" s="399"/>
      <c r="CF117" s="399"/>
    </row>
    <row r="118" spans="11:84" x14ac:dyDescent="0.4"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  <c r="BK118" s="399"/>
      <c r="BL118" s="399"/>
      <c r="BM118" s="399"/>
      <c r="BN118" s="399"/>
      <c r="BO118" s="399"/>
      <c r="BP118" s="399"/>
      <c r="BQ118" s="399"/>
      <c r="BR118" s="399"/>
      <c r="BS118" s="399"/>
      <c r="BT118" s="400"/>
      <c r="BU118" s="399"/>
      <c r="BV118" s="399"/>
      <c r="BW118" s="399"/>
      <c r="BX118" s="399"/>
      <c r="BY118" s="399"/>
      <c r="BZ118" s="399"/>
      <c r="CA118" s="399"/>
      <c r="CB118" s="399"/>
      <c r="CC118" s="399"/>
      <c r="CD118" s="399"/>
      <c r="CE118" s="399"/>
      <c r="CF118" s="399"/>
    </row>
    <row r="119" spans="11:84" x14ac:dyDescent="0.4"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  <c r="BK119" s="399"/>
      <c r="BL119" s="399"/>
      <c r="BM119" s="399"/>
      <c r="BN119" s="399"/>
      <c r="BO119" s="399"/>
      <c r="BP119" s="399"/>
      <c r="BQ119" s="399"/>
      <c r="BR119" s="399"/>
      <c r="BS119" s="399"/>
      <c r="BT119" s="400"/>
      <c r="BU119" s="399"/>
      <c r="BV119" s="399"/>
      <c r="BW119" s="399"/>
      <c r="BX119" s="399"/>
      <c r="BY119" s="399"/>
      <c r="BZ119" s="399"/>
      <c r="CA119" s="399"/>
      <c r="CB119" s="399"/>
      <c r="CC119" s="399"/>
      <c r="CD119" s="399"/>
      <c r="CE119" s="399"/>
      <c r="CF119" s="399"/>
    </row>
    <row r="120" spans="11:84" x14ac:dyDescent="0.4"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  <c r="BK120" s="399"/>
      <c r="BL120" s="399"/>
      <c r="BM120" s="399"/>
      <c r="BN120" s="399"/>
      <c r="BO120" s="399"/>
      <c r="BP120" s="399"/>
      <c r="BQ120" s="399"/>
      <c r="BR120" s="399"/>
      <c r="BS120" s="399"/>
      <c r="BT120" s="400"/>
      <c r="BU120" s="399"/>
      <c r="BV120" s="399"/>
      <c r="BW120" s="399"/>
      <c r="BX120" s="399"/>
      <c r="BY120" s="399"/>
      <c r="BZ120" s="399"/>
      <c r="CA120" s="399"/>
      <c r="CB120" s="399"/>
      <c r="CC120" s="399"/>
      <c r="CD120" s="399"/>
      <c r="CE120" s="399"/>
      <c r="CF120" s="399"/>
    </row>
    <row r="121" spans="11:84" x14ac:dyDescent="0.4"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  <c r="BK121" s="399"/>
      <c r="BL121" s="399"/>
      <c r="BM121" s="399"/>
      <c r="BN121" s="399"/>
      <c r="BO121" s="399"/>
      <c r="BP121" s="399"/>
      <c r="BQ121" s="399"/>
      <c r="BR121" s="399"/>
      <c r="BS121" s="399"/>
      <c r="BT121" s="400"/>
      <c r="BU121" s="399"/>
      <c r="BV121" s="399"/>
      <c r="BW121" s="399"/>
      <c r="BX121" s="399"/>
      <c r="BY121" s="399"/>
      <c r="BZ121" s="399"/>
      <c r="CA121" s="399"/>
      <c r="CB121" s="399"/>
      <c r="CC121" s="399"/>
      <c r="CD121" s="399"/>
      <c r="CE121" s="399"/>
      <c r="CF121" s="399"/>
    </row>
    <row r="122" spans="11:84" x14ac:dyDescent="0.4">
      <c r="AR122" s="399"/>
      <c r="AS122" s="399"/>
      <c r="AT122" s="399"/>
      <c r="AU122" s="399"/>
      <c r="AV122" s="399"/>
      <c r="AW122" s="399"/>
      <c r="AX122" s="399"/>
      <c r="AY122" s="399"/>
      <c r="AZ122" s="399"/>
      <c r="BA122" s="399"/>
      <c r="BB122" s="399"/>
      <c r="BC122" s="399"/>
      <c r="BD122" s="399"/>
      <c r="BE122" s="399"/>
      <c r="BF122" s="399"/>
      <c r="BG122" s="399"/>
      <c r="BH122" s="399"/>
      <c r="BI122" s="399"/>
      <c r="BJ122" s="399"/>
      <c r="BK122" s="399"/>
      <c r="BL122" s="399"/>
      <c r="BM122" s="399"/>
      <c r="BN122" s="399"/>
      <c r="BO122" s="399"/>
      <c r="BP122" s="399"/>
      <c r="BQ122" s="399"/>
      <c r="BR122" s="399"/>
      <c r="BS122" s="399"/>
      <c r="BT122" s="400"/>
      <c r="BU122" s="399"/>
      <c r="BV122" s="399"/>
      <c r="BW122" s="399"/>
      <c r="BX122" s="399"/>
      <c r="BY122" s="399"/>
      <c r="BZ122" s="399"/>
      <c r="CA122" s="399"/>
      <c r="CB122" s="399"/>
      <c r="CC122" s="399"/>
      <c r="CD122" s="399"/>
      <c r="CE122" s="399"/>
      <c r="CF122" s="399"/>
    </row>
  </sheetData>
  <sheetProtection algorithmName="SHA-512" hashValue="kpakrpNzJmwWp/FSvhkLel3dCSt/cl/m51q6RJY5QQ/srjCC8cPcQZl1N39nylfgx2R6FiHRpHM42CPFnoM8VQ==" saltValue="G/1bB7yvUUBoQdyLraAiZw==" spinCount="100000" sheet="1" objects="1" scenarios="1" selectLockedCells="1"/>
  <protectedRanges>
    <protectedRange sqref="Z6:AA18" name="Range3"/>
    <protectedRange sqref="C9:P110" name="Range2"/>
  </protectedRanges>
  <mergeCells count="42">
    <mergeCell ref="U21:Y21"/>
    <mergeCell ref="Z21:AA21"/>
    <mergeCell ref="Z19:Z20"/>
    <mergeCell ref="U14:Y14"/>
    <mergeCell ref="AS6:AS7"/>
    <mergeCell ref="U19:Y20"/>
    <mergeCell ref="AA19:AA20"/>
    <mergeCell ref="U15:Y15"/>
    <mergeCell ref="U16:Y16"/>
    <mergeCell ref="U17:Y17"/>
    <mergeCell ref="U18:Y18"/>
    <mergeCell ref="BU6:BW6"/>
    <mergeCell ref="BX6:BZ6"/>
    <mergeCell ref="AT6:AT7"/>
    <mergeCell ref="AU6:AU7"/>
    <mergeCell ref="AV6:AV7"/>
    <mergeCell ref="AW6:AY6"/>
    <mergeCell ref="AW7:AX7"/>
    <mergeCell ref="B6:B7"/>
    <mergeCell ref="C6:C7"/>
    <mergeCell ref="D4:F4"/>
    <mergeCell ref="B5:S5"/>
    <mergeCell ref="U13:Y13"/>
    <mergeCell ref="N6:P6"/>
    <mergeCell ref="L8:S8"/>
    <mergeCell ref="U5:Y5"/>
    <mergeCell ref="U6:Y6"/>
    <mergeCell ref="U7:Y7"/>
    <mergeCell ref="U8:Y8"/>
    <mergeCell ref="U9:Y9"/>
    <mergeCell ref="U10:Y10"/>
    <mergeCell ref="U11:Y11"/>
    <mergeCell ref="U12:Y12"/>
    <mergeCell ref="F2:P2"/>
    <mergeCell ref="S6:S7"/>
    <mergeCell ref="D6:F6"/>
    <mergeCell ref="G6:I6"/>
    <mergeCell ref="J6:K6"/>
    <mergeCell ref="L6:M6"/>
    <mergeCell ref="Q6:R6"/>
    <mergeCell ref="D7:E7"/>
    <mergeCell ref="G7:H7"/>
  </mergeCells>
  <conditionalFormatting sqref="AA6:AB18">
    <cfRule type="cellIs" dxfId="136" priority="2" operator="greaterThan">
      <formula>0</formula>
    </cfRule>
  </conditionalFormatting>
  <conditionalFormatting sqref="Z6:Z18">
    <cfRule type="cellIs" dxfId="135" priority="1" operator="greaterThan">
      <formula>0</formula>
    </cfRule>
  </conditionalFormatting>
  <dataValidations count="4">
    <dataValidation type="list" allowBlank="1" showInputMessage="1" showErrorMessage="1" sqref="G9:G110 D9:D110">
      <formula1>$AC$9:$AC$21</formula1>
    </dataValidation>
    <dataValidation type="list" allowBlank="1" showInputMessage="1" showErrorMessage="1" sqref="H9:H110 E9:E110">
      <formula1>$AD$9:$AD$21</formula1>
    </dataValidation>
    <dataValidation type="list" allowBlank="1" showInputMessage="1" showErrorMessage="1" sqref="I9:I110 F9:F110">
      <formula1>$AF$10:$AF$22</formula1>
    </dataValidation>
    <dataValidation type="list" allowBlank="1" showInputMessage="1" showErrorMessage="1" sqref="O9:O110">
      <formula1>check</formula1>
    </dataValidation>
  </dataValidations>
  <printOptions horizontalCentered="1"/>
  <pageMargins left="0.32" right="0.39370078740157483" top="0.39370078740157483" bottom="0.39370078740157483" header="0.31496062992125984" footer="0.31496062992125984"/>
  <pageSetup paperSize="9" scale="41" orientation="landscape" horizontalDpi="0" verticalDpi="0" r:id="rId1"/>
  <colBreaks count="1" manualBreakCount="1">
    <brk id="19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B1:U40"/>
  <sheetViews>
    <sheetView showZeros="0" zoomScaleNormal="100" workbookViewId="0">
      <selection activeCell="D5" sqref="D5:J5"/>
    </sheetView>
  </sheetViews>
  <sheetFormatPr defaultRowHeight="30" customHeight="1" x14ac:dyDescent="0.45"/>
  <cols>
    <col min="1" max="1" width="7.28515625" style="422" customWidth="1"/>
    <col min="2" max="2" width="7" style="422" customWidth="1"/>
    <col min="3" max="3" width="17.85546875" style="422" customWidth="1"/>
    <col min="4" max="4" width="10.5703125" style="422" customWidth="1"/>
    <col min="5" max="5" width="11.5703125" style="422" customWidth="1"/>
    <col min="6" max="6" width="15.5703125" style="422" customWidth="1"/>
    <col min="7" max="7" width="13.5703125" style="422" customWidth="1"/>
    <col min="8" max="8" width="12" style="422" customWidth="1"/>
    <col min="9" max="9" width="10.42578125" style="422" customWidth="1"/>
    <col min="10" max="10" width="13.5703125" style="422" customWidth="1"/>
    <col min="11" max="11" width="14.140625" style="422" customWidth="1"/>
    <col min="12" max="12" width="13.140625" style="422" customWidth="1"/>
    <col min="13" max="13" width="15.140625" style="422" customWidth="1"/>
    <col min="14" max="14" width="6.5703125" style="422" customWidth="1"/>
    <col min="15" max="18" width="9.140625" style="422"/>
    <col min="19" max="19" width="8.140625" style="422" customWidth="1"/>
    <col min="20" max="20" width="12.140625" style="422" hidden="1" customWidth="1"/>
    <col min="21" max="21" width="9.140625" style="422" hidden="1" customWidth="1"/>
    <col min="22" max="16384" width="9.140625" style="422"/>
  </cols>
  <sheetData>
    <row r="1" spans="2:20" ht="30" customHeight="1" x14ac:dyDescent="0.45">
      <c r="B1" s="1907"/>
      <c r="C1" s="1907"/>
      <c r="D1" s="1907"/>
      <c r="E1" s="1907"/>
      <c r="F1" s="1907"/>
      <c r="G1" s="1907"/>
      <c r="H1" s="1907"/>
      <c r="I1" s="1907"/>
      <c r="J1" s="1907"/>
      <c r="K1" s="1907"/>
      <c r="L1" s="1907"/>
    </row>
    <row r="2" spans="2:20" ht="30" customHeight="1" x14ac:dyDescent="0.45">
      <c r="B2" s="1908" t="s">
        <v>109</v>
      </c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10"/>
    </row>
    <row r="3" spans="2:20" ht="26.25" customHeight="1" x14ac:dyDescent="0.45">
      <c r="B3" s="1911" t="s">
        <v>110</v>
      </c>
      <c r="C3" s="1912"/>
      <c r="D3" s="1912"/>
      <c r="E3" s="1912"/>
      <c r="F3" s="1912"/>
      <c r="G3" s="1912"/>
      <c r="H3" s="1912"/>
      <c r="I3" s="1912"/>
      <c r="J3" s="1912"/>
      <c r="K3" s="1912"/>
      <c r="L3" s="1912"/>
      <c r="M3" s="1913"/>
    </row>
    <row r="4" spans="2:20" ht="25.5" customHeight="1" x14ac:dyDescent="0.45">
      <c r="B4" s="1126"/>
      <c r="C4" s="1192">
        <f>VLOOKUP(C7,'साठा नोंदवही'!C63:Z74,21,0)</f>
        <v>0</v>
      </c>
      <c r="D4" s="1915" t="s">
        <v>111</v>
      </c>
      <c r="E4" s="1916"/>
      <c r="F4" s="1094">
        <f>VLOOKUP(C7,' प्रमाण निश्चिती '!B28:C39,2,0)</f>
        <v>0.15</v>
      </c>
      <c r="G4" s="1127" t="s">
        <v>81</v>
      </c>
      <c r="H4" s="1914" t="s">
        <v>726</v>
      </c>
      <c r="I4" s="1914"/>
      <c r="J4" s="1893" t="str">
        <f>'शाळा माहिती'!C18</f>
        <v>6 ते 8</v>
      </c>
      <c r="K4" s="1894"/>
      <c r="L4" s="1894"/>
      <c r="M4" s="1193">
        <f>VLOOKUP(C7,'साठा नोंदवही'!C99:Z110,21,0)</f>
        <v>0</v>
      </c>
    </row>
    <row r="5" spans="2:20" ht="30" customHeight="1" x14ac:dyDescent="0.45">
      <c r="B5" s="1184" t="s">
        <v>334</v>
      </c>
      <c r="C5" s="1902" t="str">
        <f>'शाळा माहिती'!D4</f>
        <v>जि.प.प्रा.शा.बोरजाई वस्ती</v>
      </c>
      <c r="D5" s="1902"/>
      <c r="E5" s="1903"/>
      <c r="F5" s="1185" t="s">
        <v>256</v>
      </c>
      <c r="G5" s="1186" t="str">
        <f>'शाळा माहिती'!D6</f>
        <v>जामगाव</v>
      </c>
      <c r="H5" s="1187" t="s">
        <v>377</v>
      </c>
      <c r="I5" s="1917" t="str">
        <f>'शाळा माहिती'!D7</f>
        <v>गंगापूर</v>
      </c>
      <c r="J5" s="1917"/>
      <c r="K5" s="1918"/>
      <c r="L5" s="1187" t="s">
        <v>378</v>
      </c>
      <c r="M5" s="1188" t="str">
        <f>'शाळा माहिती'!D8</f>
        <v>औरंगाबाद</v>
      </c>
    </row>
    <row r="6" spans="2:20" ht="71.25" customHeight="1" x14ac:dyDescent="0.45">
      <c r="B6" s="1128" t="s">
        <v>86</v>
      </c>
      <c r="C6" s="1128" t="s">
        <v>17</v>
      </c>
      <c r="D6" s="1128" t="s">
        <v>18</v>
      </c>
      <c r="E6" s="1128" t="s">
        <v>117</v>
      </c>
      <c r="F6" s="1128" t="s">
        <v>314</v>
      </c>
      <c r="G6" s="1128" t="s">
        <v>315</v>
      </c>
      <c r="H6" s="1128" t="s">
        <v>316</v>
      </c>
      <c r="I6" s="1128" t="s">
        <v>701</v>
      </c>
      <c r="J6" s="1128" t="s">
        <v>317</v>
      </c>
      <c r="K6" s="1128" t="s">
        <v>737</v>
      </c>
      <c r="L6" s="1128" t="s">
        <v>318</v>
      </c>
      <c r="M6" s="1128" t="s">
        <v>725</v>
      </c>
    </row>
    <row r="7" spans="2:20" ht="30" customHeight="1" x14ac:dyDescent="0.45">
      <c r="B7" s="1129" t="s">
        <v>106</v>
      </c>
      <c r="C7" s="1146" t="s">
        <v>46</v>
      </c>
      <c r="D7" s="1147">
        <v>2022</v>
      </c>
      <c r="E7" s="1130"/>
      <c r="F7" s="1131"/>
      <c r="G7" s="1131"/>
      <c r="H7" s="1131"/>
      <c r="I7" s="1131"/>
      <c r="J7" s="1131"/>
      <c r="K7" s="1131"/>
      <c r="L7" s="1131"/>
      <c r="M7" s="1131"/>
    </row>
    <row r="8" spans="2:20" ht="30" customHeight="1" x14ac:dyDescent="0.45">
      <c r="B8" s="1132">
        <v>1</v>
      </c>
      <c r="C8" s="1133">
        <f>DATE(D7,INDEX({4,5,6,7,8,9,10,11,12,1,2,3},MATCH(C7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44743</v>
      </c>
      <c r="D8" s="1134" t="str">
        <f>IF(C8="","",INDEX({"रवि";"सोम";"मंगळ";"बुध";"गुरू";"शुक्र";"शनि"},WEEKDAY(C8)))</f>
        <v>शुक्र</v>
      </c>
      <c r="E8" s="1111">
        <f>HLOOKUP(C7,'दैनिक माहिती'!BF156:BQ188,2,0)</f>
        <v>0</v>
      </c>
      <c r="F8" s="1190">
        <f>VLOOKUP(C7,'शिक्षक मानधन पावती'!BF128:BH139,3,0)</f>
        <v>0</v>
      </c>
      <c r="G8" s="1112" t="str">
        <f>IF($C$4=C8,VLOOKUP($C$7,'साठा नोंदवही'!$AY$101:$BA$134,3,0),"--")</f>
        <v>--</v>
      </c>
      <c r="H8" s="1112">
        <f>SUM(F8:G8)</f>
        <v>0</v>
      </c>
      <c r="I8" s="1111">
        <f>HLOOKUP(C7,'दैनिक माहिती'!BF231:BQ263,2,0)</f>
        <v>0</v>
      </c>
      <c r="J8" s="1190" t="str">
        <f>IF(I8&gt;0,I8*$F$4,"--")</f>
        <v>--</v>
      </c>
      <c r="K8" s="1112" t="str">
        <f>IF($M$4=C8,VLOOKUP($C$7,'साठा नोंदवही'!$C$99:$Z$110,3,0),"--")</f>
        <v>--</v>
      </c>
      <c r="L8" s="1112" t="str">
        <f>IF(I8&gt;0,AVERAGE(H8-T8),"--")</f>
        <v>--</v>
      </c>
      <c r="M8" s="1132"/>
      <c r="T8" s="1189">
        <f>SUM(J8:K8)</f>
        <v>0</v>
      </c>
    </row>
    <row r="9" spans="2:20" ht="30" customHeight="1" x14ac:dyDescent="0.45">
      <c r="B9" s="1132">
        <v>2</v>
      </c>
      <c r="C9" s="1133">
        <f>C8+1</f>
        <v>44744</v>
      </c>
      <c r="D9" s="1135" t="str">
        <f>IF(C9="","",INDEX({"रवि";"सोम";"मंगळ";"बुध";"गुरू";"शुक्र";"शनि"},WEEKDAY(C9)))</f>
        <v>शनि</v>
      </c>
      <c r="E9" s="1111">
        <f>HLOOKUP(C7,'दैनिक माहिती'!BF156:BQ188,3,0)</f>
        <v>0</v>
      </c>
      <c r="F9" s="1136">
        <f>AVERAGE(H8-T8)</f>
        <v>0</v>
      </c>
      <c r="G9" s="1112" t="str">
        <f>IF($C$4=C9,VLOOKUP($C$7,'साठा नोंदवही'!$AY$101:$BA$134,3,0),"--")</f>
        <v>--</v>
      </c>
      <c r="H9" s="1112">
        <f t="shared" ref="H9:H38" si="0">SUM(F9:G9)</f>
        <v>0</v>
      </c>
      <c r="I9" s="1111">
        <f>HLOOKUP(C7,'दैनिक माहिती'!BF231:BQ263,3,0)</f>
        <v>0</v>
      </c>
      <c r="J9" s="1190" t="str">
        <f t="shared" ref="J9:J38" si="1">IF(I9&gt;0,I9*$F$4,"--")</f>
        <v>--</v>
      </c>
      <c r="K9" s="1112" t="str">
        <f>IF($M$4=C9,VLOOKUP($C$7,'साठा नोंदवही'!$C$99:$Z$110,3,0),"--")</f>
        <v>--</v>
      </c>
      <c r="L9" s="1112" t="str">
        <f t="shared" ref="L9:L38" si="2">IF(I9&gt;0,AVERAGE(H9-T9),"--")</f>
        <v>--</v>
      </c>
      <c r="M9" s="1132"/>
      <c r="T9" s="1189">
        <f t="shared" ref="T9:T39" si="3">SUM(J9:K9)</f>
        <v>0</v>
      </c>
    </row>
    <row r="10" spans="2:20" ht="30" customHeight="1" x14ac:dyDescent="0.45">
      <c r="B10" s="1132">
        <v>3</v>
      </c>
      <c r="C10" s="1133">
        <f t="shared" ref="C10:C38" si="4">C9+1</f>
        <v>44745</v>
      </c>
      <c r="D10" s="1135" t="str">
        <f>IF(C10="","",INDEX({"रवि";"सोम";"मंगळ";"बुध";"गुरू";"शुक्र";"शनि"},WEEKDAY(C10)))</f>
        <v>रवि</v>
      </c>
      <c r="E10" s="1111">
        <f>HLOOKUP(C7,'दैनिक माहिती'!BF156:BQ188,4,0)</f>
        <v>0</v>
      </c>
      <c r="F10" s="1136">
        <f t="shared" ref="F10:F38" si="5">AVERAGE(H9-T9)</f>
        <v>0</v>
      </c>
      <c r="G10" s="1112" t="str">
        <f>IF($C$4=C10,VLOOKUP($C$7,'साठा नोंदवही'!$AY$101:$BA$134,3,0),"--")</f>
        <v>--</v>
      </c>
      <c r="H10" s="1112">
        <f t="shared" si="0"/>
        <v>0</v>
      </c>
      <c r="I10" s="1111">
        <f>HLOOKUP(C7,'दैनिक माहिती'!BF231:BQ263,4,0)</f>
        <v>0</v>
      </c>
      <c r="J10" s="1190" t="str">
        <f t="shared" si="1"/>
        <v>--</v>
      </c>
      <c r="K10" s="1112" t="str">
        <f>IF($M$4=C10,VLOOKUP($C$7,'साठा नोंदवही'!$C$99:$Z$110,3,0),"--")</f>
        <v>--</v>
      </c>
      <c r="L10" s="1112" t="str">
        <f t="shared" si="2"/>
        <v>--</v>
      </c>
      <c r="M10" s="1132"/>
      <c r="T10" s="1189">
        <f t="shared" si="3"/>
        <v>0</v>
      </c>
    </row>
    <row r="11" spans="2:20" ht="30" customHeight="1" x14ac:dyDescent="0.45">
      <c r="B11" s="1132">
        <v>4</v>
      </c>
      <c r="C11" s="1133">
        <f t="shared" si="4"/>
        <v>44746</v>
      </c>
      <c r="D11" s="1135" t="str">
        <f>IF(C11="","",INDEX({"रवि";"सोम";"मंगळ";"बुध";"गुरू";"शुक्र";"शनि"},WEEKDAY(C11)))</f>
        <v>सोम</v>
      </c>
      <c r="E11" s="1111">
        <f>HLOOKUP(C7,'दैनिक माहिती'!BF156:BQ188,5,0)</f>
        <v>0</v>
      </c>
      <c r="F11" s="1136">
        <f t="shared" si="5"/>
        <v>0</v>
      </c>
      <c r="G11" s="1112" t="str">
        <f>IF($C$4=C11,VLOOKUP($C$7,'साठा नोंदवही'!$AY$101:$BA$134,3,0),"--")</f>
        <v>--</v>
      </c>
      <c r="H11" s="1112">
        <f t="shared" si="0"/>
        <v>0</v>
      </c>
      <c r="I11" s="1111">
        <f>HLOOKUP(C7,'दैनिक माहिती'!BF231:BQ263,5,0)</f>
        <v>0</v>
      </c>
      <c r="J11" s="1190" t="str">
        <f t="shared" si="1"/>
        <v>--</v>
      </c>
      <c r="K11" s="1112" t="str">
        <f>IF($M$4=C11,VLOOKUP($C$7,'साठा नोंदवही'!$C$99:$Z$110,3,0),"--")</f>
        <v>--</v>
      </c>
      <c r="L11" s="1112" t="str">
        <f t="shared" si="2"/>
        <v>--</v>
      </c>
      <c r="M11" s="1132"/>
      <c r="T11" s="1189">
        <f t="shared" si="3"/>
        <v>0</v>
      </c>
    </row>
    <row r="12" spans="2:20" ht="30" customHeight="1" x14ac:dyDescent="0.45">
      <c r="B12" s="1132">
        <v>5</v>
      </c>
      <c r="C12" s="1133">
        <f t="shared" si="4"/>
        <v>44747</v>
      </c>
      <c r="D12" s="1135" t="str">
        <f>IF(C12="","",INDEX({"रवि";"सोम";"मंगळ";"बुध";"गुरू";"शुक्र";"शनि"},WEEKDAY(C12)))</f>
        <v>मंगळ</v>
      </c>
      <c r="E12" s="1111">
        <f>HLOOKUP(C7,'दैनिक माहिती'!BF156:BQ188,6,0)</f>
        <v>0</v>
      </c>
      <c r="F12" s="1136">
        <f t="shared" si="5"/>
        <v>0</v>
      </c>
      <c r="G12" s="1112" t="str">
        <f>IF($C$4=C12,VLOOKUP($C$7,'साठा नोंदवही'!$AY$101:$BA$134,3,0),"--")</f>
        <v>--</v>
      </c>
      <c r="H12" s="1112">
        <f t="shared" si="0"/>
        <v>0</v>
      </c>
      <c r="I12" s="1111">
        <f>HLOOKUP(C7,'दैनिक माहिती'!BF231:BQ263,6,0)</f>
        <v>0</v>
      </c>
      <c r="J12" s="1190" t="str">
        <f t="shared" si="1"/>
        <v>--</v>
      </c>
      <c r="K12" s="1112" t="str">
        <f>IF($M$4=C12,VLOOKUP($C$7,'साठा नोंदवही'!$C$99:$Z$110,3,0),"--")</f>
        <v>--</v>
      </c>
      <c r="L12" s="1112" t="str">
        <f t="shared" si="2"/>
        <v>--</v>
      </c>
      <c r="M12" s="1132"/>
      <c r="T12" s="1189">
        <f t="shared" si="3"/>
        <v>0</v>
      </c>
    </row>
    <row r="13" spans="2:20" ht="30" customHeight="1" x14ac:dyDescent="0.45">
      <c r="B13" s="1132">
        <v>6</v>
      </c>
      <c r="C13" s="1133">
        <f t="shared" si="4"/>
        <v>44748</v>
      </c>
      <c r="D13" s="1135" t="str">
        <f>IF(C13="","",INDEX({"रवि";"सोम";"मंगळ";"बुध";"गुरू";"शुक्र";"शनि"},WEEKDAY(C13)))</f>
        <v>बुध</v>
      </c>
      <c r="E13" s="1111">
        <f>HLOOKUP(C7,'दैनिक माहिती'!BF156:BQ188,7,0)</f>
        <v>0</v>
      </c>
      <c r="F13" s="1136">
        <f t="shared" si="5"/>
        <v>0</v>
      </c>
      <c r="G13" s="1112" t="str">
        <f>IF($C$4=C13,VLOOKUP($C$7,'साठा नोंदवही'!$AY$101:$BA$134,3,0),"--")</f>
        <v>--</v>
      </c>
      <c r="H13" s="1112">
        <f t="shared" si="0"/>
        <v>0</v>
      </c>
      <c r="I13" s="1111">
        <f>HLOOKUP(C7,'दैनिक माहिती'!BF231:BQ263,7,0)</f>
        <v>0</v>
      </c>
      <c r="J13" s="1190" t="str">
        <f t="shared" si="1"/>
        <v>--</v>
      </c>
      <c r="K13" s="1112" t="str">
        <f>IF($M$4=C13,VLOOKUP($C$7,'साठा नोंदवही'!$C$99:$Z$110,3,0),"--")</f>
        <v>--</v>
      </c>
      <c r="L13" s="1112" t="str">
        <f t="shared" si="2"/>
        <v>--</v>
      </c>
      <c r="M13" s="1132"/>
      <c r="T13" s="1189">
        <f t="shared" si="3"/>
        <v>0</v>
      </c>
    </row>
    <row r="14" spans="2:20" ht="30" customHeight="1" x14ac:dyDescent="0.45">
      <c r="B14" s="1132">
        <v>7</v>
      </c>
      <c r="C14" s="1133">
        <f t="shared" si="4"/>
        <v>44749</v>
      </c>
      <c r="D14" s="1135" t="str">
        <f>IF(C14="","",INDEX({"रवि";"सोम";"मंगळ";"बुध";"गुरू";"शुक्र";"शनि"},WEEKDAY(C14)))</f>
        <v>गुरू</v>
      </c>
      <c r="E14" s="1111">
        <f>HLOOKUP(C7,'दैनिक माहिती'!BF156:BQ188,8,0)</f>
        <v>0</v>
      </c>
      <c r="F14" s="1136">
        <f t="shared" si="5"/>
        <v>0</v>
      </c>
      <c r="G14" s="1112" t="str">
        <f>IF($C$4=C14,VLOOKUP($C$7,'साठा नोंदवही'!$AY$101:$BA$134,3,0),"--")</f>
        <v>--</v>
      </c>
      <c r="H14" s="1112">
        <f t="shared" si="0"/>
        <v>0</v>
      </c>
      <c r="I14" s="1111">
        <f>HLOOKUP(C7,'दैनिक माहिती'!BF231:BQ263,8,0)</f>
        <v>0</v>
      </c>
      <c r="J14" s="1190" t="str">
        <f t="shared" si="1"/>
        <v>--</v>
      </c>
      <c r="K14" s="1112" t="str">
        <f>IF($M$4=C14,VLOOKUP($C$7,'साठा नोंदवही'!$C$99:$Z$110,3,0),"--")</f>
        <v>--</v>
      </c>
      <c r="L14" s="1112" t="str">
        <f t="shared" si="2"/>
        <v>--</v>
      </c>
      <c r="M14" s="1132"/>
      <c r="T14" s="1189">
        <f t="shared" si="3"/>
        <v>0</v>
      </c>
    </row>
    <row r="15" spans="2:20" ht="30" customHeight="1" x14ac:dyDescent="0.45">
      <c r="B15" s="1132">
        <v>8</v>
      </c>
      <c r="C15" s="1133">
        <f t="shared" si="4"/>
        <v>44750</v>
      </c>
      <c r="D15" s="1135" t="str">
        <f>IF(C15="","",INDEX({"रवि";"सोम";"मंगळ";"बुध";"गुरू";"शुक्र";"शनि"},WEEKDAY(C15)))</f>
        <v>शुक्र</v>
      </c>
      <c r="E15" s="1111">
        <f>HLOOKUP(C7,'दैनिक माहिती'!BF156:BQ188,9,0)</f>
        <v>0</v>
      </c>
      <c r="F15" s="1136">
        <f t="shared" si="5"/>
        <v>0</v>
      </c>
      <c r="G15" s="1112" t="str">
        <f>IF($C$4=C15,VLOOKUP($C$7,'साठा नोंदवही'!$AY$101:$BA$134,3,0),"--")</f>
        <v>--</v>
      </c>
      <c r="H15" s="1112">
        <f t="shared" si="0"/>
        <v>0</v>
      </c>
      <c r="I15" s="1111">
        <f>HLOOKUP(C7,'दैनिक माहिती'!BF231:BQ263,9,0)</f>
        <v>0</v>
      </c>
      <c r="J15" s="1190" t="str">
        <f t="shared" si="1"/>
        <v>--</v>
      </c>
      <c r="K15" s="1112" t="str">
        <f>IF($M$4=C15,VLOOKUP($C$7,'साठा नोंदवही'!$C$99:$Z$110,3,0),"--")</f>
        <v>--</v>
      </c>
      <c r="L15" s="1112" t="str">
        <f t="shared" si="2"/>
        <v>--</v>
      </c>
      <c r="M15" s="1132"/>
      <c r="T15" s="1189">
        <f t="shared" si="3"/>
        <v>0</v>
      </c>
    </row>
    <row r="16" spans="2:20" ht="30" customHeight="1" x14ac:dyDescent="0.45">
      <c r="B16" s="1132">
        <v>9</v>
      </c>
      <c r="C16" s="1133">
        <f t="shared" si="4"/>
        <v>44751</v>
      </c>
      <c r="D16" s="1135" t="str">
        <f>IF(C16="","",INDEX({"रवि";"सोम";"मंगळ";"बुध";"गुरू";"शुक्र";"शनि"},WEEKDAY(C16)))</f>
        <v>शनि</v>
      </c>
      <c r="E16" s="1111">
        <f>HLOOKUP(C7,'दैनिक माहिती'!BF156:BQ188,10,0)</f>
        <v>0</v>
      </c>
      <c r="F16" s="1136">
        <f t="shared" si="5"/>
        <v>0</v>
      </c>
      <c r="G16" s="1112" t="str">
        <f>IF($C$4=C16,VLOOKUP($C$7,'साठा नोंदवही'!$AY$101:$BA$134,3,0),"--")</f>
        <v>--</v>
      </c>
      <c r="H16" s="1112">
        <f t="shared" si="0"/>
        <v>0</v>
      </c>
      <c r="I16" s="1111">
        <f>HLOOKUP(C7,'दैनिक माहिती'!BF231:BQ263,10,0)</f>
        <v>0</v>
      </c>
      <c r="J16" s="1190" t="str">
        <f t="shared" si="1"/>
        <v>--</v>
      </c>
      <c r="K16" s="1112" t="str">
        <f>IF($M$4=C16,VLOOKUP($C$7,'साठा नोंदवही'!$C$99:$Z$110,3,0),"--")</f>
        <v>--</v>
      </c>
      <c r="L16" s="1112" t="str">
        <f t="shared" si="2"/>
        <v>--</v>
      </c>
      <c r="M16" s="1132"/>
      <c r="T16" s="1189">
        <f t="shared" si="3"/>
        <v>0</v>
      </c>
    </row>
    <row r="17" spans="2:20" ht="30" customHeight="1" x14ac:dyDescent="0.45">
      <c r="B17" s="1132">
        <v>10</v>
      </c>
      <c r="C17" s="1133">
        <f t="shared" si="4"/>
        <v>44752</v>
      </c>
      <c r="D17" s="1135" t="str">
        <f>IF(C17="","",INDEX({"रवि";"सोम";"मंगळ";"बुध";"गुरू";"शुक्र";"शनि"},WEEKDAY(C17)))</f>
        <v>रवि</v>
      </c>
      <c r="E17" s="1111">
        <f>HLOOKUP(C7,'दैनिक माहिती'!BF156:BQ188,11,0)</f>
        <v>0</v>
      </c>
      <c r="F17" s="1136">
        <f t="shared" si="5"/>
        <v>0</v>
      </c>
      <c r="G17" s="1112" t="str">
        <f>IF($C$4=C17,VLOOKUP($C$7,'साठा नोंदवही'!$AY$101:$BA$134,3,0),"--")</f>
        <v>--</v>
      </c>
      <c r="H17" s="1112">
        <f t="shared" si="0"/>
        <v>0</v>
      </c>
      <c r="I17" s="1111">
        <f>HLOOKUP(C7,'दैनिक माहिती'!BF231:BQ263,11,0)</f>
        <v>0</v>
      </c>
      <c r="J17" s="1190" t="str">
        <f t="shared" si="1"/>
        <v>--</v>
      </c>
      <c r="K17" s="1112" t="str">
        <f>IF($M$4=C17,VLOOKUP($C$7,'साठा नोंदवही'!$C$99:$Z$110,3,0),"--")</f>
        <v>--</v>
      </c>
      <c r="L17" s="1112" t="str">
        <f t="shared" si="2"/>
        <v>--</v>
      </c>
      <c r="M17" s="1132"/>
      <c r="T17" s="1189">
        <f t="shared" si="3"/>
        <v>0</v>
      </c>
    </row>
    <row r="18" spans="2:20" ht="30" customHeight="1" x14ac:dyDescent="0.45">
      <c r="B18" s="1132">
        <v>11</v>
      </c>
      <c r="C18" s="1133">
        <f t="shared" si="4"/>
        <v>44753</v>
      </c>
      <c r="D18" s="1135" t="str">
        <f>IF(C18="","",INDEX({"रवि";"सोम";"मंगळ";"बुध";"गुरू";"शुक्र";"शनि"},WEEKDAY(C18)))</f>
        <v>सोम</v>
      </c>
      <c r="E18" s="1111">
        <f>HLOOKUP(C7,'दैनिक माहिती'!BF156:BQ188,12,0)</f>
        <v>0</v>
      </c>
      <c r="F18" s="1136">
        <f t="shared" si="5"/>
        <v>0</v>
      </c>
      <c r="G18" s="1112" t="str">
        <f>IF($C$4=C18,VLOOKUP($C$7,'साठा नोंदवही'!$AY$101:$BA$134,3,0),"--")</f>
        <v>--</v>
      </c>
      <c r="H18" s="1112">
        <f t="shared" si="0"/>
        <v>0</v>
      </c>
      <c r="I18" s="1111">
        <f>HLOOKUP(C7,'दैनिक माहिती'!BF231:BQ263,12,0)</f>
        <v>0</v>
      </c>
      <c r="J18" s="1190" t="str">
        <f t="shared" si="1"/>
        <v>--</v>
      </c>
      <c r="K18" s="1112" t="str">
        <f>IF($M$4=C18,VLOOKUP($C$7,'साठा नोंदवही'!$C$99:$Z$110,3,0),"--")</f>
        <v>--</v>
      </c>
      <c r="L18" s="1112" t="str">
        <f t="shared" si="2"/>
        <v>--</v>
      </c>
      <c r="M18" s="1132"/>
      <c r="T18" s="1189">
        <f t="shared" si="3"/>
        <v>0</v>
      </c>
    </row>
    <row r="19" spans="2:20" ht="30" customHeight="1" x14ac:dyDescent="0.45">
      <c r="B19" s="1132">
        <v>12</v>
      </c>
      <c r="C19" s="1133">
        <f t="shared" si="4"/>
        <v>44754</v>
      </c>
      <c r="D19" s="1135" t="str">
        <f>IF(C19="","",INDEX({"रवि";"सोम";"मंगळ";"बुध";"गुरू";"शुक्र";"शनि"},WEEKDAY(C19)))</f>
        <v>मंगळ</v>
      </c>
      <c r="E19" s="1111">
        <f>HLOOKUP(C7,'दैनिक माहिती'!BF156:BQ188,13,0)</f>
        <v>0</v>
      </c>
      <c r="F19" s="1136">
        <f t="shared" si="5"/>
        <v>0</v>
      </c>
      <c r="G19" s="1112" t="str">
        <f>IF($C$4=C19,VLOOKUP($C$7,'साठा नोंदवही'!$AY$101:$BA$134,3,0),"--")</f>
        <v>--</v>
      </c>
      <c r="H19" s="1112">
        <f t="shared" si="0"/>
        <v>0</v>
      </c>
      <c r="I19" s="1111">
        <f>HLOOKUP(C7,'दैनिक माहिती'!BF231:BQ263,13,0)</f>
        <v>0</v>
      </c>
      <c r="J19" s="1190" t="str">
        <f t="shared" si="1"/>
        <v>--</v>
      </c>
      <c r="K19" s="1112" t="str">
        <f>IF($M$4=C19,VLOOKUP($C$7,'साठा नोंदवही'!$C$99:$Z$110,3,0),"--")</f>
        <v>--</v>
      </c>
      <c r="L19" s="1112" t="str">
        <f t="shared" si="2"/>
        <v>--</v>
      </c>
      <c r="M19" s="1132"/>
      <c r="T19" s="1189">
        <f t="shared" si="3"/>
        <v>0</v>
      </c>
    </row>
    <row r="20" spans="2:20" ht="30" customHeight="1" x14ac:dyDescent="0.45">
      <c r="B20" s="1132">
        <v>13</v>
      </c>
      <c r="C20" s="1133">
        <f t="shared" si="4"/>
        <v>44755</v>
      </c>
      <c r="D20" s="1135" t="str">
        <f>IF(C20="","",INDEX({"रवि";"सोम";"मंगळ";"बुध";"गुरू";"शुक्र";"शनि"},WEEKDAY(C20)))</f>
        <v>बुध</v>
      </c>
      <c r="E20" s="1111">
        <f>HLOOKUP(C7,'दैनिक माहिती'!BF156:BQ188,14,0)</f>
        <v>0</v>
      </c>
      <c r="F20" s="1136">
        <f t="shared" si="5"/>
        <v>0</v>
      </c>
      <c r="G20" s="1112" t="str">
        <f>IF($C$4=C20,VLOOKUP($C$7,'साठा नोंदवही'!$AY$101:$BA$134,3,0),"--")</f>
        <v>--</v>
      </c>
      <c r="H20" s="1112">
        <f t="shared" si="0"/>
        <v>0</v>
      </c>
      <c r="I20" s="1111">
        <f>HLOOKUP(C7,'दैनिक माहिती'!BF231:BQ263,14,0)</f>
        <v>0</v>
      </c>
      <c r="J20" s="1190" t="str">
        <f t="shared" si="1"/>
        <v>--</v>
      </c>
      <c r="K20" s="1112" t="str">
        <f>IF($M$4=C20,VLOOKUP($C$7,'साठा नोंदवही'!$C$99:$Z$110,3,0),"--")</f>
        <v>--</v>
      </c>
      <c r="L20" s="1112" t="str">
        <f t="shared" si="2"/>
        <v>--</v>
      </c>
      <c r="M20" s="1132"/>
      <c r="T20" s="1189">
        <f t="shared" si="3"/>
        <v>0</v>
      </c>
    </row>
    <row r="21" spans="2:20" ht="30" customHeight="1" x14ac:dyDescent="0.45">
      <c r="B21" s="1132">
        <v>14</v>
      </c>
      <c r="C21" s="1133">
        <f t="shared" si="4"/>
        <v>44756</v>
      </c>
      <c r="D21" s="1135" t="str">
        <f>IF(C21="","",INDEX({"रवि";"सोम";"मंगळ";"बुध";"गुरू";"शुक्र";"शनि"},WEEKDAY(C21)))</f>
        <v>गुरू</v>
      </c>
      <c r="E21" s="1111">
        <f>HLOOKUP(C7,'दैनिक माहिती'!BF156:BQ188,15,0)</f>
        <v>0</v>
      </c>
      <c r="F21" s="1136">
        <f t="shared" si="5"/>
        <v>0</v>
      </c>
      <c r="G21" s="1112" t="str">
        <f>IF($C$4=C21,VLOOKUP($C$7,'साठा नोंदवही'!$AY$101:$BA$134,3,0),"--")</f>
        <v>--</v>
      </c>
      <c r="H21" s="1112">
        <f t="shared" si="0"/>
        <v>0</v>
      </c>
      <c r="I21" s="1111">
        <f>HLOOKUP(C7,'दैनिक माहिती'!BF231:BQ263,15,0)</f>
        <v>0</v>
      </c>
      <c r="J21" s="1190" t="str">
        <f t="shared" si="1"/>
        <v>--</v>
      </c>
      <c r="K21" s="1112" t="str">
        <f>IF($M$4=C21,VLOOKUP($C$7,'साठा नोंदवही'!$C$99:$Z$110,3,0),"--")</f>
        <v>--</v>
      </c>
      <c r="L21" s="1112" t="str">
        <f t="shared" si="2"/>
        <v>--</v>
      </c>
      <c r="M21" s="1132"/>
      <c r="T21" s="1189">
        <f t="shared" si="3"/>
        <v>0</v>
      </c>
    </row>
    <row r="22" spans="2:20" ht="30" customHeight="1" x14ac:dyDescent="0.45">
      <c r="B22" s="1132">
        <v>15</v>
      </c>
      <c r="C22" s="1133">
        <f t="shared" si="4"/>
        <v>44757</v>
      </c>
      <c r="D22" s="1135" t="str">
        <f>IF(C22="","",INDEX({"रवि";"सोम";"मंगळ";"बुध";"गुरू";"शुक्र";"शनि"},WEEKDAY(C22)))</f>
        <v>शुक्र</v>
      </c>
      <c r="E22" s="1111">
        <f>HLOOKUP(C7,'दैनिक माहिती'!BF156:BQ188,16,0)</f>
        <v>0</v>
      </c>
      <c r="F22" s="1136">
        <f t="shared" si="5"/>
        <v>0</v>
      </c>
      <c r="G22" s="1112" t="str">
        <f>IF($C$4=C22,VLOOKUP($C$7,'साठा नोंदवही'!$AY$101:$BA$134,3,0),"--")</f>
        <v>--</v>
      </c>
      <c r="H22" s="1112">
        <f t="shared" si="0"/>
        <v>0</v>
      </c>
      <c r="I22" s="1111">
        <f>HLOOKUP(C7,'दैनिक माहिती'!BF231:BQ263,16,0)</f>
        <v>0</v>
      </c>
      <c r="J22" s="1190" t="str">
        <f t="shared" si="1"/>
        <v>--</v>
      </c>
      <c r="K22" s="1112" t="str">
        <f>IF($M$4=C22,VLOOKUP($C$7,'साठा नोंदवही'!$C$99:$Z$110,3,0),"--")</f>
        <v>--</v>
      </c>
      <c r="L22" s="1112" t="str">
        <f t="shared" si="2"/>
        <v>--</v>
      </c>
      <c r="M22" s="1132"/>
      <c r="T22" s="1189">
        <f t="shared" si="3"/>
        <v>0</v>
      </c>
    </row>
    <row r="23" spans="2:20" ht="30" customHeight="1" x14ac:dyDescent="0.45">
      <c r="B23" s="1132">
        <v>16</v>
      </c>
      <c r="C23" s="1133">
        <f>C22+1</f>
        <v>44758</v>
      </c>
      <c r="D23" s="1135" t="str">
        <f>IF(C23="","",INDEX({"रवि";"सोम";"मंगळ";"बुध";"गुरू";"शुक्र";"शनि"},WEEKDAY(C23)))</f>
        <v>शनि</v>
      </c>
      <c r="E23" s="1111">
        <f>HLOOKUP(C7,'दैनिक माहिती'!BF156:BQ188,17,0)</f>
        <v>0</v>
      </c>
      <c r="F23" s="1136">
        <f t="shared" si="5"/>
        <v>0</v>
      </c>
      <c r="G23" s="1112" t="str">
        <f>IF($C$4=C23,VLOOKUP($C$7,'साठा नोंदवही'!$AY$101:$BA$134,3,0),"--")</f>
        <v>--</v>
      </c>
      <c r="H23" s="1112">
        <f t="shared" si="0"/>
        <v>0</v>
      </c>
      <c r="I23" s="1111">
        <f>HLOOKUP(C7,'दैनिक माहिती'!BF231:BQ263,17,0)</f>
        <v>0</v>
      </c>
      <c r="J23" s="1190" t="str">
        <f t="shared" si="1"/>
        <v>--</v>
      </c>
      <c r="K23" s="1112" t="str">
        <f>IF($M$4=C23,VLOOKUP($C$7,'साठा नोंदवही'!$C$99:$Z$110,3,0),"--")</f>
        <v>--</v>
      </c>
      <c r="L23" s="1112" t="str">
        <f t="shared" si="2"/>
        <v>--</v>
      </c>
      <c r="M23" s="1132"/>
      <c r="T23" s="1189">
        <f t="shared" si="3"/>
        <v>0</v>
      </c>
    </row>
    <row r="24" spans="2:20" ht="30" customHeight="1" x14ac:dyDescent="0.45">
      <c r="B24" s="1132">
        <v>17</v>
      </c>
      <c r="C24" s="1133">
        <f t="shared" si="4"/>
        <v>44759</v>
      </c>
      <c r="D24" s="1135" t="str">
        <f>IF(C24="","",INDEX({"रवि";"सोम";"मंगळ";"बुध";"गुरू";"शुक्र";"शनि"},WEEKDAY(C24)))</f>
        <v>रवि</v>
      </c>
      <c r="E24" s="1111">
        <f>HLOOKUP(C7,'दैनिक माहिती'!BF156:BQ188,18,0)</f>
        <v>0</v>
      </c>
      <c r="F24" s="1136">
        <f t="shared" si="5"/>
        <v>0</v>
      </c>
      <c r="G24" s="1112" t="str">
        <f>IF($C$4=C24,VLOOKUP($C$7,'साठा नोंदवही'!$AY$101:$BA$134,3,0),"--")</f>
        <v>--</v>
      </c>
      <c r="H24" s="1112">
        <f t="shared" si="0"/>
        <v>0</v>
      </c>
      <c r="I24" s="1111">
        <f>HLOOKUP(C7,'दैनिक माहिती'!BF231:BQ263,18,0)</f>
        <v>0</v>
      </c>
      <c r="J24" s="1190" t="str">
        <f t="shared" si="1"/>
        <v>--</v>
      </c>
      <c r="K24" s="1112" t="str">
        <f>IF($M$4=C24,VLOOKUP($C$7,'साठा नोंदवही'!$C$99:$Z$110,3,0),"--")</f>
        <v>--</v>
      </c>
      <c r="L24" s="1112" t="str">
        <f t="shared" si="2"/>
        <v>--</v>
      </c>
      <c r="M24" s="1132"/>
      <c r="T24" s="1189">
        <f t="shared" si="3"/>
        <v>0</v>
      </c>
    </row>
    <row r="25" spans="2:20" ht="30" customHeight="1" x14ac:dyDescent="0.45">
      <c r="B25" s="1132">
        <v>18</v>
      </c>
      <c r="C25" s="1133">
        <f t="shared" si="4"/>
        <v>44760</v>
      </c>
      <c r="D25" s="1135" t="str">
        <f>IF(C25="","",INDEX({"रवि";"सोम";"मंगळ";"बुध";"गुरू";"शुक्र";"शनि"},WEEKDAY(C25)))</f>
        <v>सोम</v>
      </c>
      <c r="E25" s="1111">
        <f>HLOOKUP(C7,'दैनिक माहिती'!BF156:BQ188,19,0)</f>
        <v>0</v>
      </c>
      <c r="F25" s="1136">
        <f t="shared" si="5"/>
        <v>0</v>
      </c>
      <c r="G25" s="1112" t="str">
        <f>IF($C$4=C25,VLOOKUP($C$7,'साठा नोंदवही'!$AY$101:$BA$134,3,0),"--")</f>
        <v>--</v>
      </c>
      <c r="H25" s="1112">
        <f t="shared" si="0"/>
        <v>0</v>
      </c>
      <c r="I25" s="1111">
        <f>HLOOKUP(C7,'दैनिक माहिती'!BF231:BQ263,19,0)</f>
        <v>0</v>
      </c>
      <c r="J25" s="1190" t="str">
        <f t="shared" si="1"/>
        <v>--</v>
      </c>
      <c r="K25" s="1112" t="str">
        <f>IF($M$4=C25,VLOOKUP($C$7,'साठा नोंदवही'!$C$99:$Z$110,3,0),"--")</f>
        <v>--</v>
      </c>
      <c r="L25" s="1112" t="str">
        <f t="shared" si="2"/>
        <v>--</v>
      </c>
      <c r="M25" s="1132"/>
      <c r="T25" s="1189">
        <f t="shared" si="3"/>
        <v>0</v>
      </c>
    </row>
    <row r="26" spans="2:20" ht="30" customHeight="1" x14ac:dyDescent="0.45">
      <c r="B26" s="1132">
        <v>19</v>
      </c>
      <c r="C26" s="1133">
        <f t="shared" si="4"/>
        <v>44761</v>
      </c>
      <c r="D26" s="1135" t="str">
        <f>IF(C26="","",INDEX({"रवि";"सोम";"मंगळ";"बुध";"गुरू";"शुक्र";"शनि"},WEEKDAY(C26)))</f>
        <v>मंगळ</v>
      </c>
      <c r="E26" s="1111">
        <f>HLOOKUP(C7,'दैनिक माहिती'!BF156:BQ188,20,0)</f>
        <v>0</v>
      </c>
      <c r="F26" s="1136">
        <f t="shared" si="5"/>
        <v>0</v>
      </c>
      <c r="G26" s="1112" t="str">
        <f>IF($C$4=C26,VLOOKUP($C$7,'साठा नोंदवही'!$AY$101:$BA$134,3,0),"--")</f>
        <v>--</v>
      </c>
      <c r="H26" s="1112">
        <f t="shared" si="0"/>
        <v>0</v>
      </c>
      <c r="I26" s="1111">
        <f>HLOOKUP(C7,'दैनिक माहिती'!BF231:BQ263,20,0)</f>
        <v>0</v>
      </c>
      <c r="J26" s="1190" t="str">
        <f t="shared" si="1"/>
        <v>--</v>
      </c>
      <c r="K26" s="1112" t="str">
        <f>IF($M$4=C26,VLOOKUP($C$7,'साठा नोंदवही'!$C$99:$Z$110,3,0),"--")</f>
        <v>--</v>
      </c>
      <c r="L26" s="1112" t="str">
        <f t="shared" si="2"/>
        <v>--</v>
      </c>
      <c r="M26" s="1132"/>
      <c r="T26" s="1189">
        <f t="shared" si="3"/>
        <v>0</v>
      </c>
    </row>
    <row r="27" spans="2:20" ht="30" customHeight="1" x14ac:dyDescent="0.45">
      <c r="B27" s="1132">
        <v>20</v>
      </c>
      <c r="C27" s="1133">
        <f t="shared" si="4"/>
        <v>44762</v>
      </c>
      <c r="D27" s="1135" t="str">
        <f>IF(C27="","",INDEX({"रवि";"सोम";"मंगळ";"बुध";"गुरू";"शुक्र";"शनि"},WEEKDAY(C27)))</f>
        <v>बुध</v>
      </c>
      <c r="E27" s="1111">
        <f>HLOOKUP(C7,'दैनिक माहिती'!BF156:BQ188,21,0)</f>
        <v>0</v>
      </c>
      <c r="F27" s="1136">
        <f t="shared" si="5"/>
        <v>0</v>
      </c>
      <c r="G27" s="1112" t="str">
        <f>IF($C$4=C27,VLOOKUP($C$7,'साठा नोंदवही'!$AY$101:$BA$134,3,0),"--")</f>
        <v>--</v>
      </c>
      <c r="H27" s="1112">
        <f t="shared" si="0"/>
        <v>0</v>
      </c>
      <c r="I27" s="1111">
        <f>HLOOKUP(C7,'दैनिक माहिती'!BF231:BQ263,21,0)</f>
        <v>0</v>
      </c>
      <c r="J27" s="1190" t="str">
        <f t="shared" si="1"/>
        <v>--</v>
      </c>
      <c r="K27" s="1112" t="str">
        <f>IF($M$4=C27,VLOOKUP($C$7,'साठा नोंदवही'!$C$99:$Z$110,3,0),"--")</f>
        <v>--</v>
      </c>
      <c r="L27" s="1112" t="str">
        <f t="shared" si="2"/>
        <v>--</v>
      </c>
      <c r="M27" s="1132"/>
      <c r="T27" s="1189">
        <f t="shared" si="3"/>
        <v>0</v>
      </c>
    </row>
    <row r="28" spans="2:20" ht="30" customHeight="1" x14ac:dyDescent="0.45">
      <c r="B28" s="1132">
        <v>21</v>
      </c>
      <c r="C28" s="1133">
        <f t="shared" si="4"/>
        <v>44763</v>
      </c>
      <c r="D28" s="1135" t="str">
        <f>IF(C28="","",INDEX({"रवि";"सोम";"मंगळ";"बुध";"गुरू";"शुक्र";"शनि"},WEEKDAY(C28)))</f>
        <v>गुरू</v>
      </c>
      <c r="E28" s="1111">
        <f>HLOOKUP(C7,'दैनिक माहिती'!BF156:BQ188,22,0)</f>
        <v>0</v>
      </c>
      <c r="F28" s="1136">
        <f t="shared" si="5"/>
        <v>0</v>
      </c>
      <c r="G28" s="1112" t="str">
        <f>IF($C$4=C28,VLOOKUP($C$7,'साठा नोंदवही'!$AY$101:$BA$134,3,0),"--")</f>
        <v>--</v>
      </c>
      <c r="H28" s="1112">
        <f t="shared" si="0"/>
        <v>0</v>
      </c>
      <c r="I28" s="1111">
        <f>HLOOKUP(C7,'दैनिक माहिती'!BF231:BQ263,22,0)</f>
        <v>0</v>
      </c>
      <c r="J28" s="1190" t="str">
        <f t="shared" si="1"/>
        <v>--</v>
      </c>
      <c r="K28" s="1112" t="str">
        <f>IF($M$4=C28,VLOOKUP($C$7,'साठा नोंदवही'!$C$99:$Z$110,3,0),"--")</f>
        <v>--</v>
      </c>
      <c r="L28" s="1112" t="str">
        <f t="shared" si="2"/>
        <v>--</v>
      </c>
      <c r="M28" s="1132"/>
      <c r="T28" s="1189">
        <f t="shared" si="3"/>
        <v>0</v>
      </c>
    </row>
    <row r="29" spans="2:20" ht="30" customHeight="1" x14ac:dyDescent="0.45">
      <c r="B29" s="1132">
        <v>22</v>
      </c>
      <c r="C29" s="1133">
        <f t="shared" si="4"/>
        <v>44764</v>
      </c>
      <c r="D29" s="1135" t="str">
        <f>IF(C29="","",INDEX({"रवि";"सोम";"मंगळ";"बुध";"गुरू";"शुक्र";"शनि"},WEEKDAY(C29)))</f>
        <v>शुक्र</v>
      </c>
      <c r="E29" s="1111">
        <f>HLOOKUP(C7,'दैनिक माहिती'!BF156:BQ188,23,0)</f>
        <v>0</v>
      </c>
      <c r="F29" s="1136">
        <f t="shared" si="5"/>
        <v>0</v>
      </c>
      <c r="G29" s="1112" t="str">
        <f>IF($C$4=C29,VLOOKUP($C$7,'साठा नोंदवही'!$AY$101:$BA$134,3,0),"--")</f>
        <v>--</v>
      </c>
      <c r="H29" s="1112">
        <f t="shared" si="0"/>
        <v>0</v>
      </c>
      <c r="I29" s="1111">
        <f>HLOOKUP(C7,'दैनिक माहिती'!BF231:BQ263,23,0)</f>
        <v>0</v>
      </c>
      <c r="J29" s="1190" t="str">
        <f t="shared" si="1"/>
        <v>--</v>
      </c>
      <c r="K29" s="1112" t="str">
        <f>IF($M$4=C29,VLOOKUP($C$7,'साठा नोंदवही'!$C$99:$Z$110,3,0),"--")</f>
        <v>--</v>
      </c>
      <c r="L29" s="1112" t="str">
        <f t="shared" si="2"/>
        <v>--</v>
      </c>
      <c r="M29" s="1132"/>
      <c r="T29" s="1189">
        <f t="shared" si="3"/>
        <v>0</v>
      </c>
    </row>
    <row r="30" spans="2:20" ht="30" customHeight="1" x14ac:dyDescent="0.45">
      <c r="B30" s="1132">
        <v>23</v>
      </c>
      <c r="C30" s="1133">
        <f t="shared" si="4"/>
        <v>44765</v>
      </c>
      <c r="D30" s="1135" t="str">
        <f>IF(C30="","",INDEX({"रवि";"सोम";"मंगळ";"बुध";"गुरू";"शुक्र";"शनि"},WEEKDAY(C30)))</f>
        <v>शनि</v>
      </c>
      <c r="E30" s="1111">
        <f>HLOOKUP(C7,'दैनिक माहिती'!BF156:BQ188,24,0)</f>
        <v>0</v>
      </c>
      <c r="F30" s="1136">
        <f t="shared" si="5"/>
        <v>0</v>
      </c>
      <c r="G30" s="1112" t="str">
        <f>IF($C$4=C30,VLOOKUP($C$7,'साठा नोंदवही'!$AY$101:$BA$134,3,0),"--")</f>
        <v>--</v>
      </c>
      <c r="H30" s="1112">
        <f t="shared" si="0"/>
        <v>0</v>
      </c>
      <c r="I30" s="1111">
        <f>HLOOKUP(C7,'दैनिक माहिती'!BF231:BQ263,24,0)</f>
        <v>0</v>
      </c>
      <c r="J30" s="1190" t="str">
        <f t="shared" si="1"/>
        <v>--</v>
      </c>
      <c r="K30" s="1112" t="str">
        <f>IF($M$4=C30,VLOOKUP($C$7,'साठा नोंदवही'!$C$99:$Z$110,3,0),"--")</f>
        <v>--</v>
      </c>
      <c r="L30" s="1112" t="str">
        <f t="shared" si="2"/>
        <v>--</v>
      </c>
      <c r="M30" s="1132"/>
      <c r="T30" s="1189">
        <f t="shared" si="3"/>
        <v>0</v>
      </c>
    </row>
    <row r="31" spans="2:20" ht="30" customHeight="1" x14ac:dyDescent="0.45">
      <c r="B31" s="1132">
        <v>24</v>
      </c>
      <c r="C31" s="1133">
        <f t="shared" si="4"/>
        <v>44766</v>
      </c>
      <c r="D31" s="1135" t="str">
        <f>IF(C31="","",INDEX({"रवि";"सोम";"मंगळ";"बुध";"गुरू";"शुक्र";"शनि"},WEEKDAY(C31)))</f>
        <v>रवि</v>
      </c>
      <c r="E31" s="1111">
        <f>HLOOKUP(C7,'दैनिक माहिती'!BF156:BQ188,25,0)</f>
        <v>0</v>
      </c>
      <c r="F31" s="1136">
        <f t="shared" si="5"/>
        <v>0</v>
      </c>
      <c r="G31" s="1112" t="str">
        <f>IF($C$4=C31,VLOOKUP($C$7,'साठा नोंदवही'!$AY$101:$BA$134,3,0),"--")</f>
        <v>--</v>
      </c>
      <c r="H31" s="1112">
        <f t="shared" si="0"/>
        <v>0</v>
      </c>
      <c r="I31" s="1111">
        <f>HLOOKUP(C7,'दैनिक माहिती'!BF231:BQ263,25,0)</f>
        <v>0</v>
      </c>
      <c r="J31" s="1190" t="str">
        <f t="shared" si="1"/>
        <v>--</v>
      </c>
      <c r="K31" s="1112" t="str">
        <f>IF($M$4=C31,VLOOKUP($C$7,'साठा नोंदवही'!$C$99:$Z$110,3,0),"--")</f>
        <v>--</v>
      </c>
      <c r="L31" s="1112" t="str">
        <f t="shared" si="2"/>
        <v>--</v>
      </c>
      <c r="M31" s="1132"/>
      <c r="T31" s="1189">
        <f t="shared" si="3"/>
        <v>0</v>
      </c>
    </row>
    <row r="32" spans="2:20" ht="30" customHeight="1" x14ac:dyDescent="0.45">
      <c r="B32" s="1132">
        <v>25</v>
      </c>
      <c r="C32" s="1133">
        <f t="shared" si="4"/>
        <v>44767</v>
      </c>
      <c r="D32" s="1135" t="str">
        <f>IF(C32="","",INDEX({"रवि";"सोम";"मंगळ";"बुध";"गुरू";"शुक्र";"शनि"},WEEKDAY(C32)))</f>
        <v>सोम</v>
      </c>
      <c r="E32" s="1111">
        <f>HLOOKUP(C7,'दैनिक माहिती'!BF156:BQ188,26,0)</f>
        <v>0</v>
      </c>
      <c r="F32" s="1136">
        <f t="shared" si="5"/>
        <v>0</v>
      </c>
      <c r="G32" s="1112" t="str">
        <f>IF($C$4=C32,VLOOKUP($C$7,'साठा नोंदवही'!$AY$101:$BA$134,3,0),"--")</f>
        <v>--</v>
      </c>
      <c r="H32" s="1112">
        <f t="shared" si="0"/>
        <v>0</v>
      </c>
      <c r="I32" s="1111">
        <f>HLOOKUP(C7,'दैनिक माहिती'!BF231:BQ263,26,0)</f>
        <v>0</v>
      </c>
      <c r="J32" s="1190" t="str">
        <f t="shared" si="1"/>
        <v>--</v>
      </c>
      <c r="K32" s="1112" t="str">
        <f>IF($M$4=C32,VLOOKUP($C$7,'साठा नोंदवही'!$C$99:$Z$110,3,0),"--")</f>
        <v>--</v>
      </c>
      <c r="L32" s="1112" t="str">
        <f t="shared" si="2"/>
        <v>--</v>
      </c>
      <c r="M32" s="1132"/>
      <c r="T32" s="1189">
        <f t="shared" si="3"/>
        <v>0</v>
      </c>
    </row>
    <row r="33" spans="2:20" ht="30" customHeight="1" x14ac:dyDescent="0.45">
      <c r="B33" s="1132">
        <v>26</v>
      </c>
      <c r="C33" s="1133">
        <f t="shared" si="4"/>
        <v>44768</v>
      </c>
      <c r="D33" s="1135" t="str">
        <f>IF(C33="","",INDEX({"रवि";"सोम";"मंगळ";"बुध";"गुरू";"शुक्र";"शनि"},WEEKDAY(C33)))</f>
        <v>मंगळ</v>
      </c>
      <c r="E33" s="1111">
        <f>HLOOKUP(C7,'दैनिक माहिती'!BF156:BQ188,27,0)</f>
        <v>0</v>
      </c>
      <c r="F33" s="1136">
        <f t="shared" si="5"/>
        <v>0</v>
      </c>
      <c r="G33" s="1112" t="str">
        <f>IF($C$4=C33,VLOOKUP($C$7,'साठा नोंदवही'!$AY$101:$BA$134,3,0),"--")</f>
        <v>--</v>
      </c>
      <c r="H33" s="1112">
        <f t="shared" si="0"/>
        <v>0</v>
      </c>
      <c r="I33" s="1111">
        <f>HLOOKUP(C7,'दैनिक माहिती'!BF231:BQ263,27,0)</f>
        <v>0</v>
      </c>
      <c r="J33" s="1190" t="str">
        <f t="shared" si="1"/>
        <v>--</v>
      </c>
      <c r="K33" s="1112" t="str">
        <f>IF($M$4=C33,VLOOKUP($C$7,'साठा नोंदवही'!$C$99:$Z$110,3,0),"--")</f>
        <v>--</v>
      </c>
      <c r="L33" s="1112" t="str">
        <f t="shared" si="2"/>
        <v>--</v>
      </c>
      <c r="M33" s="1132"/>
      <c r="T33" s="1189">
        <f t="shared" si="3"/>
        <v>0</v>
      </c>
    </row>
    <row r="34" spans="2:20" ht="30" customHeight="1" x14ac:dyDescent="0.45">
      <c r="B34" s="1132">
        <v>27</v>
      </c>
      <c r="C34" s="1133">
        <f t="shared" si="4"/>
        <v>44769</v>
      </c>
      <c r="D34" s="1135" t="str">
        <f>IF(C34="","",INDEX({"रवि";"सोम";"मंगळ";"बुध";"गुरू";"शुक्र";"शनि"},WEEKDAY(C34)))</f>
        <v>बुध</v>
      </c>
      <c r="E34" s="1111">
        <f>HLOOKUP(C7,'दैनिक माहिती'!BF156:BQ188,28,0)</f>
        <v>0</v>
      </c>
      <c r="F34" s="1136">
        <f t="shared" si="5"/>
        <v>0</v>
      </c>
      <c r="G34" s="1112" t="str">
        <f>IF($C$4=C34,VLOOKUP($C$7,'साठा नोंदवही'!$AY$101:$BA$134,3,0),"--")</f>
        <v>--</v>
      </c>
      <c r="H34" s="1112">
        <f t="shared" si="0"/>
        <v>0</v>
      </c>
      <c r="I34" s="1111">
        <f>HLOOKUP(C7,'दैनिक माहिती'!BF231:BQ263,28,0)</f>
        <v>0</v>
      </c>
      <c r="J34" s="1190" t="str">
        <f t="shared" si="1"/>
        <v>--</v>
      </c>
      <c r="K34" s="1112" t="str">
        <f>IF($M$4=C34,VLOOKUP($C$7,'साठा नोंदवही'!$C$99:$Z$110,3,0),"--")</f>
        <v>--</v>
      </c>
      <c r="L34" s="1112" t="str">
        <f t="shared" si="2"/>
        <v>--</v>
      </c>
      <c r="M34" s="1132"/>
      <c r="T34" s="1189">
        <f t="shared" si="3"/>
        <v>0</v>
      </c>
    </row>
    <row r="35" spans="2:20" ht="30" customHeight="1" x14ac:dyDescent="0.45">
      <c r="B35" s="1132">
        <v>28</v>
      </c>
      <c r="C35" s="1133">
        <f t="shared" si="4"/>
        <v>44770</v>
      </c>
      <c r="D35" s="1135" t="str">
        <f>IF(C35="","",INDEX({"रवि";"सोम";"मंगळ";"बुध";"गुरू";"शुक्र";"शनि"},WEEKDAY(C35)))</f>
        <v>गुरू</v>
      </c>
      <c r="E35" s="1111">
        <f>HLOOKUP(C7,'दैनिक माहिती'!BF156:BQ188,29,0)</f>
        <v>0</v>
      </c>
      <c r="F35" s="1136">
        <f t="shared" si="5"/>
        <v>0</v>
      </c>
      <c r="G35" s="1112" t="str">
        <f>IF($C$4=C35,VLOOKUP($C$7,'साठा नोंदवही'!$AY$101:$BA$134,3,0),"--")</f>
        <v>--</v>
      </c>
      <c r="H35" s="1112">
        <f t="shared" si="0"/>
        <v>0</v>
      </c>
      <c r="I35" s="1111">
        <f>HLOOKUP(C7,'दैनिक माहिती'!BF231:BQ263,29,0)</f>
        <v>0</v>
      </c>
      <c r="J35" s="1190" t="str">
        <f t="shared" si="1"/>
        <v>--</v>
      </c>
      <c r="K35" s="1112" t="str">
        <f>IF($M$4=C35,VLOOKUP($C$7,'साठा नोंदवही'!$C$99:$Z$110,3,0),"--")</f>
        <v>--</v>
      </c>
      <c r="L35" s="1112" t="str">
        <f t="shared" si="2"/>
        <v>--</v>
      </c>
      <c r="M35" s="1132"/>
      <c r="T35" s="1189">
        <f t="shared" si="3"/>
        <v>0</v>
      </c>
    </row>
    <row r="36" spans="2:20" ht="30" customHeight="1" x14ac:dyDescent="0.45">
      <c r="B36" s="1132">
        <v>29</v>
      </c>
      <c r="C36" s="1133">
        <f t="shared" si="4"/>
        <v>44771</v>
      </c>
      <c r="D36" s="1135" t="str">
        <f>IF(C36="","",INDEX({"रवि";"सोम";"मंगळ";"बुध";"गुरू";"शुक्र";"शनि"},WEEKDAY(C36)))</f>
        <v>शुक्र</v>
      </c>
      <c r="E36" s="1111">
        <f>HLOOKUP(C7,'दैनिक माहिती'!BF156:BQ188,30,0)</f>
        <v>0</v>
      </c>
      <c r="F36" s="1136">
        <f t="shared" si="5"/>
        <v>0</v>
      </c>
      <c r="G36" s="1112" t="str">
        <f>IF($C$4=C36,VLOOKUP($C$7,'साठा नोंदवही'!$AY$101:$BA$134,3,0),"--")</f>
        <v>--</v>
      </c>
      <c r="H36" s="1112">
        <f t="shared" si="0"/>
        <v>0</v>
      </c>
      <c r="I36" s="1111">
        <f>HLOOKUP(C7,'दैनिक माहिती'!BF231:BQ263,30,0)</f>
        <v>0</v>
      </c>
      <c r="J36" s="1190" t="str">
        <f t="shared" si="1"/>
        <v>--</v>
      </c>
      <c r="K36" s="1112" t="str">
        <f>IF($M$4=C36,VLOOKUP($C$7,'साठा नोंदवही'!$C$99:$Z$110,3,0),"--")</f>
        <v>--</v>
      </c>
      <c r="L36" s="1112" t="str">
        <f t="shared" si="2"/>
        <v>--</v>
      </c>
      <c r="M36" s="1132"/>
      <c r="T36" s="1189">
        <f t="shared" si="3"/>
        <v>0</v>
      </c>
    </row>
    <row r="37" spans="2:20" ht="30" customHeight="1" x14ac:dyDescent="0.45">
      <c r="B37" s="1132">
        <v>30</v>
      </c>
      <c r="C37" s="1133">
        <f t="shared" si="4"/>
        <v>44772</v>
      </c>
      <c r="D37" s="1135" t="str">
        <f>IF(C37="","",INDEX({"रवि";"सोम";"मंगळ";"बुध";"गुरू";"शुक्र";"शनि"},WEEKDAY(C37)))</f>
        <v>शनि</v>
      </c>
      <c r="E37" s="1111">
        <f>HLOOKUP(C7,'दैनिक माहिती'!BF156:BQ188,31,0)</f>
        <v>0</v>
      </c>
      <c r="F37" s="1136">
        <f t="shared" si="5"/>
        <v>0</v>
      </c>
      <c r="G37" s="1112" t="str">
        <f>IF($C$4=C37,VLOOKUP($C$7,'साठा नोंदवही'!$AY$101:$BA$134,3,0),"--")</f>
        <v>--</v>
      </c>
      <c r="H37" s="1112">
        <f t="shared" si="0"/>
        <v>0</v>
      </c>
      <c r="I37" s="1111">
        <f>HLOOKUP(C7,'दैनिक माहिती'!BF231:BQ263,31,0)</f>
        <v>0</v>
      </c>
      <c r="J37" s="1190" t="str">
        <f t="shared" si="1"/>
        <v>--</v>
      </c>
      <c r="K37" s="1112" t="str">
        <f>IF($M$4=C37,VLOOKUP($C$7,'साठा नोंदवही'!$C$99:$Z$110,3,0),"--")</f>
        <v>--</v>
      </c>
      <c r="L37" s="1112" t="str">
        <f t="shared" si="2"/>
        <v>--</v>
      </c>
      <c r="M37" s="1132"/>
      <c r="T37" s="1189">
        <f t="shared" si="3"/>
        <v>0</v>
      </c>
    </row>
    <row r="38" spans="2:20" ht="30" customHeight="1" thickBot="1" x14ac:dyDescent="0.5">
      <c r="B38" s="1137">
        <v>31</v>
      </c>
      <c r="C38" s="1138">
        <f t="shared" si="4"/>
        <v>44773</v>
      </c>
      <c r="D38" s="1139" t="str">
        <f>IF(C38="","",INDEX({"रवि";"सोम";"मंगळ";"बुध";"गुरू";"शुक्र";"शनि"},WEEKDAY(C38)))</f>
        <v>रवि</v>
      </c>
      <c r="E38" s="1118">
        <f>HLOOKUP(C7,'दैनिक माहिती'!BF156:BQ188,32,0)</f>
        <v>0</v>
      </c>
      <c r="F38" s="1136">
        <f t="shared" si="5"/>
        <v>0</v>
      </c>
      <c r="G38" s="1112" t="str">
        <f>IF($C$4=C38,VLOOKUP($C$7,'साठा नोंदवही'!$AY$101:$BA$134,3,0),"--")</f>
        <v>--</v>
      </c>
      <c r="H38" s="1112">
        <f t="shared" si="0"/>
        <v>0</v>
      </c>
      <c r="I38" s="1118">
        <f>HLOOKUP(C7,'दैनिक माहिती'!BF231:BQ263,32,0)</f>
        <v>0</v>
      </c>
      <c r="J38" s="1190" t="str">
        <f t="shared" si="1"/>
        <v>--</v>
      </c>
      <c r="K38" s="1112" t="str">
        <f>IF($M$4=C38,VLOOKUP($C$7,'साठा नोंदवही'!$C$99:$Z$110,3,0),"--")</f>
        <v>--</v>
      </c>
      <c r="L38" s="1112" t="str">
        <f t="shared" si="2"/>
        <v>--</v>
      </c>
      <c r="M38" s="1137"/>
      <c r="T38" s="1189">
        <f t="shared" si="3"/>
        <v>0</v>
      </c>
    </row>
    <row r="39" spans="2:20" ht="30" customHeight="1" thickBot="1" x14ac:dyDescent="0.5">
      <c r="B39" s="1904" t="s">
        <v>35</v>
      </c>
      <c r="C39" s="1905"/>
      <c r="D39" s="1906"/>
      <c r="E39" s="1140">
        <f>SUM(E8:E38)</f>
        <v>0</v>
      </c>
      <c r="F39" s="1141">
        <f>F8</f>
        <v>0</v>
      </c>
      <c r="G39" s="1142">
        <f>SUM(G8:G38)</f>
        <v>0</v>
      </c>
      <c r="H39" s="1142">
        <f>SUM(F39:G39)</f>
        <v>0</v>
      </c>
      <c r="I39" s="1143">
        <f>SUM(I8:I38)</f>
        <v>0</v>
      </c>
      <c r="J39" s="1142">
        <f>SUM(J8:J38)</f>
        <v>0</v>
      </c>
      <c r="K39" s="1142">
        <f>SUM(K8:K38)</f>
        <v>0</v>
      </c>
      <c r="L39" s="1144" t="str">
        <f>IFERROR(IF(I39&gt;0,AVERAGE(H39-T39),""),"")</f>
        <v/>
      </c>
      <c r="M39" s="1145"/>
      <c r="T39" s="1189">
        <f t="shared" si="3"/>
        <v>0</v>
      </c>
    </row>
    <row r="40" spans="2:20" ht="30" customHeight="1" x14ac:dyDescent="0.45">
      <c r="L40" s="1191"/>
    </row>
  </sheetData>
  <sheetProtection algorithmName="SHA-512" hashValue="oo59e5f3sFY/OgzefNut/CqusOubJTqSUbQThiKYzFv9kThDv9mIB2tGjdJcpxXPD7A9XIdUg00NNDcu59qhzw==" saltValue="SMDbdHQSwGqteQKusuBpQA==" spinCount="100000" sheet="1" objects="1" scenarios="1" selectLockedCells="1"/>
  <mergeCells count="9">
    <mergeCell ref="C5:E5"/>
    <mergeCell ref="B39:D39"/>
    <mergeCell ref="B1:L1"/>
    <mergeCell ref="B2:M2"/>
    <mergeCell ref="B3:M3"/>
    <mergeCell ref="H4:I4"/>
    <mergeCell ref="D4:E4"/>
    <mergeCell ref="J4:L4"/>
    <mergeCell ref="I5:K5"/>
  </mergeCells>
  <dataValidations count="1">
    <dataValidation type="list" allowBlank="1" showInputMessage="1" showErrorMessage="1" sqref="C7">
      <formula1>"एप्रिल,मे,जून,जुलै,ऑगस्ट,सप्टेंबर,ऑक्टोबर,नोव्हेंबर,डिसेंबर,जानेवारी,फेब्रुवारी,मार्च"</formula1>
    </dataValidation>
  </dataValidations>
  <printOptions horizontalCentered="1"/>
  <pageMargins left="0.19685039370078741" right="0.19685039370078741" top="0.43307086614173229" bottom="0.19685039370078741" header="0.19685039370078741" footer="0.19685039370078741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D7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</sheetPr>
  <dimension ref="B1:K45"/>
  <sheetViews>
    <sheetView showZeros="0" zoomScaleNormal="100" workbookViewId="0">
      <selection activeCell="D5" sqref="D5:J5"/>
    </sheetView>
  </sheetViews>
  <sheetFormatPr defaultRowHeight="15.75" x14ac:dyDescent="0.3"/>
  <cols>
    <col min="1" max="1" width="7.140625" style="15" customWidth="1"/>
    <col min="2" max="2" width="7" style="15" customWidth="1"/>
    <col min="3" max="3" width="14.5703125" style="15" customWidth="1"/>
    <col min="4" max="4" width="13.85546875" style="15" customWidth="1"/>
    <col min="5" max="5" width="13" style="15" customWidth="1"/>
    <col min="6" max="6" width="16.5703125" style="15" customWidth="1"/>
    <col min="7" max="7" width="16.140625" style="15" customWidth="1"/>
    <col min="8" max="8" width="17.85546875" style="15" customWidth="1"/>
    <col min="9" max="9" width="15.140625" style="15" customWidth="1"/>
    <col min="10" max="10" width="16" style="15" customWidth="1"/>
    <col min="11" max="11" width="16.42578125" style="15" customWidth="1"/>
    <col min="12" max="12" width="7" style="15" customWidth="1"/>
    <col min="13" max="16384" width="9.140625" style="15"/>
  </cols>
  <sheetData>
    <row r="1" spans="2:11" ht="16.5" thickBot="1" x14ac:dyDescent="0.35"/>
    <row r="2" spans="2:11" ht="28.5" thickBot="1" x14ac:dyDescent="0.35">
      <c r="B2" s="1924" t="str">
        <f>'शाळा माहिती'!D4</f>
        <v>जि.प.प्रा.शा.बोरजाई वस्ती</v>
      </c>
      <c r="C2" s="1925"/>
      <c r="D2" s="1925"/>
      <c r="E2" s="1925"/>
      <c r="F2" s="1925"/>
      <c r="G2" s="1925"/>
      <c r="H2" s="1925"/>
      <c r="I2" s="1925"/>
      <c r="J2" s="1925"/>
      <c r="K2" s="1926"/>
    </row>
    <row r="3" spans="2:11" ht="21.75" x14ac:dyDescent="0.3">
      <c r="B3" s="1826" t="s">
        <v>144</v>
      </c>
      <c r="C3" s="1827"/>
      <c r="D3" s="1827"/>
      <c r="E3" s="1827"/>
      <c r="F3" s="1827"/>
      <c r="G3" s="1827"/>
      <c r="H3" s="1827"/>
      <c r="I3" s="1827"/>
      <c r="J3" s="1827"/>
      <c r="K3" s="1828"/>
    </row>
    <row r="4" spans="2:11" ht="21.75" x14ac:dyDescent="0.3">
      <c r="B4" s="459" t="s">
        <v>145</v>
      </c>
      <c r="C4" s="460"/>
      <c r="D4" s="460"/>
      <c r="E4" s="460"/>
      <c r="F4" s="460"/>
      <c r="G4" s="461"/>
      <c r="H4" s="461"/>
      <c r="I4" s="461"/>
      <c r="J4" s="461"/>
      <c r="K4" s="462"/>
    </row>
    <row r="5" spans="2:11" ht="21.75" x14ac:dyDescent="0.4">
      <c r="B5" s="463" t="s">
        <v>146</v>
      </c>
      <c r="C5" s="1927" t="str">
        <f>'शाळा माहिती'!C18</f>
        <v>6 ते 8</v>
      </c>
      <c r="D5" s="1927"/>
      <c r="E5" s="542" t="s">
        <v>147</v>
      </c>
      <c r="F5" s="542"/>
      <c r="G5" s="361" t="str">
        <f>'शाळा माहिती'!D6</f>
        <v>जामगाव</v>
      </c>
      <c r="H5" s="542" t="s">
        <v>148</v>
      </c>
      <c r="I5" s="361" t="str">
        <f>'शाळा माहिती'!D7</f>
        <v>गंगापूर</v>
      </c>
      <c r="J5" s="542" t="s">
        <v>149</v>
      </c>
      <c r="K5" s="147" t="str">
        <f>'शाळा माहिती'!D8</f>
        <v>औरंगाबाद</v>
      </c>
    </row>
    <row r="6" spans="2:11" ht="21.75" x14ac:dyDescent="0.4">
      <c r="B6" s="1840" t="s">
        <v>150</v>
      </c>
      <c r="C6" s="1841"/>
      <c r="D6" s="1841"/>
      <c r="E6" s="465"/>
      <c r="F6" s="465"/>
      <c r="G6" s="352">
        <f>IFERROR(VLOOKUP(E10,'शिक्षक मानधन पावती'!CR129:CW140,2,0),"")</f>
        <v>0</v>
      </c>
      <c r="H6" s="465"/>
      <c r="I6" s="465"/>
      <c r="J6" s="465"/>
      <c r="K6" s="466"/>
    </row>
    <row r="7" spans="2:11" ht="21.75" x14ac:dyDescent="0.4">
      <c r="B7" s="467" t="s">
        <v>151</v>
      </c>
      <c r="C7" s="465"/>
      <c r="D7" s="465"/>
      <c r="E7" s="465"/>
      <c r="F7" s="465"/>
      <c r="G7" s="352">
        <f>VLOOKUP(E10,'शिक्षक मानधन पावती'!CR129:CW140,5,0)</f>
        <v>0</v>
      </c>
      <c r="H7" s="465"/>
      <c r="I7" s="465" t="s">
        <v>152</v>
      </c>
      <c r="J7" s="465"/>
      <c r="K7" s="353">
        <f>VLOOKUP(E10,'शिक्षक मानधन पावती'!CR129:CX140,3,0)</f>
        <v>0</v>
      </c>
    </row>
    <row r="8" spans="2:11" ht="21.75" x14ac:dyDescent="0.4">
      <c r="B8" s="467" t="s">
        <v>153</v>
      </c>
      <c r="C8" s="465"/>
      <c r="D8" s="465"/>
      <c r="E8" s="465"/>
      <c r="F8" s="465"/>
      <c r="G8" s="97">
        <f>VLOOKUP(E10,'साठा नोंदवही'!C63:Z74,21,0)</f>
        <v>0</v>
      </c>
      <c r="H8" s="352">
        <f>VLOOKUP(E10,'साठा नोंदवही'!C63:Z74,22,0)</f>
        <v>0</v>
      </c>
      <c r="I8" s="465"/>
      <c r="J8" s="465"/>
      <c r="K8" s="466"/>
    </row>
    <row r="9" spans="2:11" ht="22.5" thickBot="1" x14ac:dyDescent="0.45">
      <c r="B9" s="467" t="s">
        <v>154</v>
      </c>
      <c r="C9" s="465"/>
      <c r="D9" s="465"/>
      <c r="E9" s="465"/>
      <c r="F9" s="465"/>
      <c r="G9" s="97">
        <f>VLOOKUP(E10,'साठा नोंदवही'!C63:Z74,23,0)</f>
        <v>0</v>
      </c>
      <c r="H9" s="352">
        <f>VLOOKUP(E10,'साठा नोंदवही'!C63:Z74,24,0)</f>
        <v>0</v>
      </c>
      <c r="I9" s="465" t="s">
        <v>155</v>
      </c>
      <c r="J9" s="465"/>
      <c r="K9" s="353">
        <f>VLOOKUP(E10,'शिक्षक मानधन पावती'!CR129:CX140,7,0)</f>
        <v>0</v>
      </c>
    </row>
    <row r="10" spans="2:11" ht="25.5" thickBot="1" x14ac:dyDescent="0.5">
      <c r="B10" s="469"/>
      <c r="C10" s="470"/>
      <c r="D10" s="474" t="s">
        <v>43</v>
      </c>
      <c r="E10" s="1919" t="s">
        <v>42</v>
      </c>
      <c r="F10" s="1920"/>
      <c r="G10" s="27">
        <v>2022</v>
      </c>
      <c r="H10" s="470"/>
      <c r="I10" s="470"/>
      <c r="J10" s="470"/>
      <c r="K10" s="477"/>
    </row>
    <row r="11" spans="2:11" ht="15.75" customHeight="1" x14ac:dyDescent="0.3">
      <c r="B11" s="1928" t="s">
        <v>156</v>
      </c>
      <c r="C11" s="1931" t="s">
        <v>157</v>
      </c>
      <c r="D11" s="1931" t="s">
        <v>158</v>
      </c>
      <c r="E11" s="1586" t="s">
        <v>159</v>
      </c>
      <c r="F11" s="1585" t="s">
        <v>336</v>
      </c>
      <c r="G11" s="1586" t="s">
        <v>320</v>
      </c>
      <c r="H11" s="1931" t="s">
        <v>160</v>
      </c>
      <c r="I11" s="1931" t="s">
        <v>321</v>
      </c>
      <c r="J11" s="1931" t="s">
        <v>161</v>
      </c>
      <c r="K11" s="1932" t="s">
        <v>162</v>
      </c>
    </row>
    <row r="12" spans="2:11" ht="15.75" customHeight="1" x14ac:dyDescent="0.3">
      <c r="B12" s="1929"/>
      <c r="C12" s="1586"/>
      <c r="D12" s="1586"/>
      <c r="E12" s="1586"/>
      <c r="F12" s="1586"/>
      <c r="G12" s="1586"/>
      <c r="H12" s="1586"/>
      <c r="I12" s="1586"/>
      <c r="J12" s="1586"/>
      <c r="K12" s="1933"/>
    </row>
    <row r="13" spans="2:11" ht="15.75" customHeight="1" x14ac:dyDescent="0.3">
      <c r="B13" s="1929"/>
      <c r="C13" s="1586"/>
      <c r="D13" s="1586"/>
      <c r="E13" s="1586"/>
      <c r="F13" s="1586"/>
      <c r="G13" s="1586"/>
      <c r="H13" s="1586"/>
      <c r="I13" s="1586"/>
      <c r="J13" s="1586"/>
      <c r="K13" s="1933"/>
    </row>
    <row r="14" spans="2:11" ht="15.75" customHeight="1" x14ac:dyDescent="0.3">
      <c r="B14" s="1930"/>
      <c r="C14" s="1604"/>
      <c r="D14" s="1604"/>
      <c r="E14" s="1604"/>
      <c r="F14" s="1604"/>
      <c r="G14" s="1604"/>
      <c r="H14" s="1604"/>
      <c r="I14" s="1604"/>
      <c r="J14" s="1604"/>
      <c r="K14" s="1934"/>
    </row>
    <row r="15" spans="2:11" ht="24.75" x14ac:dyDescent="0.3">
      <c r="B15" s="473">
        <v>1</v>
      </c>
      <c r="C15" s="474">
        <v>2</v>
      </c>
      <c r="D15" s="474">
        <v>3</v>
      </c>
      <c r="E15" s="474">
        <v>4</v>
      </c>
      <c r="F15" s="474">
        <v>5</v>
      </c>
      <c r="G15" s="474">
        <v>6</v>
      </c>
      <c r="H15" s="474">
        <v>7</v>
      </c>
      <c r="I15" s="474">
        <v>8</v>
      </c>
      <c r="J15" s="474">
        <v>9</v>
      </c>
      <c r="K15" s="475">
        <v>10</v>
      </c>
    </row>
    <row r="16" spans="2:11" ht="24.75" x14ac:dyDescent="0.45">
      <c r="B16" s="473">
        <v>1</v>
      </c>
      <c r="C16" s="99" t="str">
        <f>'साठा नोंदवही'!E60</f>
        <v>तांदूळ</v>
      </c>
      <c r="D16" s="1194">
        <f>VLOOKUP(E10,'शिक्षक मानधन पावती'!BF128:BY139,3,0)</f>
        <v>0</v>
      </c>
      <c r="E16" s="1194">
        <f>VLOOKUP(E10,'साठा नोंदवही'!AY101:BR134,3,0)</f>
        <v>0</v>
      </c>
      <c r="F16" s="1194">
        <f>VLOOKUP($E$10,'साठा नोंदवही'!$C$99:$V$110,3,0)</f>
        <v>0</v>
      </c>
      <c r="G16" s="1194">
        <f>(D16+E16-F16)</f>
        <v>0</v>
      </c>
      <c r="H16" s="1194">
        <f>VLOOKUP(E10,'शिक्षक मानधन पावती'!BH145:BZ156,2,0)</f>
        <v>0</v>
      </c>
      <c r="I16" s="1199">
        <f>(G16-H16)</f>
        <v>0</v>
      </c>
      <c r="J16" s="1195"/>
      <c r="K16" s="476"/>
    </row>
    <row r="17" spans="2:11" ht="24.75" x14ac:dyDescent="0.45">
      <c r="B17" s="473">
        <v>2</v>
      </c>
      <c r="C17" s="99" t="str">
        <f>'साठा नोंदवही'!F60</f>
        <v>मुगडाळ</v>
      </c>
      <c r="D17" s="1194">
        <f>VLOOKUP(E10,'शिक्षक मानधन पावती'!BF128:BY139,4,0)</f>
        <v>0</v>
      </c>
      <c r="E17" s="1194">
        <f>VLOOKUP(E10,'साठा नोंदवही'!AY101:BR134,4,0)</f>
        <v>0</v>
      </c>
      <c r="F17" s="1194">
        <f>VLOOKUP($E$10,'साठा नोंदवही'!$C$99:$V$110,4,0)</f>
        <v>0</v>
      </c>
      <c r="G17" s="1194">
        <f t="shared" ref="G17:G33" si="0">(D17+E17-F17)</f>
        <v>0</v>
      </c>
      <c r="H17" s="1194">
        <f>VLOOKUP(E10,'शिक्षक मानधन पावती'!BH145:BZ156,3,0)</f>
        <v>0</v>
      </c>
      <c r="I17" s="1199">
        <f>(G17-H17)</f>
        <v>0</v>
      </c>
      <c r="J17" s="1195"/>
      <c r="K17" s="476"/>
    </row>
    <row r="18" spans="2:11" ht="24.75" x14ac:dyDescent="0.45">
      <c r="B18" s="473">
        <v>3</v>
      </c>
      <c r="C18" s="99" t="str">
        <f>'साठा नोंदवही'!G60</f>
        <v>तुरडाळ</v>
      </c>
      <c r="D18" s="1194">
        <f>VLOOKUP(E10,'शिक्षक मानधन पावती'!BF128:BY139,5,0)</f>
        <v>0</v>
      </c>
      <c r="E18" s="1194">
        <f>VLOOKUP(E10,'साठा नोंदवही'!AY101:BR134,5,0)</f>
        <v>0</v>
      </c>
      <c r="F18" s="1194">
        <f>VLOOKUP($E$10,'साठा नोंदवही'!$C$99:$V$110,5,0)</f>
        <v>0</v>
      </c>
      <c r="G18" s="1194">
        <f t="shared" si="0"/>
        <v>0</v>
      </c>
      <c r="H18" s="1194">
        <f>VLOOKUP(E10,'शिक्षक मानधन पावती'!BH145:BZ156,4,0)</f>
        <v>0</v>
      </c>
      <c r="I18" s="1199">
        <f t="shared" ref="I18:I33" si="1">(G18-H18)</f>
        <v>0</v>
      </c>
      <c r="J18" s="1195"/>
      <c r="K18" s="476"/>
    </row>
    <row r="19" spans="2:11" ht="24.75" x14ac:dyDescent="0.45">
      <c r="B19" s="473">
        <v>4</v>
      </c>
      <c r="C19" s="99" t="str">
        <f>'साठा नोंदवही'!H60</f>
        <v>मसूरडाळ</v>
      </c>
      <c r="D19" s="1194">
        <f>VLOOKUP(E10,'शिक्षक मानधन पावती'!BF128:BY139,6,0)</f>
        <v>0</v>
      </c>
      <c r="E19" s="1194">
        <f>VLOOKUP(E10,'साठा नोंदवही'!AY101:BR134,6,0)</f>
        <v>0</v>
      </c>
      <c r="F19" s="1194">
        <f>VLOOKUP($E$10,'साठा नोंदवही'!$C$99:$V$110,6,0)</f>
        <v>0</v>
      </c>
      <c r="G19" s="1194">
        <f t="shared" si="0"/>
        <v>0</v>
      </c>
      <c r="H19" s="1194">
        <f>VLOOKUP(E10,'शिक्षक मानधन पावती'!BH145:BZ156,5,0)</f>
        <v>0</v>
      </c>
      <c r="I19" s="1194">
        <f t="shared" si="1"/>
        <v>0</v>
      </c>
      <c r="J19" s="1195"/>
      <c r="K19" s="476"/>
    </row>
    <row r="20" spans="2:11" ht="24.75" x14ac:dyDescent="0.45">
      <c r="B20" s="473">
        <v>5</v>
      </c>
      <c r="C20" s="99" t="str">
        <f>'साठा नोंदवही'!I60</f>
        <v>मटकी</v>
      </c>
      <c r="D20" s="1194">
        <f>VLOOKUP(E10,'शिक्षक मानधन पावती'!BF128:BY139,7,0)</f>
        <v>0</v>
      </c>
      <c r="E20" s="1194">
        <f>VLOOKUP(E10,'साठा नोंदवही'!AY101:BR134,7,0)</f>
        <v>0</v>
      </c>
      <c r="F20" s="1194">
        <f>VLOOKUP($E$10,'साठा नोंदवही'!$C$99:$V$110,7,0)</f>
        <v>0</v>
      </c>
      <c r="G20" s="1194">
        <f t="shared" si="0"/>
        <v>0</v>
      </c>
      <c r="H20" s="1194">
        <f>VLOOKUP(E10,'शिक्षक मानधन पावती'!BH145:BZ156,6,0)</f>
        <v>0</v>
      </c>
      <c r="I20" s="1194">
        <f t="shared" si="1"/>
        <v>0</v>
      </c>
      <c r="J20" s="1195"/>
      <c r="K20" s="476"/>
    </row>
    <row r="21" spans="2:11" ht="24.75" x14ac:dyDescent="0.45">
      <c r="B21" s="473">
        <v>6</v>
      </c>
      <c r="C21" s="99" t="str">
        <f>'साठा नोंदवही'!J60</f>
        <v>मुग</v>
      </c>
      <c r="D21" s="1194">
        <f>VLOOKUP(E10,'शिक्षक मानधन पावती'!BF128:BY139,8,0)</f>
        <v>0</v>
      </c>
      <c r="E21" s="1194">
        <f>VLOOKUP(E10,'साठा नोंदवही'!AY101:BR134,8,0)</f>
        <v>0</v>
      </c>
      <c r="F21" s="1194">
        <f>VLOOKUP($E$10,'साठा नोंदवही'!$C$99:$V$110,8,0)</f>
        <v>0</v>
      </c>
      <c r="G21" s="1194">
        <f t="shared" si="0"/>
        <v>0</v>
      </c>
      <c r="H21" s="1194">
        <f>VLOOKUP(E10,'शिक्षक मानधन पावती'!BH145:BZ156,7,0)</f>
        <v>0</v>
      </c>
      <c r="I21" s="1194">
        <f t="shared" si="1"/>
        <v>0</v>
      </c>
      <c r="J21" s="1195"/>
      <c r="K21" s="476"/>
    </row>
    <row r="22" spans="2:11" ht="24.75" x14ac:dyDescent="0.45">
      <c r="B22" s="473">
        <v>7</v>
      </c>
      <c r="C22" s="99" t="str">
        <f>'साठा नोंदवही'!K60</f>
        <v>चवळी</v>
      </c>
      <c r="D22" s="1194">
        <f>VLOOKUP(E10,'शिक्षक मानधन पावती'!BF128:BY139,9,0)</f>
        <v>0</v>
      </c>
      <c r="E22" s="1194">
        <f>VLOOKUP(E10,'साठा नोंदवही'!AY101:BR134,9,0)</f>
        <v>0</v>
      </c>
      <c r="F22" s="1194">
        <f>VLOOKUP($E$10,'साठा नोंदवही'!$C$99:$V$110,9,0)</f>
        <v>0</v>
      </c>
      <c r="G22" s="1194">
        <f t="shared" si="0"/>
        <v>0</v>
      </c>
      <c r="H22" s="1194">
        <f>VLOOKUP(E10,'शिक्षक मानधन पावती'!BH145:BZ156,8,0)</f>
        <v>0</v>
      </c>
      <c r="I22" s="1199">
        <f t="shared" si="1"/>
        <v>0</v>
      </c>
      <c r="J22" s="1195"/>
      <c r="K22" s="476"/>
    </row>
    <row r="23" spans="2:11" ht="24.75" x14ac:dyDescent="0.45">
      <c r="B23" s="473">
        <v>8</v>
      </c>
      <c r="C23" s="99" t="str">
        <f>'साठा नोंदवही'!L60</f>
        <v>हरभरा</v>
      </c>
      <c r="D23" s="1194">
        <f>VLOOKUP(E10,'शिक्षक मानधन पावती'!BF128:BY139,10,0)</f>
        <v>0</v>
      </c>
      <c r="E23" s="1194">
        <f>VLOOKUP(E10,'साठा नोंदवही'!AY101:BR134,10,0)</f>
        <v>0</v>
      </c>
      <c r="F23" s="1194">
        <f>VLOOKUP($E$10,'साठा नोंदवही'!$C$99:$V$110,10,0)</f>
        <v>0</v>
      </c>
      <c r="G23" s="1194">
        <f t="shared" si="0"/>
        <v>0</v>
      </c>
      <c r="H23" s="1194">
        <f>VLOOKUP(E10,'शिक्षक मानधन पावती'!BH145:BZ156,9,0)</f>
        <v>0</v>
      </c>
      <c r="I23" s="1194">
        <f t="shared" si="1"/>
        <v>0</v>
      </c>
      <c r="J23" s="1195"/>
      <c r="K23" s="476"/>
    </row>
    <row r="24" spans="2:11" ht="24.75" x14ac:dyDescent="0.45">
      <c r="B24" s="473">
        <v>9</v>
      </c>
      <c r="C24" s="99" t="str">
        <f>'साठा नोंदवही'!M60</f>
        <v>वाटणा</v>
      </c>
      <c r="D24" s="1194">
        <f>VLOOKUP(E10,'शिक्षक मानधन पावती'!BF128:BY139,11,0)</f>
        <v>0</v>
      </c>
      <c r="E24" s="1194">
        <f>VLOOKUP(E10,'साठा नोंदवही'!AY101:BR134,11,0)</f>
        <v>0</v>
      </c>
      <c r="F24" s="1194">
        <f>VLOOKUP($E$10,'साठा नोंदवही'!$C$99:$V$110,11,0)</f>
        <v>0</v>
      </c>
      <c r="G24" s="1194">
        <f t="shared" si="0"/>
        <v>0</v>
      </c>
      <c r="H24" s="1194">
        <f>VLOOKUP(E10,'शिक्षक मानधन पावती'!BH145:BZ156,10,0)</f>
        <v>0</v>
      </c>
      <c r="I24" s="1194">
        <f t="shared" si="1"/>
        <v>0</v>
      </c>
      <c r="J24" s="1195"/>
      <c r="K24" s="476"/>
    </row>
    <row r="25" spans="2:11" ht="24.75" x14ac:dyDescent="0.45">
      <c r="B25" s="473">
        <v>10</v>
      </c>
      <c r="C25" s="99" t="str">
        <f>'साठा नोंदवही'!N60</f>
        <v>जिरे</v>
      </c>
      <c r="D25" s="1194">
        <f>VLOOKUP(E10,'शिक्षक मानधन पावती'!BF128:BY139,12,0)</f>
        <v>0</v>
      </c>
      <c r="E25" s="1194">
        <f>VLOOKUP(E10,'साठा नोंदवही'!AY101:BR134,12,0)</f>
        <v>0</v>
      </c>
      <c r="F25" s="1194">
        <f>VLOOKUP($E$10,'साठा नोंदवही'!$C$99:$V$110,12,0)</f>
        <v>0</v>
      </c>
      <c r="G25" s="1194">
        <f t="shared" si="0"/>
        <v>0</v>
      </c>
      <c r="H25" s="1194">
        <f>VLOOKUP(E10,'शिक्षक मानधन पावती'!BH145:BZ156,11,0)</f>
        <v>0</v>
      </c>
      <c r="I25" s="1194">
        <f t="shared" si="1"/>
        <v>0</v>
      </c>
      <c r="J25" s="1195"/>
      <c r="K25" s="476"/>
    </row>
    <row r="26" spans="2:11" ht="24.75" x14ac:dyDescent="0.45">
      <c r="B26" s="473">
        <v>11</v>
      </c>
      <c r="C26" s="99" t="str">
        <f>'साठा नोंदवही'!O60</f>
        <v>मोहरी</v>
      </c>
      <c r="D26" s="1194">
        <f>VLOOKUP(E10,'शिक्षक मानधन पावती'!BF128:BY139,13,0)</f>
        <v>0</v>
      </c>
      <c r="E26" s="1194">
        <f>VLOOKUP(E10,'साठा नोंदवही'!AY101:BR134,13,0)</f>
        <v>0</v>
      </c>
      <c r="F26" s="1194">
        <f>VLOOKUP($E$10,'साठा नोंदवही'!$C$99:$V$110,13,0)</f>
        <v>0</v>
      </c>
      <c r="G26" s="1194">
        <f t="shared" si="0"/>
        <v>0</v>
      </c>
      <c r="H26" s="1194">
        <f>VLOOKUP(E10,'शिक्षक मानधन पावती'!BH145:BZ156,12,0)</f>
        <v>0</v>
      </c>
      <c r="I26" s="1194">
        <f t="shared" si="1"/>
        <v>0</v>
      </c>
      <c r="J26" s="1195"/>
      <c r="K26" s="476"/>
    </row>
    <row r="27" spans="2:11" ht="24.75" x14ac:dyDescent="0.45">
      <c r="B27" s="473">
        <v>12</v>
      </c>
      <c r="C27" s="99" t="str">
        <f>'साठा नोंदवही'!P60</f>
        <v>हळद</v>
      </c>
      <c r="D27" s="1194">
        <f>VLOOKUP(E10,'शिक्षक मानधन पावती'!BF128:BY139,14,0)</f>
        <v>0</v>
      </c>
      <c r="E27" s="1194">
        <f>VLOOKUP(E10,'साठा नोंदवही'!AY101:BR134,14,0)</f>
        <v>0</v>
      </c>
      <c r="F27" s="1194">
        <f>VLOOKUP($E$10,'साठा नोंदवही'!$C$99:$V$110,14,0)</f>
        <v>0</v>
      </c>
      <c r="G27" s="1194">
        <f t="shared" si="0"/>
        <v>0</v>
      </c>
      <c r="H27" s="1194">
        <f>VLOOKUP(E10,'शिक्षक मानधन पावती'!BH145:BZ156,13,0)</f>
        <v>0</v>
      </c>
      <c r="I27" s="1194">
        <f t="shared" si="1"/>
        <v>0</v>
      </c>
      <c r="J27" s="1195"/>
      <c r="K27" s="476"/>
    </row>
    <row r="28" spans="2:11" ht="30.75" customHeight="1" x14ac:dyDescent="0.45">
      <c r="B28" s="473">
        <v>13</v>
      </c>
      <c r="C28" s="148" t="str">
        <f>'साठा नोंदवही'!Q60</f>
        <v>मिरची पावडर</v>
      </c>
      <c r="D28" s="1194">
        <f>VLOOKUP(E10,'शिक्षक मानधन पावती'!BF128:BY139,15,0)</f>
        <v>0</v>
      </c>
      <c r="E28" s="1194">
        <f>VLOOKUP(E10,'साठा नोंदवही'!AY101:BR134,15,0)</f>
        <v>0</v>
      </c>
      <c r="F28" s="1194">
        <f>VLOOKUP($E$10,'साठा नोंदवही'!$C$99:$V$110,15,0)</f>
        <v>0</v>
      </c>
      <c r="G28" s="1194">
        <f t="shared" si="0"/>
        <v>0</v>
      </c>
      <c r="H28" s="1194">
        <f>VLOOKUP(E10,'शिक्षक मानधन पावती'!BH145:BZ156,14,0)</f>
        <v>0</v>
      </c>
      <c r="I28" s="1194">
        <f t="shared" si="1"/>
        <v>0</v>
      </c>
      <c r="J28" s="1195"/>
      <c r="K28" s="476"/>
    </row>
    <row r="29" spans="2:11" ht="30.75" customHeight="1" x14ac:dyDescent="0.45">
      <c r="B29" s="473">
        <v>14</v>
      </c>
      <c r="C29" s="99" t="str">
        <f>'साठा नोंदवही'!R60</f>
        <v>गरम मसाला</v>
      </c>
      <c r="D29" s="1194">
        <f>VLOOKUP(E10,'शिक्षक मानधन पावती'!BF128:BY139,16,0)</f>
        <v>0</v>
      </c>
      <c r="E29" s="1194">
        <f>VLOOKUP(E10,'साठा नोंदवही'!AY101:BR134,16,0)</f>
        <v>0</v>
      </c>
      <c r="F29" s="1194">
        <f>VLOOKUP($E$10,'साठा नोंदवही'!$C$99:$V$110,16,0)</f>
        <v>0</v>
      </c>
      <c r="G29" s="1194">
        <f t="shared" si="0"/>
        <v>0</v>
      </c>
      <c r="H29" s="1194">
        <f>VLOOKUP(E10,'शिक्षक मानधन पावती'!BH145:BZ156,15,0)</f>
        <v>0</v>
      </c>
      <c r="I29" s="1194">
        <f t="shared" si="1"/>
        <v>0</v>
      </c>
      <c r="J29" s="1195"/>
      <c r="K29" s="476"/>
    </row>
    <row r="30" spans="2:11" ht="30.75" customHeight="1" x14ac:dyDescent="0.45">
      <c r="B30" s="473">
        <v>15</v>
      </c>
      <c r="C30" s="99" t="str">
        <f>'साठा नोंदवही'!S60</f>
        <v>सोयाबीन तेल</v>
      </c>
      <c r="D30" s="1194">
        <f>VLOOKUP(E10,'शिक्षक मानधन पावती'!BF128:BY139,17,0)</f>
        <v>0</v>
      </c>
      <c r="E30" s="1194">
        <f>VLOOKUP(E10,'साठा नोंदवही'!AY101:BR134,17,0)</f>
        <v>0</v>
      </c>
      <c r="F30" s="1194">
        <f>VLOOKUP($E$10,'साठा नोंदवही'!$C$99:$V$110,17,0)</f>
        <v>0</v>
      </c>
      <c r="G30" s="1194">
        <f t="shared" si="0"/>
        <v>0</v>
      </c>
      <c r="H30" s="1194">
        <f>VLOOKUP(E10,'शिक्षक मानधन पावती'!BH145:BZ156,16,0)</f>
        <v>0</v>
      </c>
      <c r="I30" s="1194">
        <f t="shared" si="1"/>
        <v>0</v>
      </c>
      <c r="J30" s="1195"/>
      <c r="K30" s="476"/>
    </row>
    <row r="31" spans="2:11" ht="24.75" x14ac:dyDescent="0.45">
      <c r="B31" s="473">
        <v>16</v>
      </c>
      <c r="C31" s="99" t="str">
        <f>'साठा नोंदवही'!T60</f>
        <v>मीठ</v>
      </c>
      <c r="D31" s="1194">
        <f>VLOOKUP(E10,'शिक्षक मानधन पावती'!BF128:BY139,18,0)</f>
        <v>0</v>
      </c>
      <c r="E31" s="1194">
        <f>VLOOKUP(E10,'साठा नोंदवही'!AY101:BR134,18,0)</f>
        <v>0</v>
      </c>
      <c r="F31" s="1194">
        <f>VLOOKUP($E$10,'साठा नोंदवही'!$C$99:$V$110,18,0)</f>
        <v>0</v>
      </c>
      <c r="G31" s="1194">
        <f t="shared" si="0"/>
        <v>0</v>
      </c>
      <c r="H31" s="1194">
        <f>VLOOKUP(E10,'शिक्षक मानधन पावती'!BH145:BZ156,17,0)</f>
        <v>0</v>
      </c>
      <c r="I31" s="1194">
        <f t="shared" si="1"/>
        <v>0</v>
      </c>
      <c r="J31" s="1195"/>
      <c r="K31" s="476"/>
    </row>
    <row r="32" spans="2:11" ht="43.5" x14ac:dyDescent="0.45">
      <c r="B32" s="473">
        <v>17</v>
      </c>
      <c r="C32" s="101" t="str">
        <f>'साठा नोंदवही'!U60</f>
        <v>कांदा लसून मसाला</v>
      </c>
      <c r="D32" s="1194">
        <f>VLOOKUP(E10,'शिक्षक मानधन पावती'!BF128:BY139,19,0)</f>
        <v>0</v>
      </c>
      <c r="E32" s="1194">
        <f>VLOOKUP(E10,'साठा नोंदवही'!AY101:BR134,19,0)</f>
        <v>0</v>
      </c>
      <c r="F32" s="1194">
        <f>VLOOKUP($E$10,'साठा नोंदवही'!$C$99:$V$110,19,0)</f>
        <v>0</v>
      </c>
      <c r="G32" s="1194">
        <f t="shared" si="0"/>
        <v>0</v>
      </c>
      <c r="H32" s="1194">
        <f>VLOOKUP(E10,'शिक्षक मानधन पावती'!BH145:BZ156,18,0)</f>
        <v>0</v>
      </c>
      <c r="I32" s="1194">
        <f t="shared" si="1"/>
        <v>0</v>
      </c>
      <c r="J32" s="1195"/>
      <c r="K32" s="476"/>
    </row>
    <row r="33" spans="2:11" ht="24.75" x14ac:dyDescent="0.45">
      <c r="B33" s="473">
        <v>18</v>
      </c>
      <c r="C33" s="364">
        <f>'साठा नोंदवही'!V60</f>
        <v>0</v>
      </c>
      <c r="D33" s="1194">
        <f>VLOOKUP(E10,'शिक्षक मानधन पावती'!BF128:BY139,20,0)</f>
        <v>0</v>
      </c>
      <c r="E33" s="1194">
        <f>VLOOKUP(E10,'साठा नोंदवही'!AY101:BR134,20,0)</f>
        <v>0</v>
      </c>
      <c r="F33" s="1194">
        <f>VLOOKUP($E$10,'साठा नोंदवही'!$C$99:$V$110,20,0)</f>
        <v>0</v>
      </c>
      <c r="G33" s="1194">
        <f t="shared" si="0"/>
        <v>0</v>
      </c>
      <c r="H33" s="1194">
        <f>VLOOKUP(E10,'शिक्षक मानधन पावती'!BH145:BZ156,19,0)</f>
        <v>0</v>
      </c>
      <c r="I33" s="1194">
        <f t="shared" si="1"/>
        <v>0</v>
      </c>
      <c r="J33" s="1195"/>
      <c r="K33" s="476"/>
    </row>
    <row r="34" spans="2:11" ht="24.75" x14ac:dyDescent="0.45">
      <c r="B34" s="469"/>
      <c r="C34" s="470"/>
      <c r="D34" s="470"/>
      <c r="E34" s="470"/>
      <c r="F34" s="470"/>
      <c r="G34" s="470"/>
      <c r="H34" s="470"/>
      <c r="I34" s="470"/>
      <c r="J34" s="470"/>
      <c r="K34" s="477"/>
    </row>
    <row r="35" spans="2:11" ht="26.25" customHeight="1" x14ac:dyDescent="0.3">
      <c r="B35" s="1921" t="s">
        <v>412</v>
      </c>
      <c r="C35" s="1922"/>
      <c r="D35" s="1922"/>
      <c r="E35" s="1922"/>
      <c r="F35" s="1922"/>
      <c r="G35" s="1922"/>
      <c r="H35" s="1922"/>
      <c r="I35" s="1922"/>
      <c r="J35" s="1922"/>
      <c r="K35" s="1923"/>
    </row>
    <row r="36" spans="2:11" ht="26.25" customHeight="1" x14ac:dyDescent="0.3">
      <c r="B36" s="1921"/>
      <c r="C36" s="1922"/>
      <c r="D36" s="1922"/>
      <c r="E36" s="1922"/>
      <c r="F36" s="1922"/>
      <c r="G36" s="1922"/>
      <c r="H36" s="1922"/>
      <c r="I36" s="1922"/>
      <c r="J36" s="1922"/>
      <c r="K36" s="1923"/>
    </row>
    <row r="37" spans="2:11" ht="24.75" x14ac:dyDescent="0.45">
      <c r="B37" s="469"/>
      <c r="C37" s="470"/>
      <c r="D37" s="470"/>
      <c r="E37" s="470"/>
      <c r="F37" s="470"/>
      <c r="G37" s="470"/>
      <c r="H37" s="470"/>
      <c r="I37" s="470"/>
      <c r="J37" s="470"/>
      <c r="K37" s="477"/>
    </row>
    <row r="38" spans="2:11" ht="25.5" thickBot="1" x14ac:dyDescent="0.5">
      <c r="B38" s="483" t="s">
        <v>167</v>
      </c>
      <c r="C38" s="479" t="s">
        <v>168</v>
      </c>
      <c r="D38" s="470"/>
      <c r="E38" s="470"/>
      <c r="F38" s="470"/>
      <c r="G38" s="102">
        <f>VLOOKUP(E10,'शिक्षक मानधन पावती'!CR129:CW140,6,0)</f>
        <v>0</v>
      </c>
      <c r="H38" s="543" t="s">
        <v>301</v>
      </c>
      <c r="I38" s="103">
        <f>VLOOKUP(E10,' प्रमाण निश्चिती '!BC9:BF20,3,0)</f>
        <v>4.0199999999999996</v>
      </c>
      <c r="K38" s="481"/>
    </row>
    <row r="39" spans="2:11" ht="25.5" thickBot="1" x14ac:dyDescent="0.5">
      <c r="B39" s="483" t="s">
        <v>270</v>
      </c>
      <c r="C39" s="479" t="s">
        <v>325</v>
      </c>
      <c r="D39" s="470"/>
      <c r="E39" s="470"/>
      <c r="F39" s="470"/>
      <c r="G39" s="470"/>
      <c r="I39" s="482"/>
      <c r="J39" s="481" t="s">
        <v>276</v>
      </c>
      <c r="K39" s="1197">
        <f>(G38*I38)</f>
        <v>0</v>
      </c>
    </row>
    <row r="40" spans="2:11" ht="25.5" thickBot="1" x14ac:dyDescent="0.5">
      <c r="B40" s="483" t="s">
        <v>271</v>
      </c>
      <c r="C40" s="479" t="s">
        <v>171</v>
      </c>
      <c r="D40" s="470"/>
      <c r="E40" s="470"/>
      <c r="F40" s="470"/>
      <c r="G40" s="104">
        <f>'शाळा माहिती'!D29</f>
        <v>1</v>
      </c>
      <c r="H40" s="461" t="s">
        <v>282</v>
      </c>
      <c r="I40" s="149">
        <f>VLOOKUP(E10,' प्रमाण निश्चिती '!BC9:BF20,4,0)</f>
        <v>1500</v>
      </c>
      <c r="J40" s="31" t="s">
        <v>276</v>
      </c>
      <c r="K40" s="1196">
        <f>(G40*I40)</f>
        <v>1500</v>
      </c>
    </row>
    <row r="41" spans="2:11" ht="25.5" thickBot="1" x14ac:dyDescent="0.5">
      <c r="B41" s="483" t="s">
        <v>323</v>
      </c>
      <c r="C41" s="1848" t="s">
        <v>326</v>
      </c>
      <c r="D41" s="1848"/>
      <c r="E41" s="1848"/>
      <c r="F41" s="484"/>
      <c r="G41" s="470"/>
      <c r="H41" s="470"/>
      <c r="I41" s="4"/>
      <c r="J41" s="329" t="s">
        <v>324</v>
      </c>
      <c r="K41" s="1198">
        <f>SUM(K39:K40)</f>
        <v>1500</v>
      </c>
    </row>
    <row r="42" spans="2:11" ht="24.75" x14ac:dyDescent="0.45">
      <c r="B42" s="469"/>
      <c r="C42" s="1829" t="s">
        <v>172</v>
      </c>
      <c r="D42" s="1829"/>
      <c r="E42" s="1829"/>
      <c r="F42" s="1829"/>
      <c r="G42" s="1829"/>
      <c r="H42" s="1829"/>
      <c r="I42" s="1829"/>
      <c r="J42" s="1829"/>
      <c r="K42" s="1830"/>
    </row>
    <row r="43" spans="2:11" ht="24.75" x14ac:dyDescent="0.45">
      <c r="B43" s="469"/>
      <c r="C43" s="1829"/>
      <c r="D43" s="1829"/>
      <c r="E43" s="1829"/>
      <c r="F43" s="1829"/>
      <c r="G43" s="1829"/>
      <c r="H43" s="1829"/>
      <c r="I43" s="1829"/>
      <c r="J43" s="1829"/>
      <c r="K43" s="1830"/>
    </row>
    <row r="44" spans="2:11" ht="24.75" x14ac:dyDescent="0.45">
      <c r="B44" s="469"/>
      <c r="C44" s="465" t="s">
        <v>173</v>
      </c>
      <c r="D44" s="485"/>
      <c r="E44" s="470"/>
      <c r="F44" s="470"/>
      <c r="G44" s="470"/>
      <c r="H44" s="470"/>
      <c r="I44" s="470"/>
      <c r="J44" s="470"/>
      <c r="K44" s="477"/>
    </row>
    <row r="45" spans="2:11" ht="18" customHeight="1" thickBot="1" x14ac:dyDescent="0.5">
      <c r="B45" s="544"/>
      <c r="C45" s="545"/>
      <c r="D45" s="545"/>
      <c r="E45" s="545"/>
      <c r="F45" s="545"/>
      <c r="G45" s="545"/>
      <c r="H45" s="545"/>
      <c r="I45" s="545"/>
      <c r="J45" s="545"/>
      <c r="K45" s="546"/>
    </row>
  </sheetData>
  <sheetProtection algorithmName="SHA-512" hashValue="I+X1bjrMeiMhskd7mVZDdBRiolduviDKM74uUbbLCwv/7oLnrWtTrK8SIm/P3nS8kTXnX2gNZeb4axrP3UoBew==" saltValue="58jpoXMKD7tsS+cLNw+Vhw==" spinCount="100000" sheet="1" objects="1" scenarios="1" selectLockedCells="1"/>
  <mergeCells count="18">
    <mergeCell ref="B2:K2"/>
    <mergeCell ref="B3:K3"/>
    <mergeCell ref="C5:D5"/>
    <mergeCell ref="B6:D6"/>
    <mergeCell ref="B11:B14"/>
    <mergeCell ref="C11:C14"/>
    <mergeCell ref="D11:D14"/>
    <mergeCell ref="E11:E14"/>
    <mergeCell ref="G11:G14"/>
    <mergeCell ref="H11:H14"/>
    <mergeCell ref="I11:I14"/>
    <mergeCell ref="J11:J14"/>
    <mergeCell ref="K11:K14"/>
    <mergeCell ref="C41:E41"/>
    <mergeCell ref="E10:F10"/>
    <mergeCell ref="F11:F14"/>
    <mergeCell ref="B35:K36"/>
    <mergeCell ref="C42:K43"/>
  </mergeCells>
  <dataValidations count="1">
    <dataValidation type="list" allowBlank="1" showInputMessage="1" showErrorMessage="1" sqref="E10">
      <formula1>"एप्रिल,मे,जून,जुलै,ऑगस्ट,सप्टेंबर,ऑक्टोबर,नोव्हेंबर,डिसेंबर,जानेवारी,फेब्रुवारी,मार्च"</formula1>
    </dataValidation>
  </dataValidations>
  <printOptions horizontalCentered="1"/>
  <pageMargins left="0.19685039370078741" right="0.19685039370078741" top="0.43307086614173229" bottom="0.19685039370078741" header="0.19685039370078741" footer="0.19685039370078741"/>
  <pageSetup scale="68" orientation="portrait" r:id="rId1"/>
  <colBreaks count="1" manualBreakCount="1">
    <brk id="12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G10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50"/>
    <pageSetUpPr fitToPage="1"/>
  </sheetPr>
  <dimension ref="B1:BY87"/>
  <sheetViews>
    <sheetView showZeros="0" zoomScaleNormal="100" workbookViewId="0">
      <selection activeCell="D5" sqref="D5:J5"/>
    </sheetView>
  </sheetViews>
  <sheetFormatPr defaultRowHeight="26.25" customHeight="1" x14ac:dyDescent="0.45"/>
  <cols>
    <col min="1" max="1" width="7.28515625" style="15" customWidth="1"/>
    <col min="2" max="2" width="6.85546875" style="15" customWidth="1"/>
    <col min="3" max="3" width="13.42578125" style="15" customWidth="1"/>
    <col min="4" max="4" width="10.28515625" style="15" customWidth="1"/>
    <col min="5" max="5" width="11.7109375" style="15" customWidth="1"/>
    <col min="6" max="6" width="13.85546875" style="15" customWidth="1"/>
    <col min="7" max="7" width="12.28515625" style="15" customWidth="1"/>
    <col min="8" max="8" width="9.140625" style="15"/>
    <col min="9" max="9" width="10.140625" style="15" bestFit="1" customWidth="1"/>
    <col min="10" max="18" width="9.140625" style="15"/>
    <col min="19" max="19" width="11.5703125" style="15" customWidth="1"/>
    <col min="20" max="23" width="9.140625" style="15"/>
    <col min="24" max="24" width="11.140625" style="15" customWidth="1"/>
    <col min="25" max="26" width="11" style="15" customWidth="1"/>
    <col min="27" max="27" width="14.7109375" style="15" customWidth="1"/>
    <col min="28" max="29" width="9.140625" style="15"/>
    <col min="30" max="33" width="9.140625" style="15" hidden="1" customWidth="1"/>
    <col min="34" max="34" width="5.85546875" style="15" hidden="1" customWidth="1"/>
    <col min="35" max="44" width="9.140625" style="15" hidden="1" customWidth="1"/>
    <col min="45" max="45" width="9" style="15" customWidth="1"/>
    <col min="46" max="47" width="9.140625" style="15" hidden="1" customWidth="1"/>
    <col min="48" max="48" width="0.140625" style="15" hidden="1" customWidth="1"/>
    <col min="49" max="50" width="9.140625" style="15" hidden="1" customWidth="1"/>
    <col min="51" max="51" width="12.28515625" style="15" hidden="1" customWidth="1"/>
    <col min="52" max="52" width="9.140625" style="15" hidden="1" customWidth="1"/>
    <col min="53" max="53" width="10.140625" style="15" hidden="1" customWidth="1"/>
    <col min="54" max="54" width="9.140625" style="15" hidden="1" customWidth="1"/>
    <col min="55" max="55" width="10.28515625" style="15" hidden="1" customWidth="1"/>
    <col min="56" max="57" width="9.140625" style="15" hidden="1" customWidth="1"/>
    <col min="58" max="58" width="6.7109375" style="15" hidden="1" customWidth="1"/>
    <col min="59" max="59" width="9.140625" style="15" hidden="1" customWidth="1"/>
    <col min="60" max="60" width="8" style="15" hidden="1" customWidth="1"/>
    <col min="61" max="65" width="9.140625" style="15" hidden="1" customWidth="1"/>
    <col min="66" max="66" width="6.42578125" style="15" hidden="1" customWidth="1"/>
    <col min="67" max="67" width="11.85546875" style="15" hidden="1" customWidth="1"/>
    <col min="68" max="71" width="9.140625" style="15" hidden="1" customWidth="1"/>
    <col min="72" max="72" width="7.7109375" style="15" hidden="1" customWidth="1"/>
    <col min="73" max="74" width="9.140625" style="15" hidden="1" customWidth="1"/>
    <col min="75" max="75" width="17.28515625" style="15" hidden="1" customWidth="1"/>
    <col min="76" max="76" width="9.140625" style="571" hidden="1" customWidth="1"/>
    <col min="77" max="78" width="9.140625" style="15" customWidth="1"/>
    <col min="79" max="16384" width="9.140625" style="15"/>
  </cols>
  <sheetData>
    <row r="1" spans="2:77" ht="24.75" customHeight="1" thickBot="1" x14ac:dyDescent="0.5">
      <c r="F1" s="564" t="s">
        <v>414</v>
      </c>
      <c r="G1" s="565"/>
      <c r="H1" s="566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40"/>
      <c r="BY1" s="191"/>
    </row>
    <row r="2" spans="2:77" ht="26.25" customHeight="1" thickBot="1" x14ac:dyDescent="0.5">
      <c r="G2" s="415" t="s">
        <v>355</v>
      </c>
      <c r="H2" s="415"/>
      <c r="I2" s="371"/>
      <c r="J2" s="111" t="str">
        <f>'साठा नोंदवही'!F5</f>
        <v>मुगडाळ</v>
      </c>
      <c r="K2" s="111" t="str">
        <f>'साठा नोंदवही'!G5</f>
        <v>तुरडाळ</v>
      </c>
      <c r="L2" s="111" t="str">
        <f>'साठा नोंदवही'!H5</f>
        <v>मसूरडाळ</v>
      </c>
      <c r="M2" s="111" t="str">
        <f>'साठा नोंदवही'!I5</f>
        <v>मटकी</v>
      </c>
      <c r="N2" s="111" t="str">
        <f>'साठा नोंदवही'!J5</f>
        <v>मुग</v>
      </c>
      <c r="O2" s="111" t="str">
        <f>'साठा नोंदवही'!K5</f>
        <v>चवळी</v>
      </c>
      <c r="P2" s="111" t="str">
        <f>'साठा नोंदवही'!L5</f>
        <v>हरभरा</v>
      </c>
      <c r="Q2" s="111" t="str">
        <f>'साठा नोंदवही'!M5</f>
        <v>वाटाणा</v>
      </c>
      <c r="T2" s="111" t="str">
        <f>'शाळा माहिती'!D34</f>
        <v>गुरूवार</v>
      </c>
      <c r="U2" s="111" t="str">
        <f>'दैनिक माहिती'!D480</f>
        <v>सुट्टी</v>
      </c>
      <c r="AW2" s="191"/>
      <c r="AX2" s="191"/>
      <c r="AY2" s="191"/>
      <c r="AZ2" s="191"/>
      <c r="BA2" s="191"/>
      <c r="BB2" s="191"/>
      <c r="BC2" s="1226" t="s">
        <v>355</v>
      </c>
      <c r="BD2" s="1226"/>
      <c r="BE2" s="191"/>
      <c r="BF2" s="301" t="str">
        <f t="shared" ref="BF2:BM2" si="0">J2</f>
        <v>मुगडाळ</v>
      </c>
      <c r="BG2" s="301" t="str">
        <f t="shared" si="0"/>
        <v>तुरडाळ</v>
      </c>
      <c r="BH2" s="301" t="str">
        <f t="shared" si="0"/>
        <v>मसूरडाळ</v>
      </c>
      <c r="BI2" s="301" t="str">
        <f t="shared" si="0"/>
        <v>मटकी</v>
      </c>
      <c r="BJ2" s="301" t="str">
        <f t="shared" si="0"/>
        <v>मुग</v>
      </c>
      <c r="BK2" s="301" t="str">
        <f t="shared" si="0"/>
        <v>चवळी</v>
      </c>
      <c r="BL2" s="301" t="str">
        <f t="shared" si="0"/>
        <v>हरभरा</v>
      </c>
      <c r="BM2" s="301" t="str">
        <f t="shared" si="0"/>
        <v>वाटाणा</v>
      </c>
      <c r="BN2" s="1226"/>
      <c r="BO2" s="1226"/>
      <c r="BP2" s="301" t="str">
        <f>T2</f>
        <v>गुरूवार</v>
      </c>
      <c r="BQ2" s="301" t="str">
        <f>U2</f>
        <v>सुट्टी</v>
      </c>
      <c r="BR2" s="191"/>
      <c r="BS2" s="191"/>
      <c r="BT2" s="191"/>
      <c r="BU2" s="191"/>
      <c r="BV2" s="191"/>
      <c r="BW2" s="191"/>
      <c r="BX2" s="40"/>
      <c r="BY2" s="191"/>
    </row>
    <row r="3" spans="2:77" ht="35.25" customHeight="1" thickBot="1" x14ac:dyDescent="0.5">
      <c r="B3" s="505" t="s">
        <v>307</v>
      </c>
      <c r="C3" s="523" t="s">
        <v>42</v>
      </c>
      <c r="D3" s="523">
        <v>2022</v>
      </c>
      <c r="E3" s="156" t="str">
        <f>'शाळा माहिती'!C18</f>
        <v>6 ते 8</v>
      </c>
      <c r="F3" s="1942" t="s">
        <v>302</v>
      </c>
      <c r="G3" s="1943"/>
      <c r="H3" s="1943"/>
      <c r="I3" s="1943"/>
      <c r="J3" s="1943"/>
      <c r="K3" s="1943"/>
      <c r="L3" s="1943"/>
      <c r="M3" s="1943"/>
      <c r="N3" s="1943"/>
      <c r="O3" s="1943"/>
      <c r="P3" s="1943"/>
      <c r="Q3" s="1943"/>
      <c r="R3" s="1943"/>
      <c r="S3" s="1943"/>
      <c r="T3" s="1943"/>
      <c r="U3" s="1943"/>
      <c r="V3" s="1943"/>
      <c r="W3" s="1943"/>
      <c r="X3" s="567" t="s">
        <v>362</v>
      </c>
      <c r="Y3" s="1705" t="str">
        <f>'शाळा माहिती'!C18</f>
        <v>6 ते 8</v>
      </c>
      <c r="Z3" s="1706"/>
      <c r="AA3" s="1707"/>
      <c r="AW3" s="191"/>
      <c r="AX3" s="1236" t="s">
        <v>307</v>
      </c>
      <c r="AY3" s="1237" t="str">
        <f>'तेल व पूरक आ.पावती 6 ते 8'!L2</f>
        <v>ऑगस्ट</v>
      </c>
      <c r="AZ3" s="1237">
        <f>'तेल व पूरक आ.पावती 6 ते 8'!N2</f>
        <v>2022</v>
      </c>
      <c r="BA3" s="1267"/>
      <c r="BB3" s="1729" t="s">
        <v>302</v>
      </c>
      <c r="BC3" s="1729"/>
      <c r="BD3" s="1729"/>
      <c r="BE3" s="1729"/>
      <c r="BF3" s="1729"/>
      <c r="BG3" s="1729"/>
      <c r="BH3" s="1729"/>
      <c r="BI3" s="1729"/>
      <c r="BJ3" s="1729"/>
      <c r="BK3" s="1729"/>
      <c r="BL3" s="1729"/>
      <c r="BM3" s="1729"/>
      <c r="BN3" s="1729"/>
      <c r="BO3" s="1729"/>
      <c r="BP3" s="1729"/>
      <c r="BQ3" s="1729"/>
      <c r="BR3" s="1729"/>
      <c r="BS3" s="1729"/>
      <c r="BT3" s="1268" t="s">
        <v>362</v>
      </c>
      <c r="BU3" s="1730"/>
      <c r="BV3" s="1730"/>
      <c r="BW3" s="1730"/>
      <c r="BX3" s="40"/>
      <c r="BY3" s="191"/>
    </row>
    <row r="4" spans="2:77" ht="26.25" customHeight="1" x14ac:dyDescent="0.45">
      <c r="B4" s="1710" t="s">
        <v>303</v>
      </c>
      <c r="C4" s="1711"/>
      <c r="D4" s="1944" t="str">
        <f>'शाळा माहिती'!D4</f>
        <v>जि.प.प्रा.शा.बोरजाई वस्ती</v>
      </c>
      <c r="E4" s="1945"/>
      <c r="F4" s="1945"/>
      <c r="G4" s="1945"/>
      <c r="H4" s="1945"/>
      <c r="I4" s="1946"/>
      <c r="J4" s="1715" t="s">
        <v>61</v>
      </c>
      <c r="K4" s="1716"/>
      <c r="L4" s="1716"/>
      <c r="M4" s="1716"/>
      <c r="N4" s="1716"/>
      <c r="O4" s="1716"/>
      <c r="P4" s="1716"/>
      <c r="Q4" s="1716"/>
      <c r="R4" s="1716"/>
      <c r="S4" s="1717"/>
      <c r="T4" s="1712" t="s">
        <v>304</v>
      </c>
      <c r="U4" s="1713"/>
      <c r="V4" s="1713"/>
      <c r="W4" s="1713"/>
      <c r="X4" s="1714"/>
      <c r="Y4" s="1947" t="s">
        <v>343</v>
      </c>
      <c r="Z4" s="1723" t="s">
        <v>731</v>
      </c>
      <c r="AA4" s="1698" t="s">
        <v>342</v>
      </c>
      <c r="AW4" s="191"/>
      <c r="AX4" s="1727" t="s">
        <v>303</v>
      </c>
      <c r="AY4" s="1727"/>
      <c r="AZ4" s="1935"/>
      <c r="BA4" s="1935"/>
      <c r="BB4" s="1935"/>
      <c r="BC4" s="1935"/>
      <c r="BD4" s="1935"/>
      <c r="BE4" s="1935"/>
      <c r="BF4" s="1732" t="s">
        <v>61</v>
      </c>
      <c r="BG4" s="1732"/>
      <c r="BH4" s="1732"/>
      <c r="BI4" s="1732"/>
      <c r="BJ4" s="1732"/>
      <c r="BK4" s="1732"/>
      <c r="BL4" s="1732"/>
      <c r="BM4" s="1732"/>
      <c r="BN4" s="1732"/>
      <c r="BO4" s="1732"/>
      <c r="BP4" s="1733" t="s">
        <v>304</v>
      </c>
      <c r="BQ4" s="1733"/>
      <c r="BR4" s="1733"/>
      <c r="BS4" s="1733"/>
      <c r="BT4" s="1733"/>
      <c r="BU4" s="1727" t="s">
        <v>343</v>
      </c>
      <c r="BV4" s="1734" t="s">
        <v>731</v>
      </c>
      <c r="BW4" s="1727" t="s">
        <v>342</v>
      </c>
      <c r="BX4" s="40"/>
      <c r="BY4" s="191"/>
    </row>
    <row r="5" spans="2:77" ht="41.25" customHeight="1" x14ac:dyDescent="0.45">
      <c r="B5" s="507" t="s">
        <v>86</v>
      </c>
      <c r="C5" s="508" t="s">
        <v>305</v>
      </c>
      <c r="D5" s="509" t="s">
        <v>18</v>
      </c>
      <c r="E5" s="508" t="s">
        <v>32</v>
      </c>
      <c r="F5" s="568" t="s">
        <v>360</v>
      </c>
      <c r="G5" s="568" t="s">
        <v>99</v>
      </c>
      <c r="H5" s="569" t="s">
        <v>19</v>
      </c>
      <c r="I5" s="568" t="s">
        <v>338</v>
      </c>
      <c r="J5" s="113" t="str">
        <f>' प्रमाण निश्चिती '!AC7</f>
        <v xml:space="preserve">बटाटा </v>
      </c>
      <c r="K5" s="113" t="str">
        <f>' प्रमाण निश्चिती '!AD7</f>
        <v xml:space="preserve">फ्लावर </v>
      </c>
      <c r="L5" s="113" t="str">
        <f>' प्रमाण निश्चिती '!AE7</f>
        <v>गाजर</v>
      </c>
      <c r="M5" s="114" t="str">
        <f>' प्रमाण निश्चिती '!AF7</f>
        <v xml:space="preserve">हिरवी मिरची </v>
      </c>
      <c r="N5" s="113" t="str">
        <f>' प्रमाण निश्चिती '!AG7</f>
        <v xml:space="preserve">टमाटर </v>
      </c>
      <c r="O5" s="113" t="str">
        <f>' प्रमाण निश्चिती '!AH7</f>
        <v xml:space="preserve">कोथिंबीर </v>
      </c>
      <c r="P5" s="113" t="str">
        <f>' प्रमाण निश्चिती '!AI7</f>
        <v xml:space="preserve">कढीपत्ता </v>
      </c>
      <c r="Q5" s="113" t="str">
        <f>' प्रमाण निश्चिती '!AJ7</f>
        <v xml:space="preserve">कांदा </v>
      </c>
      <c r="R5" s="113" t="str">
        <f>' प्रमाण निश्चिती '!AK7</f>
        <v>इतर</v>
      </c>
      <c r="S5" s="512" t="s">
        <v>341</v>
      </c>
      <c r="T5" s="115" t="str">
        <f>' प्रमाण निश्चिती '!AL7</f>
        <v>केळी</v>
      </c>
      <c r="U5" s="115" t="str">
        <f>' प्रमाण निश्चिती '!AM7</f>
        <v>खारीक</v>
      </c>
      <c r="V5" s="115" t="str">
        <f>' प्रमाण निश्चिती '!AN7</f>
        <v>गूळ शेंगदाणे</v>
      </c>
      <c r="W5" s="115" t="str">
        <f>' प्रमाण निश्चिती '!AO7</f>
        <v>राजगिरा लाडू</v>
      </c>
      <c r="X5" s="513" t="s">
        <v>306</v>
      </c>
      <c r="Y5" s="1948"/>
      <c r="Z5" s="1724"/>
      <c r="AA5" s="1699"/>
      <c r="AW5" s="191"/>
      <c r="AX5" s="1240" t="s">
        <v>86</v>
      </c>
      <c r="AY5" s="1240" t="s">
        <v>305</v>
      </c>
      <c r="AZ5" s="1240" t="s">
        <v>18</v>
      </c>
      <c r="BA5" s="1240" t="s">
        <v>32</v>
      </c>
      <c r="BB5" s="1240" t="s">
        <v>360</v>
      </c>
      <c r="BC5" s="1240" t="s">
        <v>99</v>
      </c>
      <c r="BD5" s="1240" t="s">
        <v>19</v>
      </c>
      <c r="BE5" s="1240" t="s">
        <v>338</v>
      </c>
      <c r="BF5" s="1241" t="str">
        <f t="shared" ref="BF5:BN6" si="1">J5</f>
        <v xml:space="preserve">बटाटा </v>
      </c>
      <c r="BG5" s="1241" t="str">
        <f t="shared" si="1"/>
        <v xml:space="preserve">फ्लावर </v>
      </c>
      <c r="BH5" s="1241" t="str">
        <f t="shared" si="1"/>
        <v>गाजर</v>
      </c>
      <c r="BI5" s="1241" t="str">
        <f t="shared" si="1"/>
        <v xml:space="preserve">हिरवी मिरची </v>
      </c>
      <c r="BJ5" s="1241" t="str">
        <f t="shared" si="1"/>
        <v xml:space="preserve">टमाटर </v>
      </c>
      <c r="BK5" s="1241" t="str">
        <f t="shared" si="1"/>
        <v xml:space="preserve">कोथिंबीर </v>
      </c>
      <c r="BL5" s="1241" t="str">
        <f t="shared" si="1"/>
        <v xml:space="preserve">कढीपत्ता </v>
      </c>
      <c r="BM5" s="1241" t="str">
        <f t="shared" si="1"/>
        <v xml:space="preserve">कांदा </v>
      </c>
      <c r="BN5" s="1241" t="str">
        <f t="shared" si="1"/>
        <v>इतर</v>
      </c>
      <c r="BO5" s="1242" t="s">
        <v>341</v>
      </c>
      <c r="BP5" s="101" t="str">
        <f t="shared" ref="BP5:BS6" si="2">T5</f>
        <v>केळी</v>
      </c>
      <c r="BQ5" s="101" t="str">
        <f t="shared" si="2"/>
        <v>खारीक</v>
      </c>
      <c r="BR5" s="101" t="str">
        <f t="shared" si="2"/>
        <v>गूळ शेंगदाणे</v>
      </c>
      <c r="BS5" s="101" t="str">
        <f t="shared" si="2"/>
        <v>राजगिरा लाडू</v>
      </c>
      <c r="BT5" s="1240" t="s">
        <v>306</v>
      </c>
      <c r="BU5" s="1727"/>
      <c r="BV5" s="1735"/>
      <c r="BW5" s="1727"/>
      <c r="BX5" s="40"/>
      <c r="BY5" s="191"/>
    </row>
    <row r="6" spans="2:77" ht="26.25" customHeight="1" x14ac:dyDescent="0.45">
      <c r="B6" s="44"/>
      <c r="C6" s="515"/>
      <c r="D6" s="515"/>
      <c r="E6" s="1939" t="s">
        <v>344</v>
      </c>
      <c r="F6" s="1939"/>
      <c r="G6" s="1939"/>
      <c r="H6" s="1939"/>
      <c r="I6" s="1939"/>
      <c r="J6" s="116">
        <f>VLOOKUP(C3,' प्रमाण निश्चिती '!B28:AO39,28,0)</f>
        <v>0.3</v>
      </c>
      <c r="K6" s="116">
        <f>VLOOKUP(C3,' प्रमाण निश्चिती '!B28:AO39,29,0)</f>
        <v>0.3</v>
      </c>
      <c r="L6" s="116">
        <f>VLOOKUP(C3,' प्रमाण निश्चिती '!B28:AO39,30,0)</f>
        <v>0.3</v>
      </c>
      <c r="M6" s="116">
        <f>VLOOKUP(C3,' प्रमाण निश्चिती '!B28:AO39,31,0)</f>
        <v>0.18</v>
      </c>
      <c r="N6" s="116">
        <f>VLOOKUP(C3,' प्रमाण निश्चिती '!B28:AO39,32,0)</f>
        <v>0.18</v>
      </c>
      <c r="O6" s="116">
        <f>VLOOKUP(C3,' प्रमाण निश्चिती '!B28:AO39,33,0)</f>
        <v>0.15</v>
      </c>
      <c r="P6" s="116">
        <f>VLOOKUP(C3,' प्रमाण निश्चिती '!B28:AO39,34,0)</f>
        <v>0.1</v>
      </c>
      <c r="Q6" s="116">
        <f>VLOOKUP(C3,' प्रमाण निश्चिती '!B28:AO39,35,0)</f>
        <v>0.23</v>
      </c>
      <c r="R6" s="116">
        <f>VLOOKUP(C3,' प्रमाण निश्चिती '!B28:AO39,36,0)</f>
        <v>0</v>
      </c>
      <c r="S6" s="116">
        <f>VLOOKUP(C3,' प्रमाण निश्चिती '!B28:AO39,20,0)</f>
        <v>1.1399999999999999</v>
      </c>
      <c r="T6" s="117">
        <f>VLOOKUP(C3,' प्रमाण निश्चिती '!B28:AO39,36,0)</f>
        <v>0</v>
      </c>
      <c r="U6" s="117">
        <f>VLOOKUP(C3,' प्रमाण निश्चिती '!B28:AO39,37,0)</f>
        <v>0</v>
      </c>
      <c r="V6" s="117">
        <f>VLOOKUP(C3,' प्रमाण निश्चिती '!B28:AO39,38,0)</f>
        <v>0</v>
      </c>
      <c r="W6" s="117">
        <f>VLOOKUP(C3,' प्रमाण निश्चिती '!B28:AO39,39,0)</f>
        <v>0</v>
      </c>
      <c r="X6" s="117">
        <f>VLOOKUP(C3,' प्रमाण निश्चिती '!B28:AO39,22,0)</f>
        <v>0.82</v>
      </c>
      <c r="Y6" s="118">
        <f>VLOOKUP(C3,' प्रमाण निश्चिती '!B28:AO39,21,0)</f>
        <v>0.88</v>
      </c>
      <c r="Z6" s="1148">
        <f>VLOOKUP(C3,' प्रमाण निश्चिती '!B28:AO39,23,0)</f>
        <v>1.18</v>
      </c>
      <c r="AA6" s="119">
        <f>VLOOKUP(C3,' प्रमाण निश्चिती '!B28:AO39,24,0)</f>
        <v>4.0199999999999996</v>
      </c>
      <c r="AW6" s="191"/>
      <c r="AX6" s="1243"/>
      <c r="AY6" s="1244"/>
      <c r="AZ6" s="1244"/>
      <c r="BA6" s="1727" t="s">
        <v>344</v>
      </c>
      <c r="BB6" s="1727"/>
      <c r="BC6" s="1727"/>
      <c r="BD6" s="1727"/>
      <c r="BE6" s="1727"/>
      <c r="BF6" s="1245">
        <f t="shared" si="1"/>
        <v>0.3</v>
      </c>
      <c r="BG6" s="1245">
        <f t="shared" si="1"/>
        <v>0.3</v>
      </c>
      <c r="BH6" s="1245">
        <f t="shared" si="1"/>
        <v>0.3</v>
      </c>
      <c r="BI6" s="1245">
        <f t="shared" si="1"/>
        <v>0.18</v>
      </c>
      <c r="BJ6" s="1245">
        <f t="shared" si="1"/>
        <v>0.18</v>
      </c>
      <c r="BK6" s="1245">
        <f t="shared" si="1"/>
        <v>0.15</v>
      </c>
      <c r="BL6" s="1245">
        <f t="shared" si="1"/>
        <v>0.1</v>
      </c>
      <c r="BM6" s="1245">
        <f t="shared" si="1"/>
        <v>0.23</v>
      </c>
      <c r="BN6" s="1245">
        <f t="shared" si="1"/>
        <v>0</v>
      </c>
      <c r="BO6" s="1245">
        <f>S6</f>
        <v>1.1399999999999999</v>
      </c>
      <c r="BP6" s="1245">
        <f t="shared" si="2"/>
        <v>0</v>
      </c>
      <c r="BQ6" s="1245">
        <f t="shared" si="2"/>
        <v>0</v>
      </c>
      <c r="BR6" s="1245">
        <f t="shared" si="2"/>
        <v>0</v>
      </c>
      <c r="BS6" s="1245">
        <f t="shared" si="2"/>
        <v>0</v>
      </c>
      <c r="BT6" s="1245">
        <f>X6</f>
        <v>0.82</v>
      </c>
      <c r="BU6" s="1245">
        <f>Y6</f>
        <v>0.88</v>
      </c>
      <c r="BV6" s="1245">
        <f>Z6</f>
        <v>1.18</v>
      </c>
      <c r="BW6" s="1245">
        <f t="shared" ref="BW6" si="3">AA6</f>
        <v>4.0199999999999996</v>
      </c>
      <c r="BX6" s="40"/>
      <c r="BY6" s="191"/>
    </row>
    <row r="7" spans="2:77" ht="26.25" customHeight="1" x14ac:dyDescent="0.45">
      <c r="B7" s="570">
        <v>1</v>
      </c>
      <c r="C7" s="123">
        <f>DATE($D$3,INDEX({4,5,6,7,8,9,10,11,12,1,2,3},MATCH($C$3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44652</v>
      </c>
      <c r="D7" s="124" t="str">
        <f>IF(C7="","",INDEX({"रविवार";"सोमवार";"मंगळवार";"बुधवार";"गुरूवार";"शुक्रवार";"शनिवार"},WEEKDAY(C7)))</f>
        <v>शुक्रवार</v>
      </c>
      <c r="E7" s="125">
        <f>HLOOKUP(C3,'दैनिक माहिती'!BF268:BQ299,2,0)</f>
        <v>0</v>
      </c>
      <c r="F7" s="126">
        <f>HLOOKUP(C3,'दैनिक माहिती'!BF303:BQ334,2,0)</f>
        <v>0</v>
      </c>
      <c r="G7" s="126">
        <f>IF(AND(D7=$T$2,I7&gt;0),$G$2,0)</f>
        <v>0</v>
      </c>
      <c r="H7" s="126">
        <f>HLOOKUP(C3,'दैनिक माहिती'!BF194:BQ226,2,0)</f>
        <v>0</v>
      </c>
      <c r="I7" s="126">
        <f>HLOOKUP(C3,'दैनिक माहिती'!BF231:BQ263,2,0)</f>
        <v>0</v>
      </c>
      <c r="J7" s="127">
        <f>IF(E7=$J$2,$J$6*I7,IF(E7=$K$2,$J$6*I7,IF(E7=$Q$2,$J$6*I7,0)))</f>
        <v>0</v>
      </c>
      <c r="K7" s="128">
        <f>IF(E7=$L$2,$K$6*I7,IF(E7=$M$2,$K$6*I7,IF(E7=$N$2,$K$6*I7,0)))</f>
        <v>0</v>
      </c>
      <c r="L7" s="128">
        <f>IF(E7=$O$2,$L$6*I7,IF(E7=$P$2,$L$6*I7,0))</f>
        <v>0</v>
      </c>
      <c r="M7" s="128">
        <f>$M$6*I7</f>
        <v>0</v>
      </c>
      <c r="N7" s="128">
        <f>$N$6*I7</f>
        <v>0</v>
      </c>
      <c r="O7" s="128">
        <f>$O$6*I7</f>
        <v>0</v>
      </c>
      <c r="P7" s="128">
        <f>$P$6*I7</f>
        <v>0</v>
      </c>
      <c r="Q7" s="128">
        <f>$Q$6*I7</f>
        <v>0</v>
      </c>
      <c r="R7" s="128">
        <f>$R$6*I7</f>
        <v>0</v>
      </c>
      <c r="S7" s="129">
        <f>SUM(J7:R7)</f>
        <v>0</v>
      </c>
      <c r="T7" s="130">
        <f>IF(G7=$G$2,$X$43/$G$38,0)</f>
        <v>0</v>
      </c>
      <c r="U7" s="518">
        <v>0</v>
      </c>
      <c r="V7" s="518">
        <v>0</v>
      </c>
      <c r="W7" s="518">
        <v>0</v>
      </c>
      <c r="X7" s="120">
        <f>SUM(T7:W7)</f>
        <v>0</v>
      </c>
      <c r="Y7" s="121">
        <f>($Y$6*I7)</f>
        <v>0</v>
      </c>
      <c r="Z7" s="1149">
        <f>I7*$Z$6</f>
        <v>0</v>
      </c>
      <c r="AA7" s="122">
        <f>(S7+X7+Y7+Z7)</f>
        <v>0</v>
      </c>
      <c r="AW7" s="191"/>
      <c r="AX7" s="1246">
        <v>1</v>
      </c>
      <c r="AY7" s="1247">
        <f>DATE($AZ$3,INDEX({4,5,6,7,8,9,10,11,12,1,2,3},MATCH($AY$3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AZ7" s="1248" t="str">
        <f>IF(AY7="","",INDEX({"रविवार";"सोमवार";"मंगळवार";"बुधवार";"गुरूवार";"शुक्रवार";"शनिवार"},WEEKDAY(AY7)))</f>
        <v>सोमवार</v>
      </c>
      <c r="BA7" s="1249">
        <f>HLOOKUP(AY3,'दैनिक माहिती'!BF268:BQ299,2,0)</f>
        <v>0</v>
      </c>
      <c r="BB7" s="1250"/>
      <c r="BC7" s="1251">
        <f>IF(AND(AZ7=$BP$2,BE7&gt;0),$BC$2,0)</f>
        <v>0</v>
      </c>
      <c r="BD7" s="1250"/>
      <c r="BE7" s="1251">
        <f>HLOOKUP(AY3,'दैनिक माहिती'!BF231:BQ263,2,0)</f>
        <v>0</v>
      </c>
      <c r="BF7" s="1252">
        <f>IF(BA7=$J$2,$J$6*BE7,IF(BA7=$K$2,$J$6*BE7,IF(BA7=$Q$2,$J$6*BE7,0)))</f>
        <v>0</v>
      </c>
      <c r="BG7" s="1253">
        <f>IF(BA7=$L$2,$K$6*BE7,IF(BA7=$M$2,$K$6*BE7,IF(BA7=$N$2,$K$6*BE7,0)))</f>
        <v>0</v>
      </c>
      <c r="BH7" s="1253">
        <f>IF(BA7=$O$2,$L$6*BE7,IF(BA7=$P$2,$L$6*BE7,0))</f>
        <v>0</v>
      </c>
      <c r="BI7" s="1253">
        <f>$M$6*BE7</f>
        <v>0</v>
      </c>
      <c r="BJ7" s="1253">
        <f>$N$6*BE7</f>
        <v>0</v>
      </c>
      <c r="BK7" s="1253">
        <f>$O$6*BE7</f>
        <v>0</v>
      </c>
      <c r="BL7" s="1253">
        <f>$P$6*BE7</f>
        <v>0</v>
      </c>
      <c r="BM7" s="1253">
        <f>$Q$6*BE7</f>
        <v>0</v>
      </c>
      <c r="BN7" s="1253">
        <f>$R$6*BE7</f>
        <v>0</v>
      </c>
      <c r="BO7" s="1253">
        <f>$BO$6*BE7</f>
        <v>0</v>
      </c>
      <c r="BP7" s="1253">
        <f>IF(BC7=$BC$2,$BT$43/$BC$38,0)</f>
        <v>0</v>
      </c>
      <c r="BQ7" s="1254">
        <v>0</v>
      </c>
      <c r="BR7" s="1254">
        <v>0</v>
      </c>
      <c r="BS7" s="1254">
        <v>0</v>
      </c>
      <c r="BT7" s="1253">
        <f>SUM(BP7:BS7)</f>
        <v>0</v>
      </c>
      <c r="BU7" s="1253">
        <f>($Y$6*BE7)</f>
        <v>0</v>
      </c>
      <c r="BV7" s="1253">
        <f>$Z$6*BE7</f>
        <v>0</v>
      </c>
      <c r="BW7" s="1253">
        <f>(BO7+BT7+BU7)</f>
        <v>0</v>
      </c>
      <c r="BX7" s="40">
        <v>1</v>
      </c>
      <c r="BY7" s="191"/>
    </row>
    <row r="8" spans="2:77" ht="26.25" customHeight="1" x14ac:dyDescent="0.45">
      <c r="B8" s="517">
        <v>2</v>
      </c>
      <c r="C8" s="123">
        <f>C7+1</f>
        <v>44653</v>
      </c>
      <c r="D8" s="124" t="str">
        <f>IF(C8="","",INDEX({"रविवार";"सोमवार";"मंगळवार";"बुधवार";"गुरूवार";"शुक्रवार";"शनिवार"},WEEKDAY(C8)))</f>
        <v>शनिवार</v>
      </c>
      <c r="E8" s="125">
        <f>HLOOKUP(C3,'दैनिक माहिती'!BF268:BQ299,3,0)</f>
        <v>0</v>
      </c>
      <c r="F8" s="131">
        <f>HLOOKUP(C3,'दैनिक माहिती'!BF303:BQ334,3,0)</f>
        <v>0</v>
      </c>
      <c r="G8" s="126">
        <f t="shared" ref="G8:G37" si="4">IF(AND(D8=$T$2,I8&gt;0),$G$2,0)</f>
        <v>0</v>
      </c>
      <c r="H8" s="131">
        <f>HLOOKUP(C3,'दैनिक माहिती'!BF194:BQ226,3,0)</f>
        <v>0</v>
      </c>
      <c r="I8" s="131">
        <f>HLOOKUP(C3,'दैनिक माहिती'!BF231:BQ263,3,0)</f>
        <v>0</v>
      </c>
      <c r="J8" s="127">
        <f t="shared" ref="J8:J37" si="5">IF(E8=$J$2,$J$6*I8,IF(E8=$K$2,$J$6*I8,IF(E8=$Q$2,$J$6*I8,0)))</f>
        <v>0</v>
      </c>
      <c r="K8" s="128">
        <f t="shared" ref="K8:K37" si="6">IF(E8=$L$2,$K$6*I8,IF(E8=$M$2,$K$6*I8,IF(E8=$N$2,$K$6*I8,0)))</f>
        <v>0</v>
      </c>
      <c r="L8" s="128">
        <f t="shared" ref="L8:L37" si="7">IF(E8=$O$2,$L$6*I8,IF(E8=$P$2,$L$6*I8,0))</f>
        <v>0</v>
      </c>
      <c r="M8" s="128">
        <f t="shared" ref="M8:M37" si="8">$M$6*I8</f>
        <v>0</v>
      </c>
      <c r="N8" s="128">
        <f t="shared" ref="N8:N37" si="9">$N$6*I8</f>
        <v>0</v>
      </c>
      <c r="O8" s="128">
        <f t="shared" ref="O8:O37" si="10">$O$6*I8</f>
        <v>0</v>
      </c>
      <c r="P8" s="128">
        <f t="shared" ref="P8:P37" si="11">$P$6*I8</f>
        <v>0</v>
      </c>
      <c r="Q8" s="128">
        <f t="shared" ref="Q8:Q37" si="12">$Q$6*I8</f>
        <v>0</v>
      </c>
      <c r="R8" s="128">
        <f t="shared" ref="R8:R37" si="13">$R$6*I8</f>
        <v>0</v>
      </c>
      <c r="S8" s="129">
        <f t="shared" ref="S8:S37" si="14">SUM(J8:R8)</f>
        <v>0</v>
      </c>
      <c r="T8" s="130">
        <f t="shared" ref="T8:T14" si="15">IF(G8=$G$2,$X$43/$G$38,0)</f>
        <v>0</v>
      </c>
      <c r="U8" s="518">
        <v>0</v>
      </c>
      <c r="V8" s="518">
        <v>0</v>
      </c>
      <c r="W8" s="518">
        <v>0</v>
      </c>
      <c r="X8" s="120">
        <f t="shared" ref="X8:X37" si="16">SUM(T8:W8)</f>
        <v>0</v>
      </c>
      <c r="Y8" s="121">
        <f t="shared" ref="Y8:Y37" si="17">($Y$6*I8)</f>
        <v>0</v>
      </c>
      <c r="Z8" s="1149">
        <f t="shared" ref="Z8:Z38" si="18">I8*$Z$6</f>
        <v>0</v>
      </c>
      <c r="AA8" s="122">
        <f t="shared" ref="AA8:AA37" si="19">(S8+X8+Y8+Z8)</f>
        <v>0</v>
      </c>
      <c r="AW8" s="191"/>
      <c r="AX8" s="1246">
        <v>2</v>
      </c>
      <c r="AY8" s="1247">
        <f>AY7+1</f>
        <v>44775</v>
      </c>
      <c r="AZ8" s="1248" t="str">
        <f>IF(AY8="","",INDEX({"रविवार";"सोमवार";"मंगळवार";"बुधवार";"गुरूवार";"शुक्रवार";"शनिवार"},WEEKDAY(AY8)))</f>
        <v>मंगळवार</v>
      </c>
      <c r="BA8" s="1249">
        <f>HLOOKUP(AY3,'दैनिक माहिती'!BF268:BQ299,3,0)</f>
        <v>0</v>
      </c>
      <c r="BB8" s="1250"/>
      <c r="BC8" s="1251">
        <f t="shared" ref="BC8:BC37" si="20">IF(AND(AZ8=$BP$2,BE8&gt;0),$BC$2,0)</f>
        <v>0</v>
      </c>
      <c r="BD8" s="1250"/>
      <c r="BE8" s="1251">
        <f>HLOOKUP(AY3,'दैनिक माहिती'!BF231:BQ263,3,0)</f>
        <v>0</v>
      </c>
      <c r="BF8" s="1252">
        <f t="shared" ref="BF8:BF37" si="21">IF(BA8=$J$2,$J$6*BE8,IF(BA8=$K$2,$J$6*BE8,IF(BA8=$Q$2,$J$6*BE8,0)))</f>
        <v>0</v>
      </c>
      <c r="BG8" s="1253">
        <f t="shared" ref="BG8:BG37" si="22">IF(BA8=$L$2,$K$6*BE8,IF(BA8=$M$2,$K$6*BE8,IF(BA8=$N$2,$K$6*BE8,0)))</f>
        <v>0</v>
      </c>
      <c r="BH8" s="1253">
        <f t="shared" ref="BH8:BH37" si="23">IF(BA8=$O$2,$L$6*BE8,IF(BA8=$P$2,$L$6*BE8,0))</f>
        <v>0</v>
      </c>
      <c r="BI8" s="1253">
        <f t="shared" ref="BI8:BI37" si="24">$M$6*BE8</f>
        <v>0</v>
      </c>
      <c r="BJ8" s="1253">
        <f t="shared" ref="BJ8:BJ37" si="25">$N$6*BE8</f>
        <v>0</v>
      </c>
      <c r="BK8" s="1253">
        <f t="shared" ref="BK8:BK37" si="26">$O$6*BE8</f>
        <v>0</v>
      </c>
      <c r="BL8" s="1253">
        <f t="shared" ref="BL8:BL37" si="27">$P$6*BE8</f>
        <v>0</v>
      </c>
      <c r="BM8" s="1253">
        <f t="shared" ref="BM8:BM37" si="28">$Q$6*BE8</f>
        <v>0</v>
      </c>
      <c r="BN8" s="1253">
        <f t="shared" ref="BN8:BN37" si="29">$R$6*BE8</f>
        <v>0</v>
      </c>
      <c r="BO8" s="1253">
        <f t="shared" ref="BO8:BO37" si="30">$BO$6*BE8</f>
        <v>0</v>
      </c>
      <c r="BP8" s="1253">
        <f t="shared" ref="BP8:BP14" si="31">IF(BC8=$BC$2,$BT$43/$BC$38,0)</f>
        <v>0</v>
      </c>
      <c r="BQ8" s="1254">
        <v>0</v>
      </c>
      <c r="BR8" s="1254">
        <v>0</v>
      </c>
      <c r="BS8" s="1254">
        <v>0</v>
      </c>
      <c r="BT8" s="1253">
        <f t="shared" ref="BT8:BT37" si="32">SUM(BP8:BS8)</f>
        <v>0</v>
      </c>
      <c r="BU8" s="1253">
        <f t="shared" ref="BU8:BU37" si="33">($Y$6*BE8)</f>
        <v>0</v>
      </c>
      <c r="BV8" s="1253">
        <f t="shared" ref="BV8:BV38" si="34">$Z$6*BE8</f>
        <v>0</v>
      </c>
      <c r="BW8" s="1253">
        <f t="shared" ref="BW8:BW37" si="35">(BO8+BT8+BU8)</f>
        <v>0</v>
      </c>
      <c r="BX8" s="40">
        <v>2</v>
      </c>
      <c r="BY8" s="191"/>
    </row>
    <row r="9" spans="2:77" ht="26.25" customHeight="1" x14ac:dyDescent="0.45">
      <c r="B9" s="517">
        <v>3</v>
      </c>
      <c r="C9" s="123">
        <f t="shared" ref="C9:C37" si="36">C8+1</f>
        <v>44654</v>
      </c>
      <c r="D9" s="124" t="str">
        <f>IF(C9="","",INDEX({"रविवार";"सोमवार";"मंगळवार";"बुधवार";"गुरूवार";"शुक्रवार";"शनिवार"},WEEKDAY(C9)))</f>
        <v>रविवार</v>
      </c>
      <c r="E9" s="125">
        <f>HLOOKUP(C3,'दैनिक माहिती'!BF268:BQ299,4,0)</f>
        <v>0</v>
      </c>
      <c r="F9" s="131">
        <f>HLOOKUP(C3,'दैनिक माहिती'!BF303:BQ334,4,0)</f>
        <v>0</v>
      </c>
      <c r="G9" s="126">
        <f t="shared" si="4"/>
        <v>0</v>
      </c>
      <c r="H9" s="131">
        <f>HLOOKUP(C3,'दैनिक माहिती'!BF194:BQ226,4,0)</f>
        <v>0</v>
      </c>
      <c r="I9" s="131">
        <f>HLOOKUP(C3,'दैनिक माहिती'!BF231:BQ263,4,0)</f>
        <v>0</v>
      </c>
      <c r="J9" s="127">
        <f t="shared" si="5"/>
        <v>0</v>
      </c>
      <c r="K9" s="128">
        <f t="shared" si="6"/>
        <v>0</v>
      </c>
      <c r="L9" s="128">
        <f t="shared" si="7"/>
        <v>0</v>
      </c>
      <c r="M9" s="128">
        <f t="shared" si="8"/>
        <v>0</v>
      </c>
      <c r="N9" s="128">
        <f t="shared" si="9"/>
        <v>0</v>
      </c>
      <c r="O9" s="128">
        <f t="shared" si="10"/>
        <v>0</v>
      </c>
      <c r="P9" s="128">
        <f t="shared" si="11"/>
        <v>0</v>
      </c>
      <c r="Q9" s="128">
        <f t="shared" si="12"/>
        <v>0</v>
      </c>
      <c r="R9" s="128">
        <f t="shared" si="13"/>
        <v>0</v>
      </c>
      <c r="S9" s="129">
        <f t="shared" si="14"/>
        <v>0</v>
      </c>
      <c r="T9" s="130">
        <f t="shared" si="15"/>
        <v>0</v>
      </c>
      <c r="U9" s="518">
        <v>0</v>
      </c>
      <c r="V9" s="518">
        <v>0</v>
      </c>
      <c r="W9" s="518">
        <v>0</v>
      </c>
      <c r="X9" s="120">
        <f t="shared" si="16"/>
        <v>0</v>
      </c>
      <c r="Y9" s="121">
        <f t="shared" si="17"/>
        <v>0</v>
      </c>
      <c r="Z9" s="1149">
        <f t="shared" si="18"/>
        <v>0</v>
      </c>
      <c r="AA9" s="122">
        <f t="shared" si="19"/>
        <v>0</v>
      </c>
      <c r="AW9" s="191"/>
      <c r="AX9" s="1246">
        <v>3</v>
      </c>
      <c r="AY9" s="1247">
        <f t="shared" ref="AY9:AY37" si="37">AY8+1</f>
        <v>44776</v>
      </c>
      <c r="AZ9" s="1248" t="str">
        <f>IF(AY9="","",INDEX({"रविवार";"सोमवार";"मंगळवार";"बुधवार";"गुरूवार";"शुक्रवार";"शनिवार"},WEEKDAY(AY9)))</f>
        <v>बुधवार</v>
      </c>
      <c r="BA9" s="1249">
        <f>HLOOKUP(AY3,'दैनिक माहिती'!BF268:BQ299,4,0)</f>
        <v>0</v>
      </c>
      <c r="BB9" s="1250"/>
      <c r="BC9" s="1251">
        <f t="shared" si="20"/>
        <v>0</v>
      </c>
      <c r="BD9" s="1250"/>
      <c r="BE9" s="1251">
        <f>HLOOKUP(AY3,'दैनिक माहिती'!BF231:BQ263,4,0)</f>
        <v>0</v>
      </c>
      <c r="BF9" s="1252">
        <f t="shared" si="21"/>
        <v>0</v>
      </c>
      <c r="BG9" s="1253">
        <f t="shared" si="22"/>
        <v>0</v>
      </c>
      <c r="BH9" s="1253">
        <f t="shared" si="23"/>
        <v>0</v>
      </c>
      <c r="BI9" s="1253">
        <f t="shared" si="24"/>
        <v>0</v>
      </c>
      <c r="BJ9" s="1253">
        <f t="shared" si="25"/>
        <v>0</v>
      </c>
      <c r="BK9" s="1253">
        <f t="shared" si="26"/>
        <v>0</v>
      </c>
      <c r="BL9" s="1253">
        <f t="shared" si="27"/>
        <v>0</v>
      </c>
      <c r="BM9" s="1253">
        <f t="shared" si="28"/>
        <v>0</v>
      </c>
      <c r="BN9" s="1253">
        <f t="shared" si="29"/>
        <v>0</v>
      </c>
      <c r="BO9" s="1253">
        <f t="shared" si="30"/>
        <v>0</v>
      </c>
      <c r="BP9" s="1253">
        <f t="shared" si="31"/>
        <v>0</v>
      </c>
      <c r="BQ9" s="1254">
        <v>0</v>
      </c>
      <c r="BR9" s="1254">
        <v>0</v>
      </c>
      <c r="BS9" s="1254">
        <v>0</v>
      </c>
      <c r="BT9" s="1253">
        <f t="shared" si="32"/>
        <v>0</v>
      </c>
      <c r="BU9" s="1253">
        <f t="shared" si="33"/>
        <v>0</v>
      </c>
      <c r="BV9" s="1253">
        <f t="shared" si="34"/>
        <v>0</v>
      </c>
      <c r="BW9" s="1253">
        <f t="shared" si="35"/>
        <v>0</v>
      </c>
      <c r="BX9" s="40">
        <v>3</v>
      </c>
      <c r="BY9" s="191"/>
    </row>
    <row r="10" spans="2:77" ht="26.25" customHeight="1" x14ac:dyDescent="0.45">
      <c r="B10" s="517">
        <v>4</v>
      </c>
      <c r="C10" s="123">
        <f t="shared" si="36"/>
        <v>44655</v>
      </c>
      <c r="D10" s="124" t="str">
        <f>IF(C10="","",INDEX({"रविवार";"सोमवार";"मंगळवार";"बुधवार";"गुरूवार";"शुक्रवार";"शनिवार"},WEEKDAY(C10)))</f>
        <v>सोमवार</v>
      </c>
      <c r="E10" s="125">
        <f>HLOOKUP(C3,'दैनिक माहिती'!BF268:BQ299,5,0)</f>
        <v>0</v>
      </c>
      <c r="F10" s="131">
        <f>HLOOKUP(C3,'दैनिक माहिती'!BF303:BQ334,5,0)</f>
        <v>0</v>
      </c>
      <c r="G10" s="126">
        <f t="shared" si="4"/>
        <v>0</v>
      </c>
      <c r="H10" s="131">
        <f>HLOOKUP(C3,'दैनिक माहिती'!BF194:BQ226,5,0)</f>
        <v>0</v>
      </c>
      <c r="I10" s="131">
        <f>HLOOKUP(C3,'दैनिक माहिती'!BF231:BQ263,5,0)</f>
        <v>0</v>
      </c>
      <c r="J10" s="127">
        <f t="shared" si="5"/>
        <v>0</v>
      </c>
      <c r="K10" s="128">
        <f t="shared" si="6"/>
        <v>0</v>
      </c>
      <c r="L10" s="128">
        <f t="shared" si="7"/>
        <v>0</v>
      </c>
      <c r="M10" s="128">
        <f t="shared" si="8"/>
        <v>0</v>
      </c>
      <c r="N10" s="128">
        <f t="shared" si="9"/>
        <v>0</v>
      </c>
      <c r="O10" s="128">
        <f t="shared" si="10"/>
        <v>0</v>
      </c>
      <c r="P10" s="128">
        <f t="shared" si="11"/>
        <v>0</v>
      </c>
      <c r="Q10" s="128">
        <f t="shared" si="12"/>
        <v>0</v>
      </c>
      <c r="R10" s="128">
        <f t="shared" si="13"/>
        <v>0</v>
      </c>
      <c r="S10" s="129">
        <f t="shared" si="14"/>
        <v>0</v>
      </c>
      <c r="T10" s="130">
        <f t="shared" si="15"/>
        <v>0</v>
      </c>
      <c r="U10" s="518">
        <v>0</v>
      </c>
      <c r="V10" s="518">
        <v>0</v>
      </c>
      <c r="W10" s="518">
        <v>0</v>
      </c>
      <c r="X10" s="120">
        <f t="shared" si="16"/>
        <v>0</v>
      </c>
      <c r="Y10" s="121">
        <f t="shared" si="17"/>
        <v>0</v>
      </c>
      <c r="Z10" s="1149">
        <f t="shared" si="18"/>
        <v>0</v>
      </c>
      <c r="AA10" s="122">
        <f t="shared" si="19"/>
        <v>0</v>
      </c>
      <c r="AW10" s="191"/>
      <c r="AX10" s="1246">
        <v>4</v>
      </c>
      <c r="AY10" s="1247">
        <f t="shared" si="37"/>
        <v>44777</v>
      </c>
      <c r="AZ10" s="1248" t="str">
        <f>IF(AY10="","",INDEX({"रविवार";"सोमवार";"मंगळवार";"बुधवार";"गुरूवार";"शुक्रवार";"शनिवार"},WEEKDAY(AY10)))</f>
        <v>गुरूवार</v>
      </c>
      <c r="BA10" s="1249">
        <f>HLOOKUP(AY3,'दैनिक माहिती'!BF268:BQ299,5,0)</f>
        <v>0</v>
      </c>
      <c r="BB10" s="1250"/>
      <c r="BC10" s="1251">
        <f t="shared" si="20"/>
        <v>0</v>
      </c>
      <c r="BD10" s="1250"/>
      <c r="BE10" s="1251">
        <f>HLOOKUP(AY3,'दैनिक माहिती'!BF231:BQ263,5,0)</f>
        <v>0</v>
      </c>
      <c r="BF10" s="1252">
        <f t="shared" si="21"/>
        <v>0</v>
      </c>
      <c r="BG10" s="1253">
        <f t="shared" si="22"/>
        <v>0</v>
      </c>
      <c r="BH10" s="1253">
        <f t="shared" si="23"/>
        <v>0</v>
      </c>
      <c r="BI10" s="1253">
        <f t="shared" si="24"/>
        <v>0</v>
      </c>
      <c r="BJ10" s="1253">
        <f t="shared" si="25"/>
        <v>0</v>
      </c>
      <c r="BK10" s="1253">
        <f t="shared" si="26"/>
        <v>0</v>
      </c>
      <c r="BL10" s="1253">
        <f t="shared" si="27"/>
        <v>0</v>
      </c>
      <c r="BM10" s="1253">
        <f t="shared" si="28"/>
        <v>0</v>
      </c>
      <c r="BN10" s="1253">
        <f t="shared" si="29"/>
        <v>0</v>
      </c>
      <c r="BO10" s="1253">
        <f t="shared" si="30"/>
        <v>0</v>
      </c>
      <c r="BP10" s="1253">
        <f t="shared" si="31"/>
        <v>0</v>
      </c>
      <c r="BQ10" s="1254">
        <v>0</v>
      </c>
      <c r="BR10" s="1254">
        <v>0</v>
      </c>
      <c r="BS10" s="1254">
        <v>0</v>
      </c>
      <c r="BT10" s="1253">
        <f t="shared" si="32"/>
        <v>0</v>
      </c>
      <c r="BU10" s="1253">
        <f t="shared" si="33"/>
        <v>0</v>
      </c>
      <c r="BV10" s="1253">
        <f t="shared" si="34"/>
        <v>0</v>
      </c>
      <c r="BW10" s="1253">
        <f t="shared" si="35"/>
        <v>0</v>
      </c>
      <c r="BX10" s="40">
        <v>4</v>
      </c>
      <c r="BY10" s="191"/>
    </row>
    <row r="11" spans="2:77" ht="26.25" customHeight="1" x14ac:dyDescent="0.45">
      <c r="B11" s="517">
        <v>5</v>
      </c>
      <c r="C11" s="123">
        <f t="shared" si="36"/>
        <v>44656</v>
      </c>
      <c r="D11" s="124" t="str">
        <f>IF(C11="","",INDEX({"रविवार";"सोमवार";"मंगळवार";"बुधवार";"गुरूवार";"शुक्रवार";"शनिवार"},WEEKDAY(C11)))</f>
        <v>मंगळवार</v>
      </c>
      <c r="E11" s="125">
        <f>HLOOKUP(C3,'दैनिक माहिती'!BF268:BQ299,6,0)</f>
        <v>0</v>
      </c>
      <c r="F11" s="131">
        <f>HLOOKUP(C3,'दैनिक माहिती'!BF303:BQ334,6,0)</f>
        <v>0</v>
      </c>
      <c r="G11" s="126">
        <f t="shared" si="4"/>
        <v>0</v>
      </c>
      <c r="H11" s="131">
        <f>HLOOKUP(C3,'दैनिक माहिती'!BF194:BQ226,6,0)</f>
        <v>0</v>
      </c>
      <c r="I11" s="131">
        <f>HLOOKUP(C3,'दैनिक माहिती'!BF231:BQ263,6,0)</f>
        <v>0</v>
      </c>
      <c r="J11" s="127">
        <f t="shared" si="5"/>
        <v>0</v>
      </c>
      <c r="K11" s="128">
        <f t="shared" si="6"/>
        <v>0</v>
      </c>
      <c r="L11" s="128">
        <f t="shared" si="7"/>
        <v>0</v>
      </c>
      <c r="M11" s="128">
        <f t="shared" si="8"/>
        <v>0</v>
      </c>
      <c r="N11" s="128">
        <f t="shared" si="9"/>
        <v>0</v>
      </c>
      <c r="O11" s="128">
        <f t="shared" si="10"/>
        <v>0</v>
      </c>
      <c r="P11" s="128">
        <f t="shared" si="11"/>
        <v>0</v>
      </c>
      <c r="Q11" s="128">
        <f t="shared" si="12"/>
        <v>0</v>
      </c>
      <c r="R11" s="128">
        <f t="shared" si="13"/>
        <v>0</v>
      </c>
      <c r="S11" s="129">
        <f t="shared" si="14"/>
        <v>0</v>
      </c>
      <c r="T11" s="130">
        <f t="shared" si="15"/>
        <v>0</v>
      </c>
      <c r="U11" s="518">
        <v>0</v>
      </c>
      <c r="V11" s="518">
        <v>0</v>
      </c>
      <c r="W11" s="518">
        <v>0</v>
      </c>
      <c r="X11" s="120">
        <f t="shared" si="16"/>
        <v>0</v>
      </c>
      <c r="Y11" s="121">
        <f t="shared" si="17"/>
        <v>0</v>
      </c>
      <c r="Z11" s="1149">
        <f t="shared" si="18"/>
        <v>0</v>
      </c>
      <c r="AA11" s="122">
        <f t="shared" si="19"/>
        <v>0</v>
      </c>
      <c r="AW11" s="191"/>
      <c r="AX11" s="1246">
        <v>5</v>
      </c>
      <c r="AY11" s="1247">
        <f t="shared" si="37"/>
        <v>44778</v>
      </c>
      <c r="AZ11" s="1248" t="str">
        <f>IF(AY11="","",INDEX({"रविवार";"सोमवार";"मंगळवार";"बुधवार";"गुरूवार";"शुक्रवार";"शनिवार"},WEEKDAY(AY11)))</f>
        <v>शुक्रवार</v>
      </c>
      <c r="BA11" s="1249">
        <f>HLOOKUP(AY3,'दैनिक माहिती'!BF268:BQ299,6,0)</f>
        <v>0</v>
      </c>
      <c r="BB11" s="1250"/>
      <c r="BC11" s="1251">
        <f t="shared" si="20"/>
        <v>0</v>
      </c>
      <c r="BD11" s="1250"/>
      <c r="BE11" s="1251">
        <f>HLOOKUP(AY3,'दैनिक माहिती'!BF231:BQ263,6,0)</f>
        <v>0</v>
      </c>
      <c r="BF11" s="1252">
        <f t="shared" si="21"/>
        <v>0</v>
      </c>
      <c r="BG11" s="1253">
        <f t="shared" si="22"/>
        <v>0</v>
      </c>
      <c r="BH11" s="1253">
        <f t="shared" si="23"/>
        <v>0</v>
      </c>
      <c r="BI11" s="1253">
        <f t="shared" si="24"/>
        <v>0</v>
      </c>
      <c r="BJ11" s="1253">
        <f t="shared" si="25"/>
        <v>0</v>
      </c>
      <c r="BK11" s="1253">
        <f t="shared" si="26"/>
        <v>0</v>
      </c>
      <c r="BL11" s="1253">
        <f t="shared" si="27"/>
        <v>0</v>
      </c>
      <c r="BM11" s="1253">
        <f t="shared" si="28"/>
        <v>0</v>
      </c>
      <c r="BN11" s="1253">
        <f t="shared" si="29"/>
        <v>0</v>
      </c>
      <c r="BO11" s="1253">
        <f t="shared" si="30"/>
        <v>0</v>
      </c>
      <c r="BP11" s="1253">
        <f t="shared" si="31"/>
        <v>0</v>
      </c>
      <c r="BQ11" s="1254">
        <v>0</v>
      </c>
      <c r="BR11" s="1254">
        <v>0</v>
      </c>
      <c r="BS11" s="1254">
        <v>0</v>
      </c>
      <c r="BT11" s="1253">
        <f t="shared" si="32"/>
        <v>0</v>
      </c>
      <c r="BU11" s="1253">
        <f t="shared" si="33"/>
        <v>0</v>
      </c>
      <c r="BV11" s="1253">
        <f t="shared" si="34"/>
        <v>0</v>
      </c>
      <c r="BW11" s="1253">
        <f t="shared" si="35"/>
        <v>0</v>
      </c>
      <c r="BX11" s="40">
        <v>5</v>
      </c>
      <c r="BY11" s="191"/>
    </row>
    <row r="12" spans="2:77" ht="26.25" customHeight="1" x14ac:dyDescent="0.45">
      <c r="B12" s="517">
        <v>6</v>
      </c>
      <c r="C12" s="123">
        <f t="shared" si="36"/>
        <v>44657</v>
      </c>
      <c r="D12" s="124" t="str">
        <f>IF(C12="","",INDEX({"रविवार";"सोमवार";"मंगळवार";"बुधवार";"गुरूवार";"शुक्रवार";"शनिवार"},WEEKDAY(C12)))</f>
        <v>बुधवार</v>
      </c>
      <c r="E12" s="125">
        <f>HLOOKUP(C3,'दैनिक माहिती'!BF268:BQ299,7,0)</f>
        <v>0</v>
      </c>
      <c r="F12" s="131">
        <f>HLOOKUP(C3,'दैनिक माहिती'!BF303:BQ334,7,0)</f>
        <v>0</v>
      </c>
      <c r="G12" s="126">
        <f t="shared" si="4"/>
        <v>0</v>
      </c>
      <c r="H12" s="131">
        <f>HLOOKUP(C3,'दैनिक माहिती'!BF194:BQ226,7,0)</f>
        <v>0</v>
      </c>
      <c r="I12" s="131">
        <f>HLOOKUP(C3,'दैनिक माहिती'!BF231:BQ263,7,0)</f>
        <v>0</v>
      </c>
      <c r="J12" s="127">
        <f t="shared" si="5"/>
        <v>0</v>
      </c>
      <c r="K12" s="128">
        <f t="shared" si="6"/>
        <v>0</v>
      </c>
      <c r="L12" s="128">
        <f t="shared" si="7"/>
        <v>0</v>
      </c>
      <c r="M12" s="128">
        <f t="shared" si="8"/>
        <v>0</v>
      </c>
      <c r="N12" s="128">
        <f t="shared" si="9"/>
        <v>0</v>
      </c>
      <c r="O12" s="128">
        <f t="shared" si="10"/>
        <v>0</v>
      </c>
      <c r="P12" s="128">
        <f t="shared" si="11"/>
        <v>0</v>
      </c>
      <c r="Q12" s="128">
        <f t="shared" si="12"/>
        <v>0</v>
      </c>
      <c r="R12" s="128">
        <f t="shared" si="13"/>
        <v>0</v>
      </c>
      <c r="S12" s="129">
        <f t="shared" si="14"/>
        <v>0</v>
      </c>
      <c r="T12" s="130">
        <f t="shared" si="15"/>
        <v>0</v>
      </c>
      <c r="U12" s="518">
        <v>0</v>
      </c>
      <c r="V12" s="518">
        <v>0</v>
      </c>
      <c r="W12" s="518">
        <v>0</v>
      </c>
      <c r="X12" s="120">
        <f t="shared" si="16"/>
        <v>0</v>
      </c>
      <c r="Y12" s="121">
        <f t="shared" si="17"/>
        <v>0</v>
      </c>
      <c r="Z12" s="1149">
        <f t="shared" si="18"/>
        <v>0</v>
      </c>
      <c r="AA12" s="122">
        <f t="shared" si="19"/>
        <v>0</v>
      </c>
      <c r="AW12" s="191"/>
      <c r="AX12" s="1246">
        <v>6</v>
      </c>
      <c r="AY12" s="1247">
        <f t="shared" si="37"/>
        <v>44779</v>
      </c>
      <c r="AZ12" s="1248" t="str">
        <f>IF(AY12="","",INDEX({"रविवार";"सोमवार";"मंगळवार";"बुधवार";"गुरूवार";"शुक्रवार";"शनिवार"},WEEKDAY(AY12)))</f>
        <v>शनिवार</v>
      </c>
      <c r="BA12" s="1249">
        <f>HLOOKUP(AY3,'दैनिक माहिती'!BF268:BQ299,7,0)</f>
        <v>0</v>
      </c>
      <c r="BB12" s="1250"/>
      <c r="BC12" s="1251">
        <f t="shared" si="20"/>
        <v>0</v>
      </c>
      <c r="BD12" s="1250"/>
      <c r="BE12" s="1251">
        <f>HLOOKUP(AY3,'दैनिक माहिती'!BF231:BQ263,7,0)</f>
        <v>0</v>
      </c>
      <c r="BF12" s="1252">
        <f t="shared" si="21"/>
        <v>0</v>
      </c>
      <c r="BG12" s="1253">
        <f t="shared" si="22"/>
        <v>0</v>
      </c>
      <c r="BH12" s="1253">
        <f t="shared" si="23"/>
        <v>0</v>
      </c>
      <c r="BI12" s="1253">
        <f t="shared" si="24"/>
        <v>0</v>
      </c>
      <c r="BJ12" s="1253">
        <f t="shared" si="25"/>
        <v>0</v>
      </c>
      <c r="BK12" s="1253">
        <f t="shared" si="26"/>
        <v>0</v>
      </c>
      <c r="BL12" s="1253">
        <f t="shared" si="27"/>
        <v>0</v>
      </c>
      <c r="BM12" s="1253">
        <f t="shared" si="28"/>
        <v>0</v>
      </c>
      <c r="BN12" s="1253">
        <f t="shared" si="29"/>
        <v>0</v>
      </c>
      <c r="BO12" s="1253">
        <f t="shared" si="30"/>
        <v>0</v>
      </c>
      <c r="BP12" s="1253">
        <f t="shared" si="31"/>
        <v>0</v>
      </c>
      <c r="BQ12" s="1254">
        <v>0</v>
      </c>
      <c r="BR12" s="1254">
        <v>0</v>
      </c>
      <c r="BS12" s="1254">
        <v>0</v>
      </c>
      <c r="BT12" s="1253">
        <f t="shared" si="32"/>
        <v>0</v>
      </c>
      <c r="BU12" s="1253">
        <f t="shared" si="33"/>
        <v>0</v>
      </c>
      <c r="BV12" s="1253">
        <f t="shared" si="34"/>
        <v>0</v>
      </c>
      <c r="BW12" s="1253">
        <f t="shared" si="35"/>
        <v>0</v>
      </c>
      <c r="BX12" s="40">
        <v>6</v>
      </c>
      <c r="BY12" s="191"/>
    </row>
    <row r="13" spans="2:77" ht="26.25" customHeight="1" x14ac:dyDescent="0.45">
      <c r="B13" s="517">
        <v>7</v>
      </c>
      <c r="C13" s="123">
        <f t="shared" si="36"/>
        <v>44658</v>
      </c>
      <c r="D13" s="124" t="str">
        <f>IF(C13="","",INDEX({"रविवार";"सोमवार";"मंगळवार";"बुधवार";"गुरूवार";"शुक्रवार";"शनिवार"},WEEKDAY(C13)))</f>
        <v>गुरूवार</v>
      </c>
      <c r="E13" s="125">
        <f>HLOOKUP(C3,'दैनिक माहिती'!BF268:BQ299,8,0)</f>
        <v>0</v>
      </c>
      <c r="F13" s="131">
        <f>HLOOKUP(C3,'दैनिक माहिती'!BF303:BQ334,8,0)</f>
        <v>0</v>
      </c>
      <c r="G13" s="126">
        <f t="shared" si="4"/>
        <v>0</v>
      </c>
      <c r="H13" s="131">
        <f>HLOOKUP(C3,'दैनिक माहिती'!BF194:BQ226,8,0)</f>
        <v>0</v>
      </c>
      <c r="I13" s="131">
        <f>HLOOKUP(C3,'दैनिक माहिती'!BF231:BQ263,8,0)</f>
        <v>0</v>
      </c>
      <c r="J13" s="127">
        <f t="shared" si="5"/>
        <v>0</v>
      </c>
      <c r="K13" s="128">
        <f t="shared" si="6"/>
        <v>0</v>
      </c>
      <c r="L13" s="128">
        <f t="shared" si="7"/>
        <v>0</v>
      </c>
      <c r="M13" s="128">
        <f t="shared" si="8"/>
        <v>0</v>
      </c>
      <c r="N13" s="128">
        <f t="shared" si="9"/>
        <v>0</v>
      </c>
      <c r="O13" s="128">
        <f t="shared" si="10"/>
        <v>0</v>
      </c>
      <c r="P13" s="128">
        <f t="shared" si="11"/>
        <v>0</v>
      </c>
      <c r="Q13" s="128">
        <f t="shared" si="12"/>
        <v>0</v>
      </c>
      <c r="R13" s="128">
        <f t="shared" si="13"/>
        <v>0</v>
      </c>
      <c r="S13" s="129">
        <f t="shared" si="14"/>
        <v>0</v>
      </c>
      <c r="T13" s="130">
        <f t="shared" si="15"/>
        <v>0</v>
      </c>
      <c r="U13" s="518">
        <v>0</v>
      </c>
      <c r="V13" s="518">
        <v>0</v>
      </c>
      <c r="W13" s="518">
        <v>0</v>
      </c>
      <c r="X13" s="120">
        <f t="shared" si="16"/>
        <v>0</v>
      </c>
      <c r="Y13" s="121">
        <f t="shared" si="17"/>
        <v>0</v>
      </c>
      <c r="Z13" s="1149">
        <f t="shared" si="18"/>
        <v>0</v>
      </c>
      <c r="AA13" s="122">
        <f t="shared" si="19"/>
        <v>0</v>
      </c>
      <c r="AW13" s="191"/>
      <c r="AX13" s="1246">
        <v>7</v>
      </c>
      <c r="AY13" s="1247">
        <f t="shared" si="37"/>
        <v>44780</v>
      </c>
      <c r="AZ13" s="1248" t="str">
        <f>IF(AY13="","",INDEX({"रविवार";"सोमवार";"मंगळवार";"बुधवार";"गुरूवार";"शुक्रवार";"शनिवार"},WEEKDAY(AY13)))</f>
        <v>रविवार</v>
      </c>
      <c r="BA13" s="1249">
        <f>HLOOKUP(AY3,'दैनिक माहिती'!BF268:BQ299,8,0)</f>
        <v>0</v>
      </c>
      <c r="BB13" s="1250"/>
      <c r="BC13" s="1251">
        <f t="shared" si="20"/>
        <v>0</v>
      </c>
      <c r="BD13" s="1250"/>
      <c r="BE13" s="1251">
        <f>HLOOKUP(AY3,'दैनिक माहिती'!BF231:BQ263,8,0)</f>
        <v>0</v>
      </c>
      <c r="BF13" s="1252">
        <f t="shared" si="21"/>
        <v>0</v>
      </c>
      <c r="BG13" s="1253">
        <f t="shared" si="22"/>
        <v>0</v>
      </c>
      <c r="BH13" s="1253">
        <f t="shared" si="23"/>
        <v>0</v>
      </c>
      <c r="BI13" s="1253">
        <f t="shared" si="24"/>
        <v>0</v>
      </c>
      <c r="BJ13" s="1253">
        <f t="shared" si="25"/>
        <v>0</v>
      </c>
      <c r="BK13" s="1253">
        <f t="shared" si="26"/>
        <v>0</v>
      </c>
      <c r="BL13" s="1253">
        <f t="shared" si="27"/>
        <v>0</v>
      </c>
      <c r="BM13" s="1253">
        <f t="shared" si="28"/>
        <v>0</v>
      </c>
      <c r="BN13" s="1253">
        <f t="shared" si="29"/>
        <v>0</v>
      </c>
      <c r="BO13" s="1253">
        <f t="shared" si="30"/>
        <v>0</v>
      </c>
      <c r="BP13" s="1253">
        <f t="shared" si="31"/>
        <v>0</v>
      </c>
      <c r="BQ13" s="1254">
        <v>0</v>
      </c>
      <c r="BR13" s="1254">
        <v>0</v>
      </c>
      <c r="BS13" s="1254">
        <v>0</v>
      </c>
      <c r="BT13" s="1253">
        <f t="shared" si="32"/>
        <v>0</v>
      </c>
      <c r="BU13" s="1253">
        <f t="shared" si="33"/>
        <v>0</v>
      </c>
      <c r="BV13" s="1253">
        <f t="shared" si="34"/>
        <v>0</v>
      </c>
      <c r="BW13" s="1253">
        <f t="shared" si="35"/>
        <v>0</v>
      </c>
      <c r="BX13" s="40">
        <v>7</v>
      </c>
      <c r="BY13" s="191"/>
    </row>
    <row r="14" spans="2:77" ht="26.25" customHeight="1" x14ac:dyDescent="0.45">
      <c r="B14" s="517">
        <v>8</v>
      </c>
      <c r="C14" s="123">
        <f t="shared" si="36"/>
        <v>44659</v>
      </c>
      <c r="D14" s="124" t="str">
        <f>IF(C14="","",INDEX({"रविवार";"सोमवार";"मंगळवार";"बुधवार";"गुरूवार";"शुक्रवार";"शनिवार"},WEEKDAY(C14)))</f>
        <v>शुक्रवार</v>
      </c>
      <c r="E14" s="125">
        <f>HLOOKUP(C3,'दैनिक माहिती'!BF268:BQ299,9,0)</f>
        <v>0</v>
      </c>
      <c r="F14" s="131">
        <f>HLOOKUP(C3,'दैनिक माहिती'!BF303:BQ334,9,0)</f>
        <v>0</v>
      </c>
      <c r="G14" s="126">
        <f t="shared" si="4"/>
        <v>0</v>
      </c>
      <c r="H14" s="131">
        <f>HLOOKUP(C3,'दैनिक माहिती'!BF194:BQ226,9,0)</f>
        <v>0</v>
      </c>
      <c r="I14" s="131">
        <f>HLOOKUP(C3,'दैनिक माहिती'!BF231:BQ263,9,0)</f>
        <v>0</v>
      </c>
      <c r="J14" s="127">
        <f t="shared" si="5"/>
        <v>0</v>
      </c>
      <c r="K14" s="128">
        <f t="shared" si="6"/>
        <v>0</v>
      </c>
      <c r="L14" s="128">
        <f t="shared" si="7"/>
        <v>0</v>
      </c>
      <c r="M14" s="128">
        <f t="shared" si="8"/>
        <v>0</v>
      </c>
      <c r="N14" s="128">
        <f t="shared" si="9"/>
        <v>0</v>
      </c>
      <c r="O14" s="128">
        <f t="shared" si="10"/>
        <v>0</v>
      </c>
      <c r="P14" s="128">
        <f t="shared" si="11"/>
        <v>0</v>
      </c>
      <c r="Q14" s="128">
        <f t="shared" si="12"/>
        <v>0</v>
      </c>
      <c r="R14" s="128">
        <f t="shared" si="13"/>
        <v>0</v>
      </c>
      <c r="S14" s="129">
        <f t="shared" si="14"/>
        <v>0</v>
      </c>
      <c r="T14" s="130">
        <f t="shared" si="15"/>
        <v>0</v>
      </c>
      <c r="U14" s="518">
        <v>0</v>
      </c>
      <c r="V14" s="518">
        <v>0</v>
      </c>
      <c r="W14" s="518">
        <v>0</v>
      </c>
      <c r="X14" s="120">
        <f t="shared" si="16"/>
        <v>0</v>
      </c>
      <c r="Y14" s="121">
        <f t="shared" si="17"/>
        <v>0</v>
      </c>
      <c r="Z14" s="1149">
        <f t="shared" si="18"/>
        <v>0</v>
      </c>
      <c r="AA14" s="122">
        <f t="shared" si="19"/>
        <v>0</v>
      </c>
      <c r="AW14" s="191"/>
      <c r="AX14" s="1246">
        <v>8</v>
      </c>
      <c r="AY14" s="1247">
        <f t="shared" si="37"/>
        <v>44781</v>
      </c>
      <c r="AZ14" s="1248" t="str">
        <f>IF(AY14="","",INDEX({"रविवार";"सोमवार";"मंगळवार";"बुधवार";"गुरूवार";"शुक्रवार";"शनिवार"},WEEKDAY(AY14)))</f>
        <v>सोमवार</v>
      </c>
      <c r="BA14" s="1249">
        <f>HLOOKUP(AY3,'दैनिक माहिती'!BF268:BQ299,9,0)</f>
        <v>0</v>
      </c>
      <c r="BB14" s="1250"/>
      <c r="BC14" s="1251">
        <f t="shared" si="20"/>
        <v>0</v>
      </c>
      <c r="BD14" s="1250"/>
      <c r="BE14" s="1251">
        <f>HLOOKUP(AY3,'दैनिक माहिती'!BF231:BQ263,9,0)</f>
        <v>0</v>
      </c>
      <c r="BF14" s="1252">
        <f t="shared" si="21"/>
        <v>0</v>
      </c>
      <c r="BG14" s="1253">
        <f t="shared" si="22"/>
        <v>0</v>
      </c>
      <c r="BH14" s="1253">
        <f t="shared" si="23"/>
        <v>0</v>
      </c>
      <c r="BI14" s="1253">
        <f t="shared" si="24"/>
        <v>0</v>
      </c>
      <c r="BJ14" s="1253">
        <f t="shared" si="25"/>
        <v>0</v>
      </c>
      <c r="BK14" s="1253">
        <f t="shared" si="26"/>
        <v>0</v>
      </c>
      <c r="BL14" s="1253">
        <f t="shared" si="27"/>
        <v>0</v>
      </c>
      <c r="BM14" s="1253">
        <f t="shared" si="28"/>
        <v>0</v>
      </c>
      <c r="BN14" s="1253">
        <f t="shared" si="29"/>
        <v>0</v>
      </c>
      <c r="BO14" s="1253">
        <f t="shared" si="30"/>
        <v>0</v>
      </c>
      <c r="BP14" s="1253">
        <f t="shared" si="31"/>
        <v>0</v>
      </c>
      <c r="BQ14" s="1254">
        <v>0</v>
      </c>
      <c r="BR14" s="1254">
        <v>0</v>
      </c>
      <c r="BS14" s="1254">
        <v>0</v>
      </c>
      <c r="BT14" s="1253">
        <f t="shared" si="32"/>
        <v>0</v>
      </c>
      <c r="BU14" s="1253">
        <f t="shared" si="33"/>
        <v>0</v>
      </c>
      <c r="BV14" s="1253">
        <f t="shared" si="34"/>
        <v>0</v>
      </c>
      <c r="BW14" s="1253">
        <f t="shared" si="35"/>
        <v>0</v>
      </c>
      <c r="BX14" s="40">
        <v>8</v>
      </c>
      <c r="BY14" s="191"/>
    </row>
    <row r="15" spans="2:77" ht="26.25" customHeight="1" x14ac:dyDescent="0.45">
      <c r="B15" s="517">
        <v>9</v>
      </c>
      <c r="C15" s="123">
        <f t="shared" si="36"/>
        <v>44660</v>
      </c>
      <c r="D15" s="124" t="str">
        <f>IF(C15="","",INDEX({"रविवार";"सोमवार";"मंगळवार";"बुधवार";"गुरूवार";"शुक्रवार";"शनिवार"},WEEKDAY(C15)))</f>
        <v>शनिवार</v>
      </c>
      <c r="E15" s="125">
        <f>HLOOKUP(C3,'दैनिक माहिती'!BF268:BQ299,10,0)</f>
        <v>0</v>
      </c>
      <c r="F15" s="131">
        <f>HLOOKUP(C3,'दैनिक माहिती'!BF303:BQ334,10,0)</f>
        <v>0</v>
      </c>
      <c r="G15" s="126">
        <f t="shared" si="4"/>
        <v>0</v>
      </c>
      <c r="H15" s="131">
        <f>HLOOKUP(C3,'दैनिक माहिती'!BF194:BQ226,10,0)</f>
        <v>0</v>
      </c>
      <c r="I15" s="131">
        <f>HLOOKUP(C3,'दैनिक माहिती'!BF231:BQ263,10,0)</f>
        <v>0</v>
      </c>
      <c r="J15" s="127">
        <f t="shared" si="5"/>
        <v>0</v>
      </c>
      <c r="K15" s="128">
        <f t="shared" si="6"/>
        <v>0</v>
      </c>
      <c r="L15" s="128">
        <f t="shared" si="7"/>
        <v>0</v>
      </c>
      <c r="M15" s="128">
        <f t="shared" si="8"/>
        <v>0</v>
      </c>
      <c r="N15" s="128">
        <f t="shared" si="9"/>
        <v>0</v>
      </c>
      <c r="O15" s="128">
        <f t="shared" si="10"/>
        <v>0</v>
      </c>
      <c r="P15" s="128">
        <f t="shared" si="11"/>
        <v>0</v>
      </c>
      <c r="Q15" s="128">
        <f t="shared" si="12"/>
        <v>0</v>
      </c>
      <c r="R15" s="128">
        <f t="shared" si="13"/>
        <v>0</v>
      </c>
      <c r="S15" s="129">
        <f t="shared" si="14"/>
        <v>0</v>
      </c>
      <c r="T15" s="518">
        <v>0</v>
      </c>
      <c r="U15" s="130">
        <f>IF(G15=$G$2,$X$43/$G$38,0)</f>
        <v>0</v>
      </c>
      <c r="V15" s="518">
        <v>0</v>
      </c>
      <c r="W15" s="518">
        <v>0</v>
      </c>
      <c r="X15" s="120">
        <f t="shared" si="16"/>
        <v>0</v>
      </c>
      <c r="Y15" s="121">
        <f t="shared" si="17"/>
        <v>0</v>
      </c>
      <c r="Z15" s="1149">
        <f t="shared" si="18"/>
        <v>0</v>
      </c>
      <c r="AA15" s="122">
        <f t="shared" si="19"/>
        <v>0</v>
      </c>
      <c r="AW15" s="191"/>
      <c r="AX15" s="1246">
        <v>9</v>
      </c>
      <c r="AY15" s="1247">
        <f t="shared" si="37"/>
        <v>44782</v>
      </c>
      <c r="AZ15" s="1248" t="str">
        <f>IF(AY15="","",INDEX({"रविवार";"सोमवार";"मंगळवार";"बुधवार";"गुरूवार";"शुक्रवार";"शनिवार"},WEEKDAY(AY15)))</f>
        <v>मंगळवार</v>
      </c>
      <c r="BA15" s="1249">
        <f>HLOOKUP(AY3,'दैनिक माहिती'!BF268:BQ299,10,0)</f>
        <v>0</v>
      </c>
      <c r="BB15" s="1250"/>
      <c r="BC15" s="1251">
        <f t="shared" si="20"/>
        <v>0</v>
      </c>
      <c r="BD15" s="1250"/>
      <c r="BE15" s="1251">
        <f>HLOOKUP(AY3,'दैनिक माहिती'!BF231:BQ263,10,0)</f>
        <v>0</v>
      </c>
      <c r="BF15" s="1252">
        <f t="shared" si="21"/>
        <v>0</v>
      </c>
      <c r="BG15" s="1253">
        <f t="shared" si="22"/>
        <v>0</v>
      </c>
      <c r="BH15" s="1253">
        <f t="shared" si="23"/>
        <v>0</v>
      </c>
      <c r="BI15" s="1253">
        <f t="shared" si="24"/>
        <v>0</v>
      </c>
      <c r="BJ15" s="1253">
        <f t="shared" si="25"/>
        <v>0</v>
      </c>
      <c r="BK15" s="1253">
        <f t="shared" si="26"/>
        <v>0</v>
      </c>
      <c r="BL15" s="1253">
        <f t="shared" si="27"/>
        <v>0</v>
      </c>
      <c r="BM15" s="1253">
        <f t="shared" si="28"/>
        <v>0</v>
      </c>
      <c r="BN15" s="1253">
        <f t="shared" si="29"/>
        <v>0</v>
      </c>
      <c r="BO15" s="1253">
        <f t="shared" si="30"/>
        <v>0</v>
      </c>
      <c r="BP15" s="1254">
        <v>0</v>
      </c>
      <c r="BQ15" s="1253">
        <f>IF(BC15=$BC$2,$BT$43/$BC$38,0)</f>
        <v>0</v>
      </c>
      <c r="BR15" s="1254">
        <v>0</v>
      </c>
      <c r="BS15" s="1254">
        <v>0</v>
      </c>
      <c r="BT15" s="1253">
        <f t="shared" si="32"/>
        <v>0</v>
      </c>
      <c r="BU15" s="1253">
        <f t="shared" si="33"/>
        <v>0</v>
      </c>
      <c r="BV15" s="1253">
        <f t="shared" si="34"/>
        <v>0</v>
      </c>
      <c r="BW15" s="1253">
        <f t="shared" si="35"/>
        <v>0</v>
      </c>
      <c r="BX15" s="40">
        <v>9</v>
      </c>
      <c r="BY15" s="191"/>
    </row>
    <row r="16" spans="2:77" ht="26.25" customHeight="1" x14ac:dyDescent="0.45">
      <c r="B16" s="517">
        <v>10</v>
      </c>
      <c r="C16" s="123">
        <f t="shared" si="36"/>
        <v>44661</v>
      </c>
      <c r="D16" s="124" t="str">
        <f>IF(C16="","",INDEX({"रविवार";"सोमवार";"मंगळवार";"बुधवार";"गुरूवार";"शुक्रवार";"शनिवार"},WEEKDAY(C16)))</f>
        <v>रविवार</v>
      </c>
      <c r="E16" s="125">
        <f>HLOOKUP(C3,'दैनिक माहिती'!BF268:BQ299,11,0)</f>
        <v>0</v>
      </c>
      <c r="F16" s="131">
        <f>HLOOKUP(C3,'दैनिक माहिती'!BF303:BQ334,11,0)</f>
        <v>0</v>
      </c>
      <c r="G16" s="126">
        <f t="shared" si="4"/>
        <v>0</v>
      </c>
      <c r="H16" s="131">
        <f>HLOOKUP(C3,'दैनिक माहिती'!BF194:BQ226,11,0)</f>
        <v>0</v>
      </c>
      <c r="I16" s="131">
        <f>HLOOKUP(C3,'दैनिक माहिती'!BF231:BQ263,11,0)</f>
        <v>0</v>
      </c>
      <c r="J16" s="127">
        <f t="shared" si="5"/>
        <v>0</v>
      </c>
      <c r="K16" s="128">
        <f t="shared" si="6"/>
        <v>0</v>
      </c>
      <c r="L16" s="128">
        <f t="shared" si="7"/>
        <v>0</v>
      </c>
      <c r="M16" s="128">
        <f t="shared" si="8"/>
        <v>0</v>
      </c>
      <c r="N16" s="128">
        <f t="shared" si="9"/>
        <v>0</v>
      </c>
      <c r="O16" s="128">
        <f t="shared" si="10"/>
        <v>0</v>
      </c>
      <c r="P16" s="128">
        <f t="shared" si="11"/>
        <v>0</v>
      </c>
      <c r="Q16" s="128">
        <f t="shared" si="12"/>
        <v>0</v>
      </c>
      <c r="R16" s="128">
        <f t="shared" si="13"/>
        <v>0</v>
      </c>
      <c r="S16" s="129">
        <f t="shared" si="14"/>
        <v>0</v>
      </c>
      <c r="T16" s="518">
        <v>0</v>
      </c>
      <c r="U16" s="130">
        <f t="shared" ref="U16:U22" si="38">IF(G16=$G$2,$X$43/$G$38,0)</f>
        <v>0</v>
      </c>
      <c r="V16" s="518">
        <v>0</v>
      </c>
      <c r="W16" s="518">
        <v>0</v>
      </c>
      <c r="X16" s="120">
        <f t="shared" si="16"/>
        <v>0</v>
      </c>
      <c r="Y16" s="121">
        <f t="shared" si="17"/>
        <v>0</v>
      </c>
      <c r="Z16" s="1149">
        <f t="shared" si="18"/>
        <v>0</v>
      </c>
      <c r="AA16" s="122">
        <f t="shared" si="19"/>
        <v>0</v>
      </c>
      <c r="AW16" s="191"/>
      <c r="AX16" s="1246">
        <v>10</v>
      </c>
      <c r="AY16" s="1247">
        <f t="shared" si="37"/>
        <v>44783</v>
      </c>
      <c r="AZ16" s="1248" t="str">
        <f>IF(AY16="","",INDEX({"रविवार";"सोमवार";"मंगळवार";"बुधवार";"गुरूवार";"शुक्रवार";"शनिवार"},WEEKDAY(AY16)))</f>
        <v>बुधवार</v>
      </c>
      <c r="BA16" s="1249">
        <f>HLOOKUP(AY3,'दैनिक माहिती'!BF268:BQ299,11,0)</f>
        <v>0</v>
      </c>
      <c r="BB16" s="1250"/>
      <c r="BC16" s="1251">
        <f t="shared" si="20"/>
        <v>0</v>
      </c>
      <c r="BD16" s="1250"/>
      <c r="BE16" s="1251">
        <f>HLOOKUP(AY3,'दैनिक माहिती'!BF231:BQ263,11,0)</f>
        <v>0</v>
      </c>
      <c r="BF16" s="1252">
        <f t="shared" si="21"/>
        <v>0</v>
      </c>
      <c r="BG16" s="1253">
        <f t="shared" si="22"/>
        <v>0</v>
      </c>
      <c r="BH16" s="1253">
        <f t="shared" si="23"/>
        <v>0</v>
      </c>
      <c r="BI16" s="1253">
        <f t="shared" si="24"/>
        <v>0</v>
      </c>
      <c r="BJ16" s="1253">
        <f t="shared" si="25"/>
        <v>0</v>
      </c>
      <c r="BK16" s="1253">
        <f t="shared" si="26"/>
        <v>0</v>
      </c>
      <c r="BL16" s="1253">
        <f t="shared" si="27"/>
        <v>0</v>
      </c>
      <c r="BM16" s="1253">
        <f t="shared" si="28"/>
        <v>0</v>
      </c>
      <c r="BN16" s="1253">
        <f t="shared" si="29"/>
        <v>0</v>
      </c>
      <c r="BO16" s="1253">
        <f t="shared" si="30"/>
        <v>0</v>
      </c>
      <c r="BP16" s="1254">
        <v>0</v>
      </c>
      <c r="BQ16" s="1253">
        <f t="shared" ref="BQ16:BQ22" si="39">IF(BC16=$BC$2,$BT$43/$BC$38,0)</f>
        <v>0</v>
      </c>
      <c r="BR16" s="1254">
        <v>0</v>
      </c>
      <c r="BS16" s="1254">
        <v>0</v>
      </c>
      <c r="BT16" s="1253">
        <f t="shared" si="32"/>
        <v>0</v>
      </c>
      <c r="BU16" s="1253">
        <f t="shared" si="33"/>
        <v>0</v>
      </c>
      <c r="BV16" s="1253">
        <f t="shared" si="34"/>
        <v>0</v>
      </c>
      <c r="BW16" s="1253">
        <f t="shared" si="35"/>
        <v>0</v>
      </c>
      <c r="BX16" s="40">
        <v>10</v>
      </c>
      <c r="BY16" s="191"/>
    </row>
    <row r="17" spans="2:77" ht="26.25" customHeight="1" x14ac:dyDescent="0.45">
      <c r="B17" s="517">
        <v>11</v>
      </c>
      <c r="C17" s="123">
        <f t="shared" si="36"/>
        <v>44662</v>
      </c>
      <c r="D17" s="124" t="str">
        <f>IF(C17="","",INDEX({"रविवार";"सोमवार";"मंगळवार";"बुधवार";"गुरूवार";"शुक्रवार";"शनिवार"},WEEKDAY(C17)))</f>
        <v>सोमवार</v>
      </c>
      <c r="E17" s="125">
        <f>HLOOKUP(C3,'दैनिक माहिती'!BF268:BQ299,12,0)</f>
        <v>0</v>
      </c>
      <c r="F17" s="131">
        <f>HLOOKUP(C3,'दैनिक माहिती'!BF303:BQ334,12,0)</f>
        <v>0</v>
      </c>
      <c r="G17" s="126">
        <f t="shared" si="4"/>
        <v>0</v>
      </c>
      <c r="H17" s="131">
        <f>HLOOKUP(C3,'दैनिक माहिती'!BF194:BQ226,12,0)</f>
        <v>0</v>
      </c>
      <c r="I17" s="131">
        <f>HLOOKUP(C3,'दैनिक माहिती'!BF231:BQ263,12,0)</f>
        <v>0</v>
      </c>
      <c r="J17" s="127">
        <f t="shared" si="5"/>
        <v>0</v>
      </c>
      <c r="K17" s="128">
        <f t="shared" si="6"/>
        <v>0</v>
      </c>
      <c r="L17" s="128">
        <f t="shared" si="7"/>
        <v>0</v>
      </c>
      <c r="M17" s="128">
        <f t="shared" si="8"/>
        <v>0</v>
      </c>
      <c r="N17" s="128">
        <f t="shared" si="9"/>
        <v>0</v>
      </c>
      <c r="O17" s="128">
        <f t="shared" si="10"/>
        <v>0</v>
      </c>
      <c r="P17" s="128">
        <f t="shared" si="11"/>
        <v>0</v>
      </c>
      <c r="Q17" s="128">
        <f t="shared" si="12"/>
        <v>0</v>
      </c>
      <c r="R17" s="128">
        <f t="shared" si="13"/>
        <v>0</v>
      </c>
      <c r="S17" s="129">
        <f t="shared" si="14"/>
        <v>0</v>
      </c>
      <c r="T17" s="518">
        <v>0</v>
      </c>
      <c r="U17" s="130">
        <f t="shared" si="38"/>
        <v>0</v>
      </c>
      <c r="V17" s="518">
        <v>0</v>
      </c>
      <c r="W17" s="518">
        <v>0</v>
      </c>
      <c r="X17" s="120">
        <f t="shared" si="16"/>
        <v>0</v>
      </c>
      <c r="Y17" s="121">
        <f t="shared" si="17"/>
        <v>0</v>
      </c>
      <c r="Z17" s="1149">
        <f t="shared" si="18"/>
        <v>0</v>
      </c>
      <c r="AA17" s="122">
        <f t="shared" si="19"/>
        <v>0</v>
      </c>
      <c r="AW17" s="191"/>
      <c r="AX17" s="1246">
        <v>11</v>
      </c>
      <c r="AY17" s="1247">
        <f t="shared" si="37"/>
        <v>44784</v>
      </c>
      <c r="AZ17" s="1248" t="str">
        <f>IF(AY17="","",INDEX({"रविवार";"सोमवार";"मंगळवार";"बुधवार";"गुरूवार";"शुक्रवार";"शनिवार"},WEEKDAY(AY17)))</f>
        <v>गुरूवार</v>
      </c>
      <c r="BA17" s="1249">
        <f>HLOOKUP(AY3,'दैनिक माहिती'!BF268:BQ299,12,0)</f>
        <v>0</v>
      </c>
      <c r="BB17" s="1250"/>
      <c r="BC17" s="1251">
        <f t="shared" si="20"/>
        <v>0</v>
      </c>
      <c r="BD17" s="1250"/>
      <c r="BE17" s="1251">
        <f>HLOOKUP(AY3,'दैनिक माहिती'!BF231:BQ263,12,0)</f>
        <v>0</v>
      </c>
      <c r="BF17" s="1252">
        <f t="shared" si="21"/>
        <v>0</v>
      </c>
      <c r="BG17" s="1253">
        <f t="shared" si="22"/>
        <v>0</v>
      </c>
      <c r="BH17" s="1253">
        <f t="shared" si="23"/>
        <v>0</v>
      </c>
      <c r="BI17" s="1253">
        <f t="shared" si="24"/>
        <v>0</v>
      </c>
      <c r="BJ17" s="1253">
        <f t="shared" si="25"/>
        <v>0</v>
      </c>
      <c r="BK17" s="1253">
        <f t="shared" si="26"/>
        <v>0</v>
      </c>
      <c r="BL17" s="1253">
        <f t="shared" si="27"/>
        <v>0</v>
      </c>
      <c r="BM17" s="1253">
        <f t="shared" si="28"/>
        <v>0</v>
      </c>
      <c r="BN17" s="1253">
        <f t="shared" si="29"/>
        <v>0</v>
      </c>
      <c r="BO17" s="1253">
        <f t="shared" si="30"/>
        <v>0</v>
      </c>
      <c r="BP17" s="1254">
        <v>0</v>
      </c>
      <c r="BQ17" s="1253">
        <f t="shared" si="39"/>
        <v>0</v>
      </c>
      <c r="BR17" s="1254">
        <v>0</v>
      </c>
      <c r="BS17" s="1254">
        <v>0</v>
      </c>
      <c r="BT17" s="1253">
        <f t="shared" si="32"/>
        <v>0</v>
      </c>
      <c r="BU17" s="1253">
        <f t="shared" si="33"/>
        <v>0</v>
      </c>
      <c r="BV17" s="1253">
        <f t="shared" si="34"/>
        <v>0</v>
      </c>
      <c r="BW17" s="1253">
        <f t="shared" si="35"/>
        <v>0</v>
      </c>
      <c r="BX17" s="40">
        <v>11</v>
      </c>
      <c r="BY17" s="191"/>
    </row>
    <row r="18" spans="2:77" ht="26.25" customHeight="1" x14ac:dyDescent="0.45">
      <c r="B18" s="517">
        <v>12</v>
      </c>
      <c r="C18" s="123">
        <f t="shared" si="36"/>
        <v>44663</v>
      </c>
      <c r="D18" s="124" t="str">
        <f>IF(C18="","",INDEX({"रविवार";"सोमवार";"मंगळवार";"बुधवार";"गुरूवार";"शुक्रवार";"शनिवार"},WEEKDAY(C18)))</f>
        <v>मंगळवार</v>
      </c>
      <c r="E18" s="125">
        <f>HLOOKUP(C3,'दैनिक माहिती'!BF268:BQ299,13,0)</f>
        <v>0</v>
      </c>
      <c r="F18" s="131">
        <f>HLOOKUP(C3,'दैनिक माहिती'!BF303:BQ334,13,0)</f>
        <v>0</v>
      </c>
      <c r="G18" s="126">
        <f t="shared" si="4"/>
        <v>0</v>
      </c>
      <c r="H18" s="131">
        <f>HLOOKUP(C3,'दैनिक माहिती'!BF194:BQ226,13,0)</f>
        <v>0</v>
      </c>
      <c r="I18" s="131">
        <f>HLOOKUP(C3,'दैनिक माहिती'!BF231:BQ263,13,0)</f>
        <v>0</v>
      </c>
      <c r="J18" s="127">
        <f t="shared" si="5"/>
        <v>0</v>
      </c>
      <c r="K18" s="128">
        <f t="shared" si="6"/>
        <v>0</v>
      </c>
      <c r="L18" s="128">
        <f t="shared" si="7"/>
        <v>0</v>
      </c>
      <c r="M18" s="128">
        <f t="shared" si="8"/>
        <v>0</v>
      </c>
      <c r="N18" s="128">
        <f t="shared" si="9"/>
        <v>0</v>
      </c>
      <c r="O18" s="128">
        <f t="shared" si="10"/>
        <v>0</v>
      </c>
      <c r="P18" s="128">
        <f t="shared" si="11"/>
        <v>0</v>
      </c>
      <c r="Q18" s="128">
        <f t="shared" si="12"/>
        <v>0</v>
      </c>
      <c r="R18" s="128">
        <f t="shared" si="13"/>
        <v>0</v>
      </c>
      <c r="S18" s="129">
        <f t="shared" si="14"/>
        <v>0</v>
      </c>
      <c r="T18" s="518">
        <v>0</v>
      </c>
      <c r="U18" s="130">
        <f t="shared" si="38"/>
        <v>0</v>
      </c>
      <c r="V18" s="518">
        <v>0</v>
      </c>
      <c r="W18" s="518">
        <v>0</v>
      </c>
      <c r="X18" s="120">
        <f t="shared" si="16"/>
        <v>0</v>
      </c>
      <c r="Y18" s="121">
        <f t="shared" si="17"/>
        <v>0</v>
      </c>
      <c r="Z18" s="1149">
        <f t="shared" si="18"/>
        <v>0</v>
      </c>
      <c r="AA18" s="122">
        <f t="shared" si="19"/>
        <v>0</v>
      </c>
      <c r="AW18" s="191"/>
      <c r="AX18" s="1246">
        <v>12</v>
      </c>
      <c r="AY18" s="1247">
        <f t="shared" si="37"/>
        <v>44785</v>
      </c>
      <c r="AZ18" s="1248" t="str">
        <f>IF(AY18="","",INDEX({"रविवार";"सोमवार";"मंगळवार";"बुधवार";"गुरूवार";"शुक्रवार";"शनिवार"},WEEKDAY(AY18)))</f>
        <v>शुक्रवार</v>
      </c>
      <c r="BA18" s="1249">
        <f>HLOOKUP(AY3,'दैनिक माहिती'!BF268:BQ299,12,0)</f>
        <v>0</v>
      </c>
      <c r="BB18" s="1250"/>
      <c r="BC18" s="1251">
        <f t="shared" si="20"/>
        <v>0</v>
      </c>
      <c r="BD18" s="1250"/>
      <c r="BE18" s="1251">
        <f>HLOOKUP(AY3,'दैनिक माहिती'!BF231:BQ263,13,0)</f>
        <v>0</v>
      </c>
      <c r="BF18" s="1252">
        <f t="shared" si="21"/>
        <v>0</v>
      </c>
      <c r="BG18" s="1253">
        <f t="shared" si="22"/>
        <v>0</v>
      </c>
      <c r="BH18" s="1253">
        <f t="shared" si="23"/>
        <v>0</v>
      </c>
      <c r="BI18" s="1253">
        <f t="shared" si="24"/>
        <v>0</v>
      </c>
      <c r="BJ18" s="1253">
        <f t="shared" si="25"/>
        <v>0</v>
      </c>
      <c r="BK18" s="1253">
        <f t="shared" si="26"/>
        <v>0</v>
      </c>
      <c r="BL18" s="1253">
        <f t="shared" si="27"/>
        <v>0</v>
      </c>
      <c r="BM18" s="1253">
        <f t="shared" si="28"/>
        <v>0</v>
      </c>
      <c r="BN18" s="1253">
        <f t="shared" si="29"/>
        <v>0</v>
      </c>
      <c r="BO18" s="1253">
        <f t="shared" si="30"/>
        <v>0</v>
      </c>
      <c r="BP18" s="1254">
        <v>0</v>
      </c>
      <c r="BQ18" s="1253">
        <f t="shared" si="39"/>
        <v>0</v>
      </c>
      <c r="BR18" s="1254">
        <v>0</v>
      </c>
      <c r="BS18" s="1254">
        <v>0</v>
      </c>
      <c r="BT18" s="1253">
        <f t="shared" si="32"/>
        <v>0</v>
      </c>
      <c r="BU18" s="1253">
        <f t="shared" si="33"/>
        <v>0</v>
      </c>
      <c r="BV18" s="1253">
        <f t="shared" si="34"/>
        <v>0</v>
      </c>
      <c r="BW18" s="1253">
        <f t="shared" si="35"/>
        <v>0</v>
      </c>
      <c r="BX18" s="40">
        <v>12</v>
      </c>
      <c r="BY18" s="191"/>
    </row>
    <row r="19" spans="2:77" ht="26.25" customHeight="1" x14ac:dyDescent="0.45">
      <c r="B19" s="517">
        <v>13</v>
      </c>
      <c r="C19" s="123">
        <f t="shared" si="36"/>
        <v>44664</v>
      </c>
      <c r="D19" s="124" t="str">
        <f>IF(C19="","",INDEX({"रविवार";"सोमवार";"मंगळवार";"बुधवार";"गुरूवार";"शुक्रवार";"शनिवार"},WEEKDAY(C19)))</f>
        <v>बुधवार</v>
      </c>
      <c r="E19" s="125">
        <f>HLOOKUP(C3,'दैनिक माहिती'!BF268:BQ299,14,0)</f>
        <v>0</v>
      </c>
      <c r="F19" s="131">
        <f>HLOOKUP(C3,'दैनिक माहिती'!BF303:BQ334,14,0)</f>
        <v>0</v>
      </c>
      <c r="G19" s="126">
        <f t="shared" si="4"/>
        <v>0</v>
      </c>
      <c r="H19" s="131">
        <f>HLOOKUP(C3,'दैनिक माहिती'!BF194:BQ226,14,0)</f>
        <v>0</v>
      </c>
      <c r="I19" s="131">
        <f>HLOOKUP(C3,'दैनिक माहिती'!BF231:BQ263,14,0)</f>
        <v>0</v>
      </c>
      <c r="J19" s="127">
        <f t="shared" si="5"/>
        <v>0</v>
      </c>
      <c r="K19" s="128">
        <f t="shared" si="6"/>
        <v>0</v>
      </c>
      <c r="L19" s="128">
        <f t="shared" si="7"/>
        <v>0</v>
      </c>
      <c r="M19" s="128">
        <f t="shared" si="8"/>
        <v>0</v>
      </c>
      <c r="N19" s="128">
        <f t="shared" si="9"/>
        <v>0</v>
      </c>
      <c r="O19" s="128">
        <f t="shared" si="10"/>
        <v>0</v>
      </c>
      <c r="P19" s="128">
        <f t="shared" si="11"/>
        <v>0</v>
      </c>
      <c r="Q19" s="128">
        <f t="shared" si="12"/>
        <v>0</v>
      </c>
      <c r="R19" s="128">
        <f t="shared" si="13"/>
        <v>0</v>
      </c>
      <c r="S19" s="129">
        <f t="shared" si="14"/>
        <v>0</v>
      </c>
      <c r="T19" s="518">
        <v>0</v>
      </c>
      <c r="U19" s="130">
        <f t="shared" si="38"/>
        <v>0</v>
      </c>
      <c r="V19" s="518">
        <v>0</v>
      </c>
      <c r="W19" s="518">
        <v>0</v>
      </c>
      <c r="X19" s="120">
        <f t="shared" si="16"/>
        <v>0</v>
      </c>
      <c r="Y19" s="121">
        <f t="shared" si="17"/>
        <v>0</v>
      </c>
      <c r="Z19" s="1149">
        <f t="shared" si="18"/>
        <v>0</v>
      </c>
      <c r="AA19" s="122">
        <f t="shared" si="19"/>
        <v>0</v>
      </c>
      <c r="AW19" s="191"/>
      <c r="AX19" s="1246">
        <v>13</v>
      </c>
      <c r="AY19" s="1247">
        <f t="shared" si="37"/>
        <v>44786</v>
      </c>
      <c r="AZ19" s="1248" t="str">
        <f>IF(AY19="","",INDEX({"रविवार";"सोमवार";"मंगळवार";"बुधवार";"गुरूवार";"शुक्रवार";"शनिवार"},WEEKDAY(AY19)))</f>
        <v>शनिवार</v>
      </c>
      <c r="BA19" s="1249">
        <f>HLOOKUP(AY3,'दैनिक माहिती'!BF268:BQ299,14,0)</f>
        <v>0</v>
      </c>
      <c r="BB19" s="1250"/>
      <c r="BC19" s="1251">
        <f t="shared" si="20"/>
        <v>0</v>
      </c>
      <c r="BD19" s="1250"/>
      <c r="BE19" s="1251">
        <f>HLOOKUP(AY3,'दैनिक माहिती'!BF231:BQ263,14,0)</f>
        <v>0</v>
      </c>
      <c r="BF19" s="1252">
        <f t="shared" si="21"/>
        <v>0</v>
      </c>
      <c r="BG19" s="1253">
        <f t="shared" si="22"/>
        <v>0</v>
      </c>
      <c r="BH19" s="1253">
        <f t="shared" si="23"/>
        <v>0</v>
      </c>
      <c r="BI19" s="1253">
        <f t="shared" si="24"/>
        <v>0</v>
      </c>
      <c r="BJ19" s="1253">
        <f t="shared" si="25"/>
        <v>0</v>
      </c>
      <c r="BK19" s="1253">
        <f t="shared" si="26"/>
        <v>0</v>
      </c>
      <c r="BL19" s="1253">
        <f t="shared" si="27"/>
        <v>0</v>
      </c>
      <c r="BM19" s="1253">
        <f t="shared" si="28"/>
        <v>0</v>
      </c>
      <c r="BN19" s="1253">
        <f t="shared" si="29"/>
        <v>0</v>
      </c>
      <c r="BO19" s="1253">
        <f t="shared" si="30"/>
        <v>0</v>
      </c>
      <c r="BP19" s="1254">
        <v>0</v>
      </c>
      <c r="BQ19" s="1253">
        <f t="shared" si="39"/>
        <v>0</v>
      </c>
      <c r="BR19" s="1254">
        <v>0</v>
      </c>
      <c r="BS19" s="1254">
        <v>0</v>
      </c>
      <c r="BT19" s="1253">
        <f t="shared" si="32"/>
        <v>0</v>
      </c>
      <c r="BU19" s="1253">
        <f t="shared" si="33"/>
        <v>0</v>
      </c>
      <c r="BV19" s="1253">
        <f t="shared" si="34"/>
        <v>0</v>
      </c>
      <c r="BW19" s="1253">
        <f t="shared" si="35"/>
        <v>0</v>
      </c>
      <c r="BX19" s="40">
        <v>13</v>
      </c>
      <c r="BY19" s="191"/>
    </row>
    <row r="20" spans="2:77" ht="26.25" customHeight="1" x14ac:dyDescent="0.45">
      <c r="B20" s="517">
        <v>14</v>
      </c>
      <c r="C20" s="123">
        <f t="shared" si="36"/>
        <v>44665</v>
      </c>
      <c r="D20" s="124" t="str">
        <f>IF(C20="","",INDEX({"रविवार";"सोमवार";"मंगळवार";"बुधवार";"गुरूवार";"शुक्रवार";"शनिवार"},WEEKDAY(C20)))</f>
        <v>गुरूवार</v>
      </c>
      <c r="E20" s="125">
        <f>HLOOKUP(C3,'दैनिक माहिती'!BF268:BQ299,15,0)</f>
        <v>0</v>
      </c>
      <c r="F20" s="131">
        <f>HLOOKUP(C3,'दैनिक माहिती'!BF303:BQ334,15,0)</f>
        <v>0</v>
      </c>
      <c r="G20" s="126">
        <f t="shared" si="4"/>
        <v>0</v>
      </c>
      <c r="H20" s="131">
        <f>HLOOKUP(C3,'दैनिक माहिती'!BF194:BQ226,15,0)</f>
        <v>0</v>
      </c>
      <c r="I20" s="131">
        <f>HLOOKUP(C3,'दैनिक माहिती'!BF231:BQ263,15,0)</f>
        <v>0</v>
      </c>
      <c r="J20" s="127">
        <f t="shared" si="5"/>
        <v>0</v>
      </c>
      <c r="K20" s="128">
        <f t="shared" si="6"/>
        <v>0</v>
      </c>
      <c r="L20" s="128">
        <f t="shared" si="7"/>
        <v>0</v>
      </c>
      <c r="M20" s="128">
        <f t="shared" si="8"/>
        <v>0</v>
      </c>
      <c r="N20" s="128">
        <f t="shared" si="9"/>
        <v>0</v>
      </c>
      <c r="O20" s="128">
        <f t="shared" si="10"/>
        <v>0</v>
      </c>
      <c r="P20" s="128">
        <f t="shared" si="11"/>
        <v>0</v>
      </c>
      <c r="Q20" s="128">
        <f t="shared" si="12"/>
        <v>0</v>
      </c>
      <c r="R20" s="128">
        <f t="shared" si="13"/>
        <v>0</v>
      </c>
      <c r="S20" s="129">
        <f t="shared" si="14"/>
        <v>0</v>
      </c>
      <c r="T20" s="518">
        <v>0</v>
      </c>
      <c r="U20" s="130">
        <f t="shared" si="38"/>
        <v>0</v>
      </c>
      <c r="V20" s="518">
        <v>0</v>
      </c>
      <c r="W20" s="518">
        <v>0</v>
      </c>
      <c r="X20" s="120">
        <f t="shared" si="16"/>
        <v>0</v>
      </c>
      <c r="Y20" s="121">
        <f t="shared" si="17"/>
        <v>0</v>
      </c>
      <c r="Z20" s="1149">
        <f t="shared" si="18"/>
        <v>0</v>
      </c>
      <c r="AA20" s="122">
        <f t="shared" si="19"/>
        <v>0</v>
      </c>
      <c r="AW20" s="191"/>
      <c r="AX20" s="1246">
        <v>14</v>
      </c>
      <c r="AY20" s="1247">
        <f t="shared" si="37"/>
        <v>44787</v>
      </c>
      <c r="AZ20" s="1248" t="str">
        <f>IF(AY20="","",INDEX({"रविवार";"सोमवार";"मंगळवार";"बुधवार";"गुरूवार";"शुक्रवार";"शनिवार"},WEEKDAY(AY20)))</f>
        <v>रविवार</v>
      </c>
      <c r="BA20" s="1249">
        <f>HLOOKUP(AY3,'दैनिक माहिती'!BF268:BQ299,15,0)</f>
        <v>0</v>
      </c>
      <c r="BB20" s="1250"/>
      <c r="BC20" s="1251">
        <f t="shared" si="20"/>
        <v>0</v>
      </c>
      <c r="BD20" s="1250"/>
      <c r="BE20" s="1251">
        <f>HLOOKUP(AY3,'दैनिक माहिती'!BF231:BQ263,15,0)</f>
        <v>0</v>
      </c>
      <c r="BF20" s="1252">
        <f t="shared" si="21"/>
        <v>0</v>
      </c>
      <c r="BG20" s="1253">
        <f t="shared" si="22"/>
        <v>0</v>
      </c>
      <c r="BH20" s="1253">
        <f t="shared" si="23"/>
        <v>0</v>
      </c>
      <c r="BI20" s="1253">
        <f t="shared" si="24"/>
        <v>0</v>
      </c>
      <c r="BJ20" s="1253">
        <f t="shared" si="25"/>
        <v>0</v>
      </c>
      <c r="BK20" s="1253">
        <f t="shared" si="26"/>
        <v>0</v>
      </c>
      <c r="BL20" s="1253">
        <f t="shared" si="27"/>
        <v>0</v>
      </c>
      <c r="BM20" s="1253">
        <f t="shared" si="28"/>
        <v>0</v>
      </c>
      <c r="BN20" s="1253">
        <f t="shared" si="29"/>
        <v>0</v>
      </c>
      <c r="BO20" s="1253">
        <f t="shared" si="30"/>
        <v>0</v>
      </c>
      <c r="BP20" s="1254">
        <v>0</v>
      </c>
      <c r="BQ20" s="1253">
        <f t="shared" si="39"/>
        <v>0</v>
      </c>
      <c r="BR20" s="1254">
        <v>0</v>
      </c>
      <c r="BS20" s="1254">
        <v>0</v>
      </c>
      <c r="BT20" s="1253">
        <f t="shared" si="32"/>
        <v>0</v>
      </c>
      <c r="BU20" s="1253">
        <f t="shared" si="33"/>
        <v>0</v>
      </c>
      <c r="BV20" s="1253">
        <f t="shared" si="34"/>
        <v>0</v>
      </c>
      <c r="BW20" s="1253">
        <f t="shared" si="35"/>
        <v>0</v>
      </c>
      <c r="BX20" s="40">
        <v>14</v>
      </c>
      <c r="BY20" s="191"/>
    </row>
    <row r="21" spans="2:77" ht="26.25" customHeight="1" x14ac:dyDescent="0.45">
      <c r="B21" s="517">
        <v>15</v>
      </c>
      <c r="C21" s="123">
        <f t="shared" si="36"/>
        <v>44666</v>
      </c>
      <c r="D21" s="124" t="str">
        <f>IF(C21="","",INDEX({"रविवार";"सोमवार";"मंगळवार";"बुधवार";"गुरूवार";"शुक्रवार";"शनिवार"},WEEKDAY(C21)))</f>
        <v>शुक्रवार</v>
      </c>
      <c r="E21" s="125">
        <f>HLOOKUP(C3,'दैनिक माहिती'!BF268:BQ299,16,0)</f>
        <v>0</v>
      </c>
      <c r="F21" s="131">
        <f>HLOOKUP(C3,'दैनिक माहिती'!BF303:BQ334,16,0)</f>
        <v>0</v>
      </c>
      <c r="G21" s="126">
        <f t="shared" si="4"/>
        <v>0</v>
      </c>
      <c r="H21" s="131">
        <f>HLOOKUP(C3,'दैनिक माहिती'!BF194:BQ226,16,0)</f>
        <v>0</v>
      </c>
      <c r="I21" s="131">
        <f>HLOOKUP(C3,'दैनिक माहिती'!BF231:BQ263,16,0)</f>
        <v>0</v>
      </c>
      <c r="J21" s="127">
        <f t="shared" si="5"/>
        <v>0</v>
      </c>
      <c r="K21" s="128">
        <f t="shared" si="6"/>
        <v>0</v>
      </c>
      <c r="L21" s="128">
        <f t="shared" si="7"/>
        <v>0</v>
      </c>
      <c r="M21" s="128">
        <f t="shared" si="8"/>
        <v>0</v>
      </c>
      <c r="N21" s="128">
        <f t="shared" si="9"/>
        <v>0</v>
      </c>
      <c r="O21" s="128">
        <f t="shared" si="10"/>
        <v>0</v>
      </c>
      <c r="P21" s="128">
        <f t="shared" si="11"/>
        <v>0</v>
      </c>
      <c r="Q21" s="128">
        <f t="shared" si="12"/>
        <v>0</v>
      </c>
      <c r="R21" s="128">
        <f t="shared" si="13"/>
        <v>0</v>
      </c>
      <c r="S21" s="129">
        <f t="shared" si="14"/>
        <v>0</v>
      </c>
      <c r="T21" s="518">
        <v>0</v>
      </c>
      <c r="U21" s="130">
        <f t="shared" si="38"/>
        <v>0</v>
      </c>
      <c r="V21" s="518">
        <v>0</v>
      </c>
      <c r="W21" s="518">
        <v>0</v>
      </c>
      <c r="X21" s="120">
        <f t="shared" si="16"/>
        <v>0</v>
      </c>
      <c r="Y21" s="121">
        <f t="shared" si="17"/>
        <v>0</v>
      </c>
      <c r="Z21" s="1149">
        <f t="shared" si="18"/>
        <v>0</v>
      </c>
      <c r="AA21" s="122">
        <f t="shared" si="19"/>
        <v>0</v>
      </c>
      <c r="AW21" s="191"/>
      <c r="AX21" s="1246">
        <v>15</v>
      </c>
      <c r="AY21" s="1247">
        <f t="shared" si="37"/>
        <v>44788</v>
      </c>
      <c r="AZ21" s="1248" t="str">
        <f>IF(AY21="","",INDEX({"रविवार";"सोमवार";"मंगळवार";"बुधवार";"गुरूवार";"शुक्रवार";"शनिवार"},WEEKDAY(AY21)))</f>
        <v>सोमवार</v>
      </c>
      <c r="BA21" s="1249">
        <f>HLOOKUP(AY3,'दैनिक माहिती'!BF268:BQ299,16,0)</f>
        <v>0</v>
      </c>
      <c r="BB21" s="1250"/>
      <c r="BC21" s="1251">
        <f t="shared" si="20"/>
        <v>0</v>
      </c>
      <c r="BD21" s="1250"/>
      <c r="BE21" s="1251">
        <f>HLOOKUP(AY3,'दैनिक माहिती'!BF231:BQ263,16,0)</f>
        <v>0</v>
      </c>
      <c r="BF21" s="1252">
        <f t="shared" si="21"/>
        <v>0</v>
      </c>
      <c r="BG21" s="1253">
        <f t="shared" si="22"/>
        <v>0</v>
      </c>
      <c r="BH21" s="1253">
        <f t="shared" si="23"/>
        <v>0</v>
      </c>
      <c r="BI21" s="1253">
        <f t="shared" si="24"/>
        <v>0</v>
      </c>
      <c r="BJ21" s="1253">
        <f t="shared" si="25"/>
        <v>0</v>
      </c>
      <c r="BK21" s="1253">
        <f t="shared" si="26"/>
        <v>0</v>
      </c>
      <c r="BL21" s="1253">
        <f t="shared" si="27"/>
        <v>0</v>
      </c>
      <c r="BM21" s="1253">
        <f t="shared" si="28"/>
        <v>0</v>
      </c>
      <c r="BN21" s="1253">
        <f t="shared" si="29"/>
        <v>0</v>
      </c>
      <c r="BO21" s="1253">
        <f t="shared" si="30"/>
        <v>0</v>
      </c>
      <c r="BP21" s="1254">
        <v>0</v>
      </c>
      <c r="BQ21" s="1253">
        <f t="shared" si="39"/>
        <v>0</v>
      </c>
      <c r="BR21" s="1254">
        <v>0</v>
      </c>
      <c r="BS21" s="1254">
        <v>0</v>
      </c>
      <c r="BT21" s="1253">
        <f t="shared" si="32"/>
        <v>0</v>
      </c>
      <c r="BU21" s="1253">
        <f t="shared" si="33"/>
        <v>0</v>
      </c>
      <c r="BV21" s="1253">
        <f t="shared" si="34"/>
        <v>0</v>
      </c>
      <c r="BW21" s="1253">
        <f t="shared" si="35"/>
        <v>0</v>
      </c>
      <c r="BX21" s="40">
        <v>15</v>
      </c>
      <c r="BY21" s="191"/>
    </row>
    <row r="22" spans="2:77" ht="26.25" customHeight="1" x14ac:dyDescent="0.45">
      <c r="B22" s="517">
        <v>16</v>
      </c>
      <c r="C22" s="123">
        <f>C21+1</f>
        <v>44667</v>
      </c>
      <c r="D22" s="124" t="str">
        <f>IF(C22="","",INDEX({"रविवार";"सोमवार";"मंगळवार";"बुधवार";"गुरूवार";"शुक्रवार";"शनिवार"},WEEKDAY(C22)))</f>
        <v>शनिवार</v>
      </c>
      <c r="E22" s="125">
        <f>HLOOKUP(C3,'दैनिक माहिती'!BF268:BQ299,17,0)</f>
        <v>0</v>
      </c>
      <c r="F22" s="131">
        <f>HLOOKUP(C3,'दैनिक माहिती'!BF303:BQ334,17,0)</f>
        <v>0</v>
      </c>
      <c r="G22" s="126">
        <f t="shared" si="4"/>
        <v>0</v>
      </c>
      <c r="H22" s="131">
        <f>HLOOKUP(C3,'दैनिक माहिती'!BF194:BQ226,17,0)</f>
        <v>0</v>
      </c>
      <c r="I22" s="131">
        <f>HLOOKUP(C3,'दैनिक माहिती'!BF231:BQ263,17,0)</f>
        <v>0</v>
      </c>
      <c r="J22" s="127">
        <f t="shared" si="5"/>
        <v>0</v>
      </c>
      <c r="K22" s="128">
        <f t="shared" si="6"/>
        <v>0</v>
      </c>
      <c r="L22" s="128">
        <f t="shared" si="7"/>
        <v>0</v>
      </c>
      <c r="M22" s="128">
        <f t="shared" si="8"/>
        <v>0</v>
      </c>
      <c r="N22" s="128">
        <f t="shared" si="9"/>
        <v>0</v>
      </c>
      <c r="O22" s="128">
        <f t="shared" si="10"/>
        <v>0</v>
      </c>
      <c r="P22" s="128">
        <f t="shared" si="11"/>
        <v>0</v>
      </c>
      <c r="Q22" s="128">
        <f t="shared" si="12"/>
        <v>0</v>
      </c>
      <c r="R22" s="128">
        <f t="shared" si="13"/>
        <v>0</v>
      </c>
      <c r="S22" s="129">
        <f t="shared" si="14"/>
        <v>0</v>
      </c>
      <c r="T22" s="518">
        <v>0</v>
      </c>
      <c r="U22" s="130">
        <f t="shared" si="38"/>
        <v>0</v>
      </c>
      <c r="V22" s="518">
        <v>0</v>
      </c>
      <c r="W22" s="518">
        <v>0</v>
      </c>
      <c r="X22" s="120">
        <f t="shared" si="16"/>
        <v>0</v>
      </c>
      <c r="Y22" s="121">
        <f t="shared" si="17"/>
        <v>0</v>
      </c>
      <c r="Z22" s="1149">
        <f t="shared" si="18"/>
        <v>0</v>
      </c>
      <c r="AA22" s="122">
        <f t="shared" si="19"/>
        <v>0</v>
      </c>
      <c r="AW22" s="191"/>
      <c r="AX22" s="1246">
        <v>16</v>
      </c>
      <c r="AY22" s="1247">
        <f>AY21+1</f>
        <v>44789</v>
      </c>
      <c r="AZ22" s="1248" t="str">
        <f>IF(AY22="","",INDEX({"रविवार";"सोमवार";"मंगळवार";"बुधवार";"गुरूवार";"शुक्रवार";"शनिवार"},WEEKDAY(AY22)))</f>
        <v>मंगळवार</v>
      </c>
      <c r="BA22" s="1249">
        <f>HLOOKUP(AY3,'दैनिक माहिती'!BF268:BQ299,17,0)</f>
        <v>0</v>
      </c>
      <c r="BB22" s="1250"/>
      <c r="BC22" s="1251">
        <f t="shared" si="20"/>
        <v>0</v>
      </c>
      <c r="BD22" s="1250"/>
      <c r="BE22" s="1251">
        <f>HLOOKUP(AY3,'दैनिक माहिती'!BF231:BQ263,17,0)</f>
        <v>0</v>
      </c>
      <c r="BF22" s="1252">
        <f t="shared" si="21"/>
        <v>0</v>
      </c>
      <c r="BG22" s="1253">
        <f t="shared" si="22"/>
        <v>0</v>
      </c>
      <c r="BH22" s="1253">
        <f t="shared" si="23"/>
        <v>0</v>
      </c>
      <c r="BI22" s="1253">
        <f t="shared" si="24"/>
        <v>0</v>
      </c>
      <c r="BJ22" s="1253">
        <f t="shared" si="25"/>
        <v>0</v>
      </c>
      <c r="BK22" s="1253">
        <f t="shared" si="26"/>
        <v>0</v>
      </c>
      <c r="BL22" s="1253">
        <f t="shared" si="27"/>
        <v>0</v>
      </c>
      <c r="BM22" s="1253">
        <f t="shared" si="28"/>
        <v>0</v>
      </c>
      <c r="BN22" s="1253">
        <f t="shared" si="29"/>
        <v>0</v>
      </c>
      <c r="BO22" s="1253">
        <f t="shared" si="30"/>
        <v>0</v>
      </c>
      <c r="BP22" s="1254">
        <v>0</v>
      </c>
      <c r="BQ22" s="1253">
        <f t="shared" si="39"/>
        <v>0</v>
      </c>
      <c r="BR22" s="1254">
        <v>0</v>
      </c>
      <c r="BS22" s="1254">
        <v>0</v>
      </c>
      <c r="BT22" s="1253">
        <f t="shared" si="32"/>
        <v>0</v>
      </c>
      <c r="BU22" s="1253">
        <f t="shared" si="33"/>
        <v>0</v>
      </c>
      <c r="BV22" s="1253">
        <f t="shared" si="34"/>
        <v>0</v>
      </c>
      <c r="BW22" s="1253">
        <f t="shared" si="35"/>
        <v>0</v>
      </c>
      <c r="BX22" s="40">
        <v>16</v>
      </c>
      <c r="BY22" s="191"/>
    </row>
    <row r="23" spans="2:77" ht="26.25" customHeight="1" x14ac:dyDescent="0.45">
      <c r="B23" s="517">
        <v>17</v>
      </c>
      <c r="C23" s="123">
        <f t="shared" si="36"/>
        <v>44668</v>
      </c>
      <c r="D23" s="124" t="str">
        <f>IF(C23="","",INDEX({"रविवार";"सोमवार";"मंगळवार";"बुधवार";"गुरूवार";"शुक्रवार";"शनिवार"},WEEKDAY(C23)))</f>
        <v>रविवार</v>
      </c>
      <c r="E23" s="125">
        <f>HLOOKUP(C3,'दैनिक माहिती'!BF268:BQ299,18,0)</f>
        <v>0</v>
      </c>
      <c r="F23" s="131">
        <f>HLOOKUP(C3,'दैनिक माहिती'!BF303:BQ334,18,0)</f>
        <v>0</v>
      </c>
      <c r="G23" s="126">
        <f t="shared" si="4"/>
        <v>0</v>
      </c>
      <c r="H23" s="131">
        <f>HLOOKUP(C3,'दैनिक माहिती'!BF194:BQ226,18,0)</f>
        <v>0</v>
      </c>
      <c r="I23" s="131">
        <f>HLOOKUP(C3,'दैनिक माहिती'!BF231:BQ263,18,0)</f>
        <v>0</v>
      </c>
      <c r="J23" s="127">
        <f t="shared" si="5"/>
        <v>0</v>
      </c>
      <c r="K23" s="128">
        <f t="shared" si="6"/>
        <v>0</v>
      </c>
      <c r="L23" s="128">
        <f t="shared" si="7"/>
        <v>0</v>
      </c>
      <c r="M23" s="128">
        <f t="shared" si="8"/>
        <v>0</v>
      </c>
      <c r="N23" s="128">
        <f t="shared" si="9"/>
        <v>0</v>
      </c>
      <c r="O23" s="128">
        <f t="shared" si="10"/>
        <v>0</v>
      </c>
      <c r="P23" s="128">
        <f t="shared" si="11"/>
        <v>0</v>
      </c>
      <c r="Q23" s="128">
        <f t="shared" si="12"/>
        <v>0</v>
      </c>
      <c r="R23" s="128">
        <f t="shared" si="13"/>
        <v>0</v>
      </c>
      <c r="S23" s="129">
        <f t="shared" si="14"/>
        <v>0</v>
      </c>
      <c r="T23" s="518">
        <v>0</v>
      </c>
      <c r="U23" s="518">
        <v>0</v>
      </c>
      <c r="V23" s="130">
        <f>IF(G23=$G$2,$X$43/$G$38,0)</f>
        <v>0</v>
      </c>
      <c r="W23" s="518">
        <v>0</v>
      </c>
      <c r="X23" s="120">
        <f t="shared" si="16"/>
        <v>0</v>
      </c>
      <c r="Y23" s="121">
        <f t="shared" si="17"/>
        <v>0</v>
      </c>
      <c r="Z23" s="1149">
        <f t="shared" si="18"/>
        <v>0</v>
      </c>
      <c r="AA23" s="122">
        <f t="shared" si="19"/>
        <v>0</v>
      </c>
      <c r="AW23" s="191"/>
      <c r="AX23" s="1246">
        <v>17</v>
      </c>
      <c r="AY23" s="1247">
        <f t="shared" si="37"/>
        <v>44790</v>
      </c>
      <c r="AZ23" s="1248" t="str">
        <f>IF(AY23="","",INDEX({"रविवार";"सोमवार";"मंगळवार";"बुधवार";"गुरूवार";"शुक्रवार";"शनिवार"},WEEKDAY(AY23)))</f>
        <v>बुधवार</v>
      </c>
      <c r="BA23" s="1249">
        <f>HLOOKUP(AY3,'दैनिक माहिती'!BF268:BQ299,18,0)</f>
        <v>0</v>
      </c>
      <c r="BB23" s="1250"/>
      <c r="BC23" s="1251">
        <f t="shared" si="20"/>
        <v>0</v>
      </c>
      <c r="BD23" s="1250"/>
      <c r="BE23" s="1251">
        <f>HLOOKUP(AY3,'दैनिक माहिती'!BF231:BQ263,18,0)</f>
        <v>0</v>
      </c>
      <c r="BF23" s="1252">
        <f t="shared" si="21"/>
        <v>0</v>
      </c>
      <c r="BG23" s="1253">
        <f t="shared" si="22"/>
        <v>0</v>
      </c>
      <c r="BH23" s="1253">
        <f t="shared" si="23"/>
        <v>0</v>
      </c>
      <c r="BI23" s="1253">
        <f t="shared" si="24"/>
        <v>0</v>
      </c>
      <c r="BJ23" s="1253">
        <f t="shared" si="25"/>
        <v>0</v>
      </c>
      <c r="BK23" s="1253">
        <f t="shared" si="26"/>
        <v>0</v>
      </c>
      <c r="BL23" s="1253">
        <f t="shared" si="27"/>
        <v>0</v>
      </c>
      <c r="BM23" s="1253">
        <f t="shared" si="28"/>
        <v>0</v>
      </c>
      <c r="BN23" s="1253">
        <f t="shared" si="29"/>
        <v>0</v>
      </c>
      <c r="BO23" s="1253">
        <f t="shared" si="30"/>
        <v>0</v>
      </c>
      <c r="BP23" s="1254">
        <v>0</v>
      </c>
      <c r="BQ23" s="1254">
        <v>0</v>
      </c>
      <c r="BR23" s="1253">
        <f>IF(BC23=$BC$2,$BT$43/$BC$38,0)</f>
        <v>0</v>
      </c>
      <c r="BS23" s="1254">
        <v>0</v>
      </c>
      <c r="BT23" s="1253">
        <f t="shared" si="32"/>
        <v>0</v>
      </c>
      <c r="BU23" s="1253">
        <f t="shared" si="33"/>
        <v>0</v>
      </c>
      <c r="BV23" s="1253">
        <f t="shared" si="34"/>
        <v>0</v>
      </c>
      <c r="BW23" s="1253">
        <f t="shared" si="35"/>
        <v>0</v>
      </c>
      <c r="BX23" s="40">
        <v>17</v>
      </c>
      <c r="BY23" s="191"/>
    </row>
    <row r="24" spans="2:77" ht="26.25" customHeight="1" x14ac:dyDescent="0.45">
      <c r="B24" s="517">
        <v>18</v>
      </c>
      <c r="C24" s="123">
        <f t="shared" si="36"/>
        <v>44669</v>
      </c>
      <c r="D24" s="124" t="str">
        <f>IF(C24="","",INDEX({"रविवार";"सोमवार";"मंगळवार";"बुधवार";"गुरूवार";"शुक्रवार";"शनिवार"},WEEKDAY(C24)))</f>
        <v>सोमवार</v>
      </c>
      <c r="E24" s="125">
        <f>HLOOKUP(C3,'दैनिक माहिती'!BF268:BQ299,19,0)</f>
        <v>0</v>
      </c>
      <c r="F24" s="131">
        <f>HLOOKUP(C3,'दैनिक माहिती'!BF303:BQ334,19,0)</f>
        <v>0</v>
      </c>
      <c r="G24" s="126">
        <f t="shared" si="4"/>
        <v>0</v>
      </c>
      <c r="H24" s="131">
        <f>HLOOKUP(C3,'दैनिक माहिती'!BF194:BQ226,19,0)</f>
        <v>0</v>
      </c>
      <c r="I24" s="131">
        <f>HLOOKUP(C3,'दैनिक माहिती'!BF231:BQ263,19,0)</f>
        <v>0</v>
      </c>
      <c r="J24" s="127">
        <f t="shared" si="5"/>
        <v>0</v>
      </c>
      <c r="K24" s="128">
        <f t="shared" si="6"/>
        <v>0</v>
      </c>
      <c r="L24" s="128">
        <f t="shared" si="7"/>
        <v>0</v>
      </c>
      <c r="M24" s="128">
        <f t="shared" si="8"/>
        <v>0</v>
      </c>
      <c r="N24" s="128">
        <f t="shared" si="9"/>
        <v>0</v>
      </c>
      <c r="O24" s="128">
        <f t="shared" si="10"/>
        <v>0</v>
      </c>
      <c r="P24" s="128">
        <f t="shared" si="11"/>
        <v>0</v>
      </c>
      <c r="Q24" s="128">
        <f t="shared" si="12"/>
        <v>0</v>
      </c>
      <c r="R24" s="128">
        <f t="shared" si="13"/>
        <v>0</v>
      </c>
      <c r="S24" s="129">
        <f t="shared" si="14"/>
        <v>0</v>
      </c>
      <c r="T24" s="518">
        <v>0</v>
      </c>
      <c r="U24" s="518">
        <v>0</v>
      </c>
      <c r="V24" s="130">
        <f t="shared" ref="V24:V30" si="40">IF(G24=$G$2,$X$43/$G$38,0)</f>
        <v>0</v>
      </c>
      <c r="W24" s="518">
        <v>0</v>
      </c>
      <c r="X24" s="120">
        <f t="shared" si="16"/>
        <v>0</v>
      </c>
      <c r="Y24" s="121">
        <f t="shared" si="17"/>
        <v>0</v>
      </c>
      <c r="Z24" s="1149">
        <f t="shared" si="18"/>
        <v>0</v>
      </c>
      <c r="AA24" s="122">
        <f t="shared" si="19"/>
        <v>0</v>
      </c>
      <c r="AW24" s="191"/>
      <c r="AX24" s="1246">
        <v>18</v>
      </c>
      <c r="AY24" s="1247">
        <f t="shared" si="37"/>
        <v>44791</v>
      </c>
      <c r="AZ24" s="1248" t="str">
        <f>IF(AY24="","",INDEX({"रविवार";"सोमवार";"मंगळवार";"बुधवार";"गुरूवार";"शुक्रवार";"शनिवार"},WEEKDAY(AY24)))</f>
        <v>गुरूवार</v>
      </c>
      <c r="BA24" s="1249">
        <f>HLOOKUP(AY3,'दैनिक माहिती'!BF268:BQ299,19,0)</f>
        <v>0</v>
      </c>
      <c r="BB24" s="1250"/>
      <c r="BC24" s="1251">
        <f t="shared" si="20"/>
        <v>0</v>
      </c>
      <c r="BD24" s="1250"/>
      <c r="BE24" s="1251">
        <f>HLOOKUP(AY3,'दैनिक माहिती'!BF231:BQ263,19,0)</f>
        <v>0</v>
      </c>
      <c r="BF24" s="1252">
        <f t="shared" si="21"/>
        <v>0</v>
      </c>
      <c r="BG24" s="1253">
        <f t="shared" si="22"/>
        <v>0</v>
      </c>
      <c r="BH24" s="1253">
        <f t="shared" si="23"/>
        <v>0</v>
      </c>
      <c r="BI24" s="1253">
        <f t="shared" si="24"/>
        <v>0</v>
      </c>
      <c r="BJ24" s="1253">
        <f t="shared" si="25"/>
        <v>0</v>
      </c>
      <c r="BK24" s="1253">
        <f t="shared" si="26"/>
        <v>0</v>
      </c>
      <c r="BL24" s="1253">
        <f t="shared" si="27"/>
        <v>0</v>
      </c>
      <c r="BM24" s="1253">
        <f t="shared" si="28"/>
        <v>0</v>
      </c>
      <c r="BN24" s="1253">
        <f t="shared" si="29"/>
        <v>0</v>
      </c>
      <c r="BO24" s="1253">
        <f t="shared" si="30"/>
        <v>0</v>
      </c>
      <c r="BP24" s="1254">
        <v>0</v>
      </c>
      <c r="BQ24" s="1254">
        <v>0</v>
      </c>
      <c r="BR24" s="1253">
        <f t="shared" ref="BR24:BR30" si="41">IF(BC24=$BC$2,$BT$43/$BC$38,0)</f>
        <v>0</v>
      </c>
      <c r="BS24" s="1254">
        <v>0</v>
      </c>
      <c r="BT24" s="1253">
        <f t="shared" si="32"/>
        <v>0</v>
      </c>
      <c r="BU24" s="1253">
        <f t="shared" si="33"/>
        <v>0</v>
      </c>
      <c r="BV24" s="1253">
        <f t="shared" si="34"/>
        <v>0</v>
      </c>
      <c r="BW24" s="1253">
        <f t="shared" si="35"/>
        <v>0</v>
      </c>
      <c r="BX24" s="40">
        <v>18</v>
      </c>
      <c r="BY24" s="191"/>
    </row>
    <row r="25" spans="2:77" ht="26.25" customHeight="1" x14ac:dyDescent="0.45">
      <c r="B25" s="517">
        <v>19</v>
      </c>
      <c r="C25" s="123">
        <f t="shared" si="36"/>
        <v>44670</v>
      </c>
      <c r="D25" s="124" t="str">
        <f>IF(C25="","",INDEX({"रविवार";"सोमवार";"मंगळवार";"बुधवार";"गुरूवार";"शुक्रवार";"शनिवार"},WEEKDAY(C25)))</f>
        <v>मंगळवार</v>
      </c>
      <c r="E25" s="125">
        <f>HLOOKUP(C3,'दैनिक माहिती'!BF268:BQ299,20,0)</f>
        <v>0</v>
      </c>
      <c r="F25" s="131">
        <f>HLOOKUP(C3,'दैनिक माहिती'!BF303:BQ334,20,0)</f>
        <v>0</v>
      </c>
      <c r="G25" s="126">
        <f t="shared" si="4"/>
        <v>0</v>
      </c>
      <c r="H25" s="131">
        <f>HLOOKUP(C3,'दैनिक माहिती'!BF194:BQ226,20,0)</f>
        <v>0</v>
      </c>
      <c r="I25" s="131">
        <f>HLOOKUP(C3,'दैनिक माहिती'!BF231:BQ263,20,0)</f>
        <v>0</v>
      </c>
      <c r="J25" s="127">
        <f t="shared" si="5"/>
        <v>0</v>
      </c>
      <c r="K25" s="128">
        <f t="shared" si="6"/>
        <v>0</v>
      </c>
      <c r="L25" s="128">
        <f t="shared" si="7"/>
        <v>0</v>
      </c>
      <c r="M25" s="128">
        <f t="shared" si="8"/>
        <v>0</v>
      </c>
      <c r="N25" s="128">
        <f t="shared" si="9"/>
        <v>0</v>
      </c>
      <c r="O25" s="128">
        <f t="shared" si="10"/>
        <v>0</v>
      </c>
      <c r="P25" s="128">
        <f t="shared" si="11"/>
        <v>0</v>
      </c>
      <c r="Q25" s="128">
        <f t="shared" si="12"/>
        <v>0</v>
      </c>
      <c r="R25" s="128">
        <f t="shared" si="13"/>
        <v>0</v>
      </c>
      <c r="S25" s="129">
        <f t="shared" si="14"/>
        <v>0</v>
      </c>
      <c r="T25" s="518">
        <v>0</v>
      </c>
      <c r="U25" s="518">
        <v>0</v>
      </c>
      <c r="V25" s="130">
        <f t="shared" si="40"/>
        <v>0</v>
      </c>
      <c r="W25" s="518">
        <v>0</v>
      </c>
      <c r="X25" s="120">
        <f t="shared" si="16"/>
        <v>0</v>
      </c>
      <c r="Y25" s="121">
        <f t="shared" si="17"/>
        <v>0</v>
      </c>
      <c r="Z25" s="1149">
        <f t="shared" si="18"/>
        <v>0</v>
      </c>
      <c r="AA25" s="122">
        <f t="shared" si="19"/>
        <v>0</v>
      </c>
      <c r="AW25" s="191"/>
      <c r="AX25" s="1246">
        <v>19</v>
      </c>
      <c r="AY25" s="1247">
        <f t="shared" si="37"/>
        <v>44792</v>
      </c>
      <c r="AZ25" s="1248" t="str">
        <f>IF(AY25="","",INDEX({"रविवार";"सोमवार";"मंगळवार";"बुधवार";"गुरूवार";"शुक्रवार";"शनिवार"},WEEKDAY(AY25)))</f>
        <v>शुक्रवार</v>
      </c>
      <c r="BA25" s="1249">
        <f>HLOOKUP(AY3,'दैनिक माहिती'!BF268:BQ299,20,0)</f>
        <v>0</v>
      </c>
      <c r="BB25" s="1250"/>
      <c r="BC25" s="1251">
        <f t="shared" si="20"/>
        <v>0</v>
      </c>
      <c r="BD25" s="1250"/>
      <c r="BE25" s="1251">
        <f>HLOOKUP(AY3,'दैनिक माहिती'!BF231:BQ263,20,0)</f>
        <v>0</v>
      </c>
      <c r="BF25" s="1252">
        <f t="shared" si="21"/>
        <v>0</v>
      </c>
      <c r="BG25" s="1253">
        <f t="shared" si="22"/>
        <v>0</v>
      </c>
      <c r="BH25" s="1253">
        <f t="shared" si="23"/>
        <v>0</v>
      </c>
      <c r="BI25" s="1253">
        <f t="shared" si="24"/>
        <v>0</v>
      </c>
      <c r="BJ25" s="1253">
        <f t="shared" si="25"/>
        <v>0</v>
      </c>
      <c r="BK25" s="1253">
        <f t="shared" si="26"/>
        <v>0</v>
      </c>
      <c r="BL25" s="1253">
        <f t="shared" si="27"/>
        <v>0</v>
      </c>
      <c r="BM25" s="1253">
        <f t="shared" si="28"/>
        <v>0</v>
      </c>
      <c r="BN25" s="1253">
        <f t="shared" si="29"/>
        <v>0</v>
      </c>
      <c r="BO25" s="1253">
        <f t="shared" si="30"/>
        <v>0</v>
      </c>
      <c r="BP25" s="1254">
        <v>0</v>
      </c>
      <c r="BQ25" s="1254">
        <v>0</v>
      </c>
      <c r="BR25" s="1253">
        <f t="shared" si="41"/>
        <v>0</v>
      </c>
      <c r="BS25" s="1254">
        <v>0</v>
      </c>
      <c r="BT25" s="1253">
        <f t="shared" si="32"/>
        <v>0</v>
      </c>
      <c r="BU25" s="1253">
        <f t="shared" si="33"/>
        <v>0</v>
      </c>
      <c r="BV25" s="1253">
        <f t="shared" si="34"/>
        <v>0</v>
      </c>
      <c r="BW25" s="1253">
        <f t="shared" si="35"/>
        <v>0</v>
      </c>
      <c r="BX25" s="40">
        <v>19</v>
      </c>
      <c r="BY25" s="191"/>
    </row>
    <row r="26" spans="2:77" ht="26.25" customHeight="1" x14ac:dyDescent="0.45">
      <c r="B26" s="517">
        <v>20</v>
      </c>
      <c r="C26" s="123">
        <f t="shared" si="36"/>
        <v>44671</v>
      </c>
      <c r="D26" s="124" t="str">
        <f>IF(C26="","",INDEX({"रविवार";"सोमवार";"मंगळवार";"बुधवार";"गुरूवार";"शुक्रवार";"शनिवार"},WEEKDAY(C26)))</f>
        <v>बुधवार</v>
      </c>
      <c r="E26" s="125">
        <f>HLOOKUP(C3,'दैनिक माहिती'!BF268:BQ299,21,0)</f>
        <v>0</v>
      </c>
      <c r="F26" s="131">
        <f>HLOOKUP(C3,'दैनिक माहिती'!BF303:BQ334,21,0)</f>
        <v>0</v>
      </c>
      <c r="G26" s="126">
        <f t="shared" si="4"/>
        <v>0</v>
      </c>
      <c r="H26" s="131">
        <f>HLOOKUP(C3,'दैनिक माहिती'!BF194:BQ226,21,0)</f>
        <v>0</v>
      </c>
      <c r="I26" s="131">
        <f>HLOOKUP(C3,'दैनिक माहिती'!BF231:BQ263,21,0)</f>
        <v>0</v>
      </c>
      <c r="J26" s="127">
        <f t="shared" si="5"/>
        <v>0</v>
      </c>
      <c r="K26" s="128">
        <f t="shared" si="6"/>
        <v>0</v>
      </c>
      <c r="L26" s="128">
        <f t="shared" si="7"/>
        <v>0</v>
      </c>
      <c r="M26" s="128">
        <f t="shared" si="8"/>
        <v>0</v>
      </c>
      <c r="N26" s="128">
        <f t="shared" si="9"/>
        <v>0</v>
      </c>
      <c r="O26" s="128">
        <f t="shared" si="10"/>
        <v>0</v>
      </c>
      <c r="P26" s="128">
        <f t="shared" si="11"/>
        <v>0</v>
      </c>
      <c r="Q26" s="128">
        <f t="shared" si="12"/>
        <v>0</v>
      </c>
      <c r="R26" s="128">
        <f t="shared" si="13"/>
        <v>0</v>
      </c>
      <c r="S26" s="129">
        <f t="shared" si="14"/>
        <v>0</v>
      </c>
      <c r="T26" s="518">
        <v>0</v>
      </c>
      <c r="U26" s="518">
        <v>0</v>
      </c>
      <c r="V26" s="130">
        <f t="shared" si="40"/>
        <v>0</v>
      </c>
      <c r="W26" s="518">
        <v>0</v>
      </c>
      <c r="X26" s="120">
        <f t="shared" si="16"/>
        <v>0</v>
      </c>
      <c r="Y26" s="121">
        <f t="shared" si="17"/>
        <v>0</v>
      </c>
      <c r="Z26" s="1149">
        <f t="shared" si="18"/>
        <v>0</v>
      </c>
      <c r="AA26" s="122">
        <f t="shared" si="19"/>
        <v>0</v>
      </c>
      <c r="AW26" s="191"/>
      <c r="AX26" s="1246">
        <v>20</v>
      </c>
      <c r="AY26" s="1247">
        <f t="shared" si="37"/>
        <v>44793</v>
      </c>
      <c r="AZ26" s="1248" t="str">
        <f>IF(AY26="","",INDEX({"रविवार";"सोमवार";"मंगळवार";"बुधवार";"गुरूवार";"शुक्रवार";"शनिवार"},WEEKDAY(AY26)))</f>
        <v>शनिवार</v>
      </c>
      <c r="BA26" s="1249">
        <f>HLOOKUP(AY3,'दैनिक माहिती'!BF268:BQ299,21,0)</f>
        <v>0</v>
      </c>
      <c r="BB26" s="1250"/>
      <c r="BC26" s="1251">
        <f t="shared" si="20"/>
        <v>0</v>
      </c>
      <c r="BD26" s="1250"/>
      <c r="BE26" s="1251">
        <f>HLOOKUP(AY3,'दैनिक माहिती'!BF231:BQ263,21,0)</f>
        <v>0</v>
      </c>
      <c r="BF26" s="1252">
        <f t="shared" si="21"/>
        <v>0</v>
      </c>
      <c r="BG26" s="1253">
        <f t="shared" si="22"/>
        <v>0</v>
      </c>
      <c r="BH26" s="1253">
        <f t="shared" si="23"/>
        <v>0</v>
      </c>
      <c r="BI26" s="1253">
        <f t="shared" si="24"/>
        <v>0</v>
      </c>
      <c r="BJ26" s="1253">
        <f t="shared" si="25"/>
        <v>0</v>
      </c>
      <c r="BK26" s="1253">
        <f t="shared" si="26"/>
        <v>0</v>
      </c>
      <c r="BL26" s="1253">
        <f t="shared" si="27"/>
        <v>0</v>
      </c>
      <c r="BM26" s="1253">
        <f t="shared" si="28"/>
        <v>0</v>
      </c>
      <c r="BN26" s="1253">
        <f t="shared" si="29"/>
        <v>0</v>
      </c>
      <c r="BO26" s="1253">
        <f t="shared" si="30"/>
        <v>0</v>
      </c>
      <c r="BP26" s="1254">
        <v>0</v>
      </c>
      <c r="BQ26" s="1254">
        <v>0</v>
      </c>
      <c r="BR26" s="1253">
        <f t="shared" si="41"/>
        <v>0</v>
      </c>
      <c r="BS26" s="1254">
        <v>0</v>
      </c>
      <c r="BT26" s="1253">
        <f t="shared" si="32"/>
        <v>0</v>
      </c>
      <c r="BU26" s="1253">
        <f t="shared" si="33"/>
        <v>0</v>
      </c>
      <c r="BV26" s="1253">
        <f t="shared" si="34"/>
        <v>0</v>
      </c>
      <c r="BW26" s="1253">
        <f t="shared" si="35"/>
        <v>0</v>
      </c>
      <c r="BX26" s="40">
        <v>20</v>
      </c>
      <c r="BY26" s="191"/>
    </row>
    <row r="27" spans="2:77" ht="26.25" customHeight="1" x14ac:dyDescent="0.45">
      <c r="B27" s="517">
        <v>21</v>
      </c>
      <c r="C27" s="123">
        <f t="shared" si="36"/>
        <v>44672</v>
      </c>
      <c r="D27" s="124" t="str">
        <f>IF(C27="","",INDEX({"रविवार";"सोमवार";"मंगळवार";"बुधवार";"गुरूवार";"शुक्रवार";"शनिवार"},WEEKDAY(C27)))</f>
        <v>गुरूवार</v>
      </c>
      <c r="E27" s="125">
        <f>HLOOKUP(C3,'दैनिक माहिती'!BF268:BQ299,22,0)</f>
        <v>0</v>
      </c>
      <c r="F27" s="131">
        <f>HLOOKUP(C3,'दैनिक माहिती'!BF303:BQ334,22,0)</f>
        <v>0</v>
      </c>
      <c r="G27" s="126">
        <f t="shared" si="4"/>
        <v>0</v>
      </c>
      <c r="H27" s="131">
        <f>HLOOKUP(C3,'दैनिक माहिती'!BF194:BQ226,22,0)</f>
        <v>0</v>
      </c>
      <c r="I27" s="131">
        <f>HLOOKUP(C3,'दैनिक माहिती'!BF231:BQ263,22,0)</f>
        <v>0</v>
      </c>
      <c r="J27" s="127">
        <f t="shared" si="5"/>
        <v>0</v>
      </c>
      <c r="K27" s="128">
        <f t="shared" si="6"/>
        <v>0</v>
      </c>
      <c r="L27" s="128">
        <f t="shared" si="7"/>
        <v>0</v>
      </c>
      <c r="M27" s="128">
        <f t="shared" si="8"/>
        <v>0</v>
      </c>
      <c r="N27" s="128">
        <f t="shared" si="9"/>
        <v>0</v>
      </c>
      <c r="O27" s="128">
        <f t="shared" si="10"/>
        <v>0</v>
      </c>
      <c r="P27" s="128">
        <f t="shared" si="11"/>
        <v>0</v>
      </c>
      <c r="Q27" s="128">
        <f t="shared" si="12"/>
        <v>0</v>
      </c>
      <c r="R27" s="128">
        <f t="shared" si="13"/>
        <v>0</v>
      </c>
      <c r="S27" s="129">
        <f t="shared" si="14"/>
        <v>0</v>
      </c>
      <c r="T27" s="518">
        <v>0</v>
      </c>
      <c r="U27" s="518">
        <v>0</v>
      </c>
      <c r="V27" s="130">
        <f t="shared" si="40"/>
        <v>0</v>
      </c>
      <c r="W27" s="518">
        <v>0</v>
      </c>
      <c r="X27" s="120">
        <f t="shared" si="16"/>
        <v>0</v>
      </c>
      <c r="Y27" s="121">
        <f t="shared" si="17"/>
        <v>0</v>
      </c>
      <c r="Z27" s="1149">
        <f t="shared" si="18"/>
        <v>0</v>
      </c>
      <c r="AA27" s="122">
        <f t="shared" si="19"/>
        <v>0</v>
      </c>
      <c r="AW27" s="191"/>
      <c r="AX27" s="1246">
        <v>21</v>
      </c>
      <c r="AY27" s="1247">
        <f t="shared" si="37"/>
        <v>44794</v>
      </c>
      <c r="AZ27" s="1248" t="str">
        <f>IF(AY27="","",INDEX({"रविवार";"सोमवार";"मंगळवार";"बुधवार";"गुरूवार";"शुक्रवार";"शनिवार"},WEEKDAY(AY27)))</f>
        <v>रविवार</v>
      </c>
      <c r="BA27" s="1249">
        <f>HLOOKUP(AY3,'दैनिक माहिती'!BF268:BQ299,22,0)</f>
        <v>0</v>
      </c>
      <c r="BB27" s="1250"/>
      <c r="BC27" s="1251">
        <f t="shared" si="20"/>
        <v>0</v>
      </c>
      <c r="BD27" s="1250"/>
      <c r="BE27" s="1251">
        <f>HLOOKUP(AY3,'दैनिक माहिती'!BF231:BQ263,22,0)</f>
        <v>0</v>
      </c>
      <c r="BF27" s="1252">
        <f t="shared" si="21"/>
        <v>0</v>
      </c>
      <c r="BG27" s="1253">
        <f t="shared" si="22"/>
        <v>0</v>
      </c>
      <c r="BH27" s="1253">
        <f t="shared" si="23"/>
        <v>0</v>
      </c>
      <c r="BI27" s="1253">
        <f t="shared" si="24"/>
        <v>0</v>
      </c>
      <c r="BJ27" s="1253">
        <f t="shared" si="25"/>
        <v>0</v>
      </c>
      <c r="BK27" s="1253">
        <f t="shared" si="26"/>
        <v>0</v>
      </c>
      <c r="BL27" s="1253">
        <f t="shared" si="27"/>
        <v>0</v>
      </c>
      <c r="BM27" s="1253">
        <f t="shared" si="28"/>
        <v>0</v>
      </c>
      <c r="BN27" s="1253">
        <f t="shared" si="29"/>
        <v>0</v>
      </c>
      <c r="BO27" s="1253">
        <f t="shared" si="30"/>
        <v>0</v>
      </c>
      <c r="BP27" s="1254">
        <v>0</v>
      </c>
      <c r="BQ27" s="1254">
        <v>0</v>
      </c>
      <c r="BR27" s="1253">
        <f t="shared" si="41"/>
        <v>0</v>
      </c>
      <c r="BS27" s="1254">
        <v>0</v>
      </c>
      <c r="BT27" s="1253">
        <f t="shared" si="32"/>
        <v>0</v>
      </c>
      <c r="BU27" s="1253">
        <f t="shared" si="33"/>
        <v>0</v>
      </c>
      <c r="BV27" s="1253">
        <f t="shared" si="34"/>
        <v>0</v>
      </c>
      <c r="BW27" s="1253">
        <f t="shared" si="35"/>
        <v>0</v>
      </c>
      <c r="BX27" s="40">
        <v>21</v>
      </c>
      <c r="BY27" s="191"/>
    </row>
    <row r="28" spans="2:77" ht="26.25" customHeight="1" x14ac:dyDescent="0.45">
      <c r="B28" s="517">
        <v>22</v>
      </c>
      <c r="C28" s="123">
        <f t="shared" si="36"/>
        <v>44673</v>
      </c>
      <c r="D28" s="124" t="str">
        <f>IF(C28="","",INDEX({"रविवार";"सोमवार";"मंगळवार";"बुधवार";"गुरूवार";"शुक्रवार";"शनिवार"},WEEKDAY(C28)))</f>
        <v>शुक्रवार</v>
      </c>
      <c r="E28" s="125">
        <f>HLOOKUP(C3,'दैनिक माहिती'!BF268:BQ299,23,0)</f>
        <v>0</v>
      </c>
      <c r="F28" s="131">
        <f>HLOOKUP(C3,'दैनिक माहिती'!BF303:BQ334,23,0)</f>
        <v>0</v>
      </c>
      <c r="G28" s="126">
        <f t="shared" si="4"/>
        <v>0</v>
      </c>
      <c r="H28" s="131">
        <f>HLOOKUP(C3,'दैनिक माहिती'!BF194:BQ226,23,0)</f>
        <v>0</v>
      </c>
      <c r="I28" s="131">
        <f>HLOOKUP(C3,'दैनिक माहिती'!BF231:BQ263,23,0)</f>
        <v>0</v>
      </c>
      <c r="J28" s="127">
        <f t="shared" si="5"/>
        <v>0</v>
      </c>
      <c r="K28" s="128">
        <f t="shared" si="6"/>
        <v>0</v>
      </c>
      <c r="L28" s="128">
        <f t="shared" si="7"/>
        <v>0</v>
      </c>
      <c r="M28" s="128">
        <f t="shared" si="8"/>
        <v>0</v>
      </c>
      <c r="N28" s="128">
        <f t="shared" si="9"/>
        <v>0</v>
      </c>
      <c r="O28" s="128">
        <f t="shared" si="10"/>
        <v>0</v>
      </c>
      <c r="P28" s="128">
        <f t="shared" si="11"/>
        <v>0</v>
      </c>
      <c r="Q28" s="128">
        <f t="shared" si="12"/>
        <v>0</v>
      </c>
      <c r="R28" s="128">
        <f t="shared" si="13"/>
        <v>0</v>
      </c>
      <c r="S28" s="129">
        <f t="shared" si="14"/>
        <v>0</v>
      </c>
      <c r="T28" s="518">
        <v>0</v>
      </c>
      <c r="U28" s="518">
        <v>0</v>
      </c>
      <c r="V28" s="130">
        <f t="shared" si="40"/>
        <v>0</v>
      </c>
      <c r="W28" s="518">
        <v>0</v>
      </c>
      <c r="X28" s="120">
        <f t="shared" si="16"/>
        <v>0</v>
      </c>
      <c r="Y28" s="121">
        <f t="shared" si="17"/>
        <v>0</v>
      </c>
      <c r="Z28" s="1149">
        <f t="shared" si="18"/>
        <v>0</v>
      </c>
      <c r="AA28" s="122">
        <f t="shared" si="19"/>
        <v>0</v>
      </c>
      <c r="AW28" s="191"/>
      <c r="AX28" s="1246">
        <v>22</v>
      </c>
      <c r="AY28" s="1247">
        <f t="shared" si="37"/>
        <v>44795</v>
      </c>
      <c r="AZ28" s="1248" t="str">
        <f>IF(AY28="","",INDEX({"रविवार";"सोमवार";"मंगळवार";"बुधवार";"गुरूवार";"शुक्रवार";"शनिवार"},WEEKDAY(AY28)))</f>
        <v>सोमवार</v>
      </c>
      <c r="BA28" s="1249">
        <f>HLOOKUP(AY3,'दैनिक माहिती'!BF268:BQ299,23,0)</f>
        <v>0</v>
      </c>
      <c r="BB28" s="1250"/>
      <c r="BC28" s="1251">
        <f t="shared" si="20"/>
        <v>0</v>
      </c>
      <c r="BD28" s="1250"/>
      <c r="BE28" s="1251">
        <f>HLOOKUP(AY3,'दैनिक माहिती'!BF231:BQ263,23,0)</f>
        <v>0</v>
      </c>
      <c r="BF28" s="1252">
        <f t="shared" si="21"/>
        <v>0</v>
      </c>
      <c r="BG28" s="1253">
        <f t="shared" si="22"/>
        <v>0</v>
      </c>
      <c r="BH28" s="1253">
        <f t="shared" si="23"/>
        <v>0</v>
      </c>
      <c r="BI28" s="1253">
        <f t="shared" si="24"/>
        <v>0</v>
      </c>
      <c r="BJ28" s="1253">
        <f t="shared" si="25"/>
        <v>0</v>
      </c>
      <c r="BK28" s="1253">
        <f t="shared" si="26"/>
        <v>0</v>
      </c>
      <c r="BL28" s="1253">
        <f t="shared" si="27"/>
        <v>0</v>
      </c>
      <c r="BM28" s="1253">
        <f t="shared" si="28"/>
        <v>0</v>
      </c>
      <c r="BN28" s="1253">
        <f t="shared" si="29"/>
        <v>0</v>
      </c>
      <c r="BO28" s="1253">
        <f t="shared" si="30"/>
        <v>0</v>
      </c>
      <c r="BP28" s="1254">
        <v>0</v>
      </c>
      <c r="BQ28" s="1254">
        <v>0</v>
      </c>
      <c r="BR28" s="1253">
        <f t="shared" si="41"/>
        <v>0</v>
      </c>
      <c r="BS28" s="1254">
        <v>0</v>
      </c>
      <c r="BT28" s="1253">
        <f t="shared" si="32"/>
        <v>0</v>
      </c>
      <c r="BU28" s="1253">
        <f t="shared" si="33"/>
        <v>0</v>
      </c>
      <c r="BV28" s="1253">
        <f t="shared" si="34"/>
        <v>0</v>
      </c>
      <c r="BW28" s="1253">
        <f t="shared" si="35"/>
        <v>0</v>
      </c>
      <c r="BX28" s="40">
        <v>22</v>
      </c>
      <c r="BY28" s="191"/>
    </row>
    <row r="29" spans="2:77" ht="26.25" customHeight="1" x14ac:dyDescent="0.45">
      <c r="B29" s="517">
        <v>23</v>
      </c>
      <c r="C29" s="123">
        <f t="shared" si="36"/>
        <v>44674</v>
      </c>
      <c r="D29" s="124" t="str">
        <f>IF(C29="","",INDEX({"रविवार";"सोमवार";"मंगळवार";"बुधवार";"गुरूवार";"शुक्रवार";"शनिवार"},WEEKDAY(C29)))</f>
        <v>शनिवार</v>
      </c>
      <c r="E29" s="125">
        <f>HLOOKUP(C3,'दैनिक माहिती'!BF268:BQ299,24,0)</f>
        <v>0</v>
      </c>
      <c r="F29" s="131">
        <f>HLOOKUP(C3,'दैनिक माहिती'!BF303:BQ334,24,0)</f>
        <v>0</v>
      </c>
      <c r="G29" s="126">
        <f t="shared" si="4"/>
        <v>0</v>
      </c>
      <c r="H29" s="131">
        <f>HLOOKUP(C3,'दैनिक माहिती'!BF194:BQ226,24,0)</f>
        <v>0</v>
      </c>
      <c r="I29" s="131">
        <f>HLOOKUP(C3,'दैनिक माहिती'!BF231:BQ263,24,0)</f>
        <v>0</v>
      </c>
      <c r="J29" s="127">
        <f t="shared" si="5"/>
        <v>0</v>
      </c>
      <c r="K29" s="128">
        <f t="shared" si="6"/>
        <v>0</v>
      </c>
      <c r="L29" s="128">
        <f t="shared" si="7"/>
        <v>0</v>
      </c>
      <c r="M29" s="128">
        <f t="shared" si="8"/>
        <v>0</v>
      </c>
      <c r="N29" s="128">
        <f t="shared" si="9"/>
        <v>0</v>
      </c>
      <c r="O29" s="128">
        <f t="shared" si="10"/>
        <v>0</v>
      </c>
      <c r="P29" s="128">
        <f t="shared" si="11"/>
        <v>0</v>
      </c>
      <c r="Q29" s="128">
        <f t="shared" si="12"/>
        <v>0</v>
      </c>
      <c r="R29" s="128">
        <f t="shared" si="13"/>
        <v>0</v>
      </c>
      <c r="S29" s="129">
        <f t="shared" si="14"/>
        <v>0</v>
      </c>
      <c r="T29" s="518">
        <v>0</v>
      </c>
      <c r="U29" s="518">
        <v>0</v>
      </c>
      <c r="V29" s="130">
        <f t="shared" si="40"/>
        <v>0</v>
      </c>
      <c r="W29" s="518">
        <v>0</v>
      </c>
      <c r="X29" s="120">
        <f t="shared" si="16"/>
        <v>0</v>
      </c>
      <c r="Y29" s="121">
        <f t="shared" si="17"/>
        <v>0</v>
      </c>
      <c r="Z29" s="1149">
        <f t="shared" si="18"/>
        <v>0</v>
      </c>
      <c r="AA29" s="122">
        <f t="shared" si="19"/>
        <v>0</v>
      </c>
      <c r="AW29" s="191"/>
      <c r="AX29" s="1246">
        <v>23</v>
      </c>
      <c r="AY29" s="1247">
        <f t="shared" si="37"/>
        <v>44796</v>
      </c>
      <c r="AZ29" s="1248" t="str">
        <f>IF(AY29="","",INDEX({"रविवार";"सोमवार";"मंगळवार";"बुधवार";"गुरूवार";"शुक्रवार";"शनिवार"},WEEKDAY(AY29)))</f>
        <v>मंगळवार</v>
      </c>
      <c r="BA29" s="1249">
        <f>HLOOKUP(AY3,'दैनिक माहिती'!BF268:BQ299,24,0)</f>
        <v>0</v>
      </c>
      <c r="BB29" s="1250"/>
      <c r="BC29" s="1251">
        <f t="shared" si="20"/>
        <v>0</v>
      </c>
      <c r="BD29" s="1250"/>
      <c r="BE29" s="1251">
        <f>HLOOKUP(AY3,'दैनिक माहिती'!BF231:BQ263,24,0)</f>
        <v>0</v>
      </c>
      <c r="BF29" s="1252">
        <f t="shared" si="21"/>
        <v>0</v>
      </c>
      <c r="BG29" s="1253">
        <f t="shared" si="22"/>
        <v>0</v>
      </c>
      <c r="BH29" s="1253">
        <f t="shared" si="23"/>
        <v>0</v>
      </c>
      <c r="BI29" s="1253">
        <f t="shared" si="24"/>
        <v>0</v>
      </c>
      <c r="BJ29" s="1253">
        <f t="shared" si="25"/>
        <v>0</v>
      </c>
      <c r="BK29" s="1253">
        <f t="shared" si="26"/>
        <v>0</v>
      </c>
      <c r="BL29" s="1253">
        <f t="shared" si="27"/>
        <v>0</v>
      </c>
      <c r="BM29" s="1253">
        <f t="shared" si="28"/>
        <v>0</v>
      </c>
      <c r="BN29" s="1253">
        <f t="shared" si="29"/>
        <v>0</v>
      </c>
      <c r="BO29" s="1253">
        <f t="shared" si="30"/>
        <v>0</v>
      </c>
      <c r="BP29" s="1254">
        <v>0</v>
      </c>
      <c r="BQ29" s="1254">
        <v>0</v>
      </c>
      <c r="BR29" s="1253">
        <f t="shared" si="41"/>
        <v>0</v>
      </c>
      <c r="BS29" s="1254">
        <v>0</v>
      </c>
      <c r="BT29" s="1253">
        <f t="shared" si="32"/>
        <v>0</v>
      </c>
      <c r="BU29" s="1253">
        <f t="shared" si="33"/>
        <v>0</v>
      </c>
      <c r="BV29" s="1253">
        <f t="shared" si="34"/>
        <v>0</v>
      </c>
      <c r="BW29" s="1253">
        <f t="shared" si="35"/>
        <v>0</v>
      </c>
      <c r="BX29" s="40">
        <v>23</v>
      </c>
      <c r="BY29" s="191"/>
    </row>
    <row r="30" spans="2:77" ht="26.25" customHeight="1" x14ac:dyDescent="0.45">
      <c r="B30" s="517">
        <v>24</v>
      </c>
      <c r="C30" s="123">
        <f t="shared" si="36"/>
        <v>44675</v>
      </c>
      <c r="D30" s="124" t="str">
        <f>IF(C30="","",INDEX({"रविवार";"सोमवार";"मंगळवार";"बुधवार";"गुरूवार";"शुक्रवार";"शनिवार"},WEEKDAY(C30)))</f>
        <v>रविवार</v>
      </c>
      <c r="E30" s="125">
        <f>HLOOKUP(C3,'दैनिक माहिती'!BF268:BQ299,25,0)</f>
        <v>0</v>
      </c>
      <c r="F30" s="131">
        <f>HLOOKUP(C3,'दैनिक माहिती'!BF303:BQ334,25,0)</f>
        <v>0</v>
      </c>
      <c r="G30" s="126">
        <f t="shared" si="4"/>
        <v>0</v>
      </c>
      <c r="H30" s="131">
        <f>HLOOKUP(C3,'दैनिक माहिती'!BF194:BQ226,25,0)</f>
        <v>0</v>
      </c>
      <c r="I30" s="131">
        <f>HLOOKUP(C3,'दैनिक माहिती'!BF231:BQ263,25,0)</f>
        <v>0</v>
      </c>
      <c r="J30" s="127">
        <f t="shared" si="5"/>
        <v>0</v>
      </c>
      <c r="K30" s="128">
        <f t="shared" si="6"/>
        <v>0</v>
      </c>
      <c r="L30" s="128">
        <f t="shared" si="7"/>
        <v>0</v>
      </c>
      <c r="M30" s="128">
        <f t="shared" si="8"/>
        <v>0</v>
      </c>
      <c r="N30" s="128">
        <f t="shared" si="9"/>
        <v>0</v>
      </c>
      <c r="O30" s="128">
        <f t="shared" si="10"/>
        <v>0</v>
      </c>
      <c r="P30" s="128">
        <f t="shared" si="11"/>
        <v>0</v>
      </c>
      <c r="Q30" s="128">
        <f t="shared" si="12"/>
        <v>0</v>
      </c>
      <c r="R30" s="128">
        <f t="shared" si="13"/>
        <v>0</v>
      </c>
      <c r="S30" s="129">
        <f t="shared" si="14"/>
        <v>0</v>
      </c>
      <c r="T30" s="518">
        <v>0</v>
      </c>
      <c r="U30" s="518">
        <v>0</v>
      </c>
      <c r="V30" s="130">
        <f t="shared" si="40"/>
        <v>0</v>
      </c>
      <c r="W30" s="518">
        <v>0</v>
      </c>
      <c r="X30" s="120">
        <f t="shared" si="16"/>
        <v>0</v>
      </c>
      <c r="Y30" s="121">
        <f t="shared" si="17"/>
        <v>0</v>
      </c>
      <c r="Z30" s="1149">
        <f t="shared" si="18"/>
        <v>0</v>
      </c>
      <c r="AA30" s="122">
        <f t="shared" si="19"/>
        <v>0</v>
      </c>
      <c r="AW30" s="191"/>
      <c r="AX30" s="1246">
        <v>24</v>
      </c>
      <c r="AY30" s="1247">
        <f t="shared" si="37"/>
        <v>44797</v>
      </c>
      <c r="AZ30" s="1248" t="str">
        <f>IF(AY30="","",INDEX({"रविवार";"सोमवार";"मंगळवार";"बुधवार";"गुरूवार";"शुक्रवार";"शनिवार"},WEEKDAY(AY30)))</f>
        <v>बुधवार</v>
      </c>
      <c r="BA30" s="1249">
        <f>HLOOKUP(AY3,'दैनिक माहिती'!BF268:BQ299,25,0)</f>
        <v>0</v>
      </c>
      <c r="BB30" s="1250"/>
      <c r="BC30" s="1251">
        <f t="shared" si="20"/>
        <v>0</v>
      </c>
      <c r="BD30" s="1250"/>
      <c r="BE30" s="1251">
        <f>HLOOKUP(AY3,'दैनिक माहिती'!BF231:BQ263,25,0)</f>
        <v>0</v>
      </c>
      <c r="BF30" s="1252">
        <f t="shared" si="21"/>
        <v>0</v>
      </c>
      <c r="BG30" s="1253">
        <f t="shared" si="22"/>
        <v>0</v>
      </c>
      <c r="BH30" s="1253">
        <f t="shared" si="23"/>
        <v>0</v>
      </c>
      <c r="BI30" s="1253">
        <f t="shared" si="24"/>
        <v>0</v>
      </c>
      <c r="BJ30" s="1253">
        <f t="shared" si="25"/>
        <v>0</v>
      </c>
      <c r="BK30" s="1253">
        <f t="shared" si="26"/>
        <v>0</v>
      </c>
      <c r="BL30" s="1253">
        <f t="shared" si="27"/>
        <v>0</v>
      </c>
      <c r="BM30" s="1253">
        <f t="shared" si="28"/>
        <v>0</v>
      </c>
      <c r="BN30" s="1253">
        <f t="shared" si="29"/>
        <v>0</v>
      </c>
      <c r="BO30" s="1253">
        <f t="shared" si="30"/>
        <v>0</v>
      </c>
      <c r="BP30" s="1254">
        <v>0</v>
      </c>
      <c r="BQ30" s="1254">
        <v>0</v>
      </c>
      <c r="BR30" s="1253">
        <f t="shared" si="41"/>
        <v>0</v>
      </c>
      <c r="BS30" s="1254">
        <v>0</v>
      </c>
      <c r="BT30" s="1253">
        <f t="shared" si="32"/>
        <v>0</v>
      </c>
      <c r="BU30" s="1253">
        <f t="shared" si="33"/>
        <v>0</v>
      </c>
      <c r="BV30" s="1253">
        <f t="shared" si="34"/>
        <v>0</v>
      </c>
      <c r="BW30" s="1253">
        <f t="shared" si="35"/>
        <v>0</v>
      </c>
      <c r="BX30" s="40">
        <v>24</v>
      </c>
      <c r="BY30" s="191"/>
    </row>
    <row r="31" spans="2:77" ht="26.25" customHeight="1" x14ac:dyDescent="0.45">
      <c r="B31" s="517">
        <v>25</v>
      </c>
      <c r="C31" s="123">
        <f t="shared" si="36"/>
        <v>44676</v>
      </c>
      <c r="D31" s="124" t="str">
        <f>IF(C31="","",INDEX({"रविवार";"सोमवार";"मंगळवार";"बुधवार";"गुरूवार";"शुक्रवार";"शनिवार"},WEEKDAY(C31)))</f>
        <v>सोमवार</v>
      </c>
      <c r="E31" s="125">
        <f>HLOOKUP(C3,'दैनिक माहिती'!BF268:BQ299,26,0)</f>
        <v>0</v>
      </c>
      <c r="F31" s="131">
        <f>HLOOKUP(C3,'दैनिक माहिती'!BF303:BQ334,26,0)</f>
        <v>0</v>
      </c>
      <c r="G31" s="126">
        <f t="shared" si="4"/>
        <v>0</v>
      </c>
      <c r="H31" s="131">
        <f>HLOOKUP(C3,'दैनिक माहिती'!BF194:BQ226,26,0)</f>
        <v>0</v>
      </c>
      <c r="I31" s="131">
        <f>HLOOKUP(C3,'दैनिक माहिती'!BF231:BQ263,26,0)</f>
        <v>0</v>
      </c>
      <c r="J31" s="127">
        <f t="shared" si="5"/>
        <v>0</v>
      </c>
      <c r="K31" s="128">
        <f t="shared" si="6"/>
        <v>0</v>
      </c>
      <c r="L31" s="128">
        <f t="shared" si="7"/>
        <v>0</v>
      </c>
      <c r="M31" s="128">
        <f t="shared" si="8"/>
        <v>0</v>
      </c>
      <c r="N31" s="128">
        <f t="shared" si="9"/>
        <v>0</v>
      </c>
      <c r="O31" s="128">
        <f t="shared" si="10"/>
        <v>0</v>
      </c>
      <c r="P31" s="128">
        <f t="shared" si="11"/>
        <v>0</v>
      </c>
      <c r="Q31" s="128">
        <f t="shared" si="12"/>
        <v>0</v>
      </c>
      <c r="R31" s="128">
        <f t="shared" si="13"/>
        <v>0</v>
      </c>
      <c r="S31" s="129">
        <f t="shared" si="14"/>
        <v>0</v>
      </c>
      <c r="T31" s="518">
        <v>0</v>
      </c>
      <c r="U31" s="518">
        <v>0</v>
      </c>
      <c r="V31" s="518">
        <v>0</v>
      </c>
      <c r="W31" s="130">
        <f>IF(G31=$G$2,$X$43/$G$38,0)</f>
        <v>0</v>
      </c>
      <c r="X31" s="120">
        <f t="shared" si="16"/>
        <v>0</v>
      </c>
      <c r="Y31" s="121">
        <f t="shared" si="17"/>
        <v>0</v>
      </c>
      <c r="Z31" s="1149">
        <f t="shared" si="18"/>
        <v>0</v>
      </c>
      <c r="AA31" s="122">
        <f t="shared" si="19"/>
        <v>0</v>
      </c>
      <c r="AW31" s="191"/>
      <c r="AX31" s="1246">
        <v>25</v>
      </c>
      <c r="AY31" s="1247">
        <f t="shared" si="37"/>
        <v>44798</v>
      </c>
      <c r="AZ31" s="1248" t="str">
        <f>IF(AY31="","",INDEX({"रविवार";"सोमवार";"मंगळवार";"बुधवार";"गुरूवार";"शुक्रवार";"शनिवार"},WEEKDAY(AY31)))</f>
        <v>गुरूवार</v>
      </c>
      <c r="BA31" s="1249">
        <f>HLOOKUP(AY3,'दैनिक माहिती'!BF268:BQ299,26,0)</f>
        <v>0</v>
      </c>
      <c r="BB31" s="1250"/>
      <c r="BC31" s="1251">
        <f t="shared" si="20"/>
        <v>0</v>
      </c>
      <c r="BD31" s="1250"/>
      <c r="BE31" s="1251">
        <f>HLOOKUP(AY3,'दैनिक माहिती'!BF231:BQ263,26,0)</f>
        <v>0</v>
      </c>
      <c r="BF31" s="1252">
        <f t="shared" si="21"/>
        <v>0</v>
      </c>
      <c r="BG31" s="1253">
        <f t="shared" si="22"/>
        <v>0</v>
      </c>
      <c r="BH31" s="1253">
        <f t="shared" si="23"/>
        <v>0</v>
      </c>
      <c r="BI31" s="1253">
        <f t="shared" si="24"/>
        <v>0</v>
      </c>
      <c r="BJ31" s="1253">
        <f t="shared" si="25"/>
        <v>0</v>
      </c>
      <c r="BK31" s="1253">
        <f t="shared" si="26"/>
        <v>0</v>
      </c>
      <c r="BL31" s="1253">
        <f t="shared" si="27"/>
        <v>0</v>
      </c>
      <c r="BM31" s="1253">
        <f t="shared" si="28"/>
        <v>0</v>
      </c>
      <c r="BN31" s="1253">
        <f t="shared" si="29"/>
        <v>0</v>
      </c>
      <c r="BO31" s="1253">
        <f t="shared" si="30"/>
        <v>0</v>
      </c>
      <c r="BP31" s="1254">
        <v>0</v>
      </c>
      <c r="BQ31" s="1254">
        <v>0</v>
      </c>
      <c r="BR31" s="1254">
        <v>0</v>
      </c>
      <c r="BS31" s="1253">
        <f>IF(BC31=$BC$2,$BT$43/$BC$38,0)</f>
        <v>0</v>
      </c>
      <c r="BT31" s="1253">
        <f t="shared" si="32"/>
        <v>0</v>
      </c>
      <c r="BU31" s="1253">
        <f t="shared" si="33"/>
        <v>0</v>
      </c>
      <c r="BV31" s="1253">
        <f t="shared" si="34"/>
        <v>0</v>
      </c>
      <c r="BW31" s="1253">
        <f t="shared" si="35"/>
        <v>0</v>
      </c>
      <c r="BX31" s="40">
        <v>25</v>
      </c>
      <c r="BY31" s="191"/>
    </row>
    <row r="32" spans="2:77" ht="26.25" customHeight="1" x14ac:dyDescent="0.45">
      <c r="B32" s="517">
        <v>26</v>
      </c>
      <c r="C32" s="123">
        <f t="shared" si="36"/>
        <v>44677</v>
      </c>
      <c r="D32" s="124" t="str">
        <f>IF(C32="","",INDEX({"रविवार";"सोमवार";"मंगळवार";"बुधवार";"गुरूवार";"शुक्रवार";"शनिवार"},WEEKDAY(C32)))</f>
        <v>मंगळवार</v>
      </c>
      <c r="E32" s="125">
        <f>HLOOKUP(C3,'दैनिक माहिती'!BF268:BQ299,27,0)</f>
        <v>0</v>
      </c>
      <c r="F32" s="131">
        <f>HLOOKUP(C3,'दैनिक माहिती'!BF303:BQ334,27,0)</f>
        <v>0</v>
      </c>
      <c r="G32" s="126">
        <f t="shared" si="4"/>
        <v>0</v>
      </c>
      <c r="H32" s="131">
        <f>HLOOKUP(C3,'दैनिक माहिती'!BF194:BQ226,27,0)</f>
        <v>0</v>
      </c>
      <c r="I32" s="131">
        <f>HLOOKUP(C3,'दैनिक माहिती'!BF231:BQ263,27,0)</f>
        <v>0</v>
      </c>
      <c r="J32" s="127">
        <f t="shared" si="5"/>
        <v>0</v>
      </c>
      <c r="K32" s="128">
        <f t="shared" si="6"/>
        <v>0</v>
      </c>
      <c r="L32" s="128">
        <f t="shared" si="7"/>
        <v>0</v>
      </c>
      <c r="M32" s="128">
        <f t="shared" si="8"/>
        <v>0</v>
      </c>
      <c r="N32" s="128">
        <f t="shared" si="9"/>
        <v>0</v>
      </c>
      <c r="O32" s="128">
        <f t="shared" si="10"/>
        <v>0</v>
      </c>
      <c r="P32" s="128">
        <f t="shared" si="11"/>
        <v>0</v>
      </c>
      <c r="Q32" s="128">
        <f t="shared" si="12"/>
        <v>0</v>
      </c>
      <c r="R32" s="128">
        <f t="shared" si="13"/>
        <v>0</v>
      </c>
      <c r="S32" s="129">
        <f t="shared" si="14"/>
        <v>0</v>
      </c>
      <c r="T32" s="518">
        <v>0</v>
      </c>
      <c r="U32" s="518">
        <v>0</v>
      </c>
      <c r="V32" s="518">
        <v>0</v>
      </c>
      <c r="W32" s="130">
        <f t="shared" ref="W32:W37" si="42">IF(G32=$G$2,$X$43/$G$38,0)</f>
        <v>0</v>
      </c>
      <c r="X32" s="120">
        <f t="shared" si="16"/>
        <v>0</v>
      </c>
      <c r="Y32" s="121">
        <f t="shared" si="17"/>
        <v>0</v>
      </c>
      <c r="Z32" s="1149">
        <f t="shared" si="18"/>
        <v>0</v>
      </c>
      <c r="AA32" s="122">
        <f t="shared" si="19"/>
        <v>0</v>
      </c>
      <c r="AW32" s="191"/>
      <c r="AX32" s="1246">
        <v>26</v>
      </c>
      <c r="AY32" s="1247">
        <f t="shared" si="37"/>
        <v>44799</v>
      </c>
      <c r="AZ32" s="1248" t="str">
        <f>IF(AY32="","",INDEX({"रविवार";"सोमवार";"मंगळवार";"बुधवार";"गुरूवार";"शुक्रवार";"शनिवार"},WEEKDAY(AY32)))</f>
        <v>शुक्रवार</v>
      </c>
      <c r="BA32" s="1249">
        <f>HLOOKUP(AY3,'दैनिक माहिती'!BF268:BQ299,27,0)</f>
        <v>0</v>
      </c>
      <c r="BB32" s="1250"/>
      <c r="BC32" s="1251">
        <f t="shared" si="20"/>
        <v>0</v>
      </c>
      <c r="BD32" s="1250"/>
      <c r="BE32" s="1251">
        <f>HLOOKUP(AY3,'दैनिक माहिती'!BF231:BQ263,27,0)</f>
        <v>0</v>
      </c>
      <c r="BF32" s="1252">
        <f t="shared" si="21"/>
        <v>0</v>
      </c>
      <c r="BG32" s="1253">
        <f t="shared" si="22"/>
        <v>0</v>
      </c>
      <c r="BH32" s="1253">
        <f t="shared" si="23"/>
        <v>0</v>
      </c>
      <c r="BI32" s="1253">
        <f t="shared" si="24"/>
        <v>0</v>
      </c>
      <c r="BJ32" s="1253">
        <f t="shared" si="25"/>
        <v>0</v>
      </c>
      <c r="BK32" s="1253">
        <f t="shared" si="26"/>
        <v>0</v>
      </c>
      <c r="BL32" s="1253">
        <f t="shared" si="27"/>
        <v>0</v>
      </c>
      <c r="BM32" s="1253">
        <f t="shared" si="28"/>
        <v>0</v>
      </c>
      <c r="BN32" s="1253">
        <f t="shared" si="29"/>
        <v>0</v>
      </c>
      <c r="BO32" s="1253">
        <f t="shared" si="30"/>
        <v>0</v>
      </c>
      <c r="BP32" s="1254">
        <v>0</v>
      </c>
      <c r="BQ32" s="1254">
        <v>0</v>
      </c>
      <c r="BR32" s="1254">
        <v>0</v>
      </c>
      <c r="BS32" s="1253">
        <f t="shared" ref="BS32:BS37" si="43">IF(BC32=$BC$2,$BT$43/$BC$38,0)</f>
        <v>0</v>
      </c>
      <c r="BT32" s="1253">
        <f t="shared" si="32"/>
        <v>0</v>
      </c>
      <c r="BU32" s="1253">
        <f t="shared" si="33"/>
        <v>0</v>
      </c>
      <c r="BV32" s="1253">
        <f t="shared" si="34"/>
        <v>0</v>
      </c>
      <c r="BW32" s="1253">
        <f t="shared" si="35"/>
        <v>0</v>
      </c>
      <c r="BX32" s="40">
        <v>26</v>
      </c>
      <c r="BY32" s="191"/>
    </row>
    <row r="33" spans="2:77" ht="26.25" customHeight="1" x14ac:dyDescent="0.45">
      <c r="B33" s="517">
        <v>27</v>
      </c>
      <c r="C33" s="123">
        <f t="shared" si="36"/>
        <v>44678</v>
      </c>
      <c r="D33" s="124" t="str">
        <f>IF(C33="","",INDEX({"रविवार";"सोमवार";"मंगळवार";"बुधवार";"गुरूवार";"शुक्रवार";"शनिवार"},WEEKDAY(C33)))</f>
        <v>बुधवार</v>
      </c>
      <c r="E33" s="125">
        <f>HLOOKUP(C3,'दैनिक माहिती'!BF268:BQ299,28,0)</f>
        <v>0</v>
      </c>
      <c r="F33" s="131">
        <f>HLOOKUP(C3,'दैनिक माहिती'!BF303:BQ334,28,0)</f>
        <v>0</v>
      </c>
      <c r="G33" s="126">
        <f t="shared" si="4"/>
        <v>0</v>
      </c>
      <c r="H33" s="131">
        <f>HLOOKUP(C3,'दैनिक माहिती'!BF194:BQ226,28,0)</f>
        <v>0</v>
      </c>
      <c r="I33" s="131">
        <f>HLOOKUP(C3,'दैनिक माहिती'!BF231:BQ263,28,0)</f>
        <v>0</v>
      </c>
      <c r="J33" s="127">
        <f t="shared" si="5"/>
        <v>0</v>
      </c>
      <c r="K33" s="128">
        <f t="shared" si="6"/>
        <v>0</v>
      </c>
      <c r="L33" s="128">
        <f t="shared" si="7"/>
        <v>0</v>
      </c>
      <c r="M33" s="128">
        <f t="shared" si="8"/>
        <v>0</v>
      </c>
      <c r="N33" s="128">
        <f t="shared" si="9"/>
        <v>0</v>
      </c>
      <c r="O33" s="128">
        <f t="shared" si="10"/>
        <v>0</v>
      </c>
      <c r="P33" s="128">
        <f t="shared" si="11"/>
        <v>0</v>
      </c>
      <c r="Q33" s="128">
        <f t="shared" si="12"/>
        <v>0</v>
      </c>
      <c r="R33" s="128">
        <f t="shared" si="13"/>
        <v>0</v>
      </c>
      <c r="S33" s="129">
        <f t="shared" si="14"/>
        <v>0</v>
      </c>
      <c r="T33" s="518">
        <v>0</v>
      </c>
      <c r="U33" s="518">
        <v>0</v>
      </c>
      <c r="V33" s="518">
        <v>0</v>
      </c>
      <c r="W33" s="130">
        <f t="shared" si="42"/>
        <v>0</v>
      </c>
      <c r="X33" s="120">
        <f t="shared" si="16"/>
        <v>0</v>
      </c>
      <c r="Y33" s="121">
        <f t="shared" si="17"/>
        <v>0</v>
      </c>
      <c r="Z33" s="1149">
        <f t="shared" si="18"/>
        <v>0</v>
      </c>
      <c r="AA33" s="122">
        <f t="shared" si="19"/>
        <v>0</v>
      </c>
      <c r="AW33" s="191"/>
      <c r="AX33" s="1246">
        <v>27</v>
      </c>
      <c r="AY33" s="1247">
        <f t="shared" si="37"/>
        <v>44800</v>
      </c>
      <c r="AZ33" s="1248" t="str">
        <f>IF(AY33="","",INDEX({"रविवार";"सोमवार";"मंगळवार";"बुधवार";"गुरूवार";"शुक्रवार";"शनिवार"},WEEKDAY(AY33)))</f>
        <v>शनिवार</v>
      </c>
      <c r="BA33" s="1249">
        <f>HLOOKUP(AY3,'दैनिक माहिती'!BF268:BQ299,28,0)</f>
        <v>0</v>
      </c>
      <c r="BB33" s="1250"/>
      <c r="BC33" s="1251">
        <f t="shared" si="20"/>
        <v>0</v>
      </c>
      <c r="BD33" s="1250"/>
      <c r="BE33" s="1251">
        <f>HLOOKUP(AY3,'दैनिक माहिती'!BF231:BQ263,28,0)</f>
        <v>0</v>
      </c>
      <c r="BF33" s="1252">
        <f t="shared" si="21"/>
        <v>0</v>
      </c>
      <c r="BG33" s="1253">
        <f t="shared" si="22"/>
        <v>0</v>
      </c>
      <c r="BH33" s="1253">
        <f t="shared" si="23"/>
        <v>0</v>
      </c>
      <c r="BI33" s="1253">
        <f t="shared" si="24"/>
        <v>0</v>
      </c>
      <c r="BJ33" s="1253">
        <f t="shared" si="25"/>
        <v>0</v>
      </c>
      <c r="BK33" s="1253">
        <f t="shared" si="26"/>
        <v>0</v>
      </c>
      <c r="BL33" s="1253">
        <f t="shared" si="27"/>
        <v>0</v>
      </c>
      <c r="BM33" s="1253">
        <f t="shared" si="28"/>
        <v>0</v>
      </c>
      <c r="BN33" s="1253">
        <f t="shared" si="29"/>
        <v>0</v>
      </c>
      <c r="BO33" s="1253">
        <f t="shared" si="30"/>
        <v>0</v>
      </c>
      <c r="BP33" s="1254">
        <v>0</v>
      </c>
      <c r="BQ33" s="1254">
        <v>0</v>
      </c>
      <c r="BR33" s="1254">
        <v>0</v>
      </c>
      <c r="BS33" s="1253">
        <f t="shared" si="43"/>
        <v>0</v>
      </c>
      <c r="BT33" s="1253">
        <f t="shared" si="32"/>
        <v>0</v>
      </c>
      <c r="BU33" s="1253">
        <f t="shared" si="33"/>
        <v>0</v>
      </c>
      <c r="BV33" s="1253">
        <f t="shared" si="34"/>
        <v>0</v>
      </c>
      <c r="BW33" s="1253">
        <f t="shared" si="35"/>
        <v>0</v>
      </c>
      <c r="BX33" s="40">
        <v>27</v>
      </c>
      <c r="BY33" s="191"/>
    </row>
    <row r="34" spans="2:77" ht="26.25" customHeight="1" x14ac:dyDescent="0.45">
      <c r="B34" s="517">
        <v>28</v>
      </c>
      <c r="C34" s="123">
        <f t="shared" si="36"/>
        <v>44679</v>
      </c>
      <c r="D34" s="124" t="str">
        <f>IF(C34="","",INDEX({"रविवार";"सोमवार";"मंगळवार";"बुधवार";"गुरूवार";"शुक्रवार";"शनिवार"},WEEKDAY(C34)))</f>
        <v>गुरूवार</v>
      </c>
      <c r="E34" s="125">
        <f>HLOOKUP(C3,'दैनिक माहिती'!BF268:BQ299,29,0)</f>
        <v>0</v>
      </c>
      <c r="F34" s="131">
        <f>HLOOKUP(C3,'दैनिक माहिती'!BF303:BQ334,29,0)</f>
        <v>0</v>
      </c>
      <c r="G34" s="126">
        <f t="shared" si="4"/>
        <v>0</v>
      </c>
      <c r="H34" s="131">
        <f>HLOOKUP(C3,'दैनिक माहिती'!BF194:BQ226,29,0)</f>
        <v>0</v>
      </c>
      <c r="I34" s="131">
        <f>HLOOKUP(C3,'दैनिक माहिती'!BF231:BQ263,29,0)</f>
        <v>0</v>
      </c>
      <c r="J34" s="127">
        <f t="shared" si="5"/>
        <v>0</v>
      </c>
      <c r="K34" s="128">
        <f t="shared" si="6"/>
        <v>0</v>
      </c>
      <c r="L34" s="128">
        <f t="shared" si="7"/>
        <v>0</v>
      </c>
      <c r="M34" s="128">
        <f t="shared" si="8"/>
        <v>0</v>
      </c>
      <c r="N34" s="128">
        <f t="shared" si="9"/>
        <v>0</v>
      </c>
      <c r="O34" s="128">
        <f t="shared" si="10"/>
        <v>0</v>
      </c>
      <c r="P34" s="128">
        <f t="shared" si="11"/>
        <v>0</v>
      </c>
      <c r="Q34" s="128">
        <f t="shared" si="12"/>
        <v>0</v>
      </c>
      <c r="R34" s="128">
        <f t="shared" si="13"/>
        <v>0</v>
      </c>
      <c r="S34" s="129">
        <f t="shared" si="14"/>
        <v>0</v>
      </c>
      <c r="T34" s="518">
        <v>0</v>
      </c>
      <c r="U34" s="518">
        <v>0</v>
      </c>
      <c r="V34" s="518">
        <v>0</v>
      </c>
      <c r="W34" s="130">
        <f t="shared" si="42"/>
        <v>0</v>
      </c>
      <c r="X34" s="120">
        <f t="shared" si="16"/>
        <v>0</v>
      </c>
      <c r="Y34" s="121">
        <f t="shared" si="17"/>
        <v>0</v>
      </c>
      <c r="Z34" s="1149">
        <f t="shared" si="18"/>
        <v>0</v>
      </c>
      <c r="AA34" s="122">
        <f t="shared" si="19"/>
        <v>0</v>
      </c>
      <c r="AW34" s="191"/>
      <c r="AX34" s="1246">
        <v>28</v>
      </c>
      <c r="AY34" s="1247">
        <f t="shared" si="37"/>
        <v>44801</v>
      </c>
      <c r="AZ34" s="1248" t="str">
        <f>IF(AY34="","",INDEX({"रविवार";"सोमवार";"मंगळवार";"बुधवार";"गुरूवार";"शुक्रवार";"शनिवार"},WEEKDAY(AY34)))</f>
        <v>रविवार</v>
      </c>
      <c r="BA34" s="1249">
        <f>HLOOKUP(AY3,'दैनिक माहिती'!BF268:BQ299,29,0)</f>
        <v>0</v>
      </c>
      <c r="BB34" s="1250"/>
      <c r="BC34" s="1251">
        <f t="shared" si="20"/>
        <v>0</v>
      </c>
      <c r="BD34" s="1250"/>
      <c r="BE34" s="1251">
        <f>HLOOKUP(AY3,'दैनिक माहिती'!BF231:BQ263,29,0)</f>
        <v>0</v>
      </c>
      <c r="BF34" s="1252">
        <f t="shared" si="21"/>
        <v>0</v>
      </c>
      <c r="BG34" s="1253">
        <f t="shared" si="22"/>
        <v>0</v>
      </c>
      <c r="BH34" s="1253">
        <f t="shared" si="23"/>
        <v>0</v>
      </c>
      <c r="BI34" s="1253">
        <f t="shared" si="24"/>
        <v>0</v>
      </c>
      <c r="BJ34" s="1253">
        <f t="shared" si="25"/>
        <v>0</v>
      </c>
      <c r="BK34" s="1253">
        <f t="shared" si="26"/>
        <v>0</v>
      </c>
      <c r="BL34" s="1253">
        <f t="shared" si="27"/>
        <v>0</v>
      </c>
      <c r="BM34" s="1253">
        <f t="shared" si="28"/>
        <v>0</v>
      </c>
      <c r="BN34" s="1253">
        <f t="shared" si="29"/>
        <v>0</v>
      </c>
      <c r="BO34" s="1253">
        <f t="shared" si="30"/>
        <v>0</v>
      </c>
      <c r="BP34" s="1254">
        <v>0</v>
      </c>
      <c r="BQ34" s="1254">
        <v>0</v>
      </c>
      <c r="BR34" s="1254">
        <v>0</v>
      </c>
      <c r="BS34" s="1253">
        <f t="shared" si="43"/>
        <v>0</v>
      </c>
      <c r="BT34" s="1253">
        <f t="shared" si="32"/>
        <v>0</v>
      </c>
      <c r="BU34" s="1253">
        <f t="shared" si="33"/>
        <v>0</v>
      </c>
      <c r="BV34" s="1253">
        <f t="shared" si="34"/>
        <v>0</v>
      </c>
      <c r="BW34" s="1253">
        <f t="shared" si="35"/>
        <v>0</v>
      </c>
      <c r="BX34" s="40">
        <v>28</v>
      </c>
      <c r="BY34" s="191"/>
    </row>
    <row r="35" spans="2:77" ht="26.25" customHeight="1" x14ac:dyDescent="0.45">
      <c r="B35" s="517">
        <v>29</v>
      </c>
      <c r="C35" s="123">
        <f t="shared" si="36"/>
        <v>44680</v>
      </c>
      <c r="D35" s="124" t="str">
        <f>IF(C35="","",INDEX({"रविवार";"सोमवार";"मंगळवार";"बुधवार";"गुरूवार";"शुक्रवार";"शनिवार"},WEEKDAY(C35)))</f>
        <v>शुक्रवार</v>
      </c>
      <c r="E35" s="125">
        <f>HLOOKUP(C3,'दैनिक माहिती'!BF268:BQ299,30,0)</f>
        <v>0</v>
      </c>
      <c r="F35" s="131">
        <f>HLOOKUP(C3,'दैनिक माहिती'!BF303:BQ334,30,0)</f>
        <v>0</v>
      </c>
      <c r="G35" s="126">
        <f t="shared" si="4"/>
        <v>0</v>
      </c>
      <c r="H35" s="131">
        <f>HLOOKUP(C3,'दैनिक माहिती'!BF194:BQ226,30,0)</f>
        <v>0</v>
      </c>
      <c r="I35" s="131">
        <f>HLOOKUP(C3,'दैनिक माहिती'!BF231:BQ263,30,0)</f>
        <v>0</v>
      </c>
      <c r="J35" s="127">
        <f t="shared" si="5"/>
        <v>0</v>
      </c>
      <c r="K35" s="128">
        <f t="shared" si="6"/>
        <v>0</v>
      </c>
      <c r="L35" s="128">
        <f t="shared" si="7"/>
        <v>0</v>
      </c>
      <c r="M35" s="128">
        <f t="shared" si="8"/>
        <v>0</v>
      </c>
      <c r="N35" s="128">
        <f t="shared" si="9"/>
        <v>0</v>
      </c>
      <c r="O35" s="128">
        <f t="shared" si="10"/>
        <v>0</v>
      </c>
      <c r="P35" s="128">
        <f t="shared" si="11"/>
        <v>0</v>
      </c>
      <c r="Q35" s="128">
        <f t="shared" si="12"/>
        <v>0</v>
      </c>
      <c r="R35" s="128">
        <f t="shared" si="13"/>
        <v>0</v>
      </c>
      <c r="S35" s="129">
        <f t="shared" si="14"/>
        <v>0</v>
      </c>
      <c r="T35" s="518">
        <v>0</v>
      </c>
      <c r="U35" s="518">
        <v>0</v>
      </c>
      <c r="V35" s="518">
        <v>0</v>
      </c>
      <c r="W35" s="130">
        <f t="shared" si="42"/>
        <v>0</v>
      </c>
      <c r="X35" s="120">
        <f t="shared" si="16"/>
        <v>0</v>
      </c>
      <c r="Y35" s="121">
        <f t="shared" si="17"/>
        <v>0</v>
      </c>
      <c r="Z35" s="1149">
        <f t="shared" si="18"/>
        <v>0</v>
      </c>
      <c r="AA35" s="122">
        <f t="shared" si="19"/>
        <v>0</v>
      </c>
      <c r="AW35" s="191"/>
      <c r="AX35" s="1246">
        <v>29</v>
      </c>
      <c r="AY35" s="1247">
        <f t="shared" si="37"/>
        <v>44802</v>
      </c>
      <c r="AZ35" s="1248" t="str">
        <f>IF(AY35="","",INDEX({"रविवार";"सोमवार";"मंगळवार";"बुधवार";"गुरूवार";"शुक्रवार";"शनिवार"},WEEKDAY(AY35)))</f>
        <v>सोमवार</v>
      </c>
      <c r="BA35" s="1249">
        <f>HLOOKUP(AY3,'दैनिक माहिती'!BF268:BQ299,30,0)</f>
        <v>0</v>
      </c>
      <c r="BB35" s="1250"/>
      <c r="BC35" s="1251">
        <f t="shared" si="20"/>
        <v>0</v>
      </c>
      <c r="BD35" s="1250"/>
      <c r="BE35" s="1251">
        <f>HLOOKUP(AY3,'दैनिक माहिती'!BF231:BQ263,30,0)</f>
        <v>0</v>
      </c>
      <c r="BF35" s="1252">
        <f t="shared" si="21"/>
        <v>0</v>
      </c>
      <c r="BG35" s="1253">
        <f t="shared" si="22"/>
        <v>0</v>
      </c>
      <c r="BH35" s="1253">
        <f t="shared" si="23"/>
        <v>0</v>
      </c>
      <c r="BI35" s="1253">
        <f t="shared" si="24"/>
        <v>0</v>
      </c>
      <c r="BJ35" s="1253">
        <f t="shared" si="25"/>
        <v>0</v>
      </c>
      <c r="BK35" s="1253">
        <f t="shared" si="26"/>
        <v>0</v>
      </c>
      <c r="BL35" s="1253">
        <f t="shared" si="27"/>
        <v>0</v>
      </c>
      <c r="BM35" s="1253">
        <f t="shared" si="28"/>
        <v>0</v>
      </c>
      <c r="BN35" s="1253">
        <f t="shared" si="29"/>
        <v>0</v>
      </c>
      <c r="BO35" s="1253">
        <f t="shared" si="30"/>
        <v>0</v>
      </c>
      <c r="BP35" s="1254">
        <v>0</v>
      </c>
      <c r="BQ35" s="1254">
        <v>0</v>
      </c>
      <c r="BR35" s="1254">
        <v>0</v>
      </c>
      <c r="BS35" s="1253">
        <f t="shared" si="43"/>
        <v>0</v>
      </c>
      <c r="BT35" s="1253">
        <f t="shared" si="32"/>
        <v>0</v>
      </c>
      <c r="BU35" s="1253">
        <f t="shared" si="33"/>
        <v>0</v>
      </c>
      <c r="BV35" s="1253">
        <f t="shared" si="34"/>
        <v>0</v>
      </c>
      <c r="BW35" s="1253">
        <f t="shared" si="35"/>
        <v>0</v>
      </c>
      <c r="BX35" s="40">
        <v>29</v>
      </c>
      <c r="BY35" s="191"/>
    </row>
    <row r="36" spans="2:77" ht="26.25" customHeight="1" x14ac:dyDescent="0.45">
      <c r="B36" s="517">
        <v>30</v>
      </c>
      <c r="C36" s="123">
        <f t="shared" si="36"/>
        <v>44681</v>
      </c>
      <c r="D36" s="124" t="str">
        <f>IF(C36="","",INDEX({"रविवार";"सोमवार";"मंगळवार";"बुधवार";"गुरूवार";"शुक्रवार";"शनिवार"},WEEKDAY(C36)))</f>
        <v>शनिवार</v>
      </c>
      <c r="E36" s="125">
        <f>HLOOKUP(C3,'दैनिक माहिती'!BF268:BQ299,31,0)</f>
        <v>0</v>
      </c>
      <c r="F36" s="131">
        <f>HLOOKUP(C3,'दैनिक माहिती'!BF303:BQ334,31,0)</f>
        <v>0</v>
      </c>
      <c r="G36" s="126">
        <f t="shared" si="4"/>
        <v>0</v>
      </c>
      <c r="H36" s="131">
        <f>HLOOKUP(C3,'दैनिक माहिती'!BF194:BQ226,31,0)</f>
        <v>0</v>
      </c>
      <c r="I36" s="131">
        <f>HLOOKUP(C3,'दैनिक माहिती'!BF231:BQ263,31,0)</f>
        <v>0</v>
      </c>
      <c r="J36" s="127">
        <f t="shared" si="5"/>
        <v>0</v>
      </c>
      <c r="K36" s="128">
        <f t="shared" si="6"/>
        <v>0</v>
      </c>
      <c r="L36" s="128">
        <f t="shared" si="7"/>
        <v>0</v>
      </c>
      <c r="M36" s="128">
        <f t="shared" si="8"/>
        <v>0</v>
      </c>
      <c r="N36" s="128">
        <f t="shared" si="9"/>
        <v>0</v>
      </c>
      <c r="O36" s="128">
        <f t="shared" si="10"/>
        <v>0</v>
      </c>
      <c r="P36" s="128">
        <f t="shared" si="11"/>
        <v>0</v>
      </c>
      <c r="Q36" s="128">
        <f t="shared" si="12"/>
        <v>0</v>
      </c>
      <c r="R36" s="128">
        <f t="shared" si="13"/>
        <v>0</v>
      </c>
      <c r="S36" s="129">
        <f t="shared" si="14"/>
        <v>0</v>
      </c>
      <c r="T36" s="518">
        <v>0</v>
      </c>
      <c r="U36" s="518">
        <v>0</v>
      </c>
      <c r="V36" s="518">
        <v>0</v>
      </c>
      <c r="W36" s="130">
        <f t="shared" si="42"/>
        <v>0</v>
      </c>
      <c r="X36" s="120">
        <f t="shared" si="16"/>
        <v>0</v>
      </c>
      <c r="Y36" s="121">
        <f t="shared" si="17"/>
        <v>0</v>
      </c>
      <c r="Z36" s="1149">
        <f t="shared" si="18"/>
        <v>0</v>
      </c>
      <c r="AA36" s="122">
        <f t="shared" si="19"/>
        <v>0</v>
      </c>
      <c r="AW36" s="191"/>
      <c r="AX36" s="1246">
        <v>30</v>
      </c>
      <c r="AY36" s="1247">
        <f t="shared" si="37"/>
        <v>44803</v>
      </c>
      <c r="AZ36" s="1248" t="str">
        <f>IF(AY36="","",INDEX({"रविवार";"सोमवार";"मंगळवार";"बुधवार";"गुरूवार";"शुक्रवार";"शनिवार"},WEEKDAY(AY36)))</f>
        <v>मंगळवार</v>
      </c>
      <c r="BA36" s="1249">
        <f>HLOOKUP(AY3,'दैनिक माहिती'!BF268:BQ299,31,0)</f>
        <v>0</v>
      </c>
      <c r="BB36" s="1250"/>
      <c r="BC36" s="1251">
        <f t="shared" si="20"/>
        <v>0</v>
      </c>
      <c r="BD36" s="1250"/>
      <c r="BE36" s="1251">
        <f>HLOOKUP(AY3,'दैनिक माहिती'!BF231:BQ263,31,0)</f>
        <v>0</v>
      </c>
      <c r="BF36" s="1252">
        <f t="shared" si="21"/>
        <v>0</v>
      </c>
      <c r="BG36" s="1253">
        <f t="shared" si="22"/>
        <v>0</v>
      </c>
      <c r="BH36" s="1253">
        <f t="shared" si="23"/>
        <v>0</v>
      </c>
      <c r="BI36" s="1253">
        <f t="shared" si="24"/>
        <v>0</v>
      </c>
      <c r="BJ36" s="1253">
        <f t="shared" si="25"/>
        <v>0</v>
      </c>
      <c r="BK36" s="1253">
        <f t="shared" si="26"/>
        <v>0</v>
      </c>
      <c r="BL36" s="1253">
        <f t="shared" si="27"/>
        <v>0</v>
      </c>
      <c r="BM36" s="1253">
        <f t="shared" si="28"/>
        <v>0</v>
      </c>
      <c r="BN36" s="1253">
        <f t="shared" si="29"/>
        <v>0</v>
      </c>
      <c r="BO36" s="1253">
        <f t="shared" si="30"/>
        <v>0</v>
      </c>
      <c r="BP36" s="1254">
        <v>0</v>
      </c>
      <c r="BQ36" s="1254">
        <v>0</v>
      </c>
      <c r="BR36" s="1254">
        <v>0</v>
      </c>
      <c r="BS36" s="1253">
        <f t="shared" si="43"/>
        <v>0</v>
      </c>
      <c r="BT36" s="1253">
        <f t="shared" si="32"/>
        <v>0</v>
      </c>
      <c r="BU36" s="1253">
        <f t="shared" si="33"/>
        <v>0</v>
      </c>
      <c r="BV36" s="1253">
        <f t="shared" si="34"/>
        <v>0</v>
      </c>
      <c r="BW36" s="1253">
        <f t="shared" si="35"/>
        <v>0</v>
      </c>
      <c r="BX36" s="40">
        <v>30</v>
      </c>
      <c r="BY36" s="191"/>
    </row>
    <row r="37" spans="2:77" ht="26.25" customHeight="1" x14ac:dyDescent="0.45">
      <c r="B37" s="517">
        <v>31</v>
      </c>
      <c r="C37" s="123">
        <f t="shared" si="36"/>
        <v>44682</v>
      </c>
      <c r="D37" s="124" t="str">
        <f>IF(C37="","",INDEX({"रविवार";"सोमवार";"मंगळवार";"बुधवार";"गुरूवार";"शुक्रवार";"शनिवार"},WEEKDAY(C37)))</f>
        <v>रविवार</v>
      </c>
      <c r="E37" s="125" t="str">
        <f>HLOOKUP(C3,'दैनिक माहिती'!BF268:BQ299,32,0)</f>
        <v/>
      </c>
      <c r="F37" s="131">
        <f>HLOOKUP(C3,'दैनिक माहिती'!BF303:BQ334,32,0)</f>
        <v>0</v>
      </c>
      <c r="G37" s="126">
        <f t="shared" si="4"/>
        <v>0</v>
      </c>
      <c r="H37" s="131">
        <f>HLOOKUP(C3,'दैनिक माहिती'!BF194:BQ226,32,0)</f>
        <v>0</v>
      </c>
      <c r="I37" s="131">
        <f>HLOOKUP(C3,'दैनिक माहिती'!BF231:BQ263,32,0)</f>
        <v>0</v>
      </c>
      <c r="J37" s="127">
        <f t="shared" si="5"/>
        <v>0</v>
      </c>
      <c r="K37" s="128">
        <f t="shared" si="6"/>
        <v>0</v>
      </c>
      <c r="L37" s="128">
        <f t="shared" si="7"/>
        <v>0</v>
      </c>
      <c r="M37" s="128">
        <f t="shared" si="8"/>
        <v>0</v>
      </c>
      <c r="N37" s="128">
        <f t="shared" si="9"/>
        <v>0</v>
      </c>
      <c r="O37" s="128">
        <f t="shared" si="10"/>
        <v>0</v>
      </c>
      <c r="P37" s="128">
        <f t="shared" si="11"/>
        <v>0</v>
      </c>
      <c r="Q37" s="128">
        <f t="shared" si="12"/>
        <v>0</v>
      </c>
      <c r="R37" s="128">
        <f t="shared" si="13"/>
        <v>0</v>
      </c>
      <c r="S37" s="129">
        <f t="shared" si="14"/>
        <v>0</v>
      </c>
      <c r="T37" s="518">
        <v>0</v>
      </c>
      <c r="U37" s="518">
        <v>0</v>
      </c>
      <c r="V37" s="518">
        <v>0</v>
      </c>
      <c r="W37" s="130">
        <f t="shared" si="42"/>
        <v>0</v>
      </c>
      <c r="X37" s="120">
        <f t="shared" si="16"/>
        <v>0</v>
      </c>
      <c r="Y37" s="121">
        <f t="shared" si="17"/>
        <v>0</v>
      </c>
      <c r="Z37" s="1149">
        <f t="shared" si="18"/>
        <v>0</v>
      </c>
      <c r="AA37" s="122">
        <f t="shared" si="19"/>
        <v>0</v>
      </c>
      <c r="AW37" s="191"/>
      <c r="AX37" s="1246">
        <v>31</v>
      </c>
      <c r="AY37" s="1247">
        <f t="shared" si="37"/>
        <v>44804</v>
      </c>
      <c r="AZ37" s="1248" t="str">
        <f>IF(AY37="","",INDEX({"रविवार";"सोमवार";"मंगळवार";"बुधवार";"गुरूवार";"शुक्रवार";"शनिवार"},WEEKDAY(AY37)))</f>
        <v>बुधवार</v>
      </c>
      <c r="BA37" s="1249">
        <f>HLOOKUP(AY3,'दैनिक माहिती'!BF268:BQ299,32,0)</f>
        <v>0</v>
      </c>
      <c r="BB37" s="1250"/>
      <c r="BC37" s="1251">
        <f t="shared" si="20"/>
        <v>0</v>
      </c>
      <c r="BD37" s="1250"/>
      <c r="BE37" s="1251">
        <f>HLOOKUP(AY3,'दैनिक माहिती'!BF231:BQ263,32,0)</f>
        <v>0</v>
      </c>
      <c r="BF37" s="1252">
        <f t="shared" si="21"/>
        <v>0</v>
      </c>
      <c r="BG37" s="1253">
        <f t="shared" si="22"/>
        <v>0</v>
      </c>
      <c r="BH37" s="1253">
        <f t="shared" si="23"/>
        <v>0</v>
      </c>
      <c r="BI37" s="1253">
        <f t="shared" si="24"/>
        <v>0</v>
      </c>
      <c r="BJ37" s="1253">
        <f t="shared" si="25"/>
        <v>0</v>
      </c>
      <c r="BK37" s="1253">
        <f t="shared" si="26"/>
        <v>0</v>
      </c>
      <c r="BL37" s="1253">
        <f t="shared" si="27"/>
        <v>0</v>
      </c>
      <c r="BM37" s="1253">
        <f t="shared" si="28"/>
        <v>0</v>
      </c>
      <c r="BN37" s="1253">
        <f t="shared" si="29"/>
        <v>0</v>
      </c>
      <c r="BO37" s="1253">
        <f t="shared" si="30"/>
        <v>0</v>
      </c>
      <c r="BP37" s="1254">
        <v>0</v>
      </c>
      <c r="BQ37" s="1254">
        <v>0</v>
      </c>
      <c r="BR37" s="1254">
        <v>0</v>
      </c>
      <c r="BS37" s="1253">
        <f t="shared" si="43"/>
        <v>0</v>
      </c>
      <c r="BT37" s="1253">
        <f t="shared" si="32"/>
        <v>0</v>
      </c>
      <c r="BU37" s="1253">
        <f t="shared" si="33"/>
        <v>0</v>
      </c>
      <c r="BV37" s="1253">
        <f t="shared" si="34"/>
        <v>0</v>
      </c>
      <c r="BW37" s="1253">
        <f t="shared" si="35"/>
        <v>0</v>
      </c>
      <c r="BX37" s="40">
        <v>31</v>
      </c>
      <c r="BY37" s="191"/>
    </row>
    <row r="38" spans="2:77" ht="26.25" customHeight="1" thickBot="1" x14ac:dyDescent="0.5">
      <c r="B38" s="1940" t="s">
        <v>35</v>
      </c>
      <c r="C38" s="1941"/>
      <c r="D38" s="1941"/>
      <c r="E38" s="519"/>
      <c r="F38" s="520"/>
      <c r="G38" s="132">
        <f>COUNTIF(G7:G37,"=वाटप")</f>
        <v>0</v>
      </c>
      <c r="H38" s="133">
        <f>SUM(H7:H37)</f>
        <v>0</v>
      </c>
      <c r="I38" s="132">
        <f t="shared" ref="I38:R38" si="44">SUM(I7:I37)</f>
        <v>0</v>
      </c>
      <c r="J38" s="134">
        <f t="shared" si="44"/>
        <v>0</v>
      </c>
      <c r="K38" s="134">
        <f t="shared" si="44"/>
        <v>0</v>
      </c>
      <c r="L38" s="134">
        <f t="shared" si="44"/>
        <v>0</v>
      </c>
      <c r="M38" s="134">
        <f t="shared" si="44"/>
        <v>0</v>
      </c>
      <c r="N38" s="134">
        <f t="shared" si="44"/>
        <v>0</v>
      </c>
      <c r="O38" s="134">
        <f t="shared" si="44"/>
        <v>0</v>
      </c>
      <c r="P38" s="134">
        <f t="shared" si="44"/>
        <v>0</v>
      </c>
      <c r="Q38" s="134">
        <f t="shared" si="44"/>
        <v>0</v>
      </c>
      <c r="R38" s="134">
        <f t="shared" si="44"/>
        <v>0</v>
      </c>
      <c r="S38" s="135">
        <f>SUM(S7:S37)</f>
        <v>0</v>
      </c>
      <c r="T38" s="134">
        <f>SUM(T7:T37)</f>
        <v>0</v>
      </c>
      <c r="U38" s="134">
        <f>SUM(U7:U37)</f>
        <v>0</v>
      </c>
      <c r="V38" s="134">
        <f>SUM(V7:V37)</f>
        <v>0</v>
      </c>
      <c r="W38" s="134">
        <f>SUM(W7:W37)</f>
        <v>0</v>
      </c>
      <c r="X38" s="136">
        <f>(I38*X6)</f>
        <v>0</v>
      </c>
      <c r="Y38" s="137">
        <f>(I38*Y6)</f>
        <v>0</v>
      </c>
      <c r="Z38" s="1150">
        <f t="shared" si="18"/>
        <v>0</v>
      </c>
      <c r="AA38" s="138">
        <f>I38*AA6</f>
        <v>0</v>
      </c>
      <c r="AW38" s="191"/>
      <c r="AX38" s="1728" t="s">
        <v>35</v>
      </c>
      <c r="AY38" s="1728"/>
      <c r="AZ38" s="1728"/>
      <c r="BA38" s="1255"/>
      <c r="BB38" s="1256"/>
      <c r="BC38" s="1269">
        <f>COUNTIF(BC7:BC37,"=वाटप")</f>
        <v>0</v>
      </c>
      <c r="BD38" s="1250"/>
      <c r="BE38" s="1269">
        <f>SUM(BE7:BE37)</f>
        <v>0</v>
      </c>
      <c r="BF38" s="1257">
        <f t="shared" ref="BF38:BO38" si="45">SUM(BF7:BF37)</f>
        <v>0</v>
      </c>
      <c r="BG38" s="1257">
        <f t="shared" si="45"/>
        <v>0</v>
      </c>
      <c r="BH38" s="1257">
        <f t="shared" si="45"/>
        <v>0</v>
      </c>
      <c r="BI38" s="1257">
        <f t="shared" si="45"/>
        <v>0</v>
      </c>
      <c r="BJ38" s="1257">
        <f t="shared" si="45"/>
        <v>0</v>
      </c>
      <c r="BK38" s="1257">
        <f t="shared" si="45"/>
        <v>0</v>
      </c>
      <c r="BL38" s="1257">
        <f t="shared" si="45"/>
        <v>0</v>
      </c>
      <c r="BM38" s="1257">
        <f t="shared" si="45"/>
        <v>0</v>
      </c>
      <c r="BN38" s="1257">
        <f t="shared" si="45"/>
        <v>0</v>
      </c>
      <c r="BO38" s="1257">
        <f t="shared" si="45"/>
        <v>0</v>
      </c>
      <c r="BP38" s="1257">
        <f>SUM(BP7:BP37)</f>
        <v>0</v>
      </c>
      <c r="BQ38" s="1257">
        <f>SUM(BQ7:BQ37)</f>
        <v>0</v>
      </c>
      <c r="BR38" s="1257">
        <f>SUM(BR7:BR37)</f>
        <v>0</v>
      </c>
      <c r="BS38" s="1257">
        <f>SUM(BS7:BS37)</f>
        <v>0</v>
      </c>
      <c r="BT38" s="1253">
        <f>(BE38*BT6)</f>
        <v>0</v>
      </c>
      <c r="BU38" s="1252">
        <f>(BE38*BU6)</f>
        <v>0</v>
      </c>
      <c r="BV38" s="1253">
        <f t="shared" si="34"/>
        <v>0</v>
      </c>
      <c r="BW38" s="1252">
        <f>BE38*BW6</f>
        <v>0</v>
      </c>
      <c r="BX38" s="40"/>
      <c r="BY38" s="191"/>
    </row>
    <row r="39" spans="2:77" ht="26.25" customHeight="1" x14ac:dyDescent="0.45">
      <c r="B39" s="521"/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368"/>
      <c r="X39" s="522"/>
      <c r="Y39" s="368"/>
      <c r="Z39" s="368"/>
      <c r="AA39" s="368"/>
      <c r="AW39" s="191"/>
      <c r="AX39" s="1227"/>
      <c r="AY39" s="1227"/>
      <c r="AZ39" s="1227"/>
      <c r="BA39" s="1227"/>
      <c r="BB39" s="1227"/>
      <c r="BC39" s="1227"/>
      <c r="BD39" s="1227"/>
      <c r="BE39" s="1227"/>
      <c r="BF39" s="1227"/>
      <c r="BG39" s="1227"/>
      <c r="BH39" s="1227"/>
      <c r="BI39" s="1227"/>
      <c r="BJ39" s="1227"/>
      <c r="BK39" s="1227"/>
      <c r="BL39" s="1227"/>
      <c r="BM39" s="1227"/>
      <c r="BN39" s="1227"/>
      <c r="BO39" s="1226"/>
      <c r="BP39" s="191"/>
      <c r="BQ39" s="191"/>
      <c r="BR39" s="191"/>
      <c r="BS39" s="191"/>
      <c r="BT39" s="1228"/>
      <c r="BU39" s="1226"/>
      <c r="BV39" s="1226"/>
      <c r="BW39" s="1226"/>
      <c r="BX39" s="40"/>
      <c r="BY39" s="191"/>
    </row>
    <row r="40" spans="2:77" ht="26.25" customHeight="1" x14ac:dyDescent="0.45"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AW40" s="191"/>
      <c r="AX40" s="1227"/>
      <c r="AY40" s="1227"/>
      <c r="AZ40" s="1227"/>
      <c r="BA40" s="1227"/>
      <c r="BB40" s="1227"/>
      <c r="BC40" s="1227"/>
      <c r="BD40" s="1227"/>
      <c r="BE40" s="1227"/>
      <c r="BF40" s="1227"/>
      <c r="BG40" s="1227"/>
      <c r="BH40" s="1227"/>
      <c r="BI40" s="1227"/>
      <c r="BJ40" s="1227"/>
      <c r="BK40" s="1227"/>
      <c r="BL40" s="1227"/>
      <c r="BM40" s="1227"/>
      <c r="BN40" s="1227"/>
      <c r="BO40" s="191"/>
      <c r="BP40" s="191"/>
      <c r="BQ40" s="191"/>
      <c r="BR40" s="191"/>
      <c r="BS40" s="191"/>
      <c r="BT40" s="191"/>
      <c r="BU40" s="191"/>
      <c r="BV40" s="191"/>
      <c r="BW40" s="191"/>
      <c r="BX40" s="40"/>
      <c r="BY40" s="191"/>
    </row>
    <row r="41" spans="2:77" ht="26.25" customHeight="1" x14ac:dyDescent="0.45"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AW41" s="191"/>
      <c r="AX41" s="1227"/>
      <c r="AY41" s="1227"/>
      <c r="AZ41" s="1227"/>
      <c r="BA41" s="1227"/>
      <c r="BB41" s="1227"/>
      <c r="BC41" s="1227"/>
      <c r="BD41" s="1227"/>
      <c r="BE41" s="1227"/>
      <c r="BF41" s="1227"/>
      <c r="BG41" s="1227"/>
      <c r="BH41" s="1227"/>
      <c r="BI41" s="1227"/>
      <c r="BJ41" s="1227"/>
      <c r="BK41" s="1227"/>
      <c r="BL41" s="1227"/>
      <c r="BM41" s="1227"/>
      <c r="BN41" s="1227"/>
      <c r="BO41" s="191"/>
      <c r="BP41" s="191"/>
      <c r="BQ41" s="191"/>
      <c r="BR41" s="191"/>
      <c r="BS41" s="191"/>
      <c r="BT41" s="191"/>
      <c r="BU41" s="191"/>
      <c r="BV41" s="191"/>
      <c r="BW41" s="191"/>
      <c r="BX41" s="40"/>
      <c r="BY41" s="191"/>
    </row>
    <row r="42" spans="2:77" ht="26.25" customHeight="1" x14ac:dyDescent="0.45"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AW42" s="191"/>
      <c r="AX42" s="1227"/>
      <c r="AY42" s="1227"/>
      <c r="AZ42" s="1227"/>
      <c r="BA42" s="1227"/>
      <c r="BB42" s="1227"/>
      <c r="BC42" s="1227"/>
      <c r="BD42" s="1227"/>
      <c r="BE42" s="1227"/>
      <c r="BF42" s="1227"/>
      <c r="BG42" s="1227"/>
      <c r="BH42" s="1227"/>
      <c r="BI42" s="1227"/>
      <c r="BJ42" s="1227"/>
      <c r="BK42" s="1227"/>
      <c r="BL42" s="1227"/>
      <c r="BM42" s="1227"/>
      <c r="BN42" s="1227"/>
      <c r="BO42" s="191"/>
      <c r="BP42" s="191"/>
      <c r="BQ42" s="191"/>
      <c r="BR42" s="191"/>
      <c r="BS42" s="191"/>
      <c r="BT42" s="191"/>
      <c r="BU42" s="191"/>
      <c r="BV42" s="191"/>
      <c r="BW42" s="191"/>
      <c r="BX42" s="40"/>
      <c r="BY42" s="191"/>
    </row>
    <row r="43" spans="2:77" ht="26.25" customHeight="1" x14ac:dyDescent="0.45">
      <c r="X43" s="140">
        <f>$I$38*$X$6</f>
        <v>0</v>
      </c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006">
        <f>$BE$38*$BT$6</f>
        <v>0</v>
      </c>
      <c r="BU43" s="191"/>
      <c r="BV43" s="191"/>
      <c r="BW43" s="191"/>
      <c r="BX43" s="40"/>
      <c r="BY43" s="191"/>
    </row>
    <row r="44" spans="2:77" ht="26.25" customHeight="1" x14ac:dyDescent="0.45"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40"/>
      <c r="BY44" s="191"/>
    </row>
    <row r="45" spans="2:77" ht="26.25" customHeight="1" x14ac:dyDescent="0.45"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40"/>
      <c r="BY45" s="191"/>
    </row>
    <row r="46" spans="2:77" ht="26.25" customHeight="1" x14ac:dyDescent="0.45">
      <c r="BC46" s="15" t="s">
        <v>355</v>
      </c>
      <c r="BF46" s="15">
        <f t="shared" ref="BF46" si="46">J46</f>
        <v>0</v>
      </c>
      <c r="BG46" s="15">
        <f t="shared" ref="BG46" si="47">K46</f>
        <v>0</v>
      </c>
      <c r="BH46" s="15">
        <f t="shared" ref="BH46" si="48">L46</f>
        <v>0</v>
      </c>
      <c r="BI46" s="15">
        <f t="shared" ref="BI46" si="49">M46</f>
        <v>0</v>
      </c>
      <c r="BJ46" s="15">
        <f t="shared" ref="BJ46" si="50">N46</f>
        <v>0</v>
      </c>
      <c r="BK46" s="15">
        <f t="shared" ref="BK46" si="51">O46</f>
        <v>0</v>
      </c>
      <c r="BL46" s="15">
        <f t="shared" ref="BL46" si="52">P46</f>
        <v>0</v>
      </c>
      <c r="BM46" s="15">
        <f t="shared" ref="BM46" si="53">Q46</f>
        <v>0</v>
      </c>
      <c r="BP46" s="15">
        <f>T46</f>
        <v>0</v>
      </c>
      <c r="BQ46" s="15">
        <f>U46</f>
        <v>0</v>
      </c>
    </row>
    <row r="47" spans="2:77" ht="26.25" customHeight="1" x14ac:dyDescent="0.45">
      <c r="AX47" s="1261" t="s">
        <v>307</v>
      </c>
      <c r="AY47" s="1261" t="str">
        <f>'इंधन भाजी.पावती 6 ते 8'!L2</f>
        <v>ऑगस्ट</v>
      </c>
      <c r="AZ47" s="1261">
        <f>'इंधन भाजी.पावती 6 ते 8'!N2</f>
        <v>2022</v>
      </c>
      <c r="BA47" s="1261"/>
      <c r="BB47" s="1261" t="s">
        <v>302</v>
      </c>
      <c r="BC47" s="1261"/>
      <c r="BD47" s="1261"/>
      <c r="BE47" s="1261"/>
      <c r="BF47" s="1261"/>
      <c r="BG47" s="1261"/>
      <c r="BH47" s="1261"/>
      <c r="BI47" s="1261"/>
      <c r="BJ47" s="1261"/>
      <c r="BK47" s="1261"/>
      <c r="BL47" s="1261"/>
      <c r="BM47" s="1261"/>
      <c r="BN47" s="1261"/>
      <c r="BO47" s="1261"/>
      <c r="BP47" s="1261"/>
      <c r="BQ47" s="1261"/>
      <c r="BR47" s="1261"/>
      <c r="BS47" s="1261"/>
      <c r="BT47" s="1261" t="s">
        <v>362</v>
      </c>
      <c r="BU47" s="1261"/>
      <c r="BV47" s="1261"/>
      <c r="BW47" s="1261"/>
    </row>
    <row r="48" spans="2:77" ht="26.25" customHeight="1" x14ac:dyDescent="0.45">
      <c r="AX48" s="1261" t="s">
        <v>303</v>
      </c>
      <c r="AY48" s="1261"/>
      <c r="AZ48" s="1261"/>
      <c r="BA48" s="1261"/>
      <c r="BB48" s="1261"/>
      <c r="BC48" s="1261"/>
      <c r="BD48" s="1261"/>
      <c r="BE48" s="1261"/>
      <c r="BF48" s="1936" t="s">
        <v>61</v>
      </c>
      <c r="BG48" s="1937"/>
      <c r="BH48" s="1937"/>
      <c r="BI48" s="1937"/>
      <c r="BJ48" s="1937"/>
      <c r="BK48" s="1937"/>
      <c r="BL48" s="1937"/>
      <c r="BM48" s="1937"/>
      <c r="BN48" s="1938"/>
      <c r="BO48" s="1949" t="s">
        <v>341</v>
      </c>
      <c r="BP48" s="1936" t="s">
        <v>304</v>
      </c>
      <c r="BQ48" s="1937"/>
      <c r="BR48" s="1937"/>
      <c r="BS48" s="1938"/>
      <c r="BT48" s="1949" t="s">
        <v>306</v>
      </c>
      <c r="BU48" s="1949" t="s">
        <v>343</v>
      </c>
      <c r="BV48" s="1949" t="s">
        <v>731</v>
      </c>
      <c r="BW48" s="1949" t="s">
        <v>342</v>
      </c>
    </row>
    <row r="49" spans="50:76" ht="26.25" customHeight="1" x14ac:dyDescent="0.45">
      <c r="AX49" s="1270" t="s">
        <v>86</v>
      </c>
      <c r="AY49" s="1270" t="s">
        <v>305</v>
      </c>
      <c r="AZ49" s="1270" t="s">
        <v>18</v>
      </c>
      <c r="BA49" s="1270" t="s">
        <v>32</v>
      </c>
      <c r="BB49" s="1270" t="s">
        <v>360</v>
      </c>
      <c r="BC49" s="1270" t="s">
        <v>99</v>
      </c>
      <c r="BD49" s="1270" t="s">
        <v>19</v>
      </c>
      <c r="BE49" s="1271" t="s">
        <v>338</v>
      </c>
      <c r="BF49" s="1270" t="s">
        <v>49</v>
      </c>
      <c r="BG49" s="1270" t="s">
        <v>53</v>
      </c>
      <c r="BH49" s="1270" t="s">
        <v>340</v>
      </c>
      <c r="BI49" s="1270" t="s">
        <v>52</v>
      </c>
      <c r="BJ49" s="1270" t="s">
        <v>50</v>
      </c>
      <c r="BK49" s="1270" t="s">
        <v>51</v>
      </c>
      <c r="BL49" s="1270" t="s">
        <v>54</v>
      </c>
      <c r="BM49" s="1270" t="s">
        <v>55</v>
      </c>
      <c r="BN49" s="1270" t="s">
        <v>339</v>
      </c>
      <c r="BO49" s="1950"/>
      <c r="BP49" s="1270" t="s">
        <v>56</v>
      </c>
      <c r="BQ49" s="1270" t="s">
        <v>57</v>
      </c>
      <c r="BR49" s="1270" t="s">
        <v>58</v>
      </c>
      <c r="BS49" s="1270" t="s">
        <v>59</v>
      </c>
      <c r="BT49" s="1950"/>
      <c r="BU49" s="1950"/>
      <c r="BV49" s="1950"/>
      <c r="BW49" s="1950"/>
    </row>
    <row r="50" spans="50:76" ht="26.25" customHeight="1" x14ac:dyDescent="0.45">
      <c r="AX50" s="1261"/>
      <c r="AY50" s="1261"/>
      <c r="AZ50" s="1261"/>
      <c r="BA50" s="1261" t="s">
        <v>344</v>
      </c>
      <c r="BB50" s="1261"/>
      <c r="BC50" s="1261"/>
      <c r="BD50" s="1261"/>
      <c r="BE50" s="1261"/>
      <c r="BF50" s="1272">
        <f>J6</f>
        <v>0.3</v>
      </c>
      <c r="BG50" s="1272">
        <f t="shared" ref="BG50:BW50" si="54">K6</f>
        <v>0.3</v>
      </c>
      <c r="BH50" s="1272">
        <f t="shared" si="54"/>
        <v>0.3</v>
      </c>
      <c r="BI50" s="1272">
        <f t="shared" si="54"/>
        <v>0.18</v>
      </c>
      <c r="BJ50" s="1272">
        <f t="shared" si="54"/>
        <v>0.18</v>
      </c>
      <c r="BK50" s="1272">
        <f t="shared" si="54"/>
        <v>0.15</v>
      </c>
      <c r="BL50" s="1272">
        <f t="shared" si="54"/>
        <v>0.1</v>
      </c>
      <c r="BM50" s="1272">
        <f t="shared" si="54"/>
        <v>0.23</v>
      </c>
      <c r="BN50" s="1272">
        <f t="shared" si="54"/>
        <v>0</v>
      </c>
      <c r="BO50" s="1272">
        <f t="shared" si="54"/>
        <v>1.1399999999999999</v>
      </c>
      <c r="BP50" s="1272">
        <f t="shared" si="54"/>
        <v>0</v>
      </c>
      <c r="BQ50" s="1272">
        <f t="shared" si="54"/>
        <v>0</v>
      </c>
      <c r="BR50" s="1272">
        <f t="shared" si="54"/>
        <v>0</v>
      </c>
      <c r="BS50" s="1272">
        <f t="shared" si="54"/>
        <v>0</v>
      </c>
      <c r="BT50" s="1272">
        <f t="shared" si="54"/>
        <v>0.82</v>
      </c>
      <c r="BU50" s="1272">
        <f t="shared" si="54"/>
        <v>0.88</v>
      </c>
      <c r="BV50" s="1272">
        <f t="shared" si="54"/>
        <v>1.18</v>
      </c>
      <c r="BW50" s="1272">
        <f t="shared" si="54"/>
        <v>4.0199999999999996</v>
      </c>
    </row>
    <row r="51" spans="50:76" ht="26.25" customHeight="1" x14ac:dyDescent="0.45">
      <c r="AX51" s="1261">
        <v>1</v>
      </c>
      <c r="AY51" s="1262">
        <f>DATE($AZ$3,INDEX({4,5,6,7,8,9,10,11,12,1,2,3},MATCH($AY$3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AZ51" s="1261" t="str">
        <f>IF(AY51="","",INDEX({"रविवार";"सोमवार";"मंगळवार";"बुधवार";"गुरूवार";"शुक्रवार";"शनिवार"},WEEKDAY(AY51)))</f>
        <v>सोमवार</v>
      </c>
      <c r="BA51" s="1261">
        <f>HLOOKUP(AY47,'दैनिक माहिती'!BF268:BQ299,2,0)</f>
        <v>0</v>
      </c>
      <c r="BB51" s="1261"/>
      <c r="BC51" s="1261">
        <f>IF(AND(AZ51=$BP$2,BE51&gt;0),$BC$2,0)</f>
        <v>0</v>
      </c>
      <c r="BD51" s="1261"/>
      <c r="BE51" s="1261">
        <f>HLOOKUP(AY47,'दैनिक माहिती'!BF231:BQ263,2,0)</f>
        <v>0</v>
      </c>
      <c r="BF51" s="1261">
        <f>IF(BA51=$J$2,$J$6*BE51,IF(BA51=$K$2,$J$6*BE51,IF(BA51=$Q$2,$J$6*BE51,0)))</f>
        <v>0</v>
      </c>
      <c r="BG51" s="1261">
        <f>IF(BA51=$L$2,$K$6*BE51,IF(BA51=$M$2,$K$6*BE51,IF(BA51=$N$2,$K$6*BE51,0)))</f>
        <v>0</v>
      </c>
      <c r="BH51" s="1261">
        <f>IF(BA51=$O$2,$L$6*BE51,IF(BA51=$P$2,$L$6*BE51,0))</f>
        <v>0</v>
      </c>
      <c r="BI51" s="1261">
        <f>$M$6*BE51</f>
        <v>0</v>
      </c>
      <c r="BJ51" s="1261">
        <f>$N$6*BE51</f>
        <v>0</v>
      </c>
      <c r="BK51" s="1261">
        <f>$O$6*BE51</f>
        <v>0</v>
      </c>
      <c r="BL51" s="1261">
        <f>$P$6*BE51</f>
        <v>0</v>
      </c>
      <c r="BM51" s="1261">
        <f>$Q$6*BE51</f>
        <v>0</v>
      </c>
      <c r="BN51" s="1261">
        <f>$R$6*BE51</f>
        <v>0</v>
      </c>
      <c r="BO51" s="1261">
        <f>$BO$6*BE51</f>
        <v>0</v>
      </c>
      <c r="BP51" s="1261">
        <f>IF(BC51=$BC$2,$BT$43/$BC$38,0)</f>
        <v>0</v>
      </c>
      <c r="BQ51" s="1261">
        <v>0</v>
      </c>
      <c r="BR51" s="1261">
        <v>0</v>
      </c>
      <c r="BS51" s="1261">
        <v>0</v>
      </c>
      <c r="BT51" s="1261">
        <f>SUM(BP51:BS51)</f>
        <v>0</v>
      </c>
      <c r="BU51" s="1261">
        <f>($Y$6*BE51)</f>
        <v>0</v>
      </c>
      <c r="BV51" s="1261">
        <f>$Z$6*BE51</f>
        <v>0</v>
      </c>
      <c r="BW51" s="1261">
        <f>(BO51+BT51+BU51)</f>
        <v>0</v>
      </c>
      <c r="BX51" s="571">
        <v>1</v>
      </c>
    </row>
    <row r="52" spans="50:76" ht="26.25" customHeight="1" x14ac:dyDescent="0.45">
      <c r="AX52" s="1261">
        <v>2</v>
      </c>
      <c r="AY52" s="1262">
        <f>AY51+1</f>
        <v>44775</v>
      </c>
      <c r="AZ52" s="1261" t="str">
        <f>IF(AY52="","",INDEX({"रविवार";"सोमवार";"मंगळवार";"बुधवार";"गुरूवार";"शुक्रवार";"शनिवार"},WEEKDAY(AY52)))</f>
        <v>मंगळवार</v>
      </c>
      <c r="BA52" s="1261">
        <f>HLOOKUP(AY47,'दैनिक माहिती'!BF268:BQ299,3,0)</f>
        <v>0</v>
      </c>
      <c r="BB52" s="1261"/>
      <c r="BC52" s="1261">
        <f>IF(AND(AZ52=$BP$2,BE52&gt;0),$BC$2,0)</f>
        <v>0</v>
      </c>
      <c r="BD52" s="1261"/>
      <c r="BE52" s="1261">
        <f>HLOOKUP(AY47,'दैनिक माहिती'!BF231:BQ263,3,0)</f>
        <v>0</v>
      </c>
      <c r="BF52" s="1261">
        <f t="shared" ref="BF52:BF81" si="55">IF(BA52=$J$2,$J$6*BE52,IF(BA52=$K$2,$J$6*BE52,IF(BA52=$Q$2,$J$6*BE52,0)))</f>
        <v>0</v>
      </c>
      <c r="BG52" s="1261">
        <f t="shared" ref="BG52:BG81" si="56">IF(BA52=$L$2,$K$6*BE52,IF(BA52=$M$2,$K$6*BE52,IF(BA52=$N$2,$K$6*BE52,0)))</f>
        <v>0</v>
      </c>
      <c r="BH52" s="1261">
        <f t="shared" ref="BH52:BH81" si="57">IF(BA52=$O$2,$L$6*BE52,IF(BA52=$P$2,$L$6*BE52,0))</f>
        <v>0</v>
      </c>
      <c r="BI52" s="1261">
        <f t="shared" ref="BI52:BI81" si="58">$M$6*BE52</f>
        <v>0</v>
      </c>
      <c r="BJ52" s="1261">
        <f t="shared" ref="BJ52:BJ81" si="59">$N$6*BE52</f>
        <v>0</v>
      </c>
      <c r="BK52" s="1261">
        <f t="shared" ref="BK52:BK81" si="60">$O$6*BE52</f>
        <v>0</v>
      </c>
      <c r="BL52" s="1261">
        <f t="shared" ref="BL52:BL81" si="61">$P$6*BE52</f>
        <v>0</v>
      </c>
      <c r="BM52" s="1261">
        <f t="shared" ref="BM52:BM81" si="62">$Q$6*BE52</f>
        <v>0</v>
      </c>
      <c r="BN52" s="1261">
        <f t="shared" ref="BN52:BN81" si="63">$R$6*BE52</f>
        <v>0</v>
      </c>
      <c r="BO52" s="1261">
        <f t="shared" ref="BO52:BO81" si="64">$BO$6*BE52</f>
        <v>0</v>
      </c>
      <c r="BP52" s="1261">
        <f t="shared" ref="BP52:BP58" si="65">IF(BC52=$BC$2,$BT$43/$BC$38,0)</f>
        <v>0</v>
      </c>
      <c r="BQ52" s="1261">
        <v>0</v>
      </c>
      <c r="BR52" s="1261">
        <v>0</v>
      </c>
      <c r="BS52" s="1261">
        <v>0</v>
      </c>
      <c r="BT52" s="1261">
        <f t="shared" ref="BT52:BT81" si="66">SUM(BP52:BS52)</f>
        <v>0</v>
      </c>
      <c r="BU52" s="1261">
        <f t="shared" ref="BU52:BU81" si="67">($Y$6*BE52)</f>
        <v>0</v>
      </c>
      <c r="BV52" s="1261">
        <f t="shared" ref="BV52:BV82" si="68">$Z$6*BE52</f>
        <v>0</v>
      </c>
      <c r="BW52" s="1261">
        <f t="shared" ref="BW52:BW81" si="69">(BO52+BT52+BU52)</f>
        <v>0</v>
      </c>
      <c r="BX52" s="571">
        <v>2</v>
      </c>
    </row>
    <row r="53" spans="50:76" ht="26.25" customHeight="1" x14ac:dyDescent="0.45">
      <c r="AX53" s="1261">
        <v>3</v>
      </c>
      <c r="AY53" s="1262">
        <f t="shared" ref="AY53:AY81" si="70">AY52+1</f>
        <v>44776</v>
      </c>
      <c r="AZ53" s="1261" t="str">
        <f>IF(AY53="","",INDEX({"रविवार";"सोमवार";"मंगळवार";"बुधवार";"गुरूवार";"शुक्रवार";"शनिवार"},WEEKDAY(AY53)))</f>
        <v>बुधवार</v>
      </c>
      <c r="BA53" s="1261">
        <f>HLOOKUP(AY47,'दैनिक माहिती'!BF268:BQ299,4,0)</f>
        <v>0</v>
      </c>
      <c r="BB53" s="1261"/>
      <c r="BC53" s="1261">
        <f t="shared" ref="BC53:BC81" si="71">IF(AND(AZ53=$BP$2,BE53&gt;0),$BC$2,0)</f>
        <v>0</v>
      </c>
      <c r="BD53" s="1261"/>
      <c r="BE53" s="1261">
        <f>HLOOKUP(AY47,'दैनिक माहिती'!BF231:BQ263,4,0)</f>
        <v>0</v>
      </c>
      <c r="BF53" s="1261">
        <f t="shared" si="55"/>
        <v>0</v>
      </c>
      <c r="BG53" s="1261">
        <f t="shared" si="56"/>
        <v>0</v>
      </c>
      <c r="BH53" s="1261">
        <f t="shared" si="57"/>
        <v>0</v>
      </c>
      <c r="BI53" s="1261">
        <f t="shared" si="58"/>
        <v>0</v>
      </c>
      <c r="BJ53" s="1261">
        <f t="shared" si="59"/>
        <v>0</v>
      </c>
      <c r="BK53" s="1261">
        <f t="shared" si="60"/>
        <v>0</v>
      </c>
      <c r="BL53" s="1261">
        <f t="shared" si="61"/>
        <v>0</v>
      </c>
      <c r="BM53" s="1261">
        <f t="shared" si="62"/>
        <v>0</v>
      </c>
      <c r="BN53" s="1261">
        <f t="shared" si="63"/>
        <v>0</v>
      </c>
      <c r="BO53" s="1261">
        <f t="shared" si="64"/>
        <v>0</v>
      </c>
      <c r="BP53" s="1261">
        <f t="shared" si="65"/>
        <v>0</v>
      </c>
      <c r="BQ53" s="1261">
        <v>0</v>
      </c>
      <c r="BR53" s="1261">
        <v>0</v>
      </c>
      <c r="BS53" s="1261">
        <v>0</v>
      </c>
      <c r="BT53" s="1261">
        <f t="shared" si="66"/>
        <v>0</v>
      </c>
      <c r="BU53" s="1261">
        <f t="shared" si="67"/>
        <v>0</v>
      </c>
      <c r="BV53" s="1261">
        <f t="shared" si="68"/>
        <v>0</v>
      </c>
      <c r="BW53" s="1261">
        <f t="shared" si="69"/>
        <v>0</v>
      </c>
      <c r="BX53" s="571">
        <v>3</v>
      </c>
    </row>
    <row r="54" spans="50:76" ht="26.25" customHeight="1" x14ac:dyDescent="0.45">
      <c r="AX54" s="1261">
        <v>4</v>
      </c>
      <c r="AY54" s="1262">
        <f t="shared" si="70"/>
        <v>44777</v>
      </c>
      <c r="AZ54" s="1261" t="str">
        <f>IF(AY54="","",INDEX({"रविवार";"सोमवार";"मंगळवार";"बुधवार";"गुरूवार";"शुक्रवार";"शनिवार"},WEEKDAY(AY54)))</f>
        <v>गुरूवार</v>
      </c>
      <c r="BA54" s="1261">
        <f>HLOOKUP(AY47,'दैनिक माहिती'!BF268:BQ299,5,0)</f>
        <v>0</v>
      </c>
      <c r="BB54" s="1261"/>
      <c r="BC54" s="1261">
        <f t="shared" si="71"/>
        <v>0</v>
      </c>
      <c r="BD54" s="1261"/>
      <c r="BE54" s="1261">
        <f>HLOOKUP(AY47,'दैनिक माहिती'!BF231:BQ263,5,0)</f>
        <v>0</v>
      </c>
      <c r="BF54" s="1261">
        <f t="shared" si="55"/>
        <v>0</v>
      </c>
      <c r="BG54" s="1261">
        <f t="shared" si="56"/>
        <v>0</v>
      </c>
      <c r="BH54" s="1261">
        <f t="shared" si="57"/>
        <v>0</v>
      </c>
      <c r="BI54" s="1261">
        <f t="shared" si="58"/>
        <v>0</v>
      </c>
      <c r="BJ54" s="1261">
        <f t="shared" si="59"/>
        <v>0</v>
      </c>
      <c r="BK54" s="1261">
        <f t="shared" si="60"/>
        <v>0</v>
      </c>
      <c r="BL54" s="1261">
        <f t="shared" si="61"/>
        <v>0</v>
      </c>
      <c r="BM54" s="1261">
        <f t="shared" si="62"/>
        <v>0</v>
      </c>
      <c r="BN54" s="1261">
        <f t="shared" si="63"/>
        <v>0</v>
      </c>
      <c r="BO54" s="1261">
        <f t="shared" si="64"/>
        <v>0</v>
      </c>
      <c r="BP54" s="1261">
        <f t="shared" si="65"/>
        <v>0</v>
      </c>
      <c r="BQ54" s="1261">
        <v>0</v>
      </c>
      <c r="BR54" s="1261">
        <v>0</v>
      </c>
      <c r="BS54" s="1261">
        <v>0</v>
      </c>
      <c r="BT54" s="1261">
        <f t="shared" si="66"/>
        <v>0</v>
      </c>
      <c r="BU54" s="1261">
        <f t="shared" si="67"/>
        <v>0</v>
      </c>
      <c r="BV54" s="1261">
        <f t="shared" si="68"/>
        <v>0</v>
      </c>
      <c r="BW54" s="1261">
        <f t="shared" si="69"/>
        <v>0</v>
      </c>
      <c r="BX54" s="571">
        <v>4</v>
      </c>
    </row>
    <row r="55" spans="50:76" ht="26.25" customHeight="1" x14ac:dyDescent="0.45">
      <c r="AX55" s="1261">
        <v>5</v>
      </c>
      <c r="AY55" s="1262">
        <f t="shared" si="70"/>
        <v>44778</v>
      </c>
      <c r="AZ55" s="1261" t="str">
        <f>IF(AY55="","",INDEX({"रविवार";"सोमवार";"मंगळवार";"बुधवार";"गुरूवार";"शुक्रवार";"शनिवार"},WEEKDAY(AY55)))</f>
        <v>शुक्रवार</v>
      </c>
      <c r="BA55" s="1261">
        <f>HLOOKUP(AY47,'दैनिक माहिती'!BF268:BQ299,6,0)</f>
        <v>0</v>
      </c>
      <c r="BB55" s="1261"/>
      <c r="BC55" s="1261">
        <f t="shared" si="71"/>
        <v>0</v>
      </c>
      <c r="BD55" s="1261"/>
      <c r="BE55" s="1261">
        <f>HLOOKUP(AY47,'दैनिक माहिती'!BF231:BQ263,6,0)</f>
        <v>0</v>
      </c>
      <c r="BF55" s="1261">
        <f t="shared" si="55"/>
        <v>0</v>
      </c>
      <c r="BG55" s="1261">
        <f t="shared" si="56"/>
        <v>0</v>
      </c>
      <c r="BH55" s="1261">
        <f t="shared" si="57"/>
        <v>0</v>
      </c>
      <c r="BI55" s="1261">
        <f t="shared" si="58"/>
        <v>0</v>
      </c>
      <c r="BJ55" s="1261">
        <f t="shared" si="59"/>
        <v>0</v>
      </c>
      <c r="BK55" s="1261">
        <f t="shared" si="60"/>
        <v>0</v>
      </c>
      <c r="BL55" s="1261">
        <f t="shared" si="61"/>
        <v>0</v>
      </c>
      <c r="BM55" s="1261">
        <f t="shared" si="62"/>
        <v>0</v>
      </c>
      <c r="BN55" s="1261">
        <f t="shared" si="63"/>
        <v>0</v>
      </c>
      <c r="BO55" s="1261">
        <f t="shared" si="64"/>
        <v>0</v>
      </c>
      <c r="BP55" s="1261">
        <f t="shared" si="65"/>
        <v>0</v>
      </c>
      <c r="BQ55" s="1261">
        <v>0</v>
      </c>
      <c r="BR55" s="1261">
        <v>0</v>
      </c>
      <c r="BS55" s="1261">
        <v>0</v>
      </c>
      <c r="BT55" s="1261">
        <f t="shared" si="66"/>
        <v>0</v>
      </c>
      <c r="BU55" s="1261">
        <f t="shared" si="67"/>
        <v>0</v>
      </c>
      <c r="BV55" s="1261">
        <f t="shared" si="68"/>
        <v>0</v>
      </c>
      <c r="BW55" s="1261">
        <f t="shared" si="69"/>
        <v>0</v>
      </c>
      <c r="BX55" s="571">
        <v>5</v>
      </c>
    </row>
    <row r="56" spans="50:76" ht="26.25" customHeight="1" x14ac:dyDescent="0.45">
      <c r="AX56" s="1261">
        <v>6</v>
      </c>
      <c r="AY56" s="1262">
        <f t="shared" si="70"/>
        <v>44779</v>
      </c>
      <c r="AZ56" s="1261" t="str">
        <f>IF(AY56="","",INDEX({"रविवार";"सोमवार";"मंगळवार";"बुधवार";"गुरूवार";"शुक्रवार";"शनिवार"},WEEKDAY(AY56)))</f>
        <v>शनिवार</v>
      </c>
      <c r="BA56" s="1261">
        <f>HLOOKUP(AY47,'दैनिक माहिती'!BF268:BQ299,7,0)</f>
        <v>0</v>
      </c>
      <c r="BB56" s="1261"/>
      <c r="BC56" s="1261">
        <f t="shared" si="71"/>
        <v>0</v>
      </c>
      <c r="BD56" s="1261"/>
      <c r="BE56" s="1261">
        <f>HLOOKUP(AY47,'दैनिक माहिती'!BF231:BQ263,7,0)</f>
        <v>0</v>
      </c>
      <c r="BF56" s="1261">
        <f t="shared" si="55"/>
        <v>0</v>
      </c>
      <c r="BG56" s="1261">
        <f t="shared" si="56"/>
        <v>0</v>
      </c>
      <c r="BH56" s="1261">
        <f t="shared" si="57"/>
        <v>0</v>
      </c>
      <c r="BI56" s="1261">
        <f t="shared" si="58"/>
        <v>0</v>
      </c>
      <c r="BJ56" s="1261">
        <f t="shared" si="59"/>
        <v>0</v>
      </c>
      <c r="BK56" s="1261">
        <f t="shared" si="60"/>
        <v>0</v>
      </c>
      <c r="BL56" s="1261">
        <f t="shared" si="61"/>
        <v>0</v>
      </c>
      <c r="BM56" s="1261">
        <f t="shared" si="62"/>
        <v>0</v>
      </c>
      <c r="BN56" s="1261">
        <f t="shared" si="63"/>
        <v>0</v>
      </c>
      <c r="BO56" s="1261">
        <f t="shared" si="64"/>
        <v>0</v>
      </c>
      <c r="BP56" s="1261">
        <f t="shared" si="65"/>
        <v>0</v>
      </c>
      <c r="BQ56" s="1261">
        <v>0</v>
      </c>
      <c r="BR56" s="1261">
        <v>0</v>
      </c>
      <c r="BS56" s="1261">
        <v>0</v>
      </c>
      <c r="BT56" s="1261">
        <f t="shared" si="66"/>
        <v>0</v>
      </c>
      <c r="BU56" s="1261">
        <f t="shared" si="67"/>
        <v>0</v>
      </c>
      <c r="BV56" s="1261">
        <f t="shared" si="68"/>
        <v>0</v>
      </c>
      <c r="BW56" s="1261">
        <f t="shared" si="69"/>
        <v>0</v>
      </c>
      <c r="BX56" s="571">
        <v>6</v>
      </c>
    </row>
    <row r="57" spans="50:76" ht="26.25" customHeight="1" x14ac:dyDescent="0.45">
      <c r="AX57" s="1261">
        <v>7</v>
      </c>
      <c r="AY57" s="1262">
        <f t="shared" si="70"/>
        <v>44780</v>
      </c>
      <c r="AZ57" s="1261" t="str">
        <f>IF(AY57="","",INDEX({"रविवार";"सोमवार";"मंगळवार";"बुधवार";"गुरूवार";"शुक्रवार";"शनिवार"},WEEKDAY(AY57)))</f>
        <v>रविवार</v>
      </c>
      <c r="BA57" s="1261">
        <f>HLOOKUP(AY47,'दैनिक माहिती'!BF268:BQ299,8,0)</f>
        <v>0</v>
      </c>
      <c r="BB57" s="1261"/>
      <c r="BC57" s="1261">
        <f t="shared" si="71"/>
        <v>0</v>
      </c>
      <c r="BD57" s="1261"/>
      <c r="BE57" s="1261">
        <f>HLOOKUP(AY47,'दैनिक माहिती'!BF231:BQ263,8,0)</f>
        <v>0</v>
      </c>
      <c r="BF57" s="1261">
        <f t="shared" si="55"/>
        <v>0</v>
      </c>
      <c r="BG57" s="1261">
        <f t="shared" si="56"/>
        <v>0</v>
      </c>
      <c r="BH57" s="1261">
        <f t="shared" si="57"/>
        <v>0</v>
      </c>
      <c r="BI57" s="1261">
        <f t="shared" si="58"/>
        <v>0</v>
      </c>
      <c r="BJ57" s="1261">
        <f t="shared" si="59"/>
        <v>0</v>
      </c>
      <c r="BK57" s="1261">
        <f t="shared" si="60"/>
        <v>0</v>
      </c>
      <c r="BL57" s="1261">
        <f t="shared" si="61"/>
        <v>0</v>
      </c>
      <c r="BM57" s="1261">
        <f t="shared" si="62"/>
        <v>0</v>
      </c>
      <c r="BN57" s="1261">
        <f t="shared" si="63"/>
        <v>0</v>
      </c>
      <c r="BO57" s="1261">
        <f t="shared" si="64"/>
        <v>0</v>
      </c>
      <c r="BP57" s="1261">
        <f t="shared" si="65"/>
        <v>0</v>
      </c>
      <c r="BQ57" s="1261">
        <v>0</v>
      </c>
      <c r="BR57" s="1261">
        <v>0</v>
      </c>
      <c r="BS57" s="1261">
        <v>0</v>
      </c>
      <c r="BT57" s="1261">
        <f t="shared" si="66"/>
        <v>0</v>
      </c>
      <c r="BU57" s="1261">
        <f t="shared" si="67"/>
        <v>0</v>
      </c>
      <c r="BV57" s="1261">
        <f t="shared" si="68"/>
        <v>0</v>
      </c>
      <c r="BW57" s="1261">
        <f t="shared" si="69"/>
        <v>0</v>
      </c>
      <c r="BX57" s="571">
        <v>7</v>
      </c>
    </row>
    <row r="58" spans="50:76" ht="26.25" customHeight="1" x14ac:dyDescent="0.45">
      <c r="AX58" s="1261">
        <v>8</v>
      </c>
      <c r="AY58" s="1262">
        <f t="shared" si="70"/>
        <v>44781</v>
      </c>
      <c r="AZ58" s="1261" t="str">
        <f>IF(AY58="","",INDEX({"रविवार";"सोमवार";"मंगळवार";"बुधवार";"गुरूवार";"शुक्रवार";"शनिवार"},WEEKDAY(AY58)))</f>
        <v>सोमवार</v>
      </c>
      <c r="BA58" s="1261">
        <f>HLOOKUP(AY47,'दैनिक माहिती'!BF268:BQ299,9,0)</f>
        <v>0</v>
      </c>
      <c r="BB58" s="1261"/>
      <c r="BC58" s="1261">
        <f t="shared" si="71"/>
        <v>0</v>
      </c>
      <c r="BD58" s="1261"/>
      <c r="BE58" s="1261">
        <f>HLOOKUP(AY47,'दैनिक माहिती'!BF231:BQ263,9,0)</f>
        <v>0</v>
      </c>
      <c r="BF58" s="1261">
        <f t="shared" si="55"/>
        <v>0</v>
      </c>
      <c r="BG58" s="1261">
        <f t="shared" si="56"/>
        <v>0</v>
      </c>
      <c r="BH58" s="1261">
        <f t="shared" si="57"/>
        <v>0</v>
      </c>
      <c r="BI58" s="1261">
        <f t="shared" si="58"/>
        <v>0</v>
      </c>
      <c r="BJ58" s="1261">
        <f t="shared" si="59"/>
        <v>0</v>
      </c>
      <c r="BK58" s="1261">
        <f t="shared" si="60"/>
        <v>0</v>
      </c>
      <c r="BL58" s="1261">
        <f t="shared" si="61"/>
        <v>0</v>
      </c>
      <c r="BM58" s="1261">
        <f t="shared" si="62"/>
        <v>0</v>
      </c>
      <c r="BN58" s="1261">
        <f t="shared" si="63"/>
        <v>0</v>
      </c>
      <c r="BO58" s="1261">
        <f t="shared" si="64"/>
        <v>0</v>
      </c>
      <c r="BP58" s="1261">
        <f t="shared" si="65"/>
        <v>0</v>
      </c>
      <c r="BQ58" s="1261">
        <v>0</v>
      </c>
      <c r="BR58" s="1261">
        <v>0</v>
      </c>
      <c r="BS58" s="1261">
        <v>0</v>
      </c>
      <c r="BT58" s="1261">
        <f t="shared" si="66"/>
        <v>0</v>
      </c>
      <c r="BU58" s="1261">
        <f t="shared" si="67"/>
        <v>0</v>
      </c>
      <c r="BV58" s="1261">
        <f t="shared" si="68"/>
        <v>0</v>
      </c>
      <c r="BW58" s="1261">
        <f t="shared" si="69"/>
        <v>0</v>
      </c>
      <c r="BX58" s="571">
        <v>8</v>
      </c>
    </row>
    <row r="59" spans="50:76" ht="26.25" customHeight="1" x14ac:dyDescent="0.45">
      <c r="AX59" s="1261">
        <v>9</v>
      </c>
      <c r="AY59" s="1262">
        <f t="shared" si="70"/>
        <v>44782</v>
      </c>
      <c r="AZ59" s="1261" t="str">
        <f>IF(AY59="","",INDEX({"रविवार";"सोमवार";"मंगळवार";"बुधवार";"गुरूवार";"शुक्रवार";"शनिवार"},WEEKDAY(AY59)))</f>
        <v>मंगळवार</v>
      </c>
      <c r="BA59" s="1261">
        <f>HLOOKUP(AY47,'दैनिक माहिती'!BF268:BQ299,10,0)</f>
        <v>0</v>
      </c>
      <c r="BB59" s="1261"/>
      <c r="BC59" s="1261">
        <f t="shared" si="71"/>
        <v>0</v>
      </c>
      <c r="BD59" s="1261"/>
      <c r="BE59" s="1261">
        <f>HLOOKUP(AY47,'दैनिक माहिती'!BF231:BQ263,10,0)</f>
        <v>0</v>
      </c>
      <c r="BF59" s="1261">
        <f t="shared" si="55"/>
        <v>0</v>
      </c>
      <c r="BG59" s="1261">
        <f t="shared" si="56"/>
        <v>0</v>
      </c>
      <c r="BH59" s="1261">
        <f t="shared" si="57"/>
        <v>0</v>
      </c>
      <c r="BI59" s="1261">
        <f t="shared" si="58"/>
        <v>0</v>
      </c>
      <c r="BJ59" s="1261">
        <f t="shared" si="59"/>
        <v>0</v>
      </c>
      <c r="BK59" s="1261">
        <f t="shared" si="60"/>
        <v>0</v>
      </c>
      <c r="BL59" s="1261">
        <f t="shared" si="61"/>
        <v>0</v>
      </c>
      <c r="BM59" s="1261">
        <f t="shared" si="62"/>
        <v>0</v>
      </c>
      <c r="BN59" s="1261">
        <f t="shared" si="63"/>
        <v>0</v>
      </c>
      <c r="BO59" s="1261">
        <f t="shared" si="64"/>
        <v>0</v>
      </c>
      <c r="BP59" s="1261">
        <v>0</v>
      </c>
      <c r="BQ59" s="1261">
        <f>IF(BC59=$BC$2,$BT$43/$BC$38,0)</f>
        <v>0</v>
      </c>
      <c r="BR59" s="1261">
        <v>0</v>
      </c>
      <c r="BS59" s="1261">
        <v>0</v>
      </c>
      <c r="BT59" s="1261">
        <f t="shared" si="66"/>
        <v>0</v>
      </c>
      <c r="BU59" s="1261">
        <f t="shared" si="67"/>
        <v>0</v>
      </c>
      <c r="BV59" s="1261">
        <f t="shared" si="68"/>
        <v>0</v>
      </c>
      <c r="BW59" s="1261">
        <f t="shared" si="69"/>
        <v>0</v>
      </c>
      <c r="BX59" s="571">
        <v>9</v>
      </c>
    </row>
    <row r="60" spans="50:76" ht="26.25" customHeight="1" x14ac:dyDescent="0.45">
      <c r="AX60" s="1261">
        <v>10</v>
      </c>
      <c r="AY60" s="1262">
        <f t="shared" si="70"/>
        <v>44783</v>
      </c>
      <c r="AZ60" s="1261" t="str">
        <f>IF(AY60="","",INDEX({"रविवार";"सोमवार";"मंगळवार";"बुधवार";"गुरूवार";"शुक्रवार";"शनिवार"},WEEKDAY(AY60)))</f>
        <v>बुधवार</v>
      </c>
      <c r="BA60" s="1261">
        <f>HLOOKUP(AY47,'दैनिक माहिती'!BF268:BQ299,11,0)</f>
        <v>0</v>
      </c>
      <c r="BB60" s="1261"/>
      <c r="BC60" s="1261">
        <f t="shared" si="71"/>
        <v>0</v>
      </c>
      <c r="BD60" s="1261"/>
      <c r="BE60" s="1261">
        <f>HLOOKUP(AY47,'दैनिक माहिती'!BF231:BQ263,11,0)</f>
        <v>0</v>
      </c>
      <c r="BF60" s="1261">
        <f t="shared" si="55"/>
        <v>0</v>
      </c>
      <c r="BG60" s="1261">
        <f t="shared" si="56"/>
        <v>0</v>
      </c>
      <c r="BH60" s="1261">
        <f t="shared" si="57"/>
        <v>0</v>
      </c>
      <c r="BI60" s="1261">
        <f t="shared" si="58"/>
        <v>0</v>
      </c>
      <c r="BJ60" s="1261">
        <f t="shared" si="59"/>
        <v>0</v>
      </c>
      <c r="BK60" s="1261">
        <f t="shared" si="60"/>
        <v>0</v>
      </c>
      <c r="BL60" s="1261">
        <f t="shared" si="61"/>
        <v>0</v>
      </c>
      <c r="BM60" s="1261">
        <f t="shared" si="62"/>
        <v>0</v>
      </c>
      <c r="BN60" s="1261">
        <f t="shared" si="63"/>
        <v>0</v>
      </c>
      <c r="BO60" s="1261">
        <f t="shared" si="64"/>
        <v>0</v>
      </c>
      <c r="BP60" s="1261">
        <v>0</v>
      </c>
      <c r="BQ60" s="1261">
        <f t="shared" ref="BQ60:BQ66" si="72">IF(BC60=$BC$2,$BT$43/$BC$38,0)</f>
        <v>0</v>
      </c>
      <c r="BR60" s="1261">
        <v>0</v>
      </c>
      <c r="BS60" s="1261">
        <v>0</v>
      </c>
      <c r="BT60" s="1261">
        <f t="shared" si="66"/>
        <v>0</v>
      </c>
      <c r="BU60" s="1261">
        <f t="shared" si="67"/>
        <v>0</v>
      </c>
      <c r="BV60" s="1261">
        <f t="shared" si="68"/>
        <v>0</v>
      </c>
      <c r="BW60" s="1261">
        <f t="shared" si="69"/>
        <v>0</v>
      </c>
      <c r="BX60" s="571">
        <v>10</v>
      </c>
    </row>
    <row r="61" spans="50:76" ht="26.25" customHeight="1" x14ac:dyDescent="0.45">
      <c r="AX61" s="1261">
        <v>11</v>
      </c>
      <c r="AY61" s="1262">
        <f t="shared" si="70"/>
        <v>44784</v>
      </c>
      <c r="AZ61" s="1261" t="str">
        <f>IF(AY61="","",INDEX({"रविवार";"सोमवार";"मंगळवार";"बुधवार";"गुरूवार";"शुक्रवार";"शनिवार"},WEEKDAY(AY61)))</f>
        <v>गुरूवार</v>
      </c>
      <c r="BA61" s="1261">
        <f>HLOOKUP(AY47,'दैनिक माहिती'!BF268:BQ299,12,0)</f>
        <v>0</v>
      </c>
      <c r="BB61" s="1261"/>
      <c r="BC61" s="1261">
        <f t="shared" si="71"/>
        <v>0</v>
      </c>
      <c r="BD61" s="1261"/>
      <c r="BE61" s="1261">
        <f>HLOOKUP(AY47,'दैनिक माहिती'!BF231:BQ263,12,0)</f>
        <v>0</v>
      </c>
      <c r="BF61" s="1261">
        <f t="shared" si="55"/>
        <v>0</v>
      </c>
      <c r="BG61" s="1261">
        <f t="shared" si="56"/>
        <v>0</v>
      </c>
      <c r="BH61" s="1261">
        <f t="shared" si="57"/>
        <v>0</v>
      </c>
      <c r="BI61" s="1261">
        <f t="shared" si="58"/>
        <v>0</v>
      </c>
      <c r="BJ61" s="1261">
        <f t="shared" si="59"/>
        <v>0</v>
      </c>
      <c r="BK61" s="1261">
        <f t="shared" si="60"/>
        <v>0</v>
      </c>
      <c r="BL61" s="1261">
        <f t="shared" si="61"/>
        <v>0</v>
      </c>
      <c r="BM61" s="1261">
        <f t="shared" si="62"/>
        <v>0</v>
      </c>
      <c r="BN61" s="1261">
        <f t="shared" si="63"/>
        <v>0</v>
      </c>
      <c r="BO61" s="1261">
        <f t="shared" si="64"/>
        <v>0</v>
      </c>
      <c r="BP61" s="1261">
        <v>0</v>
      </c>
      <c r="BQ61" s="1261">
        <f t="shared" si="72"/>
        <v>0</v>
      </c>
      <c r="BR61" s="1261">
        <v>0</v>
      </c>
      <c r="BS61" s="1261">
        <v>0</v>
      </c>
      <c r="BT61" s="1261">
        <f t="shared" si="66"/>
        <v>0</v>
      </c>
      <c r="BU61" s="1261">
        <f t="shared" si="67"/>
        <v>0</v>
      </c>
      <c r="BV61" s="1261">
        <f t="shared" si="68"/>
        <v>0</v>
      </c>
      <c r="BW61" s="1261">
        <f t="shared" si="69"/>
        <v>0</v>
      </c>
      <c r="BX61" s="571">
        <v>11</v>
      </c>
    </row>
    <row r="62" spans="50:76" ht="26.25" customHeight="1" x14ac:dyDescent="0.45">
      <c r="AX62" s="1261">
        <v>12</v>
      </c>
      <c r="AY62" s="1262">
        <f t="shared" si="70"/>
        <v>44785</v>
      </c>
      <c r="AZ62" s="1261" t="str">
        <f>IF(AY62="","",INDEX({"रविवार";"सोमवार";"मंगळवार";"बुधवार";"गुरूवार";"शुक्रवार";"शनिवार"},WEEKDAY(AY62)))</f>
        <v>शुक्रवार</v>
      </c>
      <c r="BA62" s="1261">
        <f>HLOOKUP(AY47,'दैनिक माहिती'!BF268:BQ299,12,0)</f>
        <v>0</v>
      </c>
      <c r="BB62" s="1261"/>
      <c r="BC62" s="1261">
        <f t="shared" si="71"/>
        <v>0</v>
      </c>
      <c r="BD62" s="1261"/>
      <c r="BE62" s="1261">
        <f>HLOOKUP(AY47,'दैनिक माहिती'!BF231:BQ263,13,0)</f>
        <v>0</v>
      </c>
      <c r="BF62" s="1261">
        <f t="shared" si="55"/>
        <v>0</v>
      </c>
      <c r="BG62" s="1261">
        <f t="shared" si="56"/>
        <v>0</v>
      </c>
      <c r="BH62" s="1261">
        <f t="shared" si="57"/>
        <v>0</v>
      </c>
      <c r="BI62" s="1261">
        <f t="shared" si="58"/>
        <v>0</v>
      </c>
      <c r="BJ62" s="1261">
        <f t="shared" si="59"/>
        <v>0</v>
      </c>
      <c r="BK62" s="1261">
        <f t="shared" si="60"/>
        <v>0</v>
      </c>
      <c r="BL62" s="1261">
        <f t="shared" si="61"/>
        <v>0</v>
      </c>
      <c r="BM62" s="1261">
        <f t="shared" si="62"/>
        <v>0</v>
      </c>
      <c r="BN62" s="1261">
        <f t="shared" si="63"/>
        <v>0</v>
      </c>
      <c r="BO62" s="1261">
        <f t="shared" si="64"/>
        <v>0</v>
      </c>
      <c r="BP62" s="1261">
        <v>0</v>
      </c>
      <c r="BQ62" s="1261">
        <f t="shared" si="72"/>
        <v>0</v>
      </c>
      <c r="BR62" s="1261">
        <v>0</v>
      </c>
      <c r="BS62" s="1261">
        <v>0</v>
      </c>
      <c r="BT62" s="1261">
        <f t="shared" si="66"/>
        <v>0</v>
      </c>
      <c r="BU62" s="1261">
        <f t="shared" si="67"/>
        <v>0</v>
      </c>
      <c r="BV62" s="1261">
        <f t="shared" si="68"/>
        <v>0</v>
      </c>
      <c r="BW62" s="1261">
        <f t="shared" si="69"/>
        <v>0</v>
      </c>
      <c r="BX62" s="571">
        <v>12</v>
      </c>
    </row>
    <row r="63" spans="50:76" ht="26.25" customHeight="1" x14ac:dyDescent="0.45">
      <c r="AX63" s="1261">
        <v>13</v>
      </c>
      <c r="AY63" s="1262">
        <f t="shared" si="70"/>
        <v>44786</v>
      </c>
      <c r="AZ63" s="1261" t="str">
        <f>IF(AY63="","",INDEX({"रविवार";"सोमवार";"मंगळवार";"बुधवार";"गुरूवार";"शुक्रवार";"शनिवार"},WEEKDAY(AY63)))</f>
        <v>शनिवार</v>
      </c>
      <c r="BA63" s="1261">
        <f>HLOOKUP(AY47,'दैनिक माहिती'!BF268:BQ299,14,0)</f>
        <v>0</v>
      </c>
      <c r="BB63" s="1261"/>
      <c r="BC63" s="1261">
        <f t="shared" si="71"/>
        <v>0</v>
      </c>
      <c r="BD63" s="1261"/>
      <c r="BE63" s="1261">
        <f>HLOOKUP(AY47,'दैनिक माहिती'!BF231:BQ263,14,0)</f>
        <v>0</v>
      </c>
      <c r="BF63" s="1261">
        <f t="shared" si="55"/>
        <v>0</v>
      </c>
      <c r="BG63" s="1261">
        <f t="shared" si="56"/>
        <v>0</v>
      </c>
      <c r="BH63" s="1261">
        <f t="shared" si="57"/>
        <v>0</v>
      </c>
      <c r="BI63" s="1261">
        <f t="shared" si="58"/>
        <v>0</v>
      </c>
      <c r="BJ63" s="1261">
        <f t="shared" si="59"/>
        <v>0</v>
      </c>
      <c r="BK63" s="1261">
        <f t="shared" si="60"/>
        <v>0</v>
      </c>
      <c r="BL63" s="1261">
        <f t="shared" si="61"/>
        <v>0</v>
      </c>
      <c r="BM63" s="1261">
        <f t="shared" si="62"/>
        <v>0</v>
      </c>
      <c r="BN63" s="1261">
        <f t="shared" si="63"/>
        <v>0</v>
      </c>
      <c r="BO63" s="1261">
        <f t="shared" si="64"/>
        <v>0</v>
      </c>
      <c r="BP63" s="1261">
        <v>0</v>
      </c>
      <c r="BQ63" s="1261">
        <f t="shared" si="72"/>
        <v>0</v>
      </c>
      <c r="BR63" s="1261">
        <v>0</v>
      </c>
      <c r="BS63" s="1261">
        <v>0</v>
      </c>
      <c r="BT63" s="1261">
        <f t="shared" si="66"/>
        <v>0</v>
      </c>
      <c r="BU63" s="1261">
        <f t="shared" si="67"/>
        <v>0</v>
      </c>
      <c r="BV63" s="1261">
        <f t="shared" si="68"/>
        <v>0</v>
      </c>
      <c r="BW63" s="1261">
        <f t="shared" si="69"/>
        <v>0</v>
      </c>
      <c r="BX63" s="571">
        <v>13</v>
      </c>
    </row>
    <row r="64" spans="50:76" ht="26.25" customHeight="1" x14ac:dyDescent="0.45">
      <c r="AX64" s="1261">
        <v>14</v>
      </c>
      <c r="AY64" s="1262">
        <f t="shared" si="70"/>
        <v>44787</v>
      </c>
      <c r="AZ64" s="1261" t="str">
        <f>IF(AY64="","",INDEX({"रविवार";"सोमवार";"मंगळवार";"बुधवार";"गुरूवार";"शुक्रवार";"शनिवार"},WEEKDAY(AY64)))</f>
        <v>रविवार</v>
      </c>
      <c r="BA64" s="1261">
        <f>HLOOKUP(AY47,'दैनिक माहिती'!BF268:BQ299,15,0)</f>
        <v>0</v>
      </c>
      <c r="BB64" s="1261"/>
      <c r="BC64" s="1261">
        <f t="shared" si="71"/>
        <v>0</v>
      </c>
      <c r="BD64" s="1261"/>
      <c r="BE64" s="1261">
        <f>HLOOKUP(AY47,'दैनिक माहिती'!BF231:BQ263,15,0)</f>
        <v>0</v>
      </c>
      <c r="BF64" s="1261">
        <f t="shared" si="55"/>
        <v>0</v>
      </c>
      <c r="BG64" s="1261">
        <f t="shared" si="56"/>
        <v>0</v>
      </c>
      <c r="BH64" s="1261">
        <f t="shared" si="57"/>
        <v>0</v>
      </c>
      <c r="BI64" s="1261">
        <f t="shared" si="58"/>
        <v>0</v>
      </c>
      <c r="BJ64" s="1261">
        <f t="shared" si="59"/>
        <v>0</v>
      </c>
      <c r="BK64" s="1261">
        <f t="shared" si="60"/>
        <v>0</v>
      </c>
      <c r="BL64" s="1261">
        <f t="shared" si="61"/>
        <v>0</v>
      </c>
      <c r="BM64" s="1261">
        <f t="shared" si="62"/>
        <v>0</v>
      </c>
      <c r="BN64" s="1261">
        <f t="shared" si="63"/>
        <v>0</v>
      </c>
      <c r="BO64" s="1261">
        <f t="shared" si="64"/>
        <v>0</v>
      </c>
      <c r="BP64" s="1261">
        <v>0</v>
      </c>
      <c r="BQ64" s="1261">
        <f t="shared" si="72"/>
        <v>0</v>
      </c>
      <c r="BR64" s="1261">
        <v>0</v>
      </c>
      <c r="BS64" s="1261">
        <v>0</v>
      </c>
      <c r="BT64" s="1261">
        <f t="shared" si="66"/>
        <v>0</v>
      </c>
      <c r="BU64" s="1261">
        <f t="shared" si="67"/>
        <v>0</v>
      </c>
      <c r="BV64" s="1261">
        <f t="shared" si="68"/>
        <v>0</v>
      </c>
      <c r="BW64" s="1261">
        <f t="shared" si="69"/>
        <v>0</v>
      </c>
      <c r="BX64" s="571">
        <v>14</v>
      </c>
    </row>
    <row r="65" spans="50:76" ht="26.25" customHeight="1" x14ac:dyDescent="0.45">
      <c r="AX65" s="1261">
        <v>15</v>
      </c>
      <c r="AY65" s="1262">
        <f t="shared" si="70"/>
        <v>44788</v>
      </c>
      <c r="AZ65" s="1261" t="str">
        <f>IF(AY65="","",INDEX({"रविवार";"सोमवार";"मंगळवार";"बुधवार";"गुरूवार";"शुक्रवार";"शनिवार"},WEEKDAY(AY65)))</f>
        <v>सोमवार</v>
      </c>
      <c r="BA65" s="1261">
        <f>HLOOKUP(AY47,'दैनिक माहिती'!BF268:BQ299,16,0)</f>
        <v>0</v>
      </c>
      <c r="BB65" s="1261"/>
      <c r="BC65" s="1261">
        <f t="shared" si="71"/>
        <v>0</v>
      </c>
      <c r="BD65" s="1261"/>
      <c r="BE65" s="1261">
        <f>HLOOKUP(AY47,'दैनिक माहिती'!BF231:BQ263,16,0)</f>
        <v>0</v>
      </c>
      <c r="BF65" s="1261">
        <f t="shared" si="55"/>
        <v>0</v>
      </c>
      <c r="BG65" s="1261">
        <f t="shared" si="56"/>
        <v>0</v>
      </c>
      <c r="BH65" s="1261">
        <f t="shared" si="57"/>
        <v>0</v>
      </c>
      <c r="BI65" s="1261">
        <f t="shared" si="58"/>
        <v>0</v>
      </c>
      <c r="BJ65" s="1261">
        <f t="shared" si="59"/>
        <v>0</v>
      </c>
      <c r="BK65" s="1261">
        <f t="shared" si="60"/>
        <v>0</v>
      </c>
      <c r="BL65" s="1261">
        <f t="shared" si="61"/>
        <v>0</v>
      </c>
      <c r="BM65" s="1261">
        <f t="shared" si="62"/>
        <v>0</v>
      </c>
      <c r="BN65" s="1261">
        <f t="shared" si="63"/>
        <v>0</v>
      </c>
      <c r="BO65" s="1261">
        <f t="shared" si="64"/>
        <v>0</v>
      </c>
      <c r="BP65" s="1261">
        <v>0</v>
      </c>
      <c r="BQ65" s="1261">
        <f t="shared" si="72"/>
        <v>0</v>
      </c>
      <c r="BR65" s="1261">
        <v>0</v>
      </c>
      <c r="BS65" s="1261">
        <v>0</v>
      </c>
      <c r="BT65" s="1261">
        <f t="shared" si="66"/>
        <v>0</v>
      </c>
      <c r="BU65" s="1261">
        <f t="shared" si="67"/>
        <v>0</v>
      </c>
      <c r="BV65" s="1261">
        <f t="shared" si="68"/>
        <v>0</v>
      </c>
      <c r="BW65" s="1261">
        <f t="shared" si="69"/>
        <v>0</v>
      </c>
      <c r="BX65" s="571">
        <v>15</v>
      </c>
    </row>
    <row r="66" spans="50:76" ht="26.25" customHeight="1" x14ac:dyDescent="0.45">
      <c r="AX66" s="1261">
        <v>16</v>
      </c>
      <c r="AY66" s="1262">
        <f>AY65+1</f>
        <v>44789</v>
      </c>
      <c r="AZ66" s="1261" t="str">
        <f>IF(AY66="","",INDEX({"रविवार";"सोमवार";"मंगळवार";"बुधवार";"गुरूवार";"शुक्रवार";"शनिवार"},WEEKDAY(AY66)))</f>
        <v>मंगळवार</v>
      </c>
      <c r="BA66" s="1261">
        <f>HLOOKUP(AY47,'दैनिक माहिती'!BF268:BQ299,17,0)</f>
        <v>0</v>
      </c>
      <c r="BB66" s="1261"/>
      <c r="BC66" s="1261">
        <f t="shared" si="71"/>
        <v>0</v>
      </c>
      <c r="BD66" s="1261"/>
      <c r="BE66" s="1261">
        <f>HLOOKUP(AY47,'दैनिक माहिती'!BF231:BQ263,17,0)</f>
        <v>0</v>
      </c>
      <c r="BF66" s="1261">
        <f t="shared" si="55"/>
        <v>0</v>
      </c>
      <c r="BG66" s="1261">
        <f t="shared" si="56"/>
        <v>0</v>
      </c>
      <c r="BH66" s="1261">
        <f t="shared" si="57"/>
        <v>0</v>
      </c>
      <c r="BI66" s="1261">
        <f t="shared" si="58"/>
        <v>0</v>
      </c>
      <c r="BJ66" s="1261">
        <f t="shared" si="59"/>
        <v>0</v>
      </c>
      <c r="BK66" s="1261">
        <f t="shared" si="60"/>
        <v>0</v>
      </c>
      <c r="BL66" s="1261">
        <f t="shared" si="61"/>
        <v>0</v>
      </c>
      <c r="BM66" s="1261">
        <f t="shared" si="62"/>
        <v>0</v>
      </c>
      <c r="BN66" s="1261">
        <f t="shared" si="63"/>
        <v>0</v>
      </c>
      <c r="BO66" s="1261">
        <f t="shared" si="64"/>
        <v>0</v>
      </c>
      <c r="BP66" s="1261">
        <v>0</v>
      </c>
      <c r="BQ66" s="1261">
        <f t="shared" si="72"/>
        <v>0</v>
      </c>
      <c r="BR66" s="1261">
        <v>0</v>
      </c>
      <c r="BS66" s="1261">
        <v>0</v>
      </c>
      <c r="BT66" s="1261">
        <f t="shared" si="66"/>
        <v>0</v>
      </c>
      <c r="BU66" s="1261">
        <f t="shared" si="67"/>
        <v>0</v>
      </c>
      <c r="BV66" s="1261">
        <f t="shared" si="68"/>
        <v>0</v>
      </c>
      <c r="BW66" s="1261">
        <f t="shared" si="69"/>
        <v>0</v>
      </c>
      <c r="BX66" s="571">
        <v>16</v>
      </c>
    </row>
    <row r="67" spans="50:76" ht="26.25" customHeight="1" x14ac:dyDescent="0.45">
      <c r="AX67" s="1261">
        <v>17</v>
      </c>
      <c r="AY67" s="1262">
        <f t="shared" si="70"/>
        <v>44790</v>
      </c>
      <c r="AZ67" s="1261" t="str">
        <f>IF(AY67="","",INDEX({"रविवार";"सोमवार";"मंगळवार";"बुधवार";"गुरूवार";"शुक्रवार";"शनिवार"},WEEKDAY(AY67)))</f>
        <v>बुधवार</v>
      </c>
      <c r="BA67" s="1261">
        <f>HLOOKUP(AY47,'दैनिक माहिती'!BF268:BQ299,18,0)</f>
        <v>0</v>
      </c>
      <c r="BB67" s="1261"/>
      <c r="BC67" s="1261">
        <f t="shared" si="71"/>
        <v>0</v>
      </c>
      <c r="BD67" s="1261"/>
      <c r="BE67" s="1261">
        <f>HLOOKUP(AY47,'दैनिक माहिती'!BF231:BQ263,18,0)</f>
        <v>0</v>
      </c>
      <c r="BF67" s="1261">
        <f t="shared" si="55"/>
        <v>0</v>
      </c>
      <c r="BG67" s="1261">
        <f t="shared" si="56"/>
        <v>0</v>
      </c>
      <c r="BH67" s="1261">
        <f t="shared" si="57"/>
        <v>0</v>
      </c>
      <c r="BI67" s="1261">
        <f t="shared" si="58"/>
        <v>0</v>
      </c>
      <c r="BJ67" s="1261">
        <f t="shared" si="59"/>
        <v>0</v>
      </c>
      <c r="BK67" s="1261">
        <f t="shared" si="60"/>
        <v>0</v>
      </c>
      <c r="BL67" s="1261">
        <f t="shared" si="61"/>
        <v>0</v>
      </c>
      <c r="BM67" s="1261">
        <f t="shared" si="62"/>
        <v>0</v>
      </c>
      <c r="BN67" s="1261">
        <f t="shared" si="63"/>
        <v>0</v>
      </c>
      <c r="BO67" s="1261">
        <f t="shared" si="64"/>
        <v>0</v>
      </c>
      <c r="BP67" s="1261">
        <v>0</v>
      </c>
      <c r="BQ67" s="1261">
        <v>0</v>
      </c>
      <c r="BR67" s="1261">
        <f>IF(BC67=$BC$2,$BT$43/$BC$38,0)</f>
        <v>0</v>
      </c>
      <c r="BS67" s="1261">
        <v>0</v>
      </c>
      <c r="BT67" s="1261">
        <f t="shared" si="66"/>
        <v>0</v>
      </c>
      <c r="BU67" s="1261">
        <f t="shared" si="67"/>
        <v>0</v>
      </c>
      <c r="BV67" s="1261">
        <f t="shared" si="68"/>
        <v>0</v>
      </c>
      <c r="BW67" s="1261">
        <f t="shared" si="69"/>
        <v>0</v>
      </c>
      <c r="BX67" s="571">
        <v>17</v>
      </c>
    </row>
    <row r="68" spans="50:76" ht="26.25" customHeight="1" x14ac:dyDescent="0.45">
      <c r="AX68" s="1261">
        <v>18</v>
      </c>
      <c r="AY68" s="1262">
        <f t="shared" si="70"/>
        <v>44791</v>
      </c>
      <c r="AZ68" s="1261" t="str">
        <f>IF(AY68="","",INDEX({"रविवार";"सोमवार";"मंगळवार";"बुधवार";"गुरूवार";"शुक्रवार";"शनिवार"},WEEKDAY(AY68)))</f>
        <v>गुरूवार</v>
      </c>
      <c r="BA68" s="1261">
        <f>HLOOKUP(AY47,'दैनिक माहिती'!BF268:BQ299,19,0)</f>
        <v>0</v>
      </c>
      <c r="BB68" s="1261"/>
      <c r="BC68" s="1261">
        <f t="shared" si="71"/>
        <v>0</v>
      </c>
      <c r="BD68" s="1261"/>
      <c r="BE68" s="1261">
        <f>HLOOKUP(AY47,'दैनिक माहिती'!BF231:BQ263,19,0)</f>
        <v>0</v>
      </c>
      <c r="BF68" s="1261">
        <f t="shared" si="55"/>
        <v>0</v>
      </c>
      <c r="BG68" s="1261">
        <f t="shared" si="56"/>
        <v>0</v>
      </c>
      <c r="BH68" s="1261">
        <f t="shared" si="57"/>
        <v>0</v>
      </c>
      <c r="BI68" s="1261">
        <f t="shared" si="58"/>
        <v>0</v>
      </c>
      <c r="BJ68" s="1261">
        <f t="shared" si="59"/>
        <v>0</v>
      </c>
      <c r="BK68" s="1261">
        <f t="shared" si="60"/>
        <v>0</v>
      </c>
      <c r="BL68" s="1261">
        <f t="shared" si="61"/>
        <v>0</v>
      </c>
      <c r="BM68" s="1261">
        <f t="shared" si="62"/>
        <v>0</v>
      </c>
      <c r="BN68" s="1261">
        <f t="shared" si="63"/>
        <v>0</v>
      </c>
      <c r="BO68" s="1261">
        <f t="shared" si="64"/>
        <v>0</v>
      </c>
      <c r="BP68" s="1261">
        <v>0</v>
      </c>
      <c r="BQ68" s="1261">
        <v>0</v>
      </c>
      <c r="BR68" s="1261">
        <f t="shared" ref="BR68:BR74" si="73">IF(BC68=$BC$2,$BT$43/$BC$38,0)</f>
        <v>0</v>
      </c>
      <c r="BS68" s="1261">
        <v>0</v>
      </c>
      <c r="BT68" s="1261">
        <f t="shared" si="66"/>
        <v>0</v>
      </c>
      <c r="BU68" s="1261">
        <f t="shared" si="67"/>
        <v>0</v>
      </c>
      <c r="BV68" s="1261">
        <f t="shared" si="68"/>
        <v>0</v>
      </c>
      <c r="BW68" s="1261">
        <f t="shared" si="69"/>
        <v>0</v>
      </c>
      <c r="BX68" s="571">
        <v>18</v>
      </c>
    </row>
    <row r="69" spans="50:76" ht="26.25" customHeight="1" x14ac:dyDescent="0.45">
      <c r="AX69" s="1261">
        <v>19</v>
      </c>
      <c r="AY69" s="1262">
        <f t="shared" si="70"/>
        <v>44792</v>
      </c>
      <c r="AZ69" s="1261" t="str">
        <f>IF(AY69="","",INDEX({"रविवार";"सोमवार";"मंगळवार";"बुधवार";"गुरूवार";"शुक्रवार";"शनिवार"},WEEKDAY(AY69)))</f>
        <v>शुक्रवार</v>
      </c>
      <c r="BA69" s="1261">
        <f>HLOOKUP(AY47,'दैनिक माहिती'!BF268:BQ299,20,0)</f>
        <v>0</v>
      </c>
      <c r="BB69" s="1261"/>
      <c r="BC69" s="1261">
        <f t="shared" si="71"/>
        <v>0</v>
      </c>
      <c r="BD69" s="1261"/>
      <c r="BE69" s="1261">
        <f>HLOOKUP(AY47,'दैनिक माहिती'!BF231:BQ263,20,0)</f>
        <v>0</v>
      </c>
      <c r="BF69" s="1261">
        <f t="shared" si="55"/>
        <v>0</v>
      </c>
      <c r="BG69" s="1261">
        <f t="shared" si="56"/>
        <v>0</v>
      </c>
      <c r="BH69" s="1261">
        <f t="shared" si="57"/>
        <v>0</v>
      </c>
      <c r="BI69" s="1261">
        <f t="shared" si="58"/>
        <v>0</v>
      </c>
      <c r="BJ69" s="1261">
        <f t="shared" si="59"/>
        <v>0</v>
      </c>
      <c r="BK69" s="1261">
        <f t="shared" si="60"/>
        <v>0</v>
      </c>
      <c r="BL69" s="1261">
        <f t="shared" si="61"/>
        <v>0</v>
      </c>
      <c r="BM69" s="1261">
        <f t="shared" si="62"/>
        <v>0</v>
      </c>
      <c r="BN69" s="1261">
        <f t="shared" si="63"/>
        <v>0</v>
      </c>
      <c r="BO69" s="1261">
        <f t="shared" si="64"/>
        <v>0</v>
      </c>
      <c r="BP69" s="1261">
        <v>0</v>
      </c>
      <c r="BQ69" s="1261">
        <v>0</v>
      </c>
      <c r="BR69" s="1261">
        <f t="shared" si="73"/>
        <v>0</v>
      </c>
      <c r="BS69" s="1261">
        <v>0</v>
      </c>
      <c r="BT69" s="1261">
        <f t="shared" si="66"/>
        <v>0</v>
      </c>
      <c r="BU69" s="1261">
        <f t="shared" si="67"/>
        <v>0</v>
      </c>
      <c r="BV69" s="1261">
        <f t="shared" si="68"/>
        <v>0</v>
      </c>
      <c r="BW69" s="1261">
        <f t="shared" si="69"/>
        <v>0</v>
      </c>
      <c r="BX69" s="571">
        <v>19</v>
      </c>
    </row>
    <row r="70" spans="50:76" ht="26.25" customHeight="1" x14ac:dyDescent="0.45">
      <c r="AX70" s="1261">
        <v>20</v>
      </c>
      <c r="AY70" s="1262">
        <f t="shared" si="70"/>
        <v>44793</v>
      </c>
      <c r="AZ70" s="1261" t="str">
        <f>IF(AY70="","",INDEX({"रविवार";"सोमवार";"मंगळवार";"बुधवार";"गुरूवार";"शुक्रवार";"शनिवार"},WEEKDAY(AY70)))</f>
        <v>शनिवार</v>
      </c>
      <c r="BA70" s="1261">
        <f>HLOOKUP(AY47,'दैनिक माहिती'!BF268:BQ299,21,0)</f>
        <v>0</v>
      </c>
      <c r="BB70" s="1261"/>
      <c r="BC70" s="1261">
        <f t="shared" si="71"/>
        <v>0</v>
      </c>
      <c r="BD70" s="1261"/>
      <c r="BE70" s="1261">
        <f>HLOOKUP(AY47,'दैनिक माहिती'!BF231:BQ263,21,0)</f>
        <v>0</v>
      </c>
      <c r="BF70" s="1261">
        <f t="shared" si="55"/>
        <v>0</v>
      </c>
      <c r="BG70" s="1261">
        <f t="shared" si="56"/>
        <v>0</v>
      </c>
      <c r="BH70" s="1261">
        <f t="shared" si="57"/>
        <v>0</v>
      </c>
      <c r="BI70" s="1261">
        <f t="shared" si="58"/>
        <v>0</v>
      </c>
      <c r="BJ70" s="1261">
        <f t="shared" si="59"/>
        <v>0</v>
      </c>
      <c r="BK70" s="1261">
        <f t="shared" si="60"/>
        <v>0</v>
      </c>
      <c r="BL70" s="1261">
        <f t="shared" si="61"/>
        <v>0</v>
      </c>
      <c r="BM70" s="1261">
        <f t="shared" si="62"/>
        <v>0</v>
      </c>
      <c r="BN70" s="1261">
        <f t="shared" si="63"/>
        <v>0</v>
      </c>
      <c r="BO70" s="1261">
        <f t="shared" si="64"/>
        <v>0</v>
      </c>
      <c r="BP70" s="1261">
        <v>0</v>
      </c>
      <c r="BQ70" s="1261">
        <v>0</v>
      </c>
      <c r="BR70" s="1261">
        <f t="shared" si="73"/>
        <v>0</v>
      </c>
      <c r="BS70" s="1261">
        <v>0</v>
      </c>
      <c r="BT70" s="1261">
        <f t="shared" si="66"/>
        <v>0</v>
      </c>
      <c r="BU70" s="1261">
        <f t="shared" si="67"/>
        <v>0</v>
      </c>
      <c r="BV70" s="1261">
        <f t="shared" si="68"/>
        <v>0</v>
      </c>
      <c r="BW70" s="1261">
        <f t="shared" si="69"/>
        <v>0</v>
      </c>
      <c r="BX70" s="571">
        <v>20</v>
      </c>
    </row>
    <row r="71" spans="50:76" ht="26.25" customHeight="1" x14ac:dyDescent="0.45">
      <c r="AX71" s="1261">
        <v>21</v>
      </c>
      <c r="AY71" s="1262">
        <f t="shared" si="70"/>
        <v>44794</v>
      </c>
      <c r="AZ71" s="1261" t="str">
        <f>IF(AY71="","",INDEX({"रविवार";"सोमवार";"मंगळवार";"बुधवार";"गुरूवार";"शुक्रवार";"शनिवार"},WEEKDAY(AY71)))</f>
        <v>रविवार</v>
      </c>
      <c r="BA71" s="1261">
        <f>HLOOKUP(AY47,'दैनिक माहिती'!BF268:BQ299,22,0)</f>
        <v>0</v>
      </c>
      <c r="BB71" s="1261"/>
      <c r="BC71" s="1261">
        <f t="shared" si="71"/>
        <v>0</v>
      </c>
      <c r="BD71" s="1261"/>
      <c r="BE71" s="1261">
        <f>HLOOKUP(AY47,'दैनिक माहिती'!BF231:BQ263,22,0)</f>
        <v>0</v>
      </c>
      <c r="BF71" s="1261">
        <f t="shared" si="55"/>
        <v>0</v>
      </c>
      <c r="BG71" s="1261">
        <f t="shared" si="56"/>
        <v>0</v>
      </c>
      <c r="BH71" s="1261">
        <f t="shared" si="57"/>
        <v>0</v>
      </c>
      <c r="BI71" s="1261">
        <f t="shared" si="58"/>
        <v>0</v>
      </c>
      <c r="BJ71" s="1261">
        <f t="shared" si="59"/>
        <v>0</v>
      </c>
      <c r="BK71" s="1261">
        <f t="shared" si="60"/>
        <v>0</v>
      </c>
      <c r="BL71" s="1261">
        <f t="shared" si="61"/>
        <v>0</v>
      </c>
      <c r="BM71" s="1261">
        <f t="shared" si="62"/>
        <v>0</v>
      </c>
      <c r="BN71" s="1261">
        <f t="shared" si="63"/>
        <v>0</v>
      </c>
      <c r="BO71" s="1261">
        <f t="shared" si="64"/>
        <v>0</v>
      </c>
      <c r="BP71" s="1261">
        <v>0</v>
      </c>
      <c r="BQ71" s="1261">
        <v>0</v>
      </c>
      <c r="BR71" s="1261">
        <f t="shared" si="73"/>
        <v>0</v>
      </c>
      <c r="BS71" s="1261">
        <v>0</v>
      </c>
      <c r="BT71" s="1261">
        <f t="shared" si="66"/>
        <v>0</v>
      </c>
      <c r="BU71" s="1261">
        <f t="shared" si="67"/>
        <v>0</v>
      </c>
      <c r="BV71" s="1261">
        <f t="shared" si="68"/>
        <v>0</v>
      </c>
      <c r="BW71" s="1261">
        <f t="shared" si="69"/>
        <v>0</v>
      </c>
      <c r="BX71" s="571">
        <v>21</v>
      </c>
    </row>
    <row r="72" spans="50:76" ht="26.25" customHeight="1" x14ac:dyDescent="0.45">
      <c r="AX72" s="1261">
        <v>22</v>
      </c>
      <c r="AY72" s="1262">
        <f t="shared" si="70"/>
        <v>44795</v>
      </c>
      <c r="AZ72" s="1261" t="str">
        <f>IF(AY72="","",INDEX({"रविवार";"सोमवार";"मंगळवार";"बुधवार";"गुरूवार";"शुक्रवार";"शनिवार"},WEEKDAY(AY72)))</f>
        <v>सोमवार</v>
      </c>
      <c r="BA72" s="1261">
        <f>HLOOKUP(AY47,'दैनिक माहिती'!BF268:BQ299,23,0)</f>
        <v>0</v>
      </c>
      <c r="BB72" s="1261"/>
      <c r="BC72" s="1261">
        <f t="shared" si="71"/>
        <v>0</v>
      </c>
      <c r="BD72" s="1261"/>
      <c r="BE72" s="1261">
        <f>HLOOKUP(AY47,'दैनिक माहिती'!BF231:BQ263,23,0)</f>
        <v>0</v>
      </c>
      <c r="BF72" s="1261">
        <f t="shared" si="55"/>
        <v>0</v>
      </c>
      <c r="BG72" s="1261">
        <f t="shared" si="56"/>
        <v>0</v>
      </c>
      <c r="BH72" s="1261">
        <f t="shared" si="57"/>
        <v>0</v>
      </c>
      <c r="BI72" s="1261">
        <f t="shared" si="58"/>
        <v>0</v>
      </c>
      <c r="BJ72" s="1261">
        <f t="shared" si="59"/>
        <v>0</v>
      </c>
      <c r="BK72" s="1261">
        <f t="shared" si="60"/>
        <v>0</v>
      </c>
      <c r="BL72" s="1261">
        <f t="shared" si="61"/>
        <v>0</v>
      </c>
      <c r="BM72" s="1261">
        <f t="shared" si="62"/>
        <v>0</v>
      </c>
      <c r="BN72" s="1261">
        <f t="shared" si="63"/>
        <v>0</v>
      </c>
      <c r="BO72" s="1261">
        <f t="shared" si="64"/>
        <v>0</v>
      </c>
      <c r="BP72" s="1261">
        <v>0</v>
      </c>
      <c r="BQ72" s="1261">
        <v>0</v>
      </c>
      <c r="BR72" s="1261">
        <f t="shared" si="73"/>
        <v>0</v>
      </c>
      <c r="BS72" s="1261">
        <v>0</v>
      </c>
      <c r="BT72" s="1261">
        <f t="shared" si="66"/>
        <v>0</v>
      </c>
      <c r="BU72" s="1261">
        <f t="shared" si="67"/>
        <v>0</v>
      </c>
      <c r="BV72" s="1261">
        <f t="shared" si="68"/>
        <v>0</v>
      </c>
      <c r="BW72" s="1261">
        <f t="shared" si="69"/>
        <v>0</v>
      </c>
      <c r="BX72" s="571">
        <v>22</v>
      </c>
    </row>
    <row r="73" spans="50:76" ht="26.25" customHeight="1" x14ac:dyDescent="0.45">
      <c r="AX73" s="1261">
        <v>23</v>
      </c>
      <c r="AY73" s="1262">
        <f t="shared" si="70"/>
        <v>44796</v>
      </c>
      <c r="AZ73" s="1261" t="str">
        <f>IF(AY73="","",INDEX({"रविवार";"सोमवार";"मंगळवार";"बुधवार";"गुरूवार";"शुक्रवार";"शनिवार"},WEEKDAY(AY73)))</f>
        <v>मंगळवार</v>
      </c>
      <c r="BA73" s="1261">
        <f>HLOOKUP(AY47,'दैनिक माहिती'!BF268:BQ299,24,0)</f>
        <v>0</v>
      </c>
      <c r="BB73" s="1261"/>
      <c r="BC73" s="1261">
        <f t="shared" si="71"/>
        <v>0</v>
      </c>
      <c r="BD73" s="1261"/>
      <c r="BE73" s="1261">
        <f>HLOOKUP(AY47,'दैनिक माहिती'!BF231:BQ263,24,0)</f>
        <v>0</v>
      </c>
      <c r="BF73" s="1261">
        <f t="shared" si="55"/>
        <v>0</v>
      </c>
      <c r="BG73" s="1261">
        <f t="shared" si="56"/>
        <v>0</v>
      </c>
      <c r="BH73" s="1261">
        <f t="shared" si="57"/>
        <v>0</v>
      </c>
      <c r="BI73" s="1261">
        <f t="shared" si="58"/>
        <v>0</v>
      </c>
      <c r="BJ73" s="1261">
        <f t="shared" si="59"/>
        <v>0</v>
      </c>
      <c r="BK73" s="1261">
        <f t="shared" si="60"/>
        <v>0</v>
      </c>
      <c r="BL73" s="1261">
        <f t="shared" si="61"/>
        <v>0</v>
      </c>
      <c r="BM73" s="1261">
        <f t="shared" si="62"/>
        <v>0</v>
      </c>
      <c r="BN73" s="1261">
        <f t="shared" si="63"/>
        <v>0</v>
      </c>
      <c r="BO73" s="1261">
        <f t="shared" si="64"/>
        <v>0</v>
      </c>
      <c r="BP73" s="1261">
        <v>0</v>
      </c>
      <c r="BQ73" s="1261">
        <v>0</v>
      </c>
      <c r="BR73" s="1261">
        <f t="shared" si="73"/>
        <v>0</v>
      </c>
      <c r="BS73" s="1261">
        <v>0</v>
      </c>
      <c r="BT73" s="1261">
        <f t="shared" si="66"/>
        <v>0</v>
      </c>
      <c r="BU73" s="1261">
        <f t="shared" si="67"/>
        <v>0</v>
      </c>
      <c r="BV73" s="1261">
        <f t="shared" si="68"/>
        <v>0</v>
      </c>
      <c r="BW73" s="1261">
        <f t="shared" si="69"/>
        <v>0</v>
      </c>
      <c r="BX73" s="571">
        <v>23</v>
      </c>
    </row>
    <row r="74" spans="50:76" ht="26.25" customHeight="1" x14ac:dyDescent="0.45">
      <c r="AX74" s="1261">
        <v>24</v>
      </c>
      <c r="AY74" s="1262">
        <f t="shared" si="70"/>
        <v>44797</v>
      </c>
      <c r="AZ74" s="1261" t="str">
        <f>IF(AY74="","",INDEX({"रविवार";"सोमवार";"मंगळवार";"बुधवार";"गुरूवार";"शुक्रवार";"शनिवार"},WEEKDAY(AY74)))</f>
        <v>बुधवार</v>
      </c>
      <c r="BA74" s="1261">
        <f>HLOOKUP(AY47,'दैनिक माहिती'!BF268:BQ299,25,0)</f>
        <v>0</v>
      </c>
      <c r="BB74" s="1261"/>
      <c r="BC74" s="1261">
        <f t="shared" si="71"/>
        <v>0</v>
      </c>
      <c r="BD74" s="1261"/>
      <c r="BE74" s="1261">
        <f>HLOOKUP(AY47,'दैनिक माहिती'!BF231:BQ263,25,0)</f>
        <v>0</v>
      </c>
      <c r="BF74" s="1261">
        <f t="shared" si="55"/>
        <v>0</v>
      </c>
      <c r="BG74" s="1261">
        <f t="shared" si="56"/>
        <v>0</v>
      </c>
      <c r="BH74" s="1261">
        <f t="shared" si="57"/>
        <v>0</v>
      </c>
      <c r="BI74" s="1261">
        <f t="shared" si="58"/>
        <v>0</v>
      </c>
      <c r="BJ74" s="1261">
        <f t="shared" si="59"/>
        <v>0</v>
      </c>
      <c r="BK74" s="1261">
        <f t="shared" si="60"/>
        <v>0</v>
      </c>
      <c r="BL74" s="1261">
        <f t="shared" si="61"/>
        <v>0</v>
      </c>
      <c r="BM74" s="1261">
        <f t="shared" si="62"/>
        <v>0</v>
      </c>
      <c r="BN74" s="1261">
        <f t="shared" si="63"/>
        <v>0</v>
      </c>
      <c r="BO74" s="1261">
        <f t="shared" si="64"/>
        <v>0</v>
      </c>
      <c r="BP74" s="1261">
        <v>0</v>
      </c>
      <c r="BQ74" s="1261">
        <v>0</v>
      </c>
      <c r="BR74" s="1261">
        <f t="shared" si="73"/>
        <v>0</v>
      </c>
      <c r="BS74" s="1261">
        <v>0</v>
      </c>
      <c r="BT74" s="1261">
        <f t="shared" si="66"/>
        <v>0</v>
      </c>
      <c r="BU74" s="1261">
        <f t="shared" si="67"/>
        <v>0</v>
      </c>
      <c r="BV74" s="1261">
        <f t="shared" si="68"/>
        <v>0</v>
      </c>
      <c r="BW74" s="1261">
        <f t="shared" si="69"/>
        <v>0</v>
      </c>
      <c r="BX74" s="571">
        <v>24</v>
      </c>
    </row>
    <row r="75" spans="50:76" ht="26.25" customHeight="1" x14ac:dyDescent="0.45">
      <c r="AX75" s="1261">
        <v>25</v>
      </c>
      <c r="AY75" s="1262">
        <f t="shared" si="70"/>
        <v>44798</v>
      </c>
      <c r="AZ75" s="1261" t="str">
        <f>IF(AY75="","",INDEX({"रविवार";"सोमवार";"मंगळवार";"बुधवार";"गुरूवार";"शुक्रवार";"शनिवार"},WEEKDAY(AY75)))</f>
        <v>गुरूवार</v>
      </c>
      <c r="BA75" s="1261">
        <f>HLOOKUP(AY47,'दैनिक माहिती'!BF268:BQ299,26,0)</f>
        <v>0</v>
      </c>
      <c r="BB75" s="1261"/>
      <c r="BC75" s="1261">
        <f t="shared" si="71"/>
        <v>0</v>
      </c>
      <c r="BD75" s="1261"/>
      <c r="BE75" s="1261">
        <f>HLOOKUP(AY47,'दैनिक माहिती'!BF231:BQ263,26,0)</f>
        <v>0</v>
      </c>
      <c r="BF75" s="1261">
        <f t="shared" si="55"/>
        <v>0</v>
      </c>
      <c r="BG75" s="1261">
        <f t="shared" si="56"/>
        <v>0</v>
      </c>
      <c r="BH75" s="1261">
        <f t="shared" si="57"/>
        <v>0</v>
      </c>
      <c r="BI75" s="1261">
        <f t="shared" si="58"/>
        <v>0</v>
      </c>
      <c r="BJ75" s="1261">
        <f t="shared" si="59"/>
        <v>0</v>
      </c>
      <c r="BK75" s="1261">
        <f t="shared" si="60"/>
        <v>0</v>
      </c>
      <c r="BL75" s="1261">
        <f t="shared" si="61"/>
        <v>0</v>
      </c>
      <c r="BM75" s="1261">
        <f t="shared" si="62"/>
        <v>0</v>
      </c>
      <c r="BN75" s="1261">
        <f t="shared" si="63"/>
        <v>0</v>
      </c>
      <c r="BO75" s="1261">
        <f t="shared" si="64"/>
        <v>0</v>
      </c>
      <c r="BP75" s="1261">
        <v>0</v>
      </c>
      <c r="BQ75" s="1261">
        <v>0</v>
      </c>
      <c r="BR75" s="1261">
        <v>0</v>
      </c>
      <c r="BS75" s="1261">
        <f>IF(BC75=$BC$2,$BT$43/$BC$38,0)</f>
        <v>0</v>
      </c>
      <c r="BT75" s="1261">
        <f t="shared" si="66"/>
        <v>0</v>
      </c>
      <c r="BU75" s="1261">
        <f t="shared" si="67"/>
        <v>0</v>
      </c>
      <c r="BV75" s="1261">
        <f t="shared" si="68"/>
        <v>0</v>
      </c>
      <c r="BW75" s="1261">
        <f t="shared" si="69"/>
        <v>0</v>
      </c>
      <c r="BX75" s="571">
        <v>25</v>
      </c>
    </row>
    <row r="76" spans="50:76" ht="26.25" customHeight="1" x14ac:dyDescent="0.45">
      <c r="AX76" s="1261">
        <v>26</v>
      </c>
      <c r="AY76" s="1262">
        <f t="shared" si="70"/>
        <v>44799</v>
      </c>
      <c r="AZ76" s="1261" t="str">
        <f>IF(AY76="","",INDEX({"रविवार";"सोमवार";"मंगळवार";"बुधवार";"गुरूवार";"शुक्रवार";"शनिवार"},WEEKDAY(AY76)))</f>
        <v>शुक्रवार</v>
      </c>
      <c r="BA76" s="1261">
        <f>HLOOKUP(AY47,'दैनिक माहिती'!BF268:BQ299,27,0)</f>
        <v>0</v>
      </c>
      <c r="BB76" s="1261"/>
      <c r="BC76" s="1261">
        <f t="shared" si="71"/>
        <v>0</v>
      </c>
      <c r="BD76" s="1261"/>
      <c r="BE76" s="1261">
        <f>HLOOKUP(AY47,'दैनिक माहिती'!BF231:BQ263,27,0)</f>
        <v>0</v>
      </c>
      <c r="BF76" s="1261">
        <f t="shared" si="55"/>
        <v>0</v>
      </c>
      <c r="BG76" s="1261">
        <f t="shared" si="56"/>
        <v>0</v>
      </c>
      <c r="BH76" s="1261">
        <f t="shared" si="57"/>
        <v>0</v>
      </c>
      <c r="BI76" s="1261">
        <f t="shared" si="58"/>
        <v>0</v>
      </c>
      <c r="BJ76" s="1261">
        <f t="shared" si="59"/>
        <v>0</v>
      </c>
      <c r="BK76" s="1261">
        <f t="shared" si="60"/>
        <v>0</v>
      </c>
      <c r="BL76" s="1261">
        <f t="shared" si="61"/>
        <v>0</v>
      </c>
      <c r="BM76" s="1261">
        <f t="shared" si="62"/>
        <v>0</v>
      </c>
      <c r="BN76" s="1261">
        <f t="shared" si="63"/>
        <v>0</v>
      </c>
      <c r="BO76" s="1261">
        <f t="shared" si="64"/>
        <v>0</v>
      </c>
      <c r="BP76" s="1261">
        <v>0</v>
      </c>
      <c r="BQ76" s="1261">
        <v>0</v>
      </c>
      <c r="BR76" s="1261">
        <v>0</v>
      </c>
      <c r="BS76" s="1261">
        <f t="shared" ref="BS76:BS81" si="74">IF(BC76=$BC$2,$BT$43/$BC$38,0)</f>
        <v>0</v>
      </c>
      <c r="BT76" s="1261">
        <f t="shared" si="66"/>
        <v>0</v>
      </c>
      <c r="BU76" s="1261">
        <f t="shared" si="67"/>
        <v>0</v>
      </c>
      <c r="BV76" s="1261">
        <f t="shared" si="68"/>
        <v>0</v>
      </c>
      <c r="BW76" s="1261">
        <f t="shared" si="69"/>
        <v>0</v>
      </c>
      <c r="BX76" s="571">
        <v>26</v>
      </c>
    </row>
    <row r="77" spans="50:76" ht="26.25" customHeight="1" x14ac:dyDescent="0.45">
      <c r="AX77" s="1261">
        <v>27</v>
      </c>
      <c r="AY77" s="1262">
        <f t="shared" si="70"/>
        <v>44800</v>
      </c>
      <c r="AZ77" s="1261" t="str">
        <f>IF(AY77="","",INDEX({"रविवार";"सोमवार";"मंगळवार";"बुधवार";"गुरूवार";"शुक्रवार";"शनिवार"},WEEKDAY(AY77)))</f>
        <v>शनिवार</v>
      </c>
      <c r="BA77" s="1261">
        <f>HLOOKUP(AY47,'दैनिक माहिती'!BF268:BQ299,28,0)</f>
        <v>0</v>
      </c>
      <c r="BB77" s="1261"/>
      <c r="BC77" s="1261">
        <f t="shared" si="71"/>
        <v>0</v>
      </c>
      <c r="BD77" s="1261"/>
      <c r="BE77" s="1261">
        <f>HLOOKUP(AY47,'दैनिक माहिती'!BF231:BQ263,28,0)</f>
        <v>0</v>
      </c>
      <c r="BF77" s="1261">
        <f t="shared" si="55"/>
        <v>0</v>
      </c>
      <c r="BG77" s="1261">
        <f t="shared" si="56"/>
        <v>0</v>
      </c>
      <c r="BH77" s="1261">
        <f t="shared" si="57"/>
        <v>0</v>
      </c>
      <c r="BI77" s="1261">
        <f t="shared" si="58"/>
        <v>0</v>
      </c>
      <c r="BJ77" s="1261">
        <f t="shared" si="59"/>
        <v>0</v>
      </c>
      <c r="BK77" s="1261">
        <f t="shared" si="60"/>
        <v>0</v>
      </c>
      <c r="BL77" s="1261">
        <f t="shared" si="61"/>
        <v>0</v>
      </c>
      <c r="BM77" s="1261">
        <f t="shared" si="62"/>
        <v>0</v>
      </c>
      <c r="BN77" s="1261">
        <f t="shared" si="63"/>
        <v>0</v>
      </c>
      <c r="BO77" s="1261">
        <f t="shared" si="64"/>
        <v>0</v>
      </c>
      <c r="BP77" s="1261">
        <v>0</v>
      </c>
      <c r="BQ77" s="1261">
        <v>0</v>
      </c>
      <c r="BR77" s="1261">
        <v>0</v>
      </c>
      <c r="BS77" s="1261">
        <f t="shared" si="74"/>
        <v>0</v>
      </c>
      <c r="BT77" s="1261">
        <f t="shared" si="66"/>
        <v>0</v>
      </c>
      <c r="BU77" s="1261">
        <f t="shared" si="67"/>
        <v>0</v>
      </c>
      <c r="BV77" s="1261">
        <f t="shared" si="68"/>
        <v>0</v>
      </c>
      <c r="BW77" s="1261">
        <f t="shared" si="69"/>
        <v>0</v>
      </c>
      <c r="BX77" s="571">
        <v>27</v>
      </c>
    </row>
    <row r="78" spans="50:76" ht="26.25" customHeight="1" x14ac:dyDescent="0.45">
      <c r="AX78" s="1261">
        <v>28</v>
      </c>
      <c r="AY78" s="1262">
        <f t="shared" si="70"/>
        <v>44801</v>
      </c>
      <c r="AZ78" s="1261" t="str">
        <f>IF(AY78="","",INDEX({"रविवार";"सोमवार";"मंगळवार";"बुधवार";"गुरूवार";"शुक्रवार";"शनिवार"},WEEKDAY(AY78)))</f>
        <v>रविवार</v>
      </c>
      <c r="BA78" s="1261">
        <f>HLOOKUP(AY47,'दैनिक माहिती'!BF268:BQ299,29,0)</f>
        <v>0</v>
      </c>
      <c r="BB78" s="1261"/>
      <c r="BC78" s="1261">
        <f t="shared" si="71"/>
        <v>0</v>
      </c>
      <c r="BD78" s="1261"/>
      <c r="BE78" s="1261">
        <f>HLOOKUP(AY47,'दैनिक माहिती'!BF231:BQ263,29,0)</f>
        <v>0</v>
      </c>
      <c r="BF78" s="1261">
        <f t="shared" si="55"/>
        <v>0</v>
      </c>
      <c r="BG78" s="1261">
        <f t="shared" si="56"/>
        <v>0</v>
      </c>
      <c r="BH78" s="1261">
        <f t="shared" si="57"/>
        <v>0</v>
      </c>
      <c r="BI78" s="1261">
        <f t="shared" si="58"/>
        <v>0</v>
      </c>
      <c r="BJ78" s="1261">
        <f t="shared" si="59"/>
        <v>0</v>
      </c>
      <c r="BK78" s="1261">
        <f t="shared" si="60"/>
        <v>0</v>
      </c>
      <c r="BL78" s="1261">
        <f t="shared" si="61"/>
        <v>0</v>
      </c>
      <c r="BM78" s="1261">
        <f t="shared" si="62"/>
        <v>0</v>
      </c>
      <c r="BN78" s="1261">
        <f t="shared" si="63"/>
        <v>0</v>
      </c>
      <c r="BO78" s="1261">
        <f t="shared" si="64"/>
        <v>0</v>
      </c>
      <c r="BP78" s="1261">
        <v>0</v>
      </c>
      <c r="BQ78" s="1261">
        <v>0</v>
      </c>
      <c r="BR78" s="1261">
        <v>0</v>
      </c>
      <c r="BS78" s="1261">
        <f t="shared" si="74"/>
        <v>0</v>
      </c>
      <c r="BT78" s="1261">
        <f t="shared" si="66"/>
        <v>0</v>
      </c>
      <c r="BU78" s="1261">
        <f t="shared" si="67"/>
        <v>0</v>
      </c>
      <c r="BV78" s="1261">
        <f t="shared" si="68"/>
        <v>0</v>
      </c>
      <c r="BW78" s="1261">
        <f t="shared" si="69"/>
        <v>0</v>
      </c>
      <c r="BX78" s="571">
        <v>28</v>
      </c>
    </row>
    <row r="79" spans="50:76" ht="26.25" customHeight="1" x14ac:dyDescent="0.45">
      <c r="AX79" s="1261">
        <v>29</v>
      </c>
      <c r="AY79" s="1262">
        <f t="shared" si="70"/>
        <v>44802</v>
      </c>
      <c r="AZ79" s="1261" t="str">
        <f>IF(AY79="","",INDEX({"रविवार";"सोमवार";"मंगळवार";"बुधवार";"गुरूवार";"शुक्रवार";"शनिवार"},WEEKDAY(AY79)))</f>
        <v>सोमवार</v>
      </c>
      <c r="BA79" s="1261">
        <f>HLOOKUP(AY47,'दैनिक माहिती'!BF268:BQ299,30,0)</f>
        <v>0</v>
      </c>
      <c r="BB79" s="1261"/>
      <c r="BC79" s="1261">
        <f t="shared" si="71"/>
        <v>0</v>
      </c>
      <c r="BD79" s="1261"/>
      <c r="BE79" s="1261">
        <f>HLOOKUP(AY47,'दैनिक माहिती'!BF231:BQ263,30,0)</f>
        <v>0</v>
      </c>
      <c r="BF79" s="1261">
        <f t="shared" si="55"/>
        <v>0</v>
      </c>
      <c r="BG79" s="1261">
        <f t="shared" si="56"/>
        <v>0</v>
      </c>
      <c r="BH79" s="1261">
        <f t="shared" si="57"/>
        <v>0</v>
      </c>
      <c r="BI79" s="1261">
        <f t="shared" si="58"/>
        <v>0</v>
      </c>
      <c r="BJ79" s="1261">
        <f t="shared" si="59"/>
        <v>0</v>
      </c>
      <c r="BK79" s="1261">
        <f t="shared" si="60"/>
        <v>0</v>
      </c>
      <c r="BL79" s="1261">
        <f t="shared" si="61"/>
        <v>0</v>
      </c>
      <c r="BM79" s="1261">
        <f t="shared" si="62"/>
        <v>0</v>
      </c>
      <c r="BN79" s="1261">
        <f t="shared" si="63"/>
        <v>0</v>
      </c>
      <c r="BO79" s="1261">
        <f t="shared" si="64"/>
        <v>0</v>
      </c>
      <c r="BP79" s="1261">
        <v>0</v>
      </c>
      <c r="BQ79" s="1261">
        <v>0</v>
      </c>
      <c r="BR79" s="1261">
        <v>0</v>
      </c>
      <c r="BS79" s="1261">
        <f t="shared" si="74"/>
        <v>0</v>
      </c>
      <c r="BT79" s="1261">
        <f t="shared" si="66"/>
        <v>0</v>
      </c>
      <c r="BU79" s="1261">
        <f t="shared" si="67"/>
        <v>0</v>
      </c>
      <c r="BV79" s="1261">
        <f t="shared" si="68"/>
        <v>0</v>
      </c>
      <c r="BW79" s="1261">
        <f t="shared" si="69"/>
        <v>0</v>
      </c>
      <c r="BX79" s="571">
        <v>29</v>
      </c>
    </row>
    <row r="80" spans="50:76" ht="26.25" customHeight="1" x14ac:dyDescent="0.45">
      <c r="AX80" s="1261">
        <v>30</v>
      </c>
      <c r="AY80" s="1262">
        <f t="shared" si="70"/>
        <v>44803</v>
      </c>
      <c r="AZ80" s="1261" t="str">
        <f>IF(AY80="","",INDEX({"रविवार";"सोमवार";"मंगळवार";"बुधवार";"गुरूवार";"शुक्रवार";"शनिवार"},WEEKDAY(AY80)))</f>
        <v>मंगळवार</v>
      </c>
      <c r="BA80" s="1261">
        <f>HLOOKUP(AY47,'दैनिक माहिती'!BF268:BQ299,31,0)</f>
        <v>0</v>
      </c>
      <c r="BB80" s="1261"/>
      <c r="BC80" s="1261">
        <f t="shared" si="71"/>
        <v>0</v>
      </c>
      <c r="BD80" s="1261"/>
      <c r="BE80" s="1261">
        <f>HLOOKUP(AY47,'दैनिक माहिती'!BF231:BQ263,31,0)</f>
        <v>0</v>
      </c>
      <c r="BF80" s="1261">
        <f t="shared" si="55"/>
        <v>0</v>
      </c>
      <c r="BG80" s="1261">
        <f t="shared" si="56"/>
        <v>0</v>
      </c>
      <c r="BH80" s="1261">
        <f t="shared" si="57"/>
        <v>0</v>
      </c>
      <c r="BI80" s="1261">
        <f t="shared" si="58"/>
        <v>0</v>
      </c>
      <c r="BJ80" s="1261">
        <f t="shared" si="59"/>
        <v>0</v>
      </c>
      <c r="BK80" s="1261">
        <f t="shared" si="60"/>
        <v>0</v>
      </c>
      <c r="BL80" s="1261">
        <f t="shared" si="61"/>
        <v>0</v>
      </c>
      <c r="BM80" s="1261">
        <f t="shared" si="62"/>
        <v>0</v>
      </c>
      <c r="BN80" s="1261">
        <f t="shared" si="63"/>
        <v>0</v>
      </c>
      <c r="BO80" s="1261">
        <f t="shared" si="64"/>
        <v>0</v>
      </c>
      <c r="BP80" s="1261">
        <v>0</v>
      </c>
      <c r="BQ80" s="1261">
        <v>0</v>
      </c>
      <c r="BR80" s="1261">
        <v>0</v>
      </c>
      <c r="BS80" s="1261">
        <f t="shared" si="74"/>
        <v>0</v>
      </c>
      <c r="BT80" s="1261">
        <f t="shared" si="66"/>
        <v>0</v>
      </c>
      <c r="BU80" s="1261">
        <f t="shared" si="67"/>
        <v>0</v>
      </c>
      <c r="BV80" s="1261">
        <f t="shared" si="68"/>
        <v>0</v>
      </c>
      <c r="BW80" s="1261">
        <f t="shared" si="69"/>
        <v>0</v>
      </c>
      <c r="BX80" s="571">
        <v>30</v>
      </c>
    </row>
    <row r="81" spans="50:76" ht="26.25" customHeight="1" x14ac:dyDescent="0.45">
      <c r="AX81" s="1261">
        <v>31</v>
      </c>
      <c r="AY81" s="1262">
        <f t="shared" si="70"/>
        <v>44804</v>
      </c>
      <c r="AZ81" s="1261" t="str">
        <f>IF(AY81="","",INDEX({"रविवार";"सोमवार";"मंगळवार";"बुधवार";"गुरूवार";"शुक्रवार";"शनिवार"},WEEKDAY(AY81)))</f>
        <v>बुधवार</v>
      </c>
      <c r="BA81" s="1261">
        <f>HLOOKUP(AY47,'दैनिक माहिती'!BF268:BQ299,32,0)</f>
        <v>0</v>
      </c>
      <c r="BB81" s="1261"/>
      <c r="BC81" s="1261">
        <f t="shared" si="71"/>
        <v>0</v>
      </c>
      <c r="BD81" s="1261"/>
      <c r="BE81" s="1261">
        <f>HLOOKUP(AY47,'दैनिक माहिती'!BF231:BQ263,32,0)</f>
        <v>0</v>
      </c>
      <c r="BF81" s="1261">
        <f t="shared" si="55"/>
        <v>0</v>
      </c>
      <c r="BG81" s="1261">
        <f t="shared" si="56"/>
        <v>0</v>
      </c>
      <c r="BH81" s="1261">
        <f t="shared" si="57"/>
        <v>0</v>
      </c>
      <c r="BI81" s="1261">
        <f t="shared" si="58"/>
        <v>0</v>
      </c>
      <c r="BJ81" s="1261">
        <f t="shared" si="59"/>
        <v>0</v>
      </c>
      <c r="BK81" s="1261">
        <f t="shared" si="60"/>
        <v>0</v>
      </c>
      <c r="BL81" s="1261">
        <f t="shared" si="61"/>
        <v>0</v>
      </c>
      <c r="BM81" s="1261">
        <f t="shared" si="62"/>
        <v>0</v>
      </c>
      <c r="BN81" s="1261">
        <f t="shared" si="63"/>
        <v>0</v>
      </c>
      <c r="BO81" s="1261">
        <f t="shared" si="64"/>
        <v>0</v>
      </c>
      <c r="BP81" s="1261">
        <v>0</v>
      </c>
      <c r="BQ81" s="1261">
        <v>0</v>
      </c>
      <c r="BR81" s="1261">
        <v>0</v>
      </c>
      <c r="BS81" s="1261">
        <f t="shared" si="74"/>
        <v>0</v>
      </c>
      <c r="BT81" s="1261">
        <f t="shared" si="66"/>
        <v>0</v>
      </c>
      <c r="BU81" s="1261">
        <f t="shared" si="67"/>
        <v>0</v>
      </c>
      <c r="BV81" s="1261">
        <f t="shared" si="68"/>
        <v>0</v>
      </c>
      <c r="BW81" s="1261">
        <f t="shared" si="69"/>
        <v>0</v>
      </c>
      <c r="BX81" s="571">
        <v>31</v>
      </c>
    </row>
    <row r="82" spans="50:76" ht="26.25" customHeight="1" x14ac:dyDescent="0.45">
      <c r="AX82" s="1261" t="s">
        <v>35</v>
      </c>
      <c r="AY82" s="1261"/>
      <c r="AZ82" s="1261"/>
      <c r="BA82" s="1261"/>
      <c r="BB82" s="1261"/>
      <c r="BC82" s="1261">
        <f>COUNTIF(BC51:BC81,"=वाटप")</f>
        <v>0</v>
      </c>
      <c r="BD82" s="1261"/>
      <c r="BE82" s="1261">
        <f>SUM(BE51:BE81)</f>
        <v>0</v>
      </c>
      <c r="BF82" s="1266">
        <f t="shared" ref="BF82:BO82" si="75">SUM(BF51:BF81)</f>
        <v>0</v>
      </c>
      <c r="BG82" s="1266">
        <f t="shared" si="75"/>
        <v>0</v>
      </c>
      <c r="BH82" s="1266">
        <f t="shared" si="75"/>
        <v>0</v>
      </c>
      <c r="BI82" s="1266">
        <f t="shared" si="75"/>
        <v>0</v>
      </c>
      <c r="BJ82" s="1266">
        <f t="shared" si="75"/>
        <v>0</v>
      </c>
      <c r="BK82" s="1266">
        <f t="shared" si="75"/>
        <v>0</v>
      </c>
      <c r="BL82" s="1266">
        <f t="shared" si="75"/>
        <v>0</v>
      </c>
      <c r="BM82" s="1266">
        <f t="shared" si="75"/>
        <v>0</v>
      </c>
      <c r="BN82" s="1266">
        <f t="shared" si="75"/>
        <v>0</v>
      </c>
      <c r="BO82" s="1266">
        <f t="shared" si="75"/>
        <v>0</v>
      </c>
      <c r="BP82" s="1266">
        <f>SUM(BP51:BP81)</f>
        <v>0</v>
      </c>
      <c r="BQ82" s="1266">
        <f>SUM(BQ51:BQ81)</f>
        <v>0</v>
      </c>
      <c r="BR82" s="1266">
        <f>SUM(BR51:BR81)</f>
        <v>0</v>
      </c>
      <c r="BS82" s="1266">
        <f>SUM(BS51:BS81)</f>
        <v>0</v>
      </c>
      <c r="BT82" s="1266">
        <f>(BE82*BT50)</f>
        <v>0</v>
      </c>
      <c r="BU82" s="1266">
        <f>(BE82*BU50)</f>
        <v>0</v>
      </c>
      <c r="BV82" s="1266">
        <f t="shared" si="68"/>
        <v>0</v>
      </c>
      <c r="BW82" s="1266">
        <f>BE82*BW50</f>
        <v>0</v>
      </c>
    </row>
    <row r="87" spans="50:76" ht="26.25" customHeight="1" x14ac:dyDescent="0.45">
      <c r="BT87" s="15">
        <f>$BE$38*$BT$6</f>
        <v>0</v>
      </c>
    </row>
  </sheetData>
  <sheetProtection algorithmName="SHA-512" hashValue="xQ9nhejWXvxPaD6T9s7xYSe/FGojZ7+Pg2sihLB4CzW79DoYcT9EceA9ZPEAgyPEObMtqrey/lXqt6BYt6r1yw==" saltValue="5cKx6GV86pPwQxkVwsbYmA==" spinCount="100000" sheet="1" objects="1" scenarios="1" selectLockedCells="1"/>
  <protectedRanges>
    <protectedRange sqref="AX3:BA3" name="Range2"/>
    <protectedRange sqref="C3:D3" name="Range1"/>
  </protectedRanges>
  <mergeCells count="29">
    <mergeCell ref="BV48:BV49"/>
    <mergeCell ref="BW48:BW49"/>
    <mergeCell ref="BT48:BT49"/>
    <mergeCell ref="BP48:BS48"/>
    <mergeCell ref="BO48:BO49"/>
    <mergeCell ref="BU48:BU49"/>
    <mergeCell ref="BF48:BN48"/>
    <mergeCell ref="E6:I6"/>
    <mergeCell ref="B38:D38"/>
    <mergeCell ref="F3:W3"/>
    <mergeCell ref="Y3:AA3"/>
    <mergeCell ref="B4:C4"/>
    <mergeCell ref="D4:I4"/>
    <mergeCell ref="J4:S4"/>
    <mergeCell ref="T4:X4"/>
    <mergeCell ref="Y4:Y5"/>
    <mergeCell ref="AA4:AA5"/>
    <mergeCell ref="Z4:Z5"/>
    <mergeCell ref="BA6:BE6"/>
    <mergeCell ref="AX38:AZ38"/>
    <mergeCell ref="BB3:BS3"/>
    <mergeCell ref="BU3:BW3"/>
    <mergeCell ref="AX4:AY4"/>
    <mergeCell ref="AZ4:BE4"/>
    <mergeCell ref="BF4:BO4"/>
    <mergeCell ref="BP4:BT4"/>
    <mergeCell ref="BU4:BU5"/>
    <mergeCell ref="BW4:BW5"/>
    <mergeCell ref="BV4:BV5"/>
  </mergeCells>
  <dataValidations count="1">
    <dataValidation type="list" allowBlank="1" showInputMessage="1" showErrorMessage="1" sqref="C3">
      <formula1>month</formula1>
    </dataValidation>
  </dataValidations>
  <pageMargins left="0.39370078740157483" right="0.39370078740157483" top="0.39370078740157483" bottom="0.39370078740157483" header="0.31496062992125984" footer="0.31496062992125984"/>
  <pageSetup paperSize="9" scale="5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D3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AS28"/>
  <sheetViews>
    <sheetView showRowColHeaders="0" showZeros="0" zoomScaleNormal="100" workbookViewId="0">
      <selection activeCell="D5" sqref="D5:J5"/>
    </sheetView>
  </sheetViews>
  <sheetFormatPr defaultRowHeight="30.75" customHeight="1" x14ac:dyDescent="0.3"/>
  <cols>
    <col min="1" max="1" width="5.140625" style="15" customWidth="1"/>
    <col min="2" max="2" width="8.42578125" style="15" customWidth="1"/>
    <col min="3" max="3" width="6" style="15" customWidth="1"/>
    <col min="4" max="4" width="9.140625" style="15"/>
    <col min="5" max="5" width="8.85546875" style="15" customWidth="1"/>
    <col min="6" max="6" width="6.42578125" style="15" customWidth="1"/>
    <col min="7" max="7" width="10.28515625" style="15" customWidth="1"/>
    <col min="8" max="8" width="9.85546875" style="15" customWidth="1"/>
    <col min="9" max="9" width="9.7109375" style="15" customWidth="1"/>
    <col min="10" max="10" width="10.5703125" style="15" customWidth="1"/>
    <col min="11" max="11" width="9.42578125" style="15" customWidth="1"/>
    <col min="12" max="12" width="7" style="15" customWidth="1"/>
    <col min="13" max="13" width="6.5703125" style="15" customWidth="1"/>
    <col min="14" max="14" width="7.5703125" style="15" customWidth="1"/>
    <col min="15" max="15" width="8.85546875" style="15" customWidth="1"/>
    <col min="16" max="16" width="6.5703125" style="15" customWidth="1"/>
    <col min="17" max="20" width="9.140625" style="15"/>
    <col min="21" max="21" width="4.42578125" style="15" customWidth="1"/>
    <col min="22" max="31" width="9.140625" style="15"/>
    <col min="32" max="35" width="0" style="15" hidden="1" customWidth="1"/>
    <col min="36" max="36" width="12.140625" style="15" hidden="1" customWidth="1"/>
    <col min="37" max="38" width="12.5703125" style="15" customWidth="1"/>
    <col min="39" max="16384" width="9.140625" style="15"/>
  </cols>
  <sheetData>
    <row r="1" spans="2:45" ht="30.75" customHeight="1" thickBot="1" x14ac:dyDescent="0.35"/>
    <row r="2" spans="2:45" ht="30.75" customHeight="1" thickBot="1" x14ac:dyDescent="0.35">
      <c r="L2" s="1746" t="s">
        <v>34</v>
      </c>
      <c r="M2" s="1747"/>
      <c r="N2" s="1951">
        <v>2022</v>
      </c>
      <c r="O2" s="1952"/>
    </row>
    <row r="3" spans="2:45" ht="30.75" customHeight="1" thickBot="1" x14ac:dyDescent="0.35"/>
    <row r="4" spans="2:45" ht="27" customHeight="1" thickBot="1" x14ac:dyDescent="0.55000000000000004">
      <c r="B4" s="1750" t="s">
        <v>390</v>
      </c>
      <c r="C4" s="1751"/>
      <c r="D4" s="1751"/>
      <c r="E4" s="1751"/>
      <c r="F4" s="1751"/>
      <c r="G4" s="1751"/>
      <c r="H4" s="1751"/>
      <c r="I4" s="1751"/>
      <c r="J4" s="1752"/>
      <c r="L4" s="1750" t="s">
        <v>391</v>
      </c>
      <c r="M4" s="1751"/>
      <c r="N4" s="1751"/>
      <c r="O4" s="1751"/>
      <c r="P4" s="1751"/>
      <c r="Q4" s="1751"/>
      <c r="R4" s="1751"/>
      <c r="S4" s="1751"/>
      <c r="T4" s="1752"/>
    </row>
    <row r="5" spans="2:45" ht="24.75" customHeight="1" x14ac:dyDescent="0.3">
      <c r="B5" s="1953" t="str">
        <f>'शाळा माहिती'!D4</f>
        <v>जि.प.प्रा.शा.बोरजाई वस्ती</v>
      </c>
      <c r="C5" s="1954"/>
      <c r="D5" s="1954"/>
      <c r="E5" s="1954"/>
      <c r="F5" s="1954"/>
      <c r="G5" s="1954"/>
      <c r="H5" s="1954"/>
      <c r="I5" s="1954"/>
      <c r="J5" s="1955"/>
      <c r="L5" s="1956" t="str">
        <f>'शाळा माहिती'!D4</f>
        <v>जि.प.प्रा.शा.बोरजाई वस्ती</v>
      </c>
      <c r="M5" s="1957"/>
      <c r="N5" s="1957"/>
      <c r="O5" s="1957"/>
      <c r="P5" s="1957"/>
      <c r="Q5" s="1957"/>
      <c r="R5" s="1957"/>
      <c r="S5" s="1957"/>
      <c r="T5" s="1958"/>
    </row>
    <row r="6" spans="2:45" ht="30.75" customHeight="1" x14ac:dyDescent="0.45">
      <c r="B6" s="1235" t="s">
        <v>183</v>
      </c>
      <c r="C6" s="525"/>
      <c r="D6" s="1739"/>
      <c r="E6" s="1432"/>
      <c r="F6" s="526" t="s">
        <v>284</v>
      </c>
      <c r="G6" s="142" t="str">
        <f>'शाळा माहिती'!C18</f>
        <v>6 ते 8</v>
      </c>
      <c r="H6" s="527" t="s">
        <v>116</v>
      </c>
      <c r="I6" s="143" t="str">
        <f>L2</f>
        <v>ऑगस्ट</v>
      </c>
      <c r="J6" s="144">
        <f>N2</f>
        <v>2022</v>
      </c>
      <c r="L6" s="1235" t="s">
        <v>183</v>
      </c>
      <c r="M6" s="525"/>
      <c r="N6" s="1739"/>
      <c r="O6" s="1432"/>
      <c r="P6" s="526" t="s">
        <v>284</v>
      </c>
      <c r="Q6" s="142" t="str">
        <f>'शाळा माहिती'!C18</f>
        <v>6 ते 8</v>
      </c>
      <c r="R6" s="527" t="s">
        <v>116</v>
      </c>
      <c r="S6" s="143" t="str">
        <f>L2</f>
        <v>ऑगस्ट</v>
      </c>
      <c r="T6" s="144">
        <f>N2</f>
        <v>2022</v>
      </c>
      <c r="AG6" s="166" t="s">
        <v>42</v>
      </c>
      <c r="AH6" s="166" t="s">
        <v>42</v>
      </c>
      <c r="AI6" s="327">
        <f>HOME!$E$2</f>
        <v>2022</v>
      </c>
      <c r="AJ6" s="388"/>
      <c r="AK6" s="21"/>
      <c r="AL6" s="388"/>
      <c r="AM6" s="21"/>
      <c r="AN6" s="21"/>
      <c r="AO6" s="21"/>
      <c r="AP6" s="21"/>
      <c r="AQ6" s="21"/>
      <c r="AR6" s="21"/>
      <c r="AS6" s="21"/>
    </row>
    <row r="7" spans="2:45" ht="29.25" customHeight="1" x14ac:dyDescent="0.45">
      <c r="B7" s="1740" t="s">
        <v>748</v>
      </c>
      <c r="C7" s="1741"/>
      <c r="D7" s="1741"/>
      <c r="E7" s="1741"/>
      <c r="F7" s="1741"/>
      <c r="G7" s="1741"/>
      <c r="H7" s="1741"/>
      <c r="I7" s="1741"/>
      <c r="J7" s="1742"/>
      <c r="L7" s="1743" t="s">
        <v>747</v>
      </c>
      <c r="M7" s="1744"/>
      <c r="N7" s="1744"/>
      <c r="O7" s="1744"/>
      <c r="P7" s="1744"/>
      <c r="Q7" s="1744"/>
      <c r="R7" s="1744"/>
      <c r="S7" s="1744"/>
      <c r="T7" s="1745"/>
      <c r="AG7" s="166" t="s">
        <v>44</v>
      </c>
      <c r="AH7" s="166" t="s">
        <v>44</v>
      </c>
      <c r="AI7" s="327">
        <f>HOME!$E$2</f>
        <v>2022</v>
      </c>
      <c r="AJ7" s="21"/>
      <c r="AK7" s="21"/>
      <c r="AL7" s="21"/>
      <c r="AM7" s="21"/>
      <c r="AN7" s="21"/>
      <c r="AO7" s="21"/>
      <c r="AP7" s="21"/>
      <c r="AQ7" s="21"/>
      <c r="AR7" s="21"/>
      <c r="AS7" s="21"/>
    </row>
    <row r="8" spans="2:45" ht="30.75" customHeight="1" x14ac:dyDescent="0.45">
      <c r="B8" s="529" t="s">
        <v>185</v>
      </c>
      <c r="C8" s="1380" t="str">
        <f>'शाळा माहिती'!D30</f>
        <v>SANIKA INDANE GAS GANGAPUR</v>
      </c>
      <c r="D8" s="1380"/>
      <c r="E8" s="1380"/>
      <c r="F8" s="1380"/>
      <c r="G8" s="1380"/>
      <c r="H8" s="21" t="s">
        <v>297</v>
      </c>
      <c r="I8" s="1759" t="s">
        <v>298</v>
      </c>
      <c r="J8" s="1760"/>
      <c r="L8" s="529" t="s">
        <v>185</v>
      </c>
      <c r="M8" s="1454" t="str">
        <f>'शाळा माहिती'!D31</f>
        <v>संत सावता माळी भाजीपाला सप्लायर्स</v>
      </c>
      <c r="N8" s="1454"/>
      <c r="O8" s="1454"/>
      <c r="P8" s="1454"/>
      <c r="Q8" s="1454"/>
      <c r="R8" s="21" t="s">
        <v>310</v>
      </c>
      <c r="S8" s="1759" t="s">
        <v>309</v>
      </c>
      <c r="T8" s="1760"/>
      <c r="AG8" s="166" t="s">
        <v>94</v>
      </c>
      <c r="AH8" s="166" t="s">
        <v>94</v>
      </c>
      <c r="AI8" s="327">
        <f>HOME!$E$2</f>
        <v>2022</v>
      </c>
      <c r="AJ8" s="21"/>
      <c r="AK8" s="21"/>
      <c r="AL8" s="21"/>
      <c r="AM8" s="21"/>
      <c r="AN8" s="21"/>
      <c r="AO8" s="21"/>
      <c r="AP8" s="21"/>
      <c r="AQ8" s="21"/>
      <c r="AR8" s="21"/>
      <c r="AS8" s="21"/>
    </row>
    <row r="9" spans="2:45" ht="30.75" customHeight="1" x14ac:dyDescent="0.45">
      <c r="B9" s="530" t="s">
        <v>1</v>
      </c>
      <c r="C9" s="1437" t="str">
        <f>'शाळा माहिती'!D5</f>
        <v>जामगाव</v>
      </c>
      <c r="D9" s="1437"/>
      <c r="E9" s="531" t="s">
        <v>186</v>
      </c>
      <c r="F9" s="1437" t="str">
        <f>'शाळा माहिती'!D7</f>
        <v>गंगापूर</v>
      </c>
      <c r="G9" s="1437"/>
      <c r="H9" s="531" t="s">
        <v>121</v>
      </c>
      <c r="I9" s="1437" t="str">
        <f>'शाळा माहिती'!D8</f>
        <v>औरंगाबाद</v>
      </c>
      <c r="J9" s="1438"/>
      <c r="L9" s="530" t="s">
        <v>1</v>
      </c>
      <c r="M9" s="1437" t="str">
        <f>'शाळा माहिती'!D5</f>
        <v>जामगाव</v>
      </c>
      <c r="N9" s="1437"/>
      <c r="O9" s="532" t="s">
        <v>186</v>
      </c>
      <c r="P9" s="1437" t="str">
        <f>'शाळा माहिती'!D7</f>
        <v>गंगापूर</v>
      </c>
      <c r="Q9" s="1437"/>
      <c r="R9" s="532" t="s">
        <v>121</v>
      </c>
      <c r="S9" s="1437" t="str">
        <f>'शाळा माहिती'!D8</f>
        <v>औरंगाबाद</v>
      </c>
      <c r="T9" s="1438"/>
      <c r="AG9" s="166" t="s">
        <v>46</v>
      </c>
      <c r="AH9" s="166" t="s">
        <v>46</v>
      </c>
      <c r="AI9" s="327">
        <f>HOME!$E$2</f>
        <v>2022</v>
      </c>
      <c r="AJ9" s="21"/>
      <c r="AK9" s="21"/>
      <c r="AL9" s="21"/>
      <c r="AM9" s="21"/>
      <c r="AN9" s="21"/>
      <c r="AO9" s="21"/>
      <c r="AP9" s="21"/>
      <c r="AQ9" s="21"/>
      <c r="AR9" s="21"/>
      <c r="AS9" s="21"/>
    </row>
    <row r="10" spans="2:45" ht="30.75" customHeight="1" x14ac:dyDescent="0.45">
      <c r="B10" s="1771" t="s">
        <v>387</v>
      </c>
      <c r="C10" s="1772"/>
      <c r="D10" s="1772"/>
      <c r="E10" s="1772"/>
      <c r="F10" s="1772"/>
      <c r="G10" s="1772"/>
      <c r="H10" s="1772"/>
      <c r="I10" s="1772"/>
      <c r="J10" s="1773"/>
      <c r="L10" s="1771" t="s">
        <v>388</v>
      </c>
      <c r="M10" s="1772"/>
      <c r="N10" s="1772"/>
      <c r="O10" s="1772"/>
      <c r="P10" s="1772"/>
      <c r="Q10" s="1772"/>
      <c r="R10" s="1772"/>
      <c r="S10" s="1772"/>
      <c r="T10" s="1773"/>
      <c r="AG10" s="166" t="s">
        <v>37</v>
      </c>
      <c r="AH10" s="166" t="s">
        <v>37</v>
      </c>
      <c r="AI10" s="327">
        <f>HOME!$E$2</f>
        <v>2022</v>
      </c>
      <c r="AJ10" s="21"/>
      <c r="AK10" s="21"/>
      <c r="AL10" s="21"/>
      <c r="AM10" s="21"/>
      <c r="AN10" s="21"/>
      <c r="AO10" s="21"/>
      <c r="AP10" s="21"/>
      <c r="AQ10" s="21"/>
      <c r="AR10" s="21"/>
      <c r="AS10" s="21"/>
    </row>
    <row r="11" spans="2:45" ht="27.75" customHeight="1" x14ac:dyDescent="0.45">
      <c r="B11" s="1764" t="s">
        <v>176</v>
      </c>
      <c r="C11" s="1765"/>
      <c r="D11" s="1766" t="s">
        <v>126</v>
      </c>
      <c r="E11" s="1765"/>
      <c r="F11" s="1765"/>
      <c r="G11" s="1765" t="s">
        <v>188</v>
      </c>
      <c r="H11" s="1765"/>
      <c r="I11" s="1765" t="s">
        <v>162</v>
      </c>
      <c r="J11" s="1767"/>
      <c r="K11" s="470"/>
      <c r="L11" s="1768" t="s">
        <v>176</v>
      </c>
      <c r="M11" s="1769"/>
      <c r="N11" s="1761" t="s">
        <v>126</v>
      </c>
      <c r="O11" s="1770"/>
      <c r="P11" s="1762"/>
      <c r="Q11" s="1761" t="s">
        <v>188</v>
      </c>
      <c r="R11" s="1762"/>
      <c r="S11" s="1761" t="s">
        <v>162</v>
      </c>
      <c r="T11" s="1763"/>
      <c r="U11" s="470"/>
      <c r="AG11" s="166" t="s">
        <v>38</v>
      </c>
      <c r="AH11" s="166" t="s">
        <v>38</v>
      </c>
      <c r="AI11" s="327">
        <f>HOME!$E$2</f>
        <v>2022</v>
      </c>
      <c r="AJ11" s="21"/>
      <c r="AK11" s="21"/>
      <c r="AL11" s="21"/>
      <c r="AM11" s="21"/>
      <c r="AN11" s="21"/>
      <c r="AO11" s="21"/>
      <c r="AP11" s="21"/>
      <c r="AQ11" s="21"/>
      <c r="AR11" s="21"/>
      <c r="AS11" s="21"/>
    </row>
    <row r="12" spans="2:45" ht="24.95" customHeight="1" x14ac:dyDescent="0.45">
      <c r="B12" s="1959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C12" s="1786"/>
      <c r="D12" s="1791" t="s">
        <v>393</v>
      </c>
      <c r="E12" s="1759"/>
      <c r="F12" s="1792"/>
      <c r="G12" s="1793" t="str">
        <f>IF('दैनिक भाजीपाला,पूरक आहार 6 ते 8'!BU82&gt;0,'दैनिक भाजीपाला,पूरक आहार 6 ते 8'!BU82,"--")</f>
        <v>--</v>
      </c>
      <c r="H12" s="1380"/>
      <c r="I12" s="1794"/>
      <c r="J12" s="1795"/>
      <c r="L12" s="1796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M12" s="1797"/>
      <c r="N12" s="1787" t="str">
        <f>' प्रमाण निश्चिती '!AC7</f>
        <v xml:space="preserve">बटाटा </v>
      </c>
      <c r="O12" s="1798"/>
      <c r="P12" s="1788"/>
      <c r="Q12" s="1787" t="str">
        <f>IF('दैनिक भाजीपाला,पूरक आहार 6 ते 8'!BF82&gt;0,'दैनिक भाजीपाला,पूरक आहार 6 ते 8'!BF82,"--")</f>
        <v>--</v>
      </c>
      <c r="R12" s="1788"/>
      <c r="S12" s="1776"/>
      <c r="T12" s="1777"/>
      <c r="W12" s="522"/>
      <c r="X12" s="368"/>
      <c r="AG12" s="166" t="s">
        <v>39</v>
      </c>
      <c r="AH12" s="166" t="s">
        <v>39</v>
      </c>
      <c r="AI12" s="327">
        <f>HOME!$E$2</f>
        <v>2022</v>
      </c>
      <c r="AJ12" s="21"/>
      <c r="AK12" s="21"/>
      <c r="AL12" s="21"/>
      <c r="AM12" s="21"/>
      <c r="AN12" s="21"/>
      <c r="AO12" s="21"/>
      <c r="AP12" s="21"/>
      <c r="AQ12" s="21"/>
      <c r="AR12" s="21"/>
      <c r="AS12" s="21"/>
    </row>
    <row r="13" spans="2:45" ht="24.95" customHeight="1" x14ac:dyDescent="0.45">
      <c r="B13" s="1785" t="s">
        <v>394</v>
      </c>
      <c r="C13" s="1781"/>
      <c r="D13" s="1783"/>
      <c r="E13" s="1799"/>
      <c r="F13" s="1779"/>
      <c r="G13" s="1799"/>
      <c r="H13" s="1799"/>
      <c r="I13" s="1783"/>
      <c r="J13" s="1784"/>
      <c r="L13" s="1785" t="s">
        <v>394</v>
      </c>
      <c r="M13" s="1781"/>
      <c r="N13" s="1774" t="str">
        <f>' प्रमाण निश्चिती '!AD7</f>
        <v xml:space="preserve">फ्लावर </v>
      </c>
      <c r="O13" s="1380"/>
      <c r="P13" s="1786"/>
      <c r="Q13" s="1774" t="str">
        <f>IF('दैनिक भाजीपाला,पूरक आहार 6 ते 8'!BG82&gt;0,'दैनिक भाजीपाला,पूरक आहार 6 ते 8'!BG82,"--")</f>
        <v>--</v>
      </c>
      <c r="R13" s="1775"/>
      <c r="S13" s="1776"/>
      <c r="T13" s="1777"/>
      <c r="W13" s="522"/>
      <c r="X13" s="368"/>
      <c r="AG13" s="166" t="s">
        <v>33</v>
      </c>
      <c r="AH13" s="166" t="s">
        <v>33</v>
      </c>
      <c r="AI13" s="327">
        <f>HOME!$F$2</f>
        <v>2023</v>
      </c>
      <c r="AJ13" s="21"/>
      <c r="AK13" s="21"/>
      <c r="AL13" s="21"/>
      <c r="AM13" s="21"/>
      <c r="AN13" s="21"/>
      <c r="AO13" s="21"/>
      <c r="AP13" s="21"/>
      <c r="AQ13" s="21"/>
      <c r="AR13" s="21"/>
      <c r="AS13" s="21"/>
    </row>
    <row r="14" spans="2:45" ht="24.95" customHeight="1" x14ac:dyDescent="0.45">
      <c r="B14" s="1800">
        <f>EOMONTH(B12,0)</f>
        <v>44804</v>
      </c>
      <c r="C14" s="1801"/>
      <c r="D14" s="1783"/>
      <c r="E14" s="1799"/>
      <c r="F14" s="1779"/>
      <c r="G14" s="1799"/>
      <c r="H14" s="1799"/>
      <c r="I14" s="1783"/>
      <c r="J14" s="1784"/>
      <c r="L14" s="1800">
        <f>EOMONTH(B12,0)</f>
        <v>44804</v>
      </c>
      <c r="M14" s="1801"/>
      <c r="N14" s="1774" t="str">
        <f>' प्रमाण निश्चिती '!AE7</f>
        <v>गाजर</v>
      </c>
      <c r="O14" s="1380"/>
      <c r="P14" s="1786"/>
      <c r="Q14" s="1774" t="str">
        <f>IF('दैनिक भाजीपाला,पूरक आहार 6 ते 8'!BH82&gt;0,'दैनिक भाजीपाला,पूरक आहार 6 ते 8'!BH82,"--")</f>
        <v>--</v>
      </c>
      <c r="R14" s="1775"/>
      <c r="S14" s="1780"/>
      <c r="T14" s="1777"/>
      <c r="W14" s="522"/>
      <c r="X14" s="368"/>
      <c r="AG14" s="166" t="s">
        <v>40</v>
      </c>
      <c r="AH14" s="166" t="s">
        <v>40</v>
      </c>
      <c r="AI14" s="327">
        <f>HOME!$F$2</f>
        <v>2023</v>
      </c>
      <c r="AJ14" s="21"/>
      <c r="AK14" s="21"/>
      <c r="AL14" s="21"/>
      <c r="AM14" s="21"/>
      <c r="AN14" s="21"/>
      <c r="AO14" s="21"/>
      <c r="AP14" s="21"/>
      <c r="AQ14" s="21"/>
      <c r="AR14" s="21"/>
      <c r="AS14" s="21"/>
    </row>
    <row r="15" spans="2:45" ht="24.95" customHeight="1" x14ac:dyDescent="0.45">
      <c r="B15" s="1778"/>
      <c r="C15" s="1779"/>
      <c r="D15" s="1783"/>
      <c r="E15" s="1799"/>
      <c r="F15" s="1779"/>
      <c r="G15" s="1799"/>
      <c r="H15" s="1799"/>
      <c r="I15" s="1783"/>
      <c r="J15" s="1784"/>
      <c r="L15" s="1785"/>
      <c r="M15" s="1781"/>
      <c r="N15" s="1774" t="str">
        <f>' प्रमाण निश्चिती '!AF7</f>
        <v xml:space="preserve">हिरवी मिरची </v>
      </c>
      <c r="O15" s="1380"/>
      <c r="P15" s="1786"/>
      <c r="Q15" s="1774" t="str">
        <f>IF('दैनिक भाजीपाला,पूरक आहार 6 ते 8'!BI82&gt;0,'दैनिक भाजीपाला,पूरक आहार 6 ते 8'!BI82,"--")</f>
        <v>--</v>
      </c>
      <c r="R15" s="1775"/>
      <c r="S15" s="1780"/>
      <c r="T15" s="1777"/>
      <c r="W15" s="522"/>
      <c r="X15" s="368"/>
      <c r="AG15" s="166" t="s">
        <v>41</v>
      </c>
      <c r="AH15" s="166" t="s">
        <v>41</v>
      </c>
      <c r="AI15" s="327">
        <f>HOME!$F$2</f>
        <v>2023</v>
      </c>
      <c r="AJ15" s="21"/>
      <c r="AK15" s="21"/>
      <c r="AL15" s="21"/>
      <c r="AM15" s="21"/>
      <c r="AN15" s="21"/>
      <c r="AO15" s="21"/>
      <c r="AP15" s="21"/>
      <c r="AQ15" s="21"/>
      <c r="AR15" s="21"/>
      <c r="AS15" s="21"/>
    </row>
    <row r="16" spans="2:45" ht="24.95" customHeight="1" x14ac:dyDescent="0.4">
      <c r="B16" s="1778"/>
      <c r="C16" s="1779"/>
      <c r="D16" s="1783"/>
      <c r="E16" s="1799"/>
      <c r="F16" s="1779"/>
      <c r="G16" s="1799"/>
      <c r="H16" s="1799"/>
      <c r="I16" s="1783"/>
      <c r="J16" s="1784"/>
      <c r="L16" s="1785"/>
      <c r="M16" s="1781"/>
      <c r="N16" s="1774" t="str">
        <f>' प्रमाण निश्चिती '!AG7</f>
        <v xml:space="preserve">टमाटर </v>
      </c>
      <c r="O16" s="1380"/>
      <c r="P16" s="1786"/>
      <c r="Q16" s="1774" t="str">
        <f>IF('दैनिक भाजीपाला,पूरक आहार 6 ते 8'!BJ82&gt;0,'दैनिक भाजीपाला,पूरक आहार 6 ते 8'!BJ82,"--")</f>
        <v>--</v>
      </c>
      <c r="R16" s="1775"/>
      <c r="S16" s="1780"/>
      <c r="T16" s="1777"/>
      <c r="W16" s="522"/>
      <c r="X16" s="368"/>
      <c r="AG16" s="572"/>
      <c r="AH16" s="572"/>
      <c r="AI16" s="572"/>
    </row>
    <row r="17" spans="2:24" ht="24.95" customHeight="1" x14ac:dyDescent="0.4">
      <c r="B17" s="1778"/>
      <c r="C17" s="1779"/>
      <c r="D17" s="1783"/>
      <c r="E17" s="1799"/>
      <c r="F17" s="1779"/>
      <c r="G17" s="1799"/>
      <c r="H17" s="1799"/>
      <c r="I17" s="1783"/>
      <c r="J17" s="1784"/>
      <c r="L17" s="1785"/>
      <c r="M17" s="1781"/>
      <c r="N17" s="1774" t="str">
        <f>' प्रमाण निश्चिती '!AH7</f>
        <v xml:space="preserve">कोथिंबीर </v>
      </c>
      <c r="O17" s="1380"/>
      <c r="P17" s="1786"/>
      <c r="Q17" s="1774" t="str">
        <f>IF('दैनिक भाजीपाला,पूरक आहार 6 ते 8'!BK82&gt;0,'दैनिक भाजीपाला,पूरक आहार 6 ते 8'!BK82,"--")</f>
        <v>--</v>
      </c>
      <c r="R17" s="1775"/>
      <c r="S17" s="1780"/>
      <c r="T17" s="1777"/>
      <c r="W17" s="522"/>
      <c r="X17" s="368"/>
    </row>
    <row r="18" spans="2:24" ht="24.95" customHeight="1" x14ac:dyDescent="0.4">
      <c r="B18" s="1778"/>
      <c r="C18" s="1779"/>
      <c r="D18" s="1783"/>
      <c r="E18" s="1799"/>
      <c r="F18" s="1779"/>
      <c r="G18" s="1799"/>
      <c r="H18" s="1799"/>
      <c r="I18" s="1783"/>
      <c r="J18" s="1784"/>
      <c r="L18" s="1785"/>
      <c r="M18" s="1781"/>
      <c r="N18" s="1774" t="str">
        <f>' प्रमाण निश्चिती '!AI7</f>
        <v xml:space="preserve">कढीपत्ता </v>
      </c>
      <c r="O18" s="1380"/>
      <c r="P18" s="1786"/>
      <c r="Q18" s="1774" t="str">
        <f>IF('दैनिक भाजीपाला,पूरक आहार 6 ते 8'!BL82&gt;0,'दैनिक भाजीपाला,पूरक आहार 6 ते 8'!BL82,"--")</f>
        <v>--</v>
      </c>
      <c r="R18" s="1775"/>
      <c r="S18" s="1780"/>
      <c r="T18" s="1777"/>
      <c r="W18" s="522"/>
      <c r="X18" s="368"/>
    </row>
    <row r="19" spans="2:24" ht="24.95" customHeight="1" x14ac:dyDescent="0.4">
      <c r="B19" s="1778"/>
      <c r="C19" s="1779"/>
      <c r="D19" s="1783"/>
      <c r="E19" s="1799"/>
      <c r="F19" s="1779"/>
      <c r="G19" s="1799"/>
      <c r="H19" s="1799"/>
      <c r="I19" s="1783"/>
      <c r="J19" s="1784"/>
      <c r="L19" s="1785"/>
      <c r="M19" s="1781"/>
      <c r="N19" s="1774" t="str">
        <f>' प्रमाण निश्चिती '!AJ7</f>
        <v xml:space="preserve">कांदा </v>
      </c>
      <c r="O19" s="1380"/>
      <c r="P19" s="1786"/>
      <c r="Q19" s="1774" t="str">
        <f>IF('दैनिक भाजीपाला,पूरक आहार 6 ते 8'!BM82&gt;0,'दैनिक भाजीपाला,पूरक आहार 6 ते 8'!BM82,"--")</f>
        <v>--</v>
      </c>
      <c r="R19" s="1775"/>
      <c r="S19" s="1780"/>
      <c r="T19" s="1777"/>
      <c r="W19" s="522"/>
      <c r="X19" s="368"/>
    </row>
    <row r="20" spans="2:24" ht="24.95" customHeight="1" x14ac:dyDescent="0.4">
      <c r="B20" s="1778"/>
      <c r="C20" s="1779"/>
      <c r="D20" s="1783"/>
      <c r="E20" s="1799"/>
      <c r="F20" s="1779"/>
      <c r="G20" s="1799"/>
      <c r="H20" s="1799"/>
      <c r="I20" s="1783"/>
      <c r="J20" s="1784"/>
      <c r="L20" s="1785"/>
      <c r="M20" s="1781"/>
      <c r="N20" s="1774" t="str">
        <f>' प्रमाण निश्चिती '!AK7</f>
        <v>इतर</v>
      </c>
      <c r="O20" s="1380"/>
      <c r="P20" s="1786"/>
      <c r="Q20" s="1774" t="str">
        <f>IF('दैनिक भाजीपाला,पूरक आहार 6 ते 8'!BN82&gt;0,'दैनिक भाजीपाला,पूरक आहार 6 ते 8'!BN82,"--")</f>
        <v>--</v>
      </c>
      <c r="R20" s="1775"/>
      <c r="S20" s="1780"/>
      <c r="T20" s="1777"/>
      <c r="W20" s="368"/>
      <c r="X20" s="368"/>
    </row>
    <row r="21" spans="2:24" ht="29.25" customHeight="1" x14ac:dyDescent="0.3">
      <c r="B21" s="1802" t="s">
        <v>29</v>
      </c>
      <c r="C21" s="1410"/>
      <c r="D21" s="1410"/>
      <c r="E21" s="1410"/>
      <c r="F21" s="1410"/>
      <c r="G21" s="1803" t="str">
        <f>IF(SUM(G12:G20)&gt;0,SUM(G12:G20),"--")</f>
        <v>--</v>
      </c>
      <c r="H21" s="1804"/>
      <c r="I21" s="1809" t="str">
        <f>IFERROR(ROUND(G21,0),"--")</f>
        <v>--</v>
      </c>
      <c r="J21" s="1810"/>
      <c r="L21" s="1807" t="s">
        <v>29</v>
      </c>
      <c r="M21" s="1808"/>
      <c r="N21" s="1808"/>
      <c r="O21" s="1808"/>
      <c r="P21" s="1808"/>
      <c r="Q21" s="1803" t="str">
        <f>IF(SUM(Q12:Q20)&gt;0,SUM(Q12:Q20),"--")</f>
        <v>--</v>
      </c>
      <c r="R21" s="1803"/>
      <c r="S21" s="1809" t="str">
        <f>IFERROR(ROUND(Q21,0),"--")</f>
        <v>--</v>
      </c>
      <c r="T21" s="1810"/>
      <c r="W21" s="522"/>
      <c r="X21" s="368"/>
    </row>
    <row r="22" spans="2:24" ht="30" customHeight="1" x14ac:dyDescent="0.4">
      <c r="B22" s="1960" t="s">
        <v>189</v>
      </c>
      <c r="C22" s="1759"/>
      <c r="D22" s="1454" t="str">
        <f>IFERROR(IF(I21=0,"शून्य",IF(VALUE(RIGHT(INT(I21/10^3),2))=0,"",INDEX(MA_Sankhya,RIGHT(INT(I21/10^3),2))&amp;" हजार ")&amp;IF(RIGHT(I21,3)="100","शंभर",IF(VALUE(RIGHT(INT(I21/10^2),1))=0,"",INDEX(MA_Sankhya,RIGHT(INT(I21/10^2),1))&amp;"शे "))&amp;IF(VALUE(RIGHT(I21,2))=0,"",INDEX(MA_Sankhya,RIGHT(I21,2))))," ")&amp;" रुपये"&amp;" फक्त/-"</f>
        <v xml:space="preserve">  रुपये फक्त/-</v>
      </c>
      <c r="E22" s="1454"/>
      <c r="F22" s="1454"/>
      <c r="G22" s="1454"/>
      <c r="H22" s="528" t="s">
        <v>190</v>
      </c>
      <c r="I22" s="1"/>
      <c r="J22" s="533"/>
      <c r="L22" s="1960" t="s">
        <v>189</v>
      </c>
      <c r="M22" s="1759"/>
      <c r="N22" s="1454" t="str">
        <f>IFERROR(IF(S21=0,"शून्य",IF(VALUE(RIGHT(INT(S21/10^3),2))=0,"",INDEX(MA_Sankhya,RIGHT(INT(S21/10^3),2))&amp;" हजार ")&amp;IF(RIGHT(S21,3)="100","शंभर",IF(VALUE(RIGHT(INT(S21/10^2),1))=0,"",INDEX(MA_Sankhya,RIGHT(INT(S21/10^2),1))&amp;"शे "))&amp;IF(VALUE(RIGHT(S21,2))=0,"",INDEX(MA_Sankhya,RIGHT(S21,2))))," ")&amp;" रुपये"&amp;" फक्त/-"</f>
        <v xml:space="preserve">  रुपये फक्त/-</v>
      </c>
      <c r="O22" s="1454"/>
      <c r="P22" s="1454"/>
      <c r="Q22" s="1454"/>
      <c r="R22" s="1776" t="s">
        <v>190</v>
      </c>
      <c r="S22" s="1776"/>
      <c r="T22" s="533"/>
    </row>
    <row r="23" spans="2:24" ht="24.75" customHeight="1" x14ac:dyDescent="0.4">
      <c r="B23" s="1785" t="s">
        <v>192</v>
      </c>
      <c r="C23" s="1776"/>
      <c r="D23" s="1776"/>
      <c r="E23" s="1776"/>
      <c r="F23" s="1"/>
      <c r="G23" s="1776" t="s">
        <v>750</v>
      </c>
      <c r="H23" s="1776"/>
      <c r="I23" s="1776"/>
      <c r="J23" s="536"/>
      <c r="L23" s="1785" t="s">
        <v>192</v>
      </c>
      <c r="M23" s="1776"/>
      <c r="N23" s="1776"/>
      <c r="O23" s="1776"/>
      <c r="P23" s="1776" t="s">
        <v>750</v>
      </c>
      <c r="Q23" s="1776"/>
      <c r="R23" s="1776"/>
      <c r="S23" s="1776"/>
      <c r="T23" s="533"/>
    </row>
    <row r="24" spans="2:24" ht="30.75" customHeight="1" x14ac:dyDescent="0.4">
      <c r="B24" s="534"/>
      <c r="C24" s="1"/>
      <c r="D24" s="1"/>
      <c r="E24" s="1"/>
      <c r="F24" s="1"/>
      <c r="G24" s="1"/>
      <c r="H24" s="1"/>
      <c r="I24" s="1"/>
      <c r="J24" s="533"/>
      <c r="L24" s="534"/>
      <c r="M24" s="1"/>
      <c r="N24" s="1"/>
      <c r="O24" s="1"/>
      <c r="P24" s="1"/>
      <c r="Q24" s="1"/>
      <c r="R24" s="1"/>
      <c r="S24" s="1"/>
      <c r="T24" s="533"/>
    </row>
    <row r="25" spans="2:24" ht="27" customHeight="1" x14ac:dyDescent="0.3">
      <c r="B25" s="459" t="s">
        <v>193</v>
      </c>
      <c r="C25" s="460"/>
      <c r="D25" s="460"/>
      <c r="E25" s="1772" t="s">
        <v>194</v>
      </c>
      <c r="F25" s="1772"/>
      <c r="G25" s="1772" t="s">
        <v>195</v>
      </c>
      <c r="H25" s="1772"/>
      <c r="I25" s="1772"/>
      <c r="J25" s="1773"/>
      <c r="L25" s="459" t="s">
        <v>193</v>
      </c>
      <c r="M25" s="460"/>
      <c r="N25" s="460"/>
      <c r="O25" s="461" t="s">
        <v>194</v>
      </c>
      <c r="P25" s="1811" t="s">
        <v>195</v>
      </c>
      <c r="Q25" s="1811"/>
      <c r="R25" s="1811"/>
      <c r="S25" s="1811"/>
      <c r="T25" s="1812"/>
    </row>
    <row r="26" spans="2:24" ht="27" customHeight="1" x14ac:dyDescent="0.3">
      <c r="B26" s="1771" t="s">
        <v>196</v>
      </c>
      <c r="C26" s="1772"/>
      <c r="D26" s="1772"/>
      <c r="E26" s="1772"/>
      <c r="F26" s="1772"/>
      <c r="G26" s="1380" t="str">
        <f>C8</f>
        <v>SANIKA INDANE GAS GANGAPUR</v>
      </c>
      <c r="H26" s="1380"/>
      <c r="I26" s="1380"/>
      <c r="J26" s="1813"/>
      <c r="L26" s="1771" t="s">
        <v>196</v>
      </c>
      <c r="M26" s="1772"/>
      <c r="N26" s="1772"/>
      <c r="O26" s="1772"/>
      <c r="P26" s="1380" t="str">
        <f>M8</f>
        <v>संत सावता माळी भाजीपाला सप्लायर्स</v>
      </c>
      <c r="Q26" s="1380"/>
      <c r="R26" s="1380"/>
      <c r="S26" s="1380"/>
      <c r="T26" s="1813"/>
    </row>
    <row r="27" spans="2:24" ht="24.75" customHeight="1" thickBot="1" x14ac:dyDescent="0.45">
      <c r="B27" s="1814" t="s">
        <v>197</v>
      </c>
      <c r="C27" s="1815"/>
      <c r="D27" s="537"/>
      <c r="E27" s="537"/>
      <c r="F27" s="537"/>
      <c r="G27" s="537"/>
      <c r="H27" s="537"/>
      <c r="I27" s="537"/>
      <c r="J27" s="538"/>
      <c r="L27" s="1814" t="s">
        <v>197</v>
      </c>
      <c r="M27" s="1815"/>
      <c r="N27" s="537"/>
      <c r="O27" s="537"/>
      <c r="P27" s="537"/>
      <c r="Q27" s="537"/>
      <c r="R27" s="537"/>
      <c r="S27" s="537"/>
      <c r="T27" s="538"/>
    </row>
    <row r="28" spans="2:24" ht="12.75" customHeight="1" thickBot="1" x14ac:dyDescent="0.35">
      <c r="B28" s="539"/>
      <c r="C28" s="540"/>
      <c r="D28" s="540"/>
      <c r="E28" s="540"/>
      <c r="F28" s="540"/>
      <c r="G28" s="540"/>
      <c r="H28" s="540"/>
      <c r="I28" s="540"/>
      <c r="J28" s="541"/>
      <c r="L28" s="539"/>
      <c r="M28" s="540"/>
      <c r="N28" s="540"/>
      <c r="O28" s="540"/>
      <c r="P28" s="540"/>
      <c r="Q28" s="540"/>
      <c r="R28" s="540"/>
      <c r="S28" s="540"/>
      <c r="T28" s="541"/>
    </row>
  </sheetData>
  <sheetProtection algorithmName="SHA-512" hashValue="SqwjtWCW9WGPp24iroNISGAZYo9EJq9eMFeGzndBtx+cqlI0bbUTVu/KWzi33XST2IvNdv7PAoPwLXrLT9hK7w==" saltValue="X4GG7ULhELb/b9gRp6/CWw==" spinCount="100000" sheet="1" objects="1" scenarios="1" selectLockedCells="1"/>
  <protectedRanges>
    <protectedRange sqref="L2:O2" name="Range1"/>
  </protectedRanges>
  <mergeCells count="126">
    <mergeCell ref="L27:M27"/>
    <mergeCell ref="B27:C27"/>
    <mergeCell ref="P25:T25"/>
    <mergeCell ref="P26:T26"/>
    <mergeCell ref="P23:S23"/>
    <mergeCell ref="G23:I23"/>
    <mergeCell ref="B26:F26"/>
    <mergeCell ref="G26:J26"/>
    <mergeCell ref="L26:O26"/>
    <mergeCell ref="B23:E23"/>
    <mergeCell ref="L23:O23"/>
    <mergeCell ref="E25:F25"/>
    <mergeCell ref="G25:J25"/>
    <mergeCell ref="B22:C22"/>
    <mergeCell ref="D22:G22"/>
    <mergeCell ref="L22:M22"/>
    <mergeCell ref="N22:Q22"/>
    <mergeCell ref="R22:S22"/>
    <mergeCell ref="B21:F21"/>
    <mergeCell ref="G21:H21"/>
    <mergeCell ref="I21:J21"/>
    <mergeCell ref="L21:P21"/>
    <mergeCell ref="Q21:R21"/>
    <mergeCell ref="S21:T21"/>
    <mergeCell ref="Q20:R20"/>
    <mergeCell ref="S20:T20"/>
    <mergeCell ref="B20:C20"/>
    <mergeCell ref="D20:F20"/>
    <mergeCell ref="G20:H20"/>
    <mergeCell ref="I20:J20"/>
    <mergeCell ref="L20:M20"/>
    <mergeCell ref="N20:P20"/>
    <mergeCell ref="Q19:R19"/>
    <mergeCell ref="S19:T19"/>
    <mergeCell ref="B19:C19"/>
    <mergeCell ref="D19:F19"/>
    <mergeCell ref="G19:H19"/>
    <mergeCell ref="I19:J19"/>
    <mergeCell ref="L19:M19"/>
    <mergeCell ref="N19:P19"/>
    <mergeCell ref="Q18:R18"/>
    <mergeCell ref="S18:T18"/>
    <mergeCell ref="B18:C18"/>
    <mergeCell ref="D18:F18"/>
    <mergeCell ref="G18:H18"/>
    <mergeCell ref="I18:J18"/>
    <mergeCell ref="L18:M18"/>
    <mergeCell ref="N18:P18"/>
    <mergeCell ref="Q17:R17"/>
    <mergeCell ref="S17:T17"/>
    <mergeCell ref="B17:C17"/>
    <mergeCell ref="D17:F17"/>
    <mergeCell ref="G17:H17"/>
    <mergeCell ref="I17:J17"/>
    <mergeCell ref="L17:M17"/>
    <mergeCell ref="N17:P17"/>
    <mergeCell ref="Q16:R16"/>
    <mergeCell ref="S16:T16"/>
    <mergeCell ref="B16:C16"/>
    <mergeCell ref="D16:F16"/>
    <mergeCell ref="G16:H16"/>
    <mergeCell ref="I16:J16"/>
    <mergeCell ref="L16:M16"/>
    <mergeCell ref="N16:P16"/>
    <mergeCell ref="Q15:R15"/>
    <mergeCell ref="S15:T15"/>
    <mergeCell ref="B15:C15"/>
    <mergeCell ref="D15:F15"/>
    <mergeCell ref="G15:H15"/>
    <mergeCell ref="I15:J15"/>
    <mergeCell ref="L15:M15"/>
    <mergeCell ref="N15:P15"/>
    <mergeCell ref="Q14:R14"/>
    <mergeCell ref="S14:T14"/>
    <mergeCell ref="B14:C14"/>
    <mergeCell ref="D14:F14"/>
    <mergeCell ref="G14:H14"/>
    <mergeCell ref="I14:J14"/>
    <mergeCell ref="L14:M14"/>
    <mergeCell ref="N14:P14"/>
    <mergeCell ref="Q13:R13"/>
    <mergeCell ref="S13:T13"/>
    <mergeCell ref="B13:C13"/>
    <mergeCell ref="D13:F13"/>
    <mergeCell ref="G13:H13"/>
    <mergeCell ref="I13:J13"/>
    <mergeCell ref="L13:M13"/>
    <mergeCell ref="N13:P13"/>
    <mergeCell ref="Q12:R12"/>
    <mergeCell ref="S12:T12"/>
    <mergeCell ref="B12:C12"/>
    <mergeCell ref="D12:F12"/>
    <mergeCell ref="G12:H12"/>
    <mergeCell ref="I12:J12"/>
    <mergeCell ref="L12:M12"/>
    <mergeCell ref="N12:P12"/>
    <mergeCell ref="Q11:R11"/>
    <mergeCell ref="S11:T11"/>
    <mergeCell ref="B11:C11"/>
    <mergeCell ref="D11:F11"/>
    <mergeCell ref="G11:H11"/>
    <mergeCell ref="I11:J11"/>
    <mergeCell ref="L11:M11"/>
    <mergeCell ref="N11:P11"/>
    <mergeCell ref="B10:J10"/>
    <mergeCell ref="L10:T10"/>
    <mergeCell ref="C9:D9"/>
    <mergeCell ref="F9:G9"/>
    <mergeCell ref="I9:J9"/>
    <mergeCell ref="M9:N9"/>
    <mergeCell ref="P9:Q9"/>
    <mergeCell ref="S9:T9"/>
    <mergeCell ref="L2:M2"/>
    <mergeCell ref="N2:O2"/>
    <mergeCell ref="B4:J4"/>
    <mergeCell ref="L4:T4"/>
    <mergeCell ref="B5:J5"/>
    <mergeCell ref="L5:T5"/>
    <mergeCell ref="C8:G8"/>
    <mergeCell ref="I8:J8"/>
    <mergeCell ref="M8:Q8"/>
    <mergeCell ref="S8:T8"/>
    <mergeCell ref="D6:E6"/>
    <mergeCell ref="N6:O6"/>
    <mergeCell ref="B7:J7"/>
    <mergeCell ref="L7:T7"/>
  </mergeCells>
  <conditionalFormatting sqref="D6">
    <cfRule type="cellIs" dxfId="18" priority="3" operator="equal">
      <formula>0</formula>
    </cfRule>
  </conditionalFormatting>
  <conditionalFormatting sqref="N6">
    <cfRule type="cellIs" dxfId="17" priority="2" operator="equal">
      <formula>0</formula>
    </cfRule>
  </conditionalFormatting>
  <dataValidations count="1">
    <dataValidation type="list" allowBlank="1" showInputMessage="1" showErrorMessage="1" sqref="L2">
      <formula1>month</formula1>
    </dataValidation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88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N2:O2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  <pageSetUpPr fitToPage="1"/>
  </sheetPr>
  <dimension ref="B1:AL28"/>
  <sheetViews>
    <sheetView showRowColHeaders="0" showZeros="0" zoomScaleNormal="100" workbookViewId="0">
      <selection activeCell="D5" sqref="D5:J5"/>
    </sheetView>
  </sheetViews>
  <sheetFormatPr defaultRowHeight="30.75" customHeight="1" x14ac:dyDescent="0.3"/>
  <cols>
    <col min="1" max="1" width="5.140625" style="15" customWidth="1"/>
    <col min="2" max="2" width="7.5703125" style="15" customWidth="1"/>
    <col min="3" max="3" width="6" style="15" customWidth="1"/>
    <col min="4" max="4" width="9.140625" style="15"/>
    <col min="5" max="5" width="8.85546875" style="15" customWidth="1"/>
    <col min="6" max="6" width="6.42578125" style="15" customWidth="1"/>
    <col min="7" max="7" width="10.28515625" style="15" customWidth="1"/>
    <col min="8" max="8" width="9.85546875" style="15" customWidth="1"/>
    <col min="9" max="9" width="8.85546875" style="15" customWidth="1"/>
    <col min="10" max="10" width="10.5703125" style="15" customWidth="1"/>
    <col min="11" max="11" width="10.140625" style="15" customWidth="1"/>
    <col min="12" max="12" width="7" style="15" customWidth="1"/>
    <col min="13" max="13" width="6.5703125" style="15" customWidth="1"/>
    <col min="14" max="14" width="7.5703125" style="15" customWidth="1"/>
    <col min="15" max="15" width="8.7109375" style="15" customWidth="1"/>
    <col min="16" max="16" width="6.5703125" style="15" customWidth="1"/>
    <col min="17" max="20" width="9.140625" style="15"/>
    <col min="21" max="21" width="4.42578125" style="15" customWidth="1"/>
    <col min="22" max="30" width="9.140625" style="15"/>
    <col min="31" max="31" width="12.5703125" style="15" customWidth="1"/>
    <col min="32" max="16384" width="9.140625" style="15"/>
  </cols>
  <sheetData>
    <row r="1" spans="2:38" ht="30.75" customHeight="1" thickBot="1" x14ac:dyDescent="0.35"/>
    <row r="2" spans="2:38" ht="30.75" customHeight="1" thickBot="1" x14ac:dyDescent="0.35">
      <c r="L2" s="1746" t="s">
        <v>34</v>
      </c>
      <c r="M2" s="1747"/>
      <c r="N2" s="1951">
        <v>2022</v>
      </c>
      <c r="O2" s="1952"/>
    </row>
    <row r="3" spans="2:38" ht="30.75" customHeight="1" thickBot="1" x14ac:dyDescent="0.35"/>
    <row r="4" spans="2:38" ht="27" customHeight="1" thickBot="1" x14ac:dyDescent="0.55000000000000004">
      <c r="B4" s="1750" t="s">
        <v>744</v>
      </c>
      <c r="C4" s="1751"/>
      <c r="D4" s="1751"/>
      <c r="E4" s="1751"/>
      <c r="F4" s="1751"/>
      <c r="G4" s="1751"/>
      <c r="H4" s="1751"/>
      <c r="I4" s="1751"/>
      <c r="J4" s="1752"/>
      <c r="L4" s="1750" t="s">
        <v>392</v>
      </c>
      <c r="M4" s="1751"/>
      <c r="N4" s="1751"/>
      <c r="O4" s="1751"/>
      <c r="P4" s="1751"/>
      <c r="Q4" s="1751"/>
      <c r="R4" s="1751"/>
      <c r="S4" s="1751"/>
      <c r="T4" s="1752"/>
    </row>
    <row r="5" spans="2:38" ht="27" customHeight="1" x14ac:dyDescent="0.3">
      <c r="B5" s="1953" t="str">
        <f>'शाळा माहिती'!D4</f>
        <v>जि.प.प्रा.शा.बोरजाई वस्ती</v>
      </c>
      <c r="C5" s="1954"/>
      <c r="D5" s="1954"/>
      <c r="E5" s="1954"/>
      <c r="F5" s="1954"/>
      <c r="G5" s="1954"/>
      <c r="H5" s="1954"/>
      <c r="I5" s="1954"/>
      <c r="J5" s="1955"/>
      <c r="L5" s="1956" t="str">
        <f>'शाळा माहिती'!D4</f>
        <v>जि.प.प्रा.शा.बोरजाई वस्ती</v>
      </c>
      <c r="M5" s="1957"/>
      <c r="N5" s="1957"/>
      <c r="O5" s="1957"/>
      <c r="P5" s="1957"/>
      <c r="Q5" s="1957"/>
      <c r="R5" s="1957"/>
      <c r="S5" s="1957"/>
      <c r="T5" s="1958"/>
    </row>
    <row r="6" spans="2:38" ht="30.75" customHeight="1" x14ac:dyDescent="0.4">
      <c r="B6" s="1235" t="s">
        <v>183</v>
      </c>
      <c r="C6" s="525"/>
      <c r="D6" s="1739"/>
      <c r="E6" s="1432"/>
      <c r="F6" s="526" t="s">
        <v>284</v>
      </c>
      <c r="G6" s="142" t="str">
        <f>'शाळा माहिती'!C18</f>
        <v>6 ते 8</v>
      </c>
      <c r="H6" s="527" t="s">
        <v>116</v>
      </c>
      <c r="I6" s="143" t="str">
        <f>L2</f>
        <v>ऑगस्ट</v>
      </c>
      <c r="J6" s="144">
        <f>N2</f>
        <v>2022</v>
      </c>
      <c r="L6" s="1235" t="s">
        <v>183</v>
      </c>
      <c r="M6" s="525"/>
      <c r="N6" s="1739"/>
      <c r="O6" s="1432"/>
      <c r="P6" s="526" t="s">
        <v>284</v>
      </c>
      <c r="Q6" s="142" t="str">
        <f>'शाळा माहिती'!C18</f>
        <v>6 ते 8</v>
      </c>
      <c r="R6" s="527" t="s">
        <v>116</v>
      </c>
      <c r="S6" s="143" t="str">
        <f>L2</f>
        <v>ऑगस्ट</v>
      </c>
      <c r="T6" s="144">
        <f>N2</f>
        <v>2022</v>
      </c>
      <c r="AE6" s="388"/>
      <c r="AF6" s="21"/>
      <c r="AG6" s="21"/>
      <c r="AH6" s="21"/>
      <c r="AI6" s="21"/>
      <c r="AJ6" s="21"/>
      <c r="AK6" s="21"/>
      <c r="AL6" s="21"/>
    </row>
    <row r="7" spans="2:38" ht="27" customHeight="1" x14ac:dyDescent="0.3">
      <c r="B7" s="1740" t="s">
        <v>745</v>
      </c>
      <c r="C7" s="1741"/>
      <c r="D7" s="1741"/>
      <c r="E7" s="1741"/>
      <c r="F7" s="1741"/>
      <c r="G7" s="1741"/>
      <c r="H7" s="1741"/>
      <c r="I7" s="1741"/>
      <c r="J7" s="1742"/>
      <c r="L7" s="1743" t="s">
        <v>198</v>
      </c>
      <c r="M7" s="1744"/>
      <c r="N7" s="1744"/>
      <c r="O7" s="1744"/>
      <c r="P7" s="1744"/>
      <c r="Q7" s="1744"/>
      <c r="R7" s="1744"/>
      <c r="S7" s="1744"/>
      <c r="T7" s="1745"/>
      <c r="AE7" s="21"/>
      <c r="AF7" s="21"/>
      <c r="AG7" s="21"/>
      <c r="AH7" s="21"/>
      <c r="AI7" s="21"/>
      <c r="AJ7" s="21"/>
      <c r="AK7" s="21"/>
      <c r="AL7" s="21"/>
    </row>
    <row r="8" spans="2:38" ht="28.5" customHeight="1" x14ac:dyDescent="0.3">
      <c r="B8" s="529" t="s">
        <v>185</v>
      </c>
      <c r="C8" s="1380" t="str">
        <f>'शाळा माहिती'!D30</f>
        <v>SANIKA INDANE GAS GANGAPUR</v>
      </c>
      <c r="D8" s="1380"/>
      <c r="E8" s="1380"/>
      <c r="F8" s="1380"/>
      <c r="G8" s="1380"/>
      <c r="H8" s="21" t="s">
        <v>297</v>
      </c>
      <c r="I8" s="1759" t="s">
        <v>298</v>
      </c>
      <c r="J8" s="1760"/>
      <c r="L8" s="529" t="s">
        <v>185</v>
      </c>
      <c r="M8" s="1454" t="str">
        <f>'शाळा माहिती'!D31</f>
        <v>संत सावता माळी भाजीपाला सप्लायर्स</v>
      </c>
      <c r="N8" s="1454"/>
      <c r="O8" s="1454"/>
      <c r="P8" s="1454"/>
      <c r="Q8" s="1454"/>
      <c r="R8" s="21" t="s">
        <v>310</v>
      </c>
      <c r="S8" s="1759" t="s">
        <v>309</v>
      </c>
      <c r="T8" s="1760"/>
      <c r="AE8" s="21"/>
      <c r="AF8" s="21"/>
      <c r="AG8" s="21"/>
      <c r="AH8" s="21"/>
      <c r="AI8" s="21"/>
      <c r="AJ8" s="21"/>
      <c r="AK8" s="21"/>
      <c r="AL8" s="21"/>
    </row>
    <row r="9" spans="2:38" ht="30.75" customHeight="1" x14ac:dyDescent="0.3">
      <c r="B9" s="530" t="s">
        <v>1</v>
      </c>
      <c r="C9" s="1437" t="str">
        <f>'शाळा माहिती'!D5</f>
        <v>जामगाव</v>
      </c>
      <c r="D9" s="1437"/>
      <c r="E9" s="531" t="s">
        <v>186</v>
      </c>
      <c r="F9" s="1437" t="str">
        <f>'शाळा माहिती'!D7</f>
        <v>गंगापूर</v>
      </c>
      <c r="G9" s="1437"/>
      <c r="H9" s="531" t="s">
        <v>121</v>
      </c>
      <c r="I9" s="1437" t="str">
        <f>'शाळा माहिती'!D8</f>
        <v>औरंगाबाद</v>
      </c>
      <c r="J9" s="1438"/>
      <c r="L9" s="530" t="s">
        <v>1</v>
      </c>
      <c r="M9" s="1437" t="str">
        <f>'शाळा माहिती'!D5</f>
        <v>जामगाव</v>
      </c>
      <c r="N9" s="1437"/>
      <c r="O9" s="532" t="s">
        <v>186</v>
      </c>
      <c r="P9" s="1437" t="str">
        <f>'शाळा माहिती'!D7</f>
        <v>गंगापूर</v>
      </c>
      <c r="Q9" s="1437"/>
      <c r="R9" s="532" t="s">
        <v>121</v>
      </c>
      <c r="S9" s="1437" t="str">
        <f>'शाळा माहिती'!D8</f>
        <v>औरंगाबाद</v>
      </c>
      <c r="T9" s="1438"/>
      <c r="AE9" s="21"/>
      <c r="AF9" s="21"/>
      <c r="AG9" s="21"/>
      <c r="AH9" s="21"/>
      <c r="AI9" s="21"/>
      <c r="AJ9" s="21"/>
      <c r="AK9" s="21"/>
      <c r="AL9" s="21"/>
    </row>
    <row r="10" spans="2:38" ht="30.75" customHeight="1" x14ac:dyDescent="0.3">
      <c r="B10" s="1771" t="s">
        <v>746</v>
      </c>
      <c r="C10" s="1772"/>
      <c r="D10" s="1772"/>
      <c r="E10" s="1772"/>
      <c r="F10" s="1772"/>
      <c r="G10" s="1772"/>
      <c r="H10" s="1772"/>
      <c r="I10" s="1772"/>
      <c r="J10" s="1773"/>
      <c r="L10" s="1771" t="s">
        <v>743</v>
      </c>
      <c r="M10" s="1772"/>
      <c r="N10" s="1772"/>
      <c r="O10" s="1772"/>
      <c r="P10" s="1772"/>
      <c r="Q10" s="1772"/>
      <c r="R10" s="1772"/>
      <c r="S10" s="1772"/>
      <c r="T10" s="1773"/>
      <c r="AE10" s="21"/>
      <c r="AF10" s="21"/>
      <c r="AG10" s="21"/>
      <c r="AH10" s="21"/>
      <c r="AI10" s="21"/>
      <c r="AJ10" s="21"/>
      <c r="AK10" s="21"/>
      <c r="AL10" s="21"/>
    </row>
    <row r="11" spans="2:38" ht="30.75" customHeight="1" x14ac:dyDescent="0.45">
      <c r="B11" s="1764" t="s">
        <v>176</v>
      </c>
      <c r="C11" s="1765"/>
      <c r="D11" s="1766" t="s">
        <v>126</v>
      </c>
      <c r="E11" s="1765"/>
      <c r="F11" s="1765"/>
      <c r="G11" s="1765" t="s">
        <v>188</v>
      </c>
      <c r="H11" s="1765"/>
      <c r="I11" s="1765" t="s">
        <v>162</v>
      </c>
      <c r="J11" s="1767"/>
      <c r="K11" s="470"/>
      <c r="L11" s="1768" t="s">
        <v>176</v>
      </c>
      <c r="M11" s="1769"/>
      <c r="N11" s="1761" t="s">
        <v>126</v>
      </c>
      <c r="O11" s="1770"/>
      <c r="P11" s="1762"/>
      <c r="Q11" s="1761" t="s">
        <v>188</v>
      </c>
      <c r="R11" s="1762"/>
      <c r="S11" s="1761" t="s">
        <v>162</v>
      </c>
      <c r="T11" s="1763"/>
      <c r="U11" s="470"/>
      <c r="AE11" s="21"/>
      <c r="AF11" s="21"/>
      <c r="AG11" s="21"/>
      <c r="AH11" s="21"/>
      <c r="AI11" s="21"/>
      <c r="AJ11" s="21"/>
      <c r="AK11" s="21"/>
      <c r="AL11" s="21"/>
    </row>
    <row r="12" spans="2:38" ht="24.95" customHeight="1" x14ac:dyDescent="0.4">
      <c r="B12" s="1789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C12" s="1790"/>
      <c r="D12" s="1791" t="s">
        <v>749</v>
      </c>
      <c r="E12" s="1759"/>
      <c r="F12" s="1792"/>
      <c r="G12" s="1793" t="str">
        <f>IF('दैनिक भाजीपाला,पूरक आहार 6 ते 8'!BV38&gt;0,'दैनिक भाजीपाला,पूरक आहार 6 ते 8'!BV38,"--")</f>
        <v>--</v>
      </c>
      <c r="H12" s="1380"/>
      <c r="I12" s="1794"/>
      <c r="J12" s="1795"/>
      <c r="L12" s="1796">
        <f>DATE(N2,INDEX({4,5,6,7,8,9,10,11,12,1,2,3},MATCH(L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44774</v>
      </c>
      <c r="M12" s="1797"/>
      <c r="N12" s="1787" t="str">
        <f>' प्रमाण निश्चिती '!AL7</f>
        <v>केळी</v>
      </c>
      <c r="O12" s="1798"/>
      <c r="P12" s="1788"/>
      <c r="Q12" s="1787" t="str">
        <f>IF('दैनिक भाजीपाला,पूरक आहार 6 ते 8'!BP38&gt;0,'दैनिक भाजीपाला,पूरक आहार 6 ते 8'!BP38,"--")</f>
        <v>--</v>
      </c>
      <c r="R12" s="1788"/>
      <c r="S12" s="1776"/>
      <c r="T12" s="1777"/>
      <c r="AE12" s="21"/>
      <c r="AF12" s="21"/>
      <c r="AG12" s="21"/>
      <c r="AH12" s="21"/>
      <c r="AI12" s="21"/>
      <c r="AJ12" s="21"/>
      <c r="AK12" s="21"/>
      <c r="AL12" s="21"/>
    </row>
    <row r="13" spans="2:38" ht="24.95" customHeight="1" x14ac:dyDescent="0.4">
      <c r="B13" s="1778" t="s">
        <v>394</v>
      </c>
      <c r="C13" s="1779"/>
      <c r="D13" s="1783"/>
      <c r="E13" s="1799"/>
      <c r="F13" s="1779"/>
      <c r="G13" s="1799"/>
      <c r="H13" s="1799"/>
      <c r="I13" s="1783"/>
      <c r="J13" s="1784"/>
      <c r="L13" s="1785" t="s">
        <v>394</v>
      </c>
      <c r="M13" s="1781"/>
      <c r="N13" s="1774" t="str">
        <f>' प्रमाण निश्चिती '!AM7</f>
        <v>खारीक</v>
      </c>
      <c r="O13" s="1380"/>
      <c r="P13" s="1786"/>
      <c r="Q13" s="1774" t="str">
        <f>IF('दैनिक भाजीपाला,पूरक आहार 6 ते 8'!BQ38&gt;0,'दैनिक भाजीपाला,पूरक आहार 6 ते 8'!BQ38,"--")</f>
        <v>--</v>
      </c>
      <c r="R13" s="1775"/>
      <c r="S13" s="1776"/>
      <c r="T13" s="1777"/>
      <c r="AE13" s="21"/>
      <c r="AF13" s="21"/>
      <c r="AG13" s="21"/>
      <c r="AH13" s="21"/>
      <c r="AI13" s="21"/>
      <c r="AJ13" s="21"/>
      <c r="AK13" s="21"/>
      <c r="AL13" s="21"/>
    </row>
    <row r="14" spans="2:38" ht="24.95" customHeight="1" x14ac:dyDescent="0.4">
      <c r="B14" s="1800">
        <f>EOMONTH(B12,0)</f>
        <v>44804</v>
      </c>
      <c r="C14" s="1801"/>
      <c r="D14" s="1783"/>
      <c r="E14" s="1799"/>
      <c r="F14" s="1779"/>
      <c r="G14" s="1799"/>
      <c r="H14" s="1799"/>
      <c r="I14" s="1783"/>
      <c r="J14" s="1784"/>
      <c r="L14" s="1800">
        <f>EOMONTH(B12,0)</f>
        <v>44804</v>
      </c>
      <c r="M14" s="1801"/>
      <c r="N14" s="1774" t="str">
        <f>' प्रमाण निश्चिती '!AN7</f>
        <v>गूळ शेंगदाणे</v>
      </c>
      <c r="O14" s="1380"/>
      <c r="P14" s="1786"/>
      <c r="Q14" s="1774" t="str">
        <f>IF('दैनिक भाजीपाला,पूरक आहार 6 ते 8'!BR38&gt;0,'दैनिक भाजीपाला,पूरक आहार 6 ते 8'!BR38,"--")</f>
        <v>--</v>
      </c>
      <c r="R14" s="1775"/>
      <c r="S14" s="1780"/>
      <c r="T14" s="1777"/>
      <c r="AE14" s="21"/>
      <c r="AF14" s="21"/>
      <c r="AG14" s="21"/>
      <c r="AH14" s="21"/>
      <c r="AI14" s="21"/>
      <c r="AJ14" s="21"/>
      <c r="AK14" s="21"/>
      <c r="AL14" s="21"/>
    </row>
    <row r="15" spans="2:38" ht="24.95" customHeight="1" x14ac:dyDescent="0.4">
      <c r="B15" s="1778"/>
      <c r="C15" s="1779"/>
      <c r="D15" s="1783"/>
      <c r="E15" s="1799"/>
      <c r="F15" s="1779"/>
      <c r="G15" s="1799"/>
      <c r="H15" s="1799"/>
      <c r="I15" s="1783"/>
      <c r="J15" s="1784"/>
      <c r="L15" s="1785"/>
      <c r="M15" s="1781"/>
      <c r="N15" s="1774" t="str">
        <f>' प्रमाण निश्चिती '!AO7</f>
        <v>राजगिरा लाडू</v>
      </c>
      <c r="O15" s="1380"/>
      <c r="P15" s="1786"/>
      <c r="Q15" s="1774" t="str">
        <f>IF('दैनिक भाजीपाला,पूरक आहार 6 ते 8'!BS38&gt;0,'दैनिक भाजीपाला,पूरक आहार 6 ते 8'!BS38,"--")</f>
        <v>--</v>
      </c>
      <c r="R15" s="1775"/>
      <c r="S15" s="1780"/>
      <c r="T15" s="1777"/>
      <c r="AE15" s="21"/>
      <c r="AF15" s="21"/>
      <c r="AG15" s="21"/>
      <c r="AH15" s="21"/>
      <c r="AI15" s="21"/>
      <c r="AJ15" s="21"/>
      <c r="AK15" s="21"/>
      <c r="AL15" s="21"/>
    </row>
    <row r="16" spans="2:38" ht="24.95" customHeight="1" x14ac:dyDescent="0.4">
      <c r="B16" s="1778"/>
      <c r="C16" s="1779"/>
      <c r="D16" s="1783"/>
      <c r="E16" s="1799"/>
      <c r="F16" s="1779"/>
      <c r="G16" s="1799"/>
      <c r="H16" s="1799"/>
      <c r="I16" s="1783"/>
      <c r="J16" s="1784"/>
      <c r="L16" s="1785"/>
      <c r="M16" s="1781"/>
      <c r="N16" s="1774"/>
      <c r="O16" s="1380"/>
      <c r="P16" s="1786"/>
      <c r="Q16" s="1774"/>
      <c r="R16" s="1775"/>
      <c r="S16" s="1780"/>
      <c r="T16" s="1777"/>
    </row>
    <row r="17" spans="2:20" ht="24.95" customHeight="1" x14ac:dyDescent="0.4">
      <c r="B17" s="1778"/>
      <c r="C17" s="1779"/>
      <c r="D17" s="1783"/>
      <c r="E17" s="1799"/>
      <c r="F17" s="1779"/>
      <c r="G17" s="1799"/>
      <c r="H17" s="1799"/>
      <c r="I17" s="1783"/>
      <c r="J17" s="1784"/>
      <c r="L17" s="1785"/>
      <c r="M17" s="1781"/>
      <c r="N17" s="1774"/>
      <c r="O17" s="1380"/>
      <c r="P17" s="1786"/>
      <c r="Q17" s="1774"/>
      <c r="R17" s="1775"/>
      <c r="S17" s="1780"/>
      <c r="T17" s="1777"/>
    </row>
    <row r="18" spans="2:20" ht="24.95" customHeight="1" x14ac:dyDescent="0.4">
      <c r="B18" s="1778"/>
      <c r="C18" s="1779"/>
      <c r="D18" s="1783"/>
      <c r="E18" s="1799"/>
      <c r="F18" s="1779"/>
      <c r="G18" s="1799"/>
      <c r="H18" s="1799"/>
      <c r="I18" s="1783"/>
      <c r="J18" s="1784"/>
      <c r="L18" s="1785"/>
      <c r="M18" s="1781"/>
      <c r="N18" s="1774"/>
      <c r="O18" s="1380"/>
      <c r="P18" s="1786"/>
      <c r="Q18" s="1774"/>
      <c r="R18" s="1775"/>
      <c r="S18" s="1780"/>
      <c r="T18" s="1777"/>
    </row>
    <row r="19" spans="2:20" ht="24.95" customHeight="1" x14ac:dyDescent="0.4">
      <c r="B19" s="1778"/>
      <c r="C19" s="1779"/>
      <c r="D19" s="1783"/>
      <c r="E19" s="1799"/>
      <c r="F19" s="1779"/>
      <c r="G19" s="1799"/>
      <c r="H19" s="1799"/>
      <c r="I19" s="1783"/>
      <c r="J19" s="1784"/>
      <c r="L19" s="1785"/>
      <c r="M19" s="1781"/>
      <c r="N19" s="1774"/>
      <c r="O19" s="1380"/>
      <c r="P19" s="1786"/>
      <c r="Q19" s="1774"/>
      <c r="R19" s="1775"/>
      <c r="S19" s="1780"/>
      <c r="T19" s="1777"/>
    </row>
    <row r="20" spans="2:20" ht="24.95" customHeight="1" x14ac:dyDescent="0.4">
      <c r="B20" s="1778"/>
      <c r="C20" s="1779"/>
      <c r="D20" s="1783"/>
      <c r="E20" s="1799"/>
      <c r="F20" s="1779"/>
      <c r="G20" s="1799"/>
      <c r="H20" s="1799"/>
      <c r="I20" s="1783"/>
      <c r="J20" s="1784"/>
      <c r="L20" s="1785"/>
      <c r="M20" s="1781"/>
      <c r="N20" s="1774"/>
      <c r="O20" s="1380"/>
      <c r="P20" s="1786"/>
      <c r="Q20" s="1774"/>
      <c r="R20" s="1775"/>
      <c r="S20" s="1780"/>
      <c r="T20" s="1777"/>
    </row>
    <row r="21" spans="2:20" ht="28.5" customHeight="1" x14ac:dyDescent="0.3">
      <c r="B21" s="1802" t="s">
        <v>29</v>
      </c>
      <c r="C21" s="1410"/>
      <c r="D21" s="1410"/>
      <c r="E21" s="1410"/>
      <c r="F21" s="1410"/>
      <c r="G21" s="1803" t="str">
        <f>IF(SUM(G12:G20)&gt;0,SUM(G12:G20),"--")</f>
        <v>--</v>
      </c>
      <c r="H21" s="1804"/>
      <c r="I21" s="1803" t="str">
        <f>IFERROR(ROUND(G21,0),"--")</f>
        <v>--</v>
      </c>
      <c r="J21" s="1961"/>
      <c r="L21" s="1807" t="s">
        <v>29</v>
      </c>
      <c r="M21" s="1808"/>
      <c r="N21" s="1808"/>
      <c r="O21" s="1808"/>
      <c r="P21" s="1808"/>
      <c r="Q21" s="1803" t="str">
        <f>IF(SUM(Q12:Q20)&gt;0,SUM(Q12:Q20),"--")</f>
        <v>--</v>
      </c>
      <c r="R21" s="1803"/>
      <c r="S21" s="1809" t="str">
        <f>IFERROR(ROUND(Q21,0),"--")</f>
        <v>--</v>
      </c>
      <c r="T21" s="1810"/>
    </row>
    <row r="22" spans="2:20" ht="30" customHeight="1" x14ac:dyDescent="0.4">
      <c r="B22" s="1960" t="s">
        <v>189</v>
      </c>
      <c r="C22" s="1759"/>
      <c r="D22" s="1454" t="str">
        <f>IFERROR(IF(I21=0,"शून्य",IF(VALUE(RIGHT(INT(I21/10^3),2))=0,"",INDEX(MA_Sankhya,RIGHT(INT(I21/10^3),2))&amp;" हजार ")&amp;IF(RIGHT(I21,3)="100","शंभर",IF(VALUE(RIGHT(INT(I21/10^2),1))=0,"",INDEX(MA_Sankhya,RIGHT(INT(I21/10^2),1))&amp;"शे "))&amp;IF(VALUE(RIGHT(I21,2))=0,"",INDEX(MA_Sankhya,RIGHT(I21,2))))," ")&amp;" रुपये"&amp;" फक्त/-"</f>
        <v xml:space="preserve">  रुपये फक्त/-</v>
      </c>
      <c r="E22" s="1454"/>
      <c r="F22" s="1454"/>
      <c r="G22" s="1454"/>
      <c r="H22" s="528" t="s">
        <v>190</v>
      </c>
      <c r="I22" s="1"/>
      <c r="J22" s="533"/>
      <c r="L22" s="1960" t="s">
        <v>189</v>
      </c>
      <c r="M22" s="1759"/>
      <c r="N22" s="1454" t="str">
        <f>IFERROR(IF(S21=0,"शून्य",IF(VALUE(RIGHT(INT(S21/10^3),2))=0,"",INDEX(MA_Sankhya,RIGHT(INT(S21/10^3),2))&amp;" हजार ")&amp;IF(RIGHT(S21,3)="100","शंभर",IF(VALUE(RIGHT(INT(S21/10^2),1))=0,"",INDEX(MA_Sankhya,RIGHT(INT(S21/10^2),1))&amp;"शे "))&amp;IF(VALUE(RIGHT(S21,2))=0,"",INDEX(MA_Sankhya,RIGHT(S21,2))))," ")&amp;" रुपये"&amp;" फक्त/-"</f>
        <v xml:space="preserve">  रुपये फक्त/-</v>
      </c>
      <c r="O22" s="1454"/>
      <c r="P22" s="1454"/>
      <c r="Q22" s="1454"/>
      <c r="R22" s="1776" t="s">
        <v>190</v>
      </c>
      <c r="S22" s="1776"/>
      <c r="T22" s="533"/>
    </row>
    <row r="23" spans="2:20" ht="27.75" customHeight="1" x14ac:dyDescent="0.4">
      <c r="B23" s="1785" t="s">
        <v>192</v>
      </c>
      <c r="C23" s="1776"/>
      <c r="D23" s="1776"/>
      <c r="E23" s="1776"/>
      <c r="F23" s="1"/>
      <c r="G23" s="1776" t="s">
        <v>750</v>
      </c>
      <c r="H23" s="1776"/>
      <c r="I23" s="1776"/>
      <c r="J23" s="533"/>
      <c r="L23" s="1785" t="s">
        <v>192</v>
      </c>
      <c r="M23" s="1776"/>
      <c r="N23" s="1776"/>
      <c r="O23" s="1776"/>
      <c r="P23" s="1"/>
      <c r="Q23" s="1776" t="s">
        <v>750</v>
      </c>
      <c r="R23" s="1776"/>
      <c r="S23" s="1776"/>
      <c r="T23" s="533"/>
    </row>
    <row r="24" spans="2:20" ht="26.25" customHeight="1" x14ac:dyDescent="0.4">
      <c r="B24" s="534"/>
      <c r="C24" s="1"/>
      <c r="D24" s="1"/>
      <c r="E24" s="1"/>
      <c r="F24" s="1"/>
      <c r="G24" s="1"/>
      <c r="H24" s="1"/>
      <c r="I24" s="1"/>
      <c r="J24" s="533"/>
      <c r="L24" s="534"/>
      <c r="M24" s="1"/>
      <c r="N24" s="1"/>
      <c r="O24" s="1"/>
      <c r="P24" s="1"/>
      <c r="Q24" s="1"/>
      <c r="R24" s="1"/>
      <c r="S24" s="1"/>
      <c r="T24" s="533"/>
    </row>
    <row r="25" spans="2:20" ht="30.75" customHeight="1" x14ac:dyDescent="0.3">
      <c r="B25" s="459" t="s">
        <v>193</v>
      </c>
      <c r="C25" s="460"/>
      <c r="D25" s="460"/>
      <c r="E25" s="1772" t="s">
        <v>194</v>
      </c>
      <c r="F25" s="1772"/>
      <c r="G25" s="1772" t="s">
        <v>195</v>
      </c>
      <c r="H25" s="1772"/>
      <c r="I25" s="1772"/>
      <c r="J25" s="1773"/>
      <c r="L25" s="459" t="s">
        <v>193</v>
      </c>
      <c r="M25" s="460"/>
      <c r="N25" s="460"/>
      <c r="O25" s="461" t="s">
        <v>194</v>
      </c>
      <c r="P25" s="1811" t="s">
        <v>195</v>
      </c>
      <c r="Q25" s="1811"/>
      <c r="R25" s="1811"/>
      <c r="S25" s="1811"/>
      <c r="T25" s="1812"/>
    </row>
    <row r="26" spans="2:20" ht="27" customHeight="1" x14ac:dyDescent="0.3">
      <c r="B26" s="1771" t="s">
        <v>196</v>
      </c>
      <c r="C26" s="1772"/>
      <c r="D26" s="1772"/>
      <c r="E26" s="1772"/>
      <c r="F26" s="1772"/>
      <c r="G26" s="1380" t="str">
        <f>C8</f>
        <v>SANIKA INDANE GAS GANGAPUR</v>
      </c>
      <c r="H26" s="1380"/>
      <c r="I26" s="1380"/>
      <c r="J26" s="1813"/>
      <c r="L26" s="1771" t="s">
        <v>196</v>
      </c>
      <c r="M26" s="1772"/>
      <c r="N26" s="1772"/>
      <c r="O26" s="1772"/>
      <c r="P26" s="1380" t="str">
        <f>M8</f>
        <v>संत सावता माळी भाजीपाला सप्लायर्स</v>
      </c>
      <c r="Q26" s="1380"/>
      <c r="R26" s="1380"/>
      <c r="S26" s="1380"/>
      <c r="T26" s="1813"/>
    </row>
    <row r="27" spans="2:20" ht="26.25" customHeight="1" thickBot="1" x14ac:dyDescent="0.45">
      <c r="B27" s="1814" t="s">
        <v>197</v>
      </c>
      <c r="C27" s="1815"/>
      <c r="D27" s="537"/>
      <c r="E27" s="537"/>
      <c r="F27" s="537"/>
      <c r="G27" s="537"/>
      <c r="H27" s="537"/>
      <c r="I27" s="537"/>
      <c r="J27" s="538"/>
      <c r="L27" s="1814" t="s">
        <v>197</v>
      </c>
      <c r="M27" s="1815"/>
      <c r="N27" s="537"/>
      <c r="O27" s="537"/>
      <c r="P27" s="537"/>
      <c r="Q27" s="537"/>
      <c r="R27" s="537"/>
      <c r="S27" s="537"/>
      <c r="T27" s="538"/>
    </row>
    <row r="28" spans="2:20" ht="13.5" customHeight="1" thickBot="1" x14ac:dyDescent="0.35">
      <c r="B28" s="539"/>
      <c r="C28" s="540"/>
      <c r="D28" s="540"/>
      <c r="E28" s="540"/>
      <c r="F28" s="540"/>
      <c r="G28" s="540"/>
      <c r="H28" s="540"/>
      <c r="I28" s="540"/>
      <c r="J28" s="541"/>
      <c r="L28" s="539"/>
      <c r="M28" s="540"/>
      <c r="N28" s="540"/>
      <c r="O28" s="540"/>
      <c r="P28" s="540"/>
      <c r="Q28" s="540"/>
      <c r="R28" s="540"/>
      <c r="S28" s="540"/>
      <c r="T28" s="541"/>
    </row>
  </sheetData>
  <sheetProtection algorithmName="SHA-512" hashValue="6z7DV/v1H2RfflwHcKuTsg8t64NMDBoskYEM4k/DOl+nGMqulNv3eMP/YQ6/JlH0zfd6P40/B1YSWymKg5K+xA==" saltValue="t50CbnSzSTnCDKBHmlkzFw==" spinCount="100000" sheet="1" objects="1" scenarios="1" selectLockedCells="1"/>
  <protectedRanges>
    <protectedRange sqref="L2:O2" name="Range1"/>
  </protectedRanges>
  <mergeCells count="126">
    <mergeCell ref="L27:M27"/>
    <mergeCell ref="B27:C27"/>
    <mergeCell ref="G23:I23"/>
    <mergeCell ref="Q23:S23"/>
    <mergeCell ref="D6:E6"/>
    <mergeCell ref="N6:O6"/>
    <mergeCell ref="L2:M2"/>
    <mergeCell ref="N2:O2"/>
    <mergeCell ref="B4:J4"/>
    <mergeCell ref="L4:T4"/>
    <mergeCell ref="B5:J5"/>
    <mergeCell ref="L5:T5"/>
    <mergeCell ref="B7:J7"/>
    <mergeCell ref="L7:T7"/>
    <mergeCell ref="C8:G8"/>
    <mergeCell ref="I8:J8"/>
    <mergeCell ref="M8:Q8"/>
    <mergeCell ref="S8:T8"/>
    <mergeCell ref="B10:J10"/>
    <mergeCell ref="L10:T10"/>
    <mergeCell ref="C9:D9"/>
    <mergeCell ref="F9:G9"/>
    <mergeCell ref="I9:J9"/>
    <mergeCell ref="M9:N9"/>
    <mergeCell ref="P9:Q9"/>
    <mergeCell ref="S9:T9"/>
    <mergeCell ref="Q11:R11"/>
    <mergeCell ref="S11:T11"/>
    <mergeCell ref="B11:C11"/>
    <mergeCell ref="D11:F11"/>
    <mergeCell ref="G11:H11"/>
    <mergeCell ref="I11:J11"/>
    <mergeCell ref="L11:M11"/>
    <mergeCell ref="N11:P11"/>
    <mergeCell ref="Q12:R12"/>
    <mergeCell ref="S12:T12"/>
    <mergeCell ref="B12:C12"/>
    <mergeCell ref="D12:F12"/>
    <mergeCell ref="G12:H12"/>
    <mergeCell ref="I12:J12"/>
    <mergeCell ref="L12:M12"/>
    <mergeCell ref="N12:P12"/>
    <mergeCell ref="Q13:R13"/>
    <mergeCell ref="S13:T13"/>
    <mergeCell ref="B13:C13"/>
    <mergeCell ref="D13:F13"/>
    <mergeCell ref="G13:H13"/>
    <mergeCell ref="I13:J13"/>
    <mergeCell ref="L13:M13"/>
    <mergeCell ref="N13:P13"/>
    <mergeCell ref="Q14:R14"/>
    <mergeCell ref="S14:T14"/>
    <mergeCell ref="B14:C14"/>
    <mergeCell ref="D14:F14"/>
    <mergeCell ref="G14:H14"/>
    <mergeCell ref="I14:J14"/>
    <mergeCell ref="L14:M14"/>
    <mergeCell ref="N14:P14"/>
    <mergeCell ref="Q15:R15"/>
    <mergeCell ref="S15:T15"/>
    <mergeCell ref="B15:C15"/>
    <mergeCell ref="D15:F15"/>
    <mergeCell ref="G15:H15"/>
    <mergeCell ref="I15:J15"/>
    <mergeCell ref="L15:M15"/>
    <mergeCell ref="N15:P15"/>
    <mergeCell ref="Q16:R16"/>
    <mergeCell ref="S16:T16"/>
    <mergeCell ref="B16:C16"/>
    <mergeCell ref="D16:F16"/>
    <mergeCell ref="G16:H16"/>
    <mergeCell ref="I16:J16"/>
    <mergeCell ref="L16:M16"/>
    <mergeCell ref="N16:P16"/>
    <mergeCell ref="Q17:R17"/>
    <mergeCell ref="S17:T17"/>
    <mergeCell ref="B17:C17"/>
    <mergeCell ref="D17:F17"/>
    <mergeCell ref="G17:H17"/>
    <mergeCell ref="I17:J17"/>
    <mergeCell ref="L17:M17"/>
    <mergeCell ref="N17:P17"/>
    <mergeCell ref="Q18:R18"/>
    <mergeCell ref="S18:T18"/>
    <mergeCell ref="B18:C18"/>
    <mergeCell ref="D18:F18"/>
    <mergeCell ref="G18:H18"/>
    <mergeCell ref="I18:J18"/>
    <mergeCell ref="L18:M18"/>
    <mergeCell ref="N18:P18"/>
    <mergeCell ref="Q19:R19"/>
    <mergeCell ref="S19:T19"/>
    <mergeCell ref="B19:C19"/>
    <mergeCell ref="D19:F19"/>
    <mergeCell ref="G19:H19"/>
    <mergeCell ref="I19:J19"/>
    <mergeCell ref="L19:M19"/>
    <mergeCell ref="N19:P19"/>
    <mergeCell ref="Q20:R20"/>
    <mergeCell ref="S20:T20"/>
    <mergeCell ref="B20:C20"/>
    <mergeCell ref="D20:F20"/>
    <mergeCell ref="G20:H20"/>
    <mergeCell ref="I20:J20"/>
    <mergeCell ref="L20:M20"/>
    <mergeCell ref="N20:P20"/>
    <mergeCell ref="R22:S22"/>
    <mergeCell ref="B21:F21"/>
    <mergeCell ref="G21:H21"/>
    <mergeCell ref="I21:J21"/>
    <mergeCell ref="L21:P21"/>
    <mergeCell ref="Q21:R21"/>
    <mergeCell ref="S21:T21"/>
    <mergeCell ref="B22:C22"/>
    <mergeCell ref="D22:G22"/>
    <mergeCell ref="L22:M22"/>
    <mergeCell ref="N22:Q22"/>
    <mergeCell ref="L23:O23"/>
    <mergeCell ref="B23:E23"/>
    <mergeCell ref="B26:F26"/>
    <mergeCell ref="G26:J26"/>
    <mergeCell ref="L26:O26"/>
    <mergeCell ref="E25:F25"/>
    <mergeCell ref="G25:J25"/>
    <mergeCell ref="P25:T25"/>
    <mergeCell ref="P26:T26"/>
  </mergeCells>
  <conditionalFormatting sqref="D6">
    <cfRule type="cellIs" dxfId="16" priority="3" operator="equal">
      <formula>0</formula>
    </cfRule>
  </conditionalFormatting>
  <conditionalFormatting sqref="N6">
    <cfRule type="cellIs" dxfId="15" priority="2" operator="equal">
      <formula>0</formula>
    </cfRule>
  </conditionalFormatting>
  <dataValidations count="1">
    <dataValidation type="list" allowBlank="1" showInputMessage="1" showErrorMessage="1" sqref="L2">
      <formula1>month</formula1>
    </dataValidation>
  </dataValidations>
  <printOptions horizontalCentered="1"/>
  <pageMargins left="0.19685039370078741" right="0.19685039370078741" top="0.47244094488188981" bottom="0.19685039370078741" header="0.19685039370078741" footer="0.19685039370078741"/>
  <pageSetup paperSize="9" scale="84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N2:O2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  <pageSetUpPr fitToPage="1"/>
  </sheetPr>
  <dimension ref="B1:BA76"/>
  <sheetViews>
    <sheetView showZeros="0" zoomScaleNormal="100" workbookViewId="0">
      <selection activeCell="D5" sqref="D5:L5"/>
    </sheetView>
  </sheetViews>
  <sheetFormatPr defaultRowHeight="27.75" customHeight="1" x14ac:dyDescent="0.3"/>
  <cols>
    <col min="1" max="1" width="6" style="15" customWidth="1"/>
    <col min="2" max="2" width="5.85546875" style="15" customWidth="1"/>
    <col min="3" max="3" width="9.140625" style="15"/>
    <col min="4" max="4" width="8" style="15" customWidth="1"/>
    <col min="5" max="5" width="22" style="15" customWidth="1"/>
    <col min="6" max="6" width="11.7109375" style="15" customWidth="1"/>
    <col min="7" max="23" width="9.140625" style="15"/>
    <col min="24" max="24" width="6.7109375" style="15" customWidth="1"/>
    <col min="25" max="16384" width="9.140625" style="15"/>
  </cols>
  <sheetData>
    <row r="1" spans="2:23" ht="37.5" customHeight="1" x14ac:dyDescent="0.3"/>
    <row r="2" spans="2:23" ht="18.75" customHeight="1" thickBot="1" x14ac:dyDescent="0.35"/>
    <row r="3" spans="2:23" ht="27.75" customHeight="1" thickBot="1" x14ac:dyDescent="0.35">
      <c r="B3" s="1973" t="s">
        <v>118</v>
      </c>
      <c r="C3" s="1974"/>
      <c r="D3" s="1975"/>
      <c r="E3" s="1975"/>
      <c r="F3" s="1975"/>
      <c r="G3" s="1975"/>
      <c r="H3" s="1975"/>
      <c r="I3" s="1974"/>
      <c r="J3" s="1974"/>
      <c r="K3" s="1974"/>
      <c r="L3" s="1974"/>
      <c r="M3" s="1974"/>
      <c r="N3" s="1974"/>
      <c r="O3" s="1974"/>
      <c r="P3" s="1974"/>
      <c r="Q3" s="1974"/>
      <c r="R3" s="1974"/>
      <c r="S3" s="1974"/>
      <c r="T3" s="1974"/>
      <c r="U3" s="1974"/>
      <c r="V3" s="1974"/>
      <c r="W3" s="1976"/>
    </row>
    <row r="4" spans="2:23" ht="27.75" customHeight="1" x14ac:dyDescent="0.45">
      <c r="B4" s="1977" t="s">
        <v>119</v>
      </c>
      <c r="C4" s="1978"/>
      <c r="D4" s="1979" t="str">
        <f>'शाळा माहिती'!D4</f>
        <v>जि.प.प्रा.शा.बोरजाई वस्ती</v>
      </c>
      <c r="E4" s="1979"/>
      <c r="F4" s="1979"/>
      <c r="G4" s="1979"/>
      <c r="H4" s="1979"/>
      <c r="I4" s="547" t="s">
        <v>114</v>
      </c>
      <c r="J4" s="1979" t="str">
        <f>'शाळा माहिती'!D6</f>
        <v>जामगाव</v>
      </c>
      <c r="K4" s="1979"/>
      <c r="L4" s="547" t="s">
        <v>120</v>
      </c>
      <c r="M4" s="150" t="str">
        <f>'शाळा माहिती'!D7</f>
        <v>गंगापूर</v>
      </c>
      <c r="N4" s="548"/>
      <c r="O4" s="549" t="s">
        <v>121</v>
      </c>
      <c r="P4" s="150" t="str">
        <f>'शाळा माहिती'!D8</f>
        <v>औरंगाबाद</v>
      </c>
      <c r="Q4" s="548"/>
      <c r="R4" s="550" t="s">
        <v>122</v>
      </c>
      <c r="S4" s="151">
        <f>HOME!E2</f>
        <v>2022</v>
      </c>
      <c r="T4" s="362">
        <f>HOME!F2</f>
        <v>2023</v>
      </c>
      <c r="U4" s="551" t="s">
        <v>123</v>
      </c>
      <c r="V4" s="1980" t="str">
        <f>'शाळा माहिती'!C18</f>
        <v>6 ते 8</v>
      </c>
      <c r="W4" s="1981"/>
    </row>
    <row r="5" spans="2:23" ht="13.5" customHeight="1" x14ac:dyDescent="0.3">
      <c r="B5" s="1982"/>
      <c r="C5" s="1983"/>
      <c r="D5" s="1984"/>
      <c r="E5" s="1984"/>
      <c r="F5" s="1984"/>
      <c r="G5" s="1984"/>
      <c r="H5" s="1984"/>
      <c r="I5" s="552"/>
      <c r="J5" s="1985"/>
      <c r="K5" s="1985"/>
      <c r="L5" s="1985"/>
      <c r="M5" s="1986"/>
      <c r="N5" s="1986"/>
      <c r="O5" s="1987"/>
      <c r="P5" s="1987"/>
      <c r="Q5" s="552"/>
      <c r="R5" s="552"/>
      <c r="S5" s="552"/>
      <c r="T5" s="1986"/>
      <c r="U5" s="1986"/>
      <c r="V5" s="553"/>
      <c r="W5" s="554"/>
    </row>
    <row r="6" spans="2:23" ht="43.5" customHeight="1" x14ac:dyDescent="0.3">
      <c r="B6" s="555" t="s">
        <v>124</v>
      </c>
      <c r="C6" s="556" t="s">
        <v>43</v>
      </c>
      <c r="D6" s="556" t="s">
        <v>125</v>
      </c>
      <c r="E6" s="556" t="s">
        <v>126</v>
      </c>
      <c r="F6" s="110" t="str">
        <f>'साठा नोंदवही'!E5</f>
        <v>तांदूळ</v>
      </c>
      <c r="G6" s="110" t="str">
        <f>'साठा नोंदवही'!F5</f>
        <v>मुगडाळ</v>
      </c>
      <c r="H6" s="110" t="str">
        <f>'साठा नोंदवही'!G5</f>
        <v>तुरडाळ</v>
      </c>
      <c r="I6" s="110" t="str">
        <f>'साठा नोंदवही'!H5</f>
        <v>मसूरडाळ</v>
      </c>
      <c r="J6" s="110" t="str">
        <f>'साठा नोंदवही'!I5</f>
        <v>मटकी</v>
      </c>
      <c r="K6" s="110" t="str">
        <f>'साठा नोंदवही'!J5</f>
        <v>मुग</v>
      </c>
      <c r="L6" s="110" t="str">
        <f>'साठा नोंदवही'!K5</f>
        <v>चवळी</v>
      </c>
      <c r="M6" s="110" t="str">
        <f>'साठा नोंदवही'!L5</f>
        <v>हरभरा</v>
      </c>
      <c r="N6" s="110" t="str">
        <f>'साठा नोंदवही'!M5</f>
        <v>वाटाणा</v>
      </c>
      <c r="O6" s="110" t="str">
        <f>'साठा नोंदवही'!N5</f>
        <v>जिरे</v>
      </c>
      <c r="P6" s="110" t="str">
        <f>'साठा नोंदवही'!O5</f>
        <v>मोहरी</v>
      </c>
      <c r="Q6" s="110" t="str">
        <f>'साठा नोंदवही'!P5</f>
        <v>हळद</v>
      </c>
      <c r="R6" s="110" t="str">
        <f>'साठा नोंदवही'!Q5</f>
        <v>मिरची पावडर</v>
      </c>
      <c r="S6" s="110" t="str">
        <f>'साठा नोंदवही'!R5</f>
        <v>गरम मसाला</v>
      </c>
      <c r="T6" s="110" t="str">
        <f>'साठा नोंदवही'!S5</f>
        <v>सोयाबीन तेल</v>
      </c>
      <c r="U6" s="110" t="str">
        <f>'साठा नोंदवही'!T5</f>
        <v>मीठ</v>
      </c>
      <c r="V6" s="110" t="str">
        <f>'साठा नोंदवही'!U5</f>
        <v>कांदा लसून मसाला</v>
      </c>
      <c r="W6" s="152">
        <f>'साठा नोंदवही'!V5</f>
        <v>0</v>
      </c>
    </row>
    <row r="7" spans="2:23" ht="17.25" customHeight="1" x14ac:dyDescent="0.3">
      <c r="B7" s="557">
        <v>1</v>
      </c>
      <c r="C7" s="558">
        <v>2</v>
      </c>
      <c r="D7" s="558">
        <v>3</v>
      </c>
      <c r="E7" s="558">
        <v>4</v>
      </c>
      <c r="F7" s="558">
        <v>5</v>
      </c>
      <c r="G7" s="558">
        <v>6</v>
      </c>
      <c r="H7" s="558">
        <v>7</v>
      </c>
      <c r="I7" s="558">
        <v>8</v>
      </c>
      <c r="J7" s="558">
        <v>9</v>
      </c>
      <c r="K7" s="558">
        <v>10</v>
      </c>
      <c r="L7" s="558">
        <v>11</v>
      </c>
      <c r="M7" s="558">
        <v>12</v>
      </c>
      <c r="N7" s="558">
        <v>13</v>
      </c>
      <c r="O7" s="558">
        <v>14</v>
      </c>
      <c r="P7" s="558">
        <v>15</v>
      </c>
      <c r="Q7" s="558">
        <v>16</v>
      </c>
      <c r="R7" s="558">
        <v>17</v>
      </c>
      <c r="S7" s="558">
        <v>18</v>
      </c>
      <c r="T7" s="558">
        <v>19</v>
      </c>
      <c r="U7" s="558">
        <v>20</v>
      </c>
      <c r="V7" s="558">
        <v>21</v>
      </c>
      <c r="W7" s="559">
        <v>22</v>
      </c>
    </row>
    <row r="8" spans="2:23" ht="27.75" customHeight="1" x14ac:dyDescent="0.3">
      <c r="B8" s="560"/>
      <c r="C8" s="561" t="s">
        <v>141</v>
      </c>
      <c r="D8" s="155">
        <f>HOME!E2</f>
        <v>2022</v>
      </c>
      <c r="E8" s="498" t="s">
        <v>127</v>
      </c>
      <c r="F8" s="312">
        <f>'साठा नोंदवही'!E62</f>
        <v>0</v>
      </c>
      <c r="G8" s="312">
        <f>'साठा नोंदवही'!F62</f>
        <v>0</v>
      </c>
      <c r="H8" s="312">
        <f>'साठा नोंदवही'!G62</f>
        <v>0</v>
      </c>
      <c r="I8" s="312">
        <f>'साठा नोंदवही'!H62</f>
        <v>0</v>
      </c>
      <c r="J8" s="312">
        <f>'साठा नोंदवही'!I62</f>
        <v>0</v>
      </c>
      <c r="K8" s="312">
        <f>'साठा नोंदवही'!J62</f>
        <v>0</v>
      </c>
      <c r="L8" s="312">
        <f>'साठा नोंदवही'!K62</f>
        <v>0</v>
      </c>
      <c r="M8" s="312">
        <f>'साठा नोंदवही'!L62</f>
        <v>0</v>
      </c>
      <c r="N8" s="312">
        <f>'साठा नोंदवही'!M62</f>
        <v>0</v>
      </c>
      <c r="O8" s="312">
        <f>'साठा नोंदवही'!N62</f>
        <v>0</v>
      </c>
      <c r="P8" s="312">
        <f>'साठा नोंदवही'!O62</f>
        <v>0</v>
      </c>
      <c r="Q8" s="312">
        <f>'साठा नोंदवही'!P62</f>
        <v>0</v>
      </c>
      <c r="R8" s="312">
        <f>'साठा नोंदवही'!Q62</f>
        <v>0</v>
      </c>
      <c r="S8" s="312">
        <f>'साठा नोंदवही'!R62</f>
        <v>0</v>
      </c>
      <c r="T8" s="312">
        <f>'साठा नोंदवही'!S62</f>
        <v>0</v>
      </c>
      <c r="U8" s="312">
        <f>'साठा नोंदवही'!T62</f>
        <v>0</v>
      </c>
      <c r="V8" s="312">
        <f>'साठा नोंदवही'!U62</f>
        <v>0</v>
      </c>
      <c r="W8" s="312">
        <f>'साठा नोंदवही'!V62</f>
        <v>0</v>
      </c>
    </row>
    <row r="9" spans="2:23" ht="27.75" customHeight="1" x14ac:dyDescent="0.3">
      <c r="B9" s="1962">
        <v>1</v>
      </c>
      <c r="C9" s="1410" t="s">
        <v>42</v>
      </c>
      <c r="D9" s="1970">
        <f>HOME!E2</f>
        <v>2022</v>
      </c>
      <c r="E9" s="498" t="s">
        <v>128</v>
      </c>
      <c r="F9" s="312">
        <f>'साठा नोंदवही'!E63</f>
        <v>0</v>
      </c>
      <c r="G9" s="312">
        <f>'साठा नोंदवही'!F63</f>
        <v>0</v>
      </c>
      <c r="H9" s="312">
        <f>'साठा नोंदवही'!G63</f>
        <v>0</v>
      </c>
      <c r="I9" s="312">
        <f>'साठा नोंदवही'!H63</f>
        <v>0</v>
      </c>
      <c r="J9" s="312">
        <f>'साठा नोंदवही'!I63</f>
        <v>0</v>
      </c>
      <c r="K9" s="312">
        <f>'साठा नोंदवही'!J63</f>
        <v>0</v>
      </c>
      <c r="L9" s="312">
        <f>'साठा नोंदवही'!K63</f>
        <v>0</v>
      </c>
      <c r="M9" s="312">
        <f>'साठा नोंदवही'!L63</f>
        <v>0</v>
      </c>
      <c r="N9" s="312">
        <f>'साठा नोंदवही'!M63</f>
        <v>0</v>
      </c>
      <c r="O9" s="312">
        <f>'साठा नोंदवही'!N63</f>
        <v>0</v>
      </c>
      <c r="P9" s="312">
        <f>'साठा नोंदवही'!O63</f>
        <v>0</v>
      </c>
      <c r="Q9" s="312">
        <f>'साठा नोंदवही'!P63</f>
        <v>0</v>
      </c>
      <c r="R9" s="312">
        <f>'साठा नोंदवही'!Q63</f>
        <v>0</v>
      </c>
      <c r="S9" s="312">
        <f>'साठा नोंदवही'!R63</f>
        <v>0</v>
      </c>
      <c r="T9" s="312">
        <f>'साठा नोंदवही'!S63</f>
        <v>0</v>
      </c>
      <c r="U9" s="312">
        <f>'साठा नोंदवही'!T63</f>
        <v>0</v>
      </c>
      <c r="V9" s="312">
        <f>'साठा नोंदवही'!U63</f>
        <v>0</v>
      </c>
      <c r="W9" s="312">
        <f>'साठा नोंदवही'!V63</f>
        <v>0</v>
      </c>
    </row>
    <row r="10" spans="2:23" ht="27.75" customHeight="1" x14ac:dyDescent="0.3">
      <c r="B10" s="1962"/>
      <c r="C10" s="1410"/>
      <c r="D10" s="1971"/>
      <c r="E10" s="498" t="s">
        <v>129</v>
      </c>
      <c r="F10" s="312">
        <f>'साठा नोंदवही'!E81</f>
        <v>0</v>
      </c>
      <c r="G10" s="312">
        <f>'साठा नोंदवही'!F81</f>
        <v>0</v>
      </c>
      <c r="H10" s="312">
        <f>'साठा नोंदवही'!G81</f>
        <v>0</v>
      </c>
      <c r="I10" s="312">
        <f>'साठा नोंदवही'!H81</f>
        <v>0</v>
      </c>
      <c r="J10" s="312">
        <f>'साठा नोंदवही'!I81</f>
        <v>0</v>
      </c>
      <c r="K10" s="312">
        <f>'साठा नोंदवही'!J81</f>
        <v>0</v>
      </c>
      <c r="L10" s="312">
        <f>'साठा नोंदवही'!K81</f>
        <v>0</v>
      </c>
      <c r="M10" s="312">
        <f>'साठा नोंदवही'!L81</f>
        <v>0</v>
      </c>
      <c r="N10" s="312">
        <f>'साठा नोंदवही'!M81</f>
        <v>0</v>
      </c>
      <c r="O10" s="312">
        <f>'साठा नोंदवही'!N81</f>
        <v>0</v>
      </c>
      <c r="P10" s="312">
        <f>'साठा नोंदवही'!O81</f>
        <v>0</v>
      </c>
      <c r="Q10" s="312">
        <f>'साठा नोंदवही'!P81</f>
        <v>0</v>
      </c>
      <c r="R10" s="312">
        <f>'साठा नोंदवही'!Q81</f>
        <v>0</v>
      </c>
      <c r="S10" s="312">
        <f>'साठा नोंदवही'!R81</f>
        <v>0</v>
      </c>
      <c r="T10" s="312">
        <f>'साठा नोंदवही'!S81</f>
        <v>0</v>
      </c>
      <c r="U10" s="312">
        <f>'साठा नोंदवही'!T81</f>
        <v>0</v>
      </c>
      <c r="V10" s="312">
        <f>'साठा नोंदवही'!U81</f>
        <v>0</v>
      </c>
      <c r="W10" s="312">
        <f>'साठा नोंदवही'!V81</f>
        <v>0</v>
      </c>
    </row>
    <row r="11" spans="2:23" ht="27.75" customHeight="1" x14ac:dyDescent="0.3">
      <c r="B11" s="1962"/>
      <c r="C11" s="1410"/>
      <c r="D11" s="1971"/>
      <c r="E11" s="498" t="s">
        <v>335</v>
      </c>
      <c r="F11" s="312">
        <f>'साठा नोंदवही'!E99</f>
        <v>0</v>
      </c>
      <c r="G11" s="312">
        <f>'साठा नोंदवही'!F99</f>
        <v>0</v>
      </c>
      <c r="H11" s="312">
        <f>'साठा नोंदवही'!G99</f>
        <v>0</v>
      </c>
      <c r="I11" s="312">
        <f>'साठा नोंदवही'!H99</f>
        <v>0</v>
      </c>
      <c r="J11" s="312">
        <f>'साठा नोंदवही'!I99</f>
        <v>0</v>
      </c>
      <c r="K11" s="312">
        <f>'साठा नोंदवही'!J99</f>
        <v>0</v>
      </c>
      <c r="L11" s="312">
        <f>'साठा नोंदवही'!K99</f>
        <v>0</v>
      </c>
      <c r="M11" s="312">
        <f>'साठा नोंदवही'!L99</f>
        <v>0</v>
      </c>
      <c r="N11" s="312">
        <f>'साठा नोंदवही'!M99</f>
        <v>0</v>
      </c>
      <c r="O11" s="312">
        <f>'साठा नोंदवही'!N99</f>
        <v>0</v>
      </c>
      <c r="P11" s="312">
        <f>'साठा नोंदवही'!O99</f>
        <v>0</v>
      </c>
      <c r="Q11" s="312">
        <f>'साठा नोंदवही'!P99</f>
        <v>0</v>
      </c>
      <c r="R11" s="312">
        <f>'साठा नोंदवही'!Q99</f>
        <v>0</v>
      </c>
      <c r="S11" s="312">
        <f>'साठा नोंदवही'!R99</f>
        <v>0</v>
      </c>
      <c r="T11" s="312">
        <f>'साठा नोंदवही'!S99</f>
        <v>0</v>
      </c>
      <c r="U11" s="312">
        <f>'साठा नोंदवही'!T99</f>
        <v>0</v>
      </c>
      <c r="V11" s="312">
        <f>'साठा नोंदवही'!U99</f>
        <v>0</v>
      </c>
      <c r="W11" s="312">
        <f>'साठा नोंदवही'!V99</f>
        <v>0</v>
      </c>
    </row>
    <row r="12" spans="2:23" ht="27.75" customHeight="1" x14ac:dyDescent="0.3">
      <c r="B12" s="1962"/>
      <c r="C12" s="1410"/>
      <c r="D12" s="1971"/>
      <c r="E12" s="498" t="s">
        <v>331</v>
      </c>
      <c r="F12" s="314">
        <f>(F8+F9+F10-F11)</f>
        <v>0</v>
      </c>
      <c r="G12" s="314">
        <f t="shared" ref="G12:W12" si="0">(G8+G9+G10-G11)</f>
        <v>0</v>
      </c>
      <c r="H12" s="314">
        <f t="shared" si="0"/>
        <v>0</v>
      </c>
      <c r="I12" s="314">
        <f t="shared" si="0"/>
        <v>0</v>
      </c>
      <c r="J12" s="314">
        <f t="shared" si="0"/>
        <v>0</v>
      </c>
      <c r="K12" s="314">
        <f t="shared" si="0"/>
        <v>0</v>
      </c>
      <c r="L12" s="314">
        <f t="shared" si="0"/>
        <v>0</v>
      </c>
      <c r="M12" s="314">
        <f t="shared" si="0"/>
        <v>0</v>
      </c>
      <c r="N12" s="314">
        <f t="shared" si="0"/>
        <v>0</v>
      </c>
      <c r="O12" s="314">
        <f t="shared" si="0"/>
        <v>0</v>
      </c>
      <c r="P12" s="314">
        <f t="shared" si="0"/>
        <v>0</v>
      </c>
      <c r="Q12" s="314">
        <f t="shared" si="0"/>
        <v>0</v>
      </c>
      <c r="R12" s="314">
        <f t="shared" si="0"/>
        <v>0</v>
      </c>
      <c r="S12" s="314">
        <f t="shared" si="0"/>
        <v>0</v>
      </c>
      <c r="T12" s="314">
        <f t="shared" si="0"/>
        <v>0</v>
      </c>
      <c r="U12" s="314">
        <f t="shared" si="0"/>
        <v>0</v>
      </c>
      <c r="V12" s="314">
        <f t="shared" si="0"/>
        <v>0</v>
      </c>
      <c r="W12" s="314">
        <f t="shared" si="0"/>
        <v>0</v>
      </c>
    </row>
    <row r="13" spans="2:23" ht="27.75" customHeight="1" x14ac:dyDescent="0.3">
      <c r="B13" s="1962"/>
      <c r="C13" s="1410"/>
      <c r="D13" s="1972"/>
      <c r="E13" s="498" t="s">
        <v>130</v>
      </c>
      <c r="F13" s="314">
        <f>'शिक्षक मानधन पावती'!BI145</f>
        <v>0</v>
      </c>
      <c r="G13" s="314">
        <f>'शिक्षक मानधन पावती'!BJ145</f>
        <v>0</v>
      </c>
      <c r="H13" s="314">
        <f>'शिक्षक मानधन पावती'!BK145</f>
        <v>0</v>
      </c>
      <c r="I13" s="314">
        <f>'शिक्षक मानधन पावती'!BL145</f>
        <v>0</v>
      </c>
      <c r="J13" s="314">
        <f>'शिक्षक मानधन पावती'!BM145</f>
        <v>0</v>
      </c>
      <c r="K13" s="314">
        <f>'शिक्षक मानधन पावती'!BN145</f>
        <v>0</v>
      </c>
      <c r="L13" s="314">
        <f>'शिक्षक मानधन पावती'!BO145</f>
        <v>0</v>
      </c>
      <c r="M13" s="314">
        <f>'शिक्षक मानधन पावती'!BP145</f>
        <v>0</v>
      </c>
      <c r="N13" s="314">
        <f>'शिक्षक मानधन पावती'!BQ145</f>
        <v>0</v>
      </c>
      <c r="O13" s="314">
        <f>'शिक्षक मानधन पावती'!BR145</f>
        <v>0</v>
      </c>
      <c r="P13" s="314">
        <f>'शिक्षक मानधन पावती'!BS145</f>
        <v>0</v>
      </c>
      <c r="Q13" s="314">
        <f>'शिक्षक मानधन पावती'!BT145</f>
        <v>0</v>
      </c>
      <c r="R13" s="314">
        <f>'शिक्षक मानधन पावती'!BU145</f>
        <v>0</v>
      </c>
      <c r="S13" s="314">
        <f>'शिक्षक मानधन पावती'!BV145</f>
        <v>0</v>
      </c>
      <c r="T13" s="314">
        <f>'शिक्षक मानधन पावती'!BW145</f>
        <v>0</v>
      </c>
      <c r="U13" s="314">
        <f>'शिक्षक मानधन पावती'!BX145</f>
        <v>0</v>
      </c>
      <c r="V13" s="314">
        <f>'शिक्षक मानधन पावती'!BY145</f>
        <v>0</v>
      </c>
      <c r="W13" s="314">
        <f>'शिक्षक मानधन पावती'!BZ145</f>
        <v>0</v>
      </c>
    </row>
    <row r="14" spans="2:23" ht="27.75" customHeight="1" x14ac:dyDescent="0.3">
      <c r="B14" s="1962">
        <v>2</v>
      </c>
      <c r="C14" s="1410" t="s">
        <v>131</v>
      </c>
      <c r="D14" s="1970">
        <f>HOME!E2</f>
        <v>2022</v>
      </c>
      <c r="E14" s="498" t="s">
        <v>128</v>
      </c>
      <c r="F14" s="314">
        <f>'साठा नोंदवही'!E64</f>
        <v>0</v>
      </c>
      <c r="G14" s="314">
        <f>'साठा नोंदवही'!F64</f>
        <v>0</v>
      </c>
      <c r="H14" s="314">
        <f>'साठा नोंदवही'!G64</f>
        <v>0</v>
      </c>
      <c r="I14" s="314">
        <f>'साठा नोंदवही'!H64</f>
        <v>0</v>
      </c>
      <c r="J14" s="314">
        <f>'साठा नोंदवही'!I64</f>
        <v>0</v>
      </c>
      <c r="K14" s="314">
        <f>'साठा नोंदवही'!J64</f>
        <v>0</v>
      </c>
      <c r="L14" s="314">
        <f>'साठा नोंदवही'!K64</f>
        <v>0</v>
      </c>
      <c r="M14" s="314">
        <f>'साठा नोंदवही'!L64</f>
        <v>0</v>
      </c>
      <c r="N14" s="314">
        <f>'साठा नोंदवही'!M64</f>
        <v>0</v>
      </c>
      <c r="O14" s="314">
        <f>'साठा नोंदवही'!N64</f>
        <v>0</v>
      </c>
      <c r="P14" s="314">
        <f>'साठा नोंदवही'!O64</f>
        <v>0</v>
      </c>
      <c r="Q14" s="314">
        <f>'साठा नोंदवही'!P64</f>
        <v>0</v>
      </c>
      <c r="R14" s="314">
        <f>'साठा नोंदवही'!Q64</f>
        <v>0</v>
      </c>
      <c r="S14" s="314">
        <f>'साठा नोंदवही'!R64</f>
        <v>0</v>
      </c>
      <c r="T14" s="314">
        <f>'साठा नोंदवही'!S64</f>
        <v>0</v>
      </c>
      <c r="U14" s="314">
        <f>'साठा नोंदवही'!T64</f>
        <v>0</v>
      </c>
      <c r="V14" s="314">
        <f>'साठा नोंदवही'!U64</f>
        <v>0</v>
      </c>
      <c r="W14" s="314">
        <f>'साठा नोंदवही'!V64</f>
        <v>0</v>
      </c>
    </row>
    <row r="15" spans="2:23" ht="27.75" customHeight="1" x14ac:dyDescent="0.3">
      <c r="B15" s="1962"/>
      <c r="C15" s="1410"/>
      <c r="D15" s="1971"/>
      <c r="E15" s="498" t="s">
        <v>129</v>
      </c>
      <c r="F15" s="314">
        <f>'साठा नोंदवही'!E82</f>
        <v>0</v>
      </c>
      <c r="G15" s="314">
        <f>'साठा नोंदवही'!F82</f>
        <v>0</v>
      </c>
      <c r="H15" s="314">
        <f>'साठा नोंदवही'!G82</f>
        <v>0</v>
      </c>
      <c r="I15" s="314">
        <f>'साठा नोंदवही'!H82</f>
        <v>0</v>
      </c>
      <c r="J15" s="314">
        <f>'साठा नोंदवही'!I82</f>
        <v>0</v>
      </c>
      <c r="K15" s="314">
        <f>'साठा नोंदवही'!J82</f>
        <v>0</v>
      </c>
      <c r="L15" s="314">
        <f>'साठा नोंदवही'!K82</f>
        <v>0</v>
      </c>
      <c r="M15" s="314">
        <f>'साठा नोंदवही'!L82</f>
        <v>0</v>
      </c>
      <c r="N15" s="314">
        <f>'साठा नोंदवही'!M82</f>
        <v>0</v>
      </c>
      <c r="O15" s="314">
        <f>'साठा नोंदवही'!N82</f>
        <v>0</v>
      </c>
      <c r="P15" s="314">
        <f>'साठा नोंदवही'!O82</f>
        <v>0</v>
      </c>
      <c r="Q15" s="314">
        <f>'साठा नोंदवही'!P82</f>
        <v>0</v>
      </c>
      <c r="R15" s="314">
        <f>'साठा नोंदवही'!Q82</f>
        <v>0</v>
      </c>
      <c r="S15" s="314">
        <f>'साठा नोंदवही'!R82</f>
        <v>0</v>
      </c>
      <c r="T15" s="314">
        <f>'साठा नोंदवही'!S82</f>
        <v>0</v>
      </c>
      <c r="U15" s="314">
        <f>'साठा नोंदवही'!T82</f>
        <v>0</v>
      </c>
      <c r="V15" s="314">
        <f>'साठा नोंदवही'!U82</f>
        <v>0</v>
      </c>
      <c r="W15" s="314">
        <f>'साठा नोंदवही'!V82</f>
        <v>0</v>
      </c>
    </row>
    <row r="16" spans="2:23" ht="27.75" customHeight="1" x14ac:dyDescent="0.3">
      <c r="B16" s="1962"/>
      <c r="C16" s="1410"/>
      <c r="D16" s="1971"/>
      <c r="E16" s="498" t="s">
        <v>335</v>
      </c>
      <c r="F16" s="314">
        <f>'साठा नोंदवही'!E100</f>
        <v>0</v>
      </c>
      <c r="G16" s="314">
        <f>'साठा नोंदवही'!F100</f>
        <v>0</v>
      </c>
      <c r="H16" s="314">
        <f>'साठा नोंदवही'!G100</f>
        <v>0</v>
      </c>
      <c r="I16" s="314">
        <f>'साठा नोंदवही'!H100</f>
        <v>0</v>
      </c>
      <c r="J16" s="314">
        <f>'साठा नोंदवही'!I100</f>
        <v>0</v>
      </c>
      <c r="K16" s="314">
        <f>'साठा नोंदवही'!J100</f>
        <v>0</v>
      </c>
      <c r="L16" s="314">
        <f>'साठा नोंदवही'!K100</f>
        <v>0</v>
      </c>
      <c r="M16" s="314">
        <f>'साठा नोंदवही'!L100</f>
        <v>0</v>
      </c>
      <c r="N16" s="314">
        <f>'साठा नोंदवही'!M100</f>
        <v>0</v>
      </c>
      <c r="O16" s="314">
        <f>'साठा नोंदवही'!N100</f>
        <v>0</v>
      </c>
      <c r="P16" s="314">
        <f>'साठा नोंदवही'!O100</f>
        <v>0</v>
      </c>
      <c r="Q16" s="314">
        <f>'साठा नोंदवही'!P100</f>
        <v>0</v>
      </c>
      <c r="R16" s="314">
        <f>'साठा नोंदवही'!Q100</f>
        <v>0</v>
      </c>
      <c r="S16" s="314">
        <f>'साठा नोंदवही'!R100</f>
        <v>0</v>
      </c>
      <c r="T16" s="314">
        <f>'साठा नोंदवही'!S100</f>
        <v>0</v>
      </c>
      <c r="U16" s="314">
        <f>'साठा नोंदवही'!T100</f>
        <v>0</v>
      </c>
      <c r="V16" s="314">
        <f>'साठा नोंदवही'!U100</f>
        <v>0</v>
      </c>
      <c r="W16" s="314">
        <f>'साठा नोंदवही'!V100</f>
        <v>0</v>
      </c>
    </row>
    <row r="17" spans="2:23" ht="27.75" customHeight="1" x14ac:dyDescent="0.3">
      <c r="B17" s="1962"/>
      <c r="C17" s="1410"/>
      <c r="D17" s="1971"/>
      <c r="E17" s="498" t="s">
        <v>331</v>
      </c>
      <c r="F17" s="314">
        <f>(F14+F15-F16)</f>
        <v>0</v>
      </c>
      <c r="G17" s="314">
        <f t="shared" ref="G17:W17" si="1">(G14+G15-G16)</f>
        <v>0</v>
      </c>
      <c r="H17" s="314">
        <f t="shared" si="1"/>
        <v>0</v>
      </c>
      <c r="I17" s="314">
        <f t="shared" si="1"/>
        <v>0</v>
      </c>
      <c r="J17" s="314">
        <f t="shared" si="1"/>
        <v>0</v>
      </c>
      <c r="K17" s="314">
        <f t="shared" si="1"/>
        <v>0</v>
      </c>
      <c r="L17" s="314">
        <f t="shared" si="1"/>
        <v>0</v>
      </c>
      <c r="M17" s="314">
        <f t="shared" si="1"/>
        <v>0</v>
      </c>
      <c r="N17" s="314">
        <f t="shared" si="1"/>
        <v>0</v>
      </c>
      <c r="O17" s="314">
        <f t="shared" si="1"/>
        <v>0</v>
      </c>
      <c r="P17" s="314">
        <f t="shared" si="1"/>
        <v>0</v>
      </c>
      <c r="Q17" s="314">
        <f t="shared" si="1"/>
        <v>0</v>
      </c>
      <c r="R17" s="314">
        <f t="shared" si="1"/>
        <v>0</v>
      </c>
      <c r="S17" s="314">
        <f t="shared" si="1"/>
        <v>0</v>
      </c>
      <c r="T17" s="314">
        <f t="shared" si="1"/>
        <v>0</v>
      </c>
      <c r="U17" s="314">
        <f t="shared" si="1"/>
        <v>0</v>
      </c>
      <c r="V17" s="314">
        <f t="shared" si="1"/>
        <v>0</v>
      </c>
      <c r="W17" s="314">
        <f t="shared" si="1"/>
        <v>0</v>
      </c>
    </row>
    <row r="18" spans="2:23" ht="27.75" customHeight="1" x14ac:dyDescent="0.3">
      <c r="B18" s="1962"/>
      <c r="C18" s="1410"/>
      <c r="D18" s="1972"/>
      <c r="E18" s="498" t="s">
        <v>130</v>
      </c>
      <c r="F18" s="314">
        <f>'शिक्षक मानधन पावती'!BI146</f>
        <v>0</v>
      </c>
      <c r="G18" s="314">
        <f>'शिक्षक मानधन पावती'!BJ146</f>
        <v>0</v>
      </c>
      <c r="H18" s="314">
        <f>'शिक्षक मानधन पावती'!BK146</f>
        <v>0</v>
      </c>
      <c r="I18" s="314">
        <f>'शिक्षक मानधन पावती'!BL146</f>
        <v>0</v>
      </c>
      <c r="J18" s="314">
        <f>'शिक्षक मानधन पावती'!BM146</f>
        <v>0</v>
      </c>
      <c r="K18" s="314">
        <f>'शिक्षक मानधन पावती'!BN146</f>
        <v>0</v>
      </c>
      <c r="L18" s="314">
        <f>'शिक्षक मानधन पावती'!BO146</f>
        <v>0</v>
      </c>
      <c r="M18" s="314">
        <f>'शिक्षक मानधन पावती'!BP146</f>
        <v>0</v>
      </c>
      <c r="N18" s="314">
        <f>'शिक्षक मानधन पावती'!BQ146</f>
        <v>0</v>
      </c>
      <c r="O18" s="314">
        <f>'शिक्षक मानधन पावती'!BR146</f>
        <v>0</v>
      </c>
      <c r="P18" s="314">
        <f>'शिक्षक मानधन पावती'!BS146</f>
        <v>0</v>
      </c>
      <c r="Q18" s="314">
        <f>'शिक्षक मानधन पावती'!BT146</f>
        <v>0</v>
      </c>
      <c r="R18" s="314">
        <f>'शिक्षक मानधन पावती'!BU146</f>
        <v>0</v>
      </c>
      <c r="S18" s="314">
        <f>'शिक्षक मानधन पावती'!BV146</f>
        <v>0</v>
      </c>
      <c r="T18" s="314">
        <f>'शिक्षक मानधन पावती'!BW146</f>
        <v>0</v>
      </c>
      <c r="U18" s="314">
        <f>'शिक्षक मानधन पावती'!BX146</f>
        <v>0</v>
      </c>
      <c r="V18" s="314">
        <f>'शिक्षक मानधन पावती'!BY146</f>
        <v>0</v>
      </c>
      <c r="W18" s="314">
        <f>'शिक्षक मानधन पावती'!BZ146</f>
        <v>0</v>
      </c>
    </row>
    <row r="19" spans="2:23" ht="27.75" customHeight="1" x14ac:dyDescent="0.3">
      <c r="B19" s="1962">
        <v>3</v>
      </c>
      <c r="C19" s="1410" t="s">
        <v>132</v>
      </c>
      <c r="D19" s="1970">
        <f>HOME!E2</f>
        <v>2022</v>
      </c>
      <c r="E19" s="498" t="s">
        <v>128</v>
      </c>
      <c r="F19" s="314">
        <f>'साठा नोंदवही'!E65</f>
        <v>0</v>
      </c>
      <c r="G19" s="314">
        <f>'साठा नोंदवही'!F65</f>
        <v>0</v>
      </c>
      <c r="H19" s="314">
        <f>'साठा नोंदवही'!G65</f>
        <v>0</v>
      </c>
      <c r="I19" s="314">
        <f>'साठा नोंदवही'!H65</f>
        <v>0</v>
      </c>
      <c r="J19" s="314">
        <f>'साठा नोंदवही'!I65</f>
        <v>0</v>
      </c>
      <c r="K19" s="314">
        <f>'साठा नोंदवही'!J65</f>
        <v>0</v>
      </c>
      <c r="L19" s="314">
        <f>'साठा नोंदवही'!K65</f>
        <v>0</v>
      </c>
      <c r="M19" s="314">
        <f>'साठा नोंदवही'!L65</f>
        <v>0</v>
      </c>
      <c r="N19" s="314">
        <f>'साठा नोंदवही'!M65</f>
        <v>0</v>
      </c>
      <c r="O19" s="314">
        <f>'साठा नोंदवही'!N65</f>
        <v>0</v>
      </c>
      <c r="P19" s="314">
        <f>'साठा नोंदवही'!O65</f>
        <v>0</v>
      </c>
      <c r="Q19" s="314">
        <f>'साठा नोंदवही'!P65</f>
        <v>0</v>
      </c>
      <c r="R19" s="314">
        <f>'साठा नोंदवही'!Q65</f>
        <v>0</v>
      </c>
      <c r="S19" s="314">
        <f>'साठा नोंदवही'!R65</f>
        <v>0</v>
      </c>
      <c r="T19" s="314">
        <f>'साठा नोंदवही'!S65</f>
        <v>0</v>
      </c>
      <c r="U19" s="314">
        <f>'साठा नोंदवही'!T65</f>
        <v>0</v>
      </c>
      <c r="V19" s="314">
        <f>'साठा नोंदवही'!U65</f>
        <v>0</v>
      </c>
      <c r="W19" s="314">
        <f>'साठा नोंदवही'!V65</f>
        <v>0</v>
      </c>
    </row>
    <row r="20" spans="2:23" ht="27.75" customHeight="1" x14ac:dyDescent="0.3">
      <c r="B20" s="1962"/>
      <c r="C20" s="1410"/>
      <c r="D20" s="1971"/>
      <c r="E20" s="498" t="s">
        <v>129</v>
      </c>
      <c r="F20" s="314">
        <f>'साठा नोंदवही'!E83</f>
        <v>0</v>
      </c>
      <c r="G20" s="314">
        <f>'साठा नोंदवही'!F83</f>
        <v>0</v>
      </c>
      <c r="H20" s="314">
        <f>'साठा नोंदवही'!G83</f>
        <v>0</v>
      </c>
      <c r="I20" s="314">
        <f>'साठा नोंदवही'!H83</f>
        <v>0</v>
      </c>
      <c r="J20" s="314">
        <f>'साठा नोंदवही'!I83</f>
        <v>0</v>
      </c>
      <c r="K20" s="314">
        <f>'साठा नोंदवही'!J83</f>
        <v>0</v>
      </c>
      <c r="L20" s="314">
        <f>'साठा नोंदवही'!K83</f>
        <v>0</v>
      </c>
      <c r="M20" s="314">
        <f>'साठा नोंदवही'!L83</f>
        <v>0</v>
      </c>
      <c r="N20" s="314">
        <f>'साठा नोंदवही'!M83</f>
        <v>0</v>
      </c>
      <c r="O20" s="314">
        <f>'साठा नोंदवही'!N83</f>
        <v>0</v>
      </c>
      <c r="P20" s="314">
        <f>'साठा नोंदवही'!O83</f>
        <v>0</v>
      </c>
      <c r="Q20" s="314">
        <f>'साठा नोंदवही'!P83</f>
        <v>0</v>
      </c>
      <c r="R20" s="314">
        <f>'साठा नोंदवही'!Q83</f>
        <v>0</v>
      </c>
      <c r="S20" s="314">
        <f>'साठा नोंदवही'!R83</f>
        <v>0</v>
      </c>
      <c r="T20" s="314">
        <f>'साठा नोंदवही'!S83</f>
        <v>0</v>
      </c>
      <c r="U20" s="314">
        <f>'साठा नोंदवही'!T83</f>
        <v>0</v>
      </c>
      <c r="V20" s="314">
        <f>'साठा नोंदवही'!U83</f>
        <v>0</v>
      </c>
      <c r="W20" s="314">
        <f>'साठा नोंदवही'!V83</f>
        <v>0</v>
      </c>
    </row>
    <row r="21" spans="2:23" ht="27.75" customHeight="1" x14ac:dyDescent="0.3">
      <c r="B21" s="1962"/>
      <c r="C21" s="1410"/>
      <c r="D21" s="1971"/>
      <c r="E21" s="498" t="s">
        <v>335</v>
      </c>
      <c r="F21" s="314">
        <f>'साठा नोंदवही'!E101</f>
        <v>0</v>
      </c>
      <c r="G21" s="314">
        <f>'साठा नोंदवही'!F101</f>
        <v>0</v>
      </c>
      <c r="H21" s="314">
        <f>'साठा नोंदवही'!G101</f>
        <v>0</v>
      </c>
      <c r="I21" s="314">
        <f>'साठा नोंदवही'!H101</f>
        <v>0</v>
      </c>
      <c r="J21" s="314">
        <f>'साठा नोंदवही'!I101</f>
        <v>0</v>
      </c>
      <c r="K21" s="314">
        <f>'साठा नोंदवही'!J101</f>
        <v>0</v>
      </c>
      <c r="L21" s="314">
        <f>'साठा नोंदवही'!K101</f>
        <v>0</v>
      </c>
      <c r="M21" s="314">
        <f>'साठा नोंदवही'!L101</f>
        <v>0</v>
      </c>
      <c r="N21" s="314">
        <f>'साठा नोंदवही'!M101</f>
        <v>0</v>
      </c>
      <c r="O21" s="314">
        <f>'साठा नोंदवही'!N101</f>
        <v>0</v>
      </c>
      <c r="P21" s="314">
        <f>'साठा नोंदवही'!O101</f>
        <v>0</v>
      </c>
      <c r="Q21" s="314">
        <f>'साठा नोंदवही'!P101</f>
        <v>0</v>
      </c>
      <c r="R21" s="314">
        <f>'साठा नोंदवही'!Q101</f>
        <v>0</v>
      </c>
      <c r="S21" s="314">
        <f>'साठा नोंदवही'!R101</f>
        <v>0</v>
      </c>
      <c r="T21" s="314">
        <f>'साठा नोंदवही'!S101</f>
        <v>0</v>
      </c>
      <c r="U21" s="314">
        <f>'साठा नोंदवही'!T101</f>
        <v>0</v>
      </c>
      <c r="V21" s="314">
        <f>'साठा नोंदवही'!U101</f>
        <v>0</v>
      </c>
      <c r="W21" s="314">
        <f>'साठा नोंदवही'!V101</f>
        <v>0</v>
      </c>
    </row>
    <row r="22" spans="2:23" ht="27.75" customHeight="1" x14ac:dyDescent="0.3">
      <c r="B22" s="1962"/>
      <c r="C22" s="1410"/>
      <c r="D22" s="1971"/>
      <c r="E22" s="498" t="s">
        <v>331</v>
      </c>
      <c r="F22" s="314">
        <f>(F19+F20-F21)</f>
        <v>0</v>
      </c>
      <c r="G22" s="314">
        <f t="shared" ref="G22:W22" si="2">(G19+G20-G21)</f>
        <v>0</v>
      </c>
      <c r="H22" s="314">
        <f t="shared" si="2"/>
        <v>0</v>
      </c>
      <c r="I22" s="314">
        <f t="shared" si="2"/>
        <v>0</v>
      </c>
      <c r="J22" s="314">
        <f t="shared" si="2"/>
        <v>0</v>
      </c>
      <c r="K22" s="314">
        <f t="shared" si="2"/>
        <v>0</v>
      </c>
      <c r="L22" s="314">
        <f t="shared" si="2"/>
        <v>0</v>
      </c>
      <c r="M22" s="314">
        <f t="shared" si="2"/>
        <v>0</v>
      </c>
      <c r="N22" s="314">
        <f t="shared" si="2"/>
        <v>0</v>
      </c>
      <c r="O22" s="314">
        <f t="shared" si="2"/>
        <v>0</v>
      </c>
      <c r="P22" s="314">
        <f t="shared" si="2"/>
        <v>0</v>
      </c>
      <c r="Q22" s="314">
        <f t="shared" si="2"/>
        <v>0</v>
      </c>
      <c r="R22" s="314">
        <f t="shared" si="2"/>
        <v>0</v>
      </c>
      <c r="S22" s="314">
        <f t="shared" si="2"/>
        <v>0</v>
      </c>
      <c r="T22" s="314">
        <f t="shared" si="2"/>
        <v>0</v>
      </c>
      <c r="U22" s="314">
        <f t="shared" si="2"/>
        <v>0</v>
      </c>
      <c r="V22" s="314">
        <f t="shared" si="2"/>
        <v>0</v>
      </c>
      <c r="W22" s="314">
        <f t="shared" si="2"/>
        <v>0</v>
      </c>
    </row>
    <row r="23" spans="2:23" ht="27.75" customHeight="1" x14ac:dyDescent="0.3">
      <c r="B23" s="1962"/>
      <c r="C23" s="1410"/>
      <c r="D23" s="1972"/>
      <c r="E23" s="498" t="s">
        <v>130</v>
      </c>
      <c r="F23" s="314">
        <f>'शिक्षक मानधन पावती'!BI147</f>
        <v>0</v>
      </c>
      <c r="G23" s="314">
        <f>'शिक्षक मानधन पावती'!BJ147</f>
        <v>0</v>
      </c>
      <c r="H23" s="314">
        <f>'शिक्षक मानधन पावती'!BK147</f>
        <v>0</v>
      </c>
      <c r="I23" s="314">
        <f>'शिक्षक मानधन पावती'!BL147</f>
        <v>0</v>
      </c>
      <c r="J23" s="314">
        <f>'शिक्षक मानधन पावती'!BM147</f>
        <v>0</v>
      </c>
      <c r="K23" s="314">
        <f>'शिक्षक मानधन पावती'!BN147</f>
        <v>0</v>
      </c>
      <c r="L23" s="314">
        <f>'शिक्षक मानधन पावती'!BO147</f>
        <v>0</v>
      </c>
      <c r="M23" s="314">
        <f>'शिक्षक मानधन पावती'!BP147</f>
        <v>0</v>
      </c>
      <c r="N23" s="314">
        <f>'शिक्षक मानधन पावती'!BQ147</f>
        <v>0</v>
      </c>
      <c r="O23" s="314">
        <f>'शिक्षक मानधन पावती'!BR147</f>
        <v>0</v>
      </c>
      <c r="P23" s="314">
        <f>'शिक्षक मानधन पावती'!BS147</f>
        <v>0</v>
      </c>
      <c r="Q23" s="314">
        <f>'शिक्षक मानधन पावती'!BT147</f>
        <v>0</v>
      </c>
      <c r="R23" s="314">
        <f>'शिक्षक मानधन पावती'!BU147</f>
        <v>0</v>
      </c>
      <c r="S23" s="314">
        <f>'शिक्षक मानधन पावती'!BV147</f>
        <v>0</v>
      </c>
      <c r="T23" s="314">
        <f>'शिक्षक मानधन पावती'!BW147</f>
        <v>0</v>
      </c>
      <c r="U23" s="314">
        <f>'शिक्षक मानधन पावती'!BX147</f>
        <v>0</v>
      </c>
      <c r="V23" s="314">
        <f>'शिक्षक मानधन पावती'!BY147</f>
        <v>0</v>
      </c>
      <c r="W23" s="314">
        <f>'शिक्षक मानधन पावती'!BZ147</f>
        <v>0</v>
      </c>
    </row>
    <row r="24" spans="2:23" ht="27.75" customHeight="1" x14ac:dyDescent="0.3">
      <c r="B24" s="1962">
        <v>4</v>
      </c>
      <c r="C24" s="1410" t="s">
        <v>133</v>
      </c>
      <c r="D24" s="1970">
        <f>HOME!E2</f>
        <v>2022</v>
      </c>
      <c r="E24" s="498" t="s">
        <v>128</v>
      </c>
      <c r="F24" s="314">
        <f>'साठा नोंदवही'!E66</f>
        <v>0</v>
      </c>
      <c r="G24" s="314">
        <f>'साठा नोंदवही'!F66</f>
        <v>0</v>
      </c>
      <c r="H24" s="314">
        <f>'साठा नोंदवही'!G66</f>
        <v>0</v>
      </c>
      <c r="I24" s="314">
        <f>'साठा नोंदवही'!H66</f>
        <v>0</v>
      </c>
      <c r="J24" s="314">
        <f>'साठा नोंदवही'!I66</f>
        <v>0</v>
      </c>
      <c r="K24" s="314">
        <f>'साठा नोंदवही'!J66</f>
        <v>0</v>
      </c>
      <c r="L24" s="314">
        <f>'साठा नोंदवही'!K66</f>
        <v>0</v>
      </c>
      <c r="M24" s="314">
        <f>'साठा नोंदवही'!L66</f>
        <v>0</v>
      </c>
      <c r="N24" s="314">
        <f>'साठा नोंदवही'!M66</f>
        <v>0</v>
      </c>
      <c r="O24" s="314">
        <f>'साठा नोंदवही'!N66</f>
        <v>0</v>
      </c>
      <c r="P24" s="314">
        <f>'साठा नोंदवही'!O66</f>
        <v>0</v>
      </c>
      <c r="Q24" s="314">
        <f>'साठा नोंदवही'!P66</f>
        <v>0</v>
      </c>
      <c r="R24" s="314">
        <f>'साठा नोंदवही'!Q66</f>
        <v>0</v>
      </c>
      <c r="S24" s="314">
        <f>'साठा नोंदवही'!R66</f>
        <v>0</v>
      </c>
      <c r="T24" s="314">
        <f>'साठा नोंदवही'!S66</f>
        <v>0</v>
      </c>
      <c r="U24" s="314">
        <f>'साठा नोंदवही'!T66</f>
        <v>0</v>
      </c>
      <c r="V24" s="314">
        <f>'साठा नोंदवही'!U66</f>
        <v>0</v>
      </c>
      <c r="W24" s="314">
        <f>'साठा नोंदवही'!V66</f>
        <v>0</v>
      </c>
    </row>
    <row r="25" spans="2:23" ht="27.75" customHeight="1" x14ac:dyDescent="0.3">
      <c r="B25" s="1962"/>
      <c r="C25" s="1410"/>
      <c r="D25" s="1971"/>
      <c r="E25" s="498" t="s">
        <v>129</v>
      </c>
      <c r="F25" s="314">
        <f>'साठा नोंदवही'!E84</f>
        <v>0</v>
      </c>
      <c r="G25" s="314">
        <f>'साठा नोंदवही'!F84</f>
        <v>0</v>
      </c>
      <c r="H25" s="314">
        <f>'साठा नोंदवही'!G84</f>
        <v>0</v>
      </c>
      <c r="I25" s="314">
        <f>'साठा नोंदवही'!H84</f>
        <v>0</v>
      </c>
      <c r="J25" s="314">
        <f>'साठा नोंदवही'!I84</f>
        <v>0</v>
      </c>
      <c r="K25" s="314">
        <f>'साठा नोंदवही'!J84</f>
        <v>0</v>
      </c>
      <c r="L25" s="314">
        <f>'साठा नोंदवही'!K84</f>
        <v>0</v>
      </c>
      <c r="M25" s="314">
        <f>'साठा नोंदवही'!L84</f>
        <v>0</v>
      </c>
      <c r="N25" s="314">
        <f>'साठा नोंदवही'!M84</f>
        <v>0</v>
      </c>
      <c r="O25" s="314">
        <f>'साठा नोंदवही'!N84</f>
        <v>0</v>
      </c>
      <c r="P25" s="314">
        <f>'साठा नोंदवही'!O84</f>
        <v>0</v>
      </c>
      <c r="Q25" s="314">
        <f>'साठा नोंदवही'!P84</f>
        <v>0</v>
      </c>
      <c r="R25" s="314">
        <f>'साठा नोंदवही'!Q84</f>
        <v>0</v>
      </c>
      <c r="S25" s="314">
        <f>'साठा नोंदवही'!R84</f>
        <v>0</v>
      </c>
      <c r="T25" s="314">
        <f>'साठा नोंदवही'!S84</f>
        <v>0</v>
      </c>
      <c r="U25" s="314">
        <f>'साठा नोंदवही'!T84</f>
        <v>0</v>
      </c>
      <c r="V25" s="314">
        <f>'साठा नोंदवही'!U84</f>
        <v>0</v>
      </c>
      <c r="W25" s="314">
        <f>'साठा नोंदवही'!V84</f>
        <v>0</v>
      </c>
    </row>
    <row r="26" spans="2:23" ht="27.75" customHeight="1" x14ac:dyDescent="0.3">
      <c r="B26" s="1962"/>
      <c r="C26" s="1410"/>
      <c r="D26" s="1971"/>
      <c r="E26" s="498" t="s">
        <v>335</v>
      </c>
      <c r="F26" s="314">
        <f>'साठा नोंदवही'!E102</f>
        <v>0</v>
      </c>
      <c r="G26" s="314">
        <f>'साठा नोंदवही'!F102</f>
        <v>0</v>
      </c>
      <c r="H26" s="314">
        <f>'साठा नोंदवही'!G102</f>
        <v>0</v>
      </c>
      <c r="I26" s="314">
        <f>'साठा नोंदवही'!H102</f>
        <v>0</v>
      </c>
      <c r="J26" s="314">
        <f>'साठा नोंदवही'!I102</f>
        <v>0</v>
      </c>
      <c r="K26" s="314">
        <f>'साठा नोंदवही'!J102</f>
        <v>0</v>
      </c>
      <c r="L26" s="314">
        <f>'साठा नोंदवही'!K102</f>
        <v>0</v>
      </c>
      <c r="M26" s="314">
        <f>'साठा नोंदवही'!L102</f>
        <v>0</v>
      </c>
      <c r="N26" s="314">
        <f>'साठा नोंदवही'!M102</f>
        <v>0</v>
      </c>
      <c r="O26" s="314">
        <f>'साठा नोंदवही'!N102</f>
        <v>0</v>
      </c>
      <c r="P26" s="314">
        <f>'साठा नोंदवही'!O102</f>
        <v>0</v>
      </c>
      <c r="Q26" s="314">
        <f>'साठा नोंदवही'!P102</f>
        <v>0</v>
      </c>
      <c r="R26" s="314">
        <f>'साठा नोंदवही'!Q102</f>
        <v>0</v>
      </c>
      <c r="S26" s="314">
        <f>'साठा नोंदवही'!R102</f>
        <v>0</v>
      </c>
      <c r="T26" s="314">
        <f>'साठा नोंदवही'!S102</f>
        <v>0</v>
      </c>
      <c r="U26" s="314">
        <f>'साठा नोंदवही'!T102</f>
        <v>0</v>
      </c>
      <c r="V26" s="314">
        <f>'साठा नोंदवही'!U102</f>
        <v>0</v>
      </c>
      <c r="W26" s="314">
        <f>'साठा नोंदवही'!V102</f>
        <v>0</v>
      </c>
    </row>
    <row r="27" spans="2:23" ht="27.75" customHeight="1" x14ac:dyDescent="0.3">
      <c r="B27" s="1962"/>
      <c r="C27" s="1410"/>
      <c r="D27" s="1971"/>
      <c r="E27" s="498" t="s">
        <v>331</v>
      </c>
      <c r="F27" s="314">
        <f>(F24+F25-F26)</f>
        <v>0</v>
      </c>
      <c r="G27" s="314">
        <f t="shared" ref="G27:W27" si="3">(G24+G25-G26)</f>
        <v>0</v>
      </c>
      <c r="H27" s="314">
        <f t="shared" si="3"/>
        <v>0</v>
      </c>
      <c r="I27" s="314">
        <f t="shared" si="3"/>
        <v>0</v>
      </c>
      <c r="J27" s="314">
        <f t="shared" si="3"/>
        <v>0</v>
      </c>
      <c r="K27" s="314">
        <f t="shared" si="3"/>
        <v>0</v>
      </c>
      <c r="L27" s="314">
        <f t="shared" si="3"/>
        <v>0</v>
      </c>
      <c r="M27" s="314">
        <f t="shared" si="3"/>
        <v>0</v>
      </c>
      <c r="N27" s="314">
        <f t="shared" si="3"/>
        <v>0</v>
      </c>
      <c r="O27" s="314">
        <f t="shared" si="3"/>
        <v>0</v>
      </c>
      <c r="P27" s="314">
        <f t="shared" si="3"/>
        <v>0</v>
      </c>
      <c r="Q27" s="314">
        <f t="shared" si="3"/>
        <v>0</v>
      </c>
      <c r="R27" s="314">
        <f t="shared" si="3"/>
        <v>0</v>
      </c>
      <c r="S27" s="314">
        <f t="shared" si="3"/>
        <v>0</v>
      </c>
      <c r="T27" s="314">
        <f t="shared" si="3"/>
        <v>0</v>
      </c>
      <c r="U27" s="314">
        <f t="shared" si="3"/>
        <v>0</v>
      </c>
      <c r="V27" s="314">
        <f t="shared" si="3"/>
        <v>0</v>
      </c>
      <c r="W27" s="314">
        <f t="shared" si="3"/>
        <v>0</v>
      </c>
    </row>
    <row r="28" spans="2:23" ht="27.75" customHeight="1" x14ac:dyDescent="0.3">
      <c r="B28" s="1962"/>
      <c r="C28" s="1410"/>
      <c r="D28" s="1972"/>
      <c r="E28" s="498" t="s">
        <v>130</v>
      </c>
      <c r="F28" s="314">
        <f>'शिक्षक मानधन पावती'!BI148</f>
        <v>0</v>
      </c>
      <c r="G28" s="314">
        <f>'शिक्षक मानधन पावती'!BJ148</f>
        <v>0</v>
      </c>
      <c r="H28" s="314">
        <f>'शिक्षक मानधन पावती'!BK148</f>
        <v>0</v>
      </c>
      <c r="I28" s="314">
        <f>'शिक्षक मानधन पावती'!BL148</f>
        <v>0</v>
      </c>
      <c r="J28" s="314">
        <f>'शिक्षक मानधन पावती'!BM148</f>
        <v>0</v>
      </c>
      <c r="K28" s="314">
        <f>'शिक्षक मानधन पावती'!BN148</f>
        <v>0</v>
      </c>
      <c r="L28" s="314">
        <f>'शिक्षक मानधन पावती'!BO148</f>
        <v>0</v>
      </c>
      <c r="M28" s="314">
        <f>'शिक्षक मानधन पावती'!BP148</f>
        <v>0</v>
      </c>
      <c r="N28" s="314">
        <f>'शिक्षक मानधन पावती'!BQ148</f>
        <v>0</v>
      </c>
      <c r="O28" s="314">
        <f>'शिक्षक मानधन पावती'!BR148</f>
        <v>0</v>
      </c>
      <c r="P28" s="314">
        <f>'शिक्षक मानधन पावती'!BS148</f>
        <v>0</v>
      </c>
      <c r="Q28" s="314">
        <f>'शिक्षक मानधन पावती'!BT148</f>
        <v>0</v>
      </c>
      <c r="R28" s="314">
        <f>'शिक्षक मानधन पावती'!BU148</f>
        <v>0</v>
      </c>
      <c r="S28" s="314">
        <f>'शिक्षक मानधन पावती'!BV148</f>
        <v>0</v>
      </c>
      <c r="T28" s="314">
        <f>'शिक्षक मानधन पावती'!BW148</f>
        <v>0</v>
      </c>
      <c r="U28" s="314">
        <f>'शिक्षक मानधन पावती'!BX148</f>
        <v>0</v>
      </c>
      <c r="V28" s="314">
        <f>'शिक्षक मानधन पावती'!BY148</f>
        <v>0</v>
      </c>
      <c r="W28" s="314">
        <f>'शिक्षक मानधन पावती'!BZ148</f>
        <v>0</v>
      </c>
    </row>
    <row r="29" spans="2:23" ht="27.75" customHeight="1" x14ac:dyDescent="0.3">
      <c r="B29" s="1962">
        <v>5</v>
      </c>
      <c r="C29" s="1410" t="s">
        <v>134</v>
      </c>
      <c r="D29" s="1970">
        <f>HOME!E2</f>
        <v>2022</v>
      </c>
      <c r="E29" s="498" t="s">
        <v>128</v>
      </c>
      <c r="F29" s="314">
        <f>'साठा नोंदवही'!E67</f>
        <v>0</v>
      </c>
      <c r="G29" s="314">
        <f>'साठा नोंदवही'!F67</f>
        <v>0</v>
      </c>
      <c r="H29" s="314">
        <f>'साठा नोंदवही'!G67</f>
        <v>0</v>
      </c>
      <c r="I29" s="314">
        <f>'साठा नोंदवही'!H67</f>
        <v>0</v>
      </c>
      <c r="J29" s="314">
        <f>'साठा नोंदवही'!I67</f>
        <v>0</v>
      </c>
      <c r="K29" s="314">
        <f>'साठा नोंदवही'!J67</f>
        <v>0</v>
      </c>
      <c r="L29" s="314">
        <f>'साठा नोंदवही'!K67</f>
        <v>0</v>
      </c>
      <c r="M29" s="314">
        <f>'साठा नोंदवही'!L67</f>
        <v>0</v>
      </c>
      <c r="N29" s="314">
        <f>'साठा नोंदवही'!M67</f>
        <v>0</v>
      </c>
      <c r="O29" s="314">
        <f>'साठा नोंदवही'!N67</f>
        <v>0</v>
      </c>
      <c r="P29" s="314">
        <f>'साठा नोंदवही'!O67</f>
        <v>0</v>
      </c>
      <c r="Q29" s="314">
        <f>'साठा नोंदवही'!P67</f>
        <v>0</v>
      </c>
      <c r="R29" s="314">
        <f>'साठा नोंदवही'!Q67</f>
        <v>0</v>
      </c>
      <c r="S29" s="314">
        <f>'साठा नोंदवही'!R67</f>
        <v>0</v>
      </c>
      <c r="T29" s="314">
        <f>'साठा नोंदवही'!S67</f>
        <v>0</v>
      </c>
      <c r="U29" s="314">
        <f>'साठा नोंदवही'!T67</f>
        <v>0</v>
      </c>
      <c r="V29" s="314">
        <f>'साठा नोंदवही'!U67</f>
        <v>0</v>
      </c>
      <c r="W29" s="314">
        <f>'साठा नोंदवही'!V67</f>
        <v>0</v>
      </c>
    </row>
    <row r="30" spans="2:23" ht="27.75" customHeight="1" x14ac:dyDescent="0.3">
      <c r="B30" s="1962"/>
      <c r="C30" s="1410"/>
      <c r="D30" s="1971"/>
      <c r="E30" s="498" t="s">
        <v>129</v>
      </c>
      <c r="F30" s="314">
        <f>'साठा नोंदवही'!E85</f>
        <v>0</v>
      </c>
      <c r="G30" s="314">
        <f>'साठा नोंदवही'!F85</f>
        <v>0</v>
      </c>
      <c r="H30" s="314">
        <f>'साठा नोंदवही'!G85</f>
        <v>0</v>
      </c>
      <c r="I30" s="314">
        <f>'साठा नोंदवही'!H85</f>
        <v>0</v>
      </c>
      <c r="J30" s="314">
        <f>'साठा नोंदवही'!I85</f>
        <v>0</v>
      </c>
      <c r="K30" s="314">
        <f>'साठा नोंदवही'!J85</f>
        <v>0</v>
      </c>
      <c r="L30" s="314">
        <f>'साठा नोंदवही'!K85</f>
        <v>0</v>
      </c>
      <c r="M30" s="314">
        <f>'साठा नोंदवही'!L85</f>
        <v>0</v>
      </c>
      <c r="N30" s="314">
        <f>'साठा नोंदवही'!M85</f>
        <v>0</v>
      </c>
      <c r="O30" s="314">
        <f>'साठा नोंदवही'!N85</f>
        <v>0</v>
      </c>
      <c r="P30" s="314">
        <f>'साठा नोंदवही'!O85</f>
        <v>0</v>
      </c>
      <c r="Q30" s="314">
        <f>'साठा नोंदवही'!P85</f>
        <v>0</v>
      </c>
      <c r="R30" s="314">
        <f>'साठा नोंदवही'!Q85</f>
        <v>0</v>
      </c>
      <c r="S30" s="314">
        <f>'साठा नोंदवही'!R85</f>
        <v>0</v>
      </c>
      <c r="T30" s="314">
        <f>'साठा नोंदवही'!S85</f>
        <v>0</v>
      </c>
      <c r="U30" s="314">
        <f>'साठा नोंदवही'!T85</f>
        <v>0</v>
      </c>
      <c r="V30" s="314">
        <f>'साठा नोंदवही'!U85</f>
        <v>0</v>
      </c>
      <c r="W30" s="314">
        <f>'साठा नोंदवही'!V85</f>
        <v>0</v>
      </c>
    </row>
    <row r="31" spans="2:23" ht="27.75" customHeight="1" x14ac:dyDescent="0.3">
      <c r="B31" s="1962"/>
      <c r="C31" s="1410"/>
      <c r="D31" s="1971"/>
      <c r="E31" s="498" t="s">
        <v>335</v>
      </c>
      <c r="F31" s="314">
        <f>'साठा नोंदवही'!E103</f>
        <v>0</v>
      </c>
      <c r="G31" s="314">
        <f>'साठा नोंदवही'!F103</f>
        <v>0</v>
      </c>
      <c r="H31" s="314">
        <f>'साठा नोंदवही'!G103</f>
        <v>0</v>
      </c>
      <c r="I31" s="314">
        <f>'साठा नोंदवही'!H103</f>
        <v>0</v>
      </c>
      <c r="J31" s="314">
        <f>'साठा नोंदवही'!I103</f>
        <v>0</v>
      </c>
      <c r="K31" s="314">
        <f>'साठा नोंदवही'!J103</f>
        <v>0</v>
      </c>
      <c r="L31" s="314">
        <f>'साठा नोंदवही'!K103</f>
        <v>0</v>
      </c>
      <c r="M31" s="314">
        <f>'साठा नोंदवही'!L103</f>
        <v>0</v>
      </c>
      <c r="N31" s="314">
        <f>'साठा नोंदवही'!M103</f>
        <v>0</v>
      </c>
      <c r="O31" s="314">
        <f>'साठा नोंदवही'!N103</f>
        <v>0</v>
      </c>
      <c r="P31" s="314">
        <f>'साठा नोंदवही'!O103</f>
        <v>0</v>
      </c>
      <c r="Q31" s="314">
        <f>'साठा नोंदवही'!P103</f>
        <v>0</v>
      </c>
      <c r="R31" s="314">
        <f>'साठा नोंदवही'!Q103</f>
        <v>0</v>
      </c>
      <c r="S31" s="314">
        <f>'साठा नोंदवही'!R103</f>
        <v>0</v>
      </c>
      <c r="T31" s="314">
        <f>'साठा नोंदवही'!S103</f>
        <v>0</v>
      </c>
      <c r="U31" s="314">
        <f>'साठा नोंदवही'!T103</f>
        <v>0</v>
      </c>
      <c r="V31" s="314">
        <f>'साठा नोंदवही'!U103</f>
        <v>0</v>
      </c>
      <c r="W31" s="314">
        <f>'साठा नोंदवही'!V103</f>
        <v>0</v>
      </c>
    </row>
    <row r="32" spans="2:23" ht="27.75" customHeight="1" x14ac:dyDescent="0.3">
      <c r="B32" s="1962"/>
      <c r="C32" s="1410"/>
      <c r="D32" s="1971"/>
      <c r="E32" s="498" t="s">
        <v>331</v>
      </c>
      <c r="F32" s="314">
        <f>(F29+F30-F31)</f>
        <v>0</v>
      </c>
      <c r="G32" s="314">
        <f t="shared" ref="G32:W32" si="4">(G29+G30-G31)</f>
        <v>0</v>
      </c>
      <c r="H32" s="314">
        <f t="shared" si="4"/>
        <v>0</v>
      </c>
      <c r="I32" s="314">
        <f t="shared" si="4"/>
        <v>0</v>
      </c>
      <c r="J32" s="314">
        <f t="shared" si="4"/>
        <v>0</v>
      </c>
      <c r="K32" s="314">
        <f t="shared" si="4"/>
        <v>0</v>
      </c>
      <c r="L32" s="314">
        <f t="shared" si="4"/>
        <v>0</v>
      </c>
      <c r="M32" s="314">
        <f t="shared" si="4"/>
        <v>0</v>
      </c>
      <c r="N32" s="314">
        <f t="shared" si="4"/>
        <v>0</v>
      </c>
      <c r="O32" s="314">
        <f t="shared" si="4"/>
        <v>0</v>
      </c>
      <c r="P32" s="314">
        <f t="shared" si="4"/>
        <v>0</v>
      </c>
      <c r="Q32" s="314">
        <f t="shared" si="4"/>
        <v>0</v>
      </c>
      <c r="R32" s="314">
        <f t="shared" si="4"/>
        <v>0</v>
      </c>
      <c r="S32" s="314">
        <f t="shared" si="4"/>
        <v>0</v>
      </c>
      <c r="T32" s="314">
        <f t="shared" si="4"/>
        <v>0</v>
      </c>
      <c r="U32" s="314">
        <f t="shared" si="4"/>
        <v>0</v>
      </c>
      <c r="V32" s="314">
        <f t="shared" si="4"/>
        <v>0</v>
      </c>
      <c r="W32" s="314">
        <f t="shared" si="4"/>
        <v>0</v>
      </c>
    </row>
    <row r="33" spans="2:23" ht="27.75" customHeight="1" x14ac:dyDescent="0.3">
      <c r="B33" s="1962"/>
      <c r="C33" s="1410"/>
      <c r="D33" s="1972"/>
      <c r="E33" s="498" t="s">
        <v>130</v>
      </c>
      <c r="F33" s="314">
        <f>'शिक्षक मानधन पावती'!BI149</f>
        <v>0</v>
      </c>
      <c r="G33" s="314">
        <f>'शिक्षक मानधन पावती'!BJ149</f>
        <v>0</v>
      </c>
      <c r="H33" s="314">
        <f>'शिक्षक मानधन पावती'!BK149</f>
        <v>0</v>
      </c>
      <c r="I33" s="314">
        <f>'शिक्षक मानधन पावती'!BL149</f>
        <v>0</v>
      </c>
      <c r="J33" s="314">
        <f>'शिक्षक मानधन पावती'!BM149</f>
        <v>0</v>
      </c>
      <c r="K33" s="314">
        <f>'शिक्षक मानधन पावती'!BN149</f>
        <v>0</v>
      </c>
      <c r="L33" s="314">
        <f>'शिक्षक मानधन पावती'!BO149</f>
        <v>0</v>
      </c>
      <c r="M33" s="314">
        <f>'शिक्षक मानधन पावती'!BP149</f>
        <v>0</v>
      </c>
      <c r="N33" s="314">
        <f>'शिक्षक मानधन पावती'!BQ149</f>
        <v>0</v>
      </c>
      <c r="O33" s="314">
        <f>'शिक्षक मानधन पावती'!BR149</f>
        <v>0</v>
      </c>
      <c r="P33" s="314">
        <f>'शिक्षक मानधन पावती'!BS149</f>
        <v>0</v>
      </c>
      <c r="Q33" s="314">
        <f>'शिक्षक मानधन पावती'!BT149</f>
        <v>0</v>
      </c>
      <c r="R33" s="314">
        <f>'शिक्षक मानधन पावती'!BU149</f>
        <v>0</v>
      </c>
      <c r="S33" s="314">
        <f>'शिक्षक मानधन पावती'!BV149</f>
        <v>0</v>
      </c>
      <c r="T33" s="314">
        <f>'शिक्षक मानधन पावती'!BW149</f>
        <v>0</v>
      </c>
      <c r="U33" s="314">
        <f>'शिक्षक मानधन पावती'!BX149</f>
        <v>0</v>
      </c>
      <c r="V33" s="314">
        <f>'शिक्षक मानधन पावती'!BY149</f>
        <v>0</v>
      </c>
      <c r="W33" s="314">
        <f>'शिक्षक मानधन पावती'!BZ149</f>
        <v>0</v>
      </c>
    </row>
    <row r="34" spans="2:23" ht="27.75" customHeight="1" x14ac:dyDescent="0.3">
      <c r="B34" s="1962">
        <v>6</v>
      </c>
      <c r="C34" s="1410" t="s">
        <v>135</v>
      </c>
      <c r="D34" s="1970">
        <f>HOME!E2</f>
        <v>2022</v>
      </c>
      <c r="E34" s="498" t="s">
        <v>128</v>
      </c>
      <c r="F34" s="314">
        <f>'साठा नोंदवही'!E68</f>
        <v>0</v>
      </c>
      <c r="G34" s="314">
        <f>'साठा नोंदवही'!F68</f>
        <v>0</v>
      </c>
      <c r="H34" s="314">
        <f>'साठा नोंदवही'!G68</f>
        <v>0</v>
      </c>
      <c r="I34" s="314">
        <f>'साठा नोंदवही'!H68</f>
        <v>0</v>
      </c>
      <c r="J34" s="314">
        <f>'साठा नोंदवही'!I68</f>
        <v>0</v>
      </c>
      <c r="K34" s="314">
        <f>'साठा नोंदवही'!J68</f>
        <v>0</v>
      </c>
      <c r="L34" s="314">
        <f>'साठा नोंदवही'!K68</f>
        <v>0</v>
      </c>
      <c r="M34" s="314">
        <f>'साठा नोंदवही'!L68</f>
        <v>0</v>
      </c>
      <c r="N34" s="314">
        <f>'साठा नोंदवही'!M68</f>
        <v>0</v>
      </c>
      <c r="O34" s="314">
        <f>'साठा नोंदवही'!N68</f>
        <v>0</v>
      </c>
      <c r="P34" s="314">
        <f>'साठा नोंदवही'!O68</f>
        <v>0</v>
      </c>
      <c r="Q34" s="314">
        <f>'साठा नोंदवही'!P68</f>
        <v>0</v>
      </c>
      <c r="R34" s="314">
        <f>'साठा नोंदवही'!Q68</f>
        <v>0</v>
      </c>
      <c r="S34" s="314">
        <f>'साठा नोंदवही'!R68</f>
        <v>0</v>
      </c>
      <c r="T34" s="314">
        <f>'साठा नोंदवही'!S68</f>
        <v>0</v>
      </c>
      <c r="U34" s="314">
        <f>'साठा नोंदवही'!T68</f>
        <v>0</v>
      </c>
      <c r="V34" s="314">
        <f>'साठा नोंदवही'!U68</f>
        <v>0</v>
      </c>
      <c r="W34" s="314">
        <f>'साठा नोंदवही'!V68</f>
        <v>0</v>
      </c>
    </row>
    <row r="35" spans="2:23" ht="27.75" customHeight="1" x14ac:dyDescent="0.3">
      <c r="B35" s="1962"/>
      <c r="C35" s="1410"/>
      <c r="D35" s="1971"/>
      <c r="E35" s="498" t="s">
        <v>129</v>
      </c>
      <c r="F35" s="314">
        <f>'साठा नोंदवही'!E86</f>
        <v>0</v>
      </c>
      <c r="G35" s="314">
        <f>'साठा नोंदवही'!F86</f>
        <v>0</v>
      </c>
      <c r="H35" s="314">
        <f>'साठा नोंदवही'!G86</f>
        <v>0</v>
      </c>
      <c r="I35" s="314">
        <f>'साठा नोंदवही'!H86</f>
        <v>0</v>
      </c>
      <c r="J35" s="314">
        <f>'साठा नोंदवही'!I86</f>
        <v>0</v>
      </c>
      <c r="K35" s="314">
        <f>'साठा नोंदवही'!J86</f>
        <v>0</v>
      </c>
      <c r="L35" s="314">
        <f>'साठा नोंदवही'!K86</f>
        <v>0</v>
      </c>
      <c r="M35" s="314">
        <f>'साठा नोंदवही'!L86</f>
        <v>0</v>
      </c>
      <c r="N35" s="314">
        <f>'साठा नोंदवही'!M86</f>
        <v>0</v>
      </c>
      <c r="O35" s="314">
        <f>'साठा नोंदवही'!N86</f>
        <v>0</v>
      </c>
      <c r="P35" s="314">
        <f>'साठा नोंदवही'!O86</f>
        <v>0</v>
      </c>
      <c r="Q35" s="314">
        <f>'साठा नोंदवही'!P86</f>
        <v>0</v>
      </c>
      <c r="R35" s="314">
        <f>'साठा नोंदवही'!Q86</f>
        <v>0</v>
      </c>
      <c r="S35" s="314">
        <f>'साठा नोंदवही'!R86</f>
        <v>0</v>
      </c>
      <c r="T35" s="314">
        <f>'साठा नोंदवही'!S86</f>
        <v>0</v>
      </c>
      <c r="U35" s="314">
        <f>'साठा नोंदवही'!T86</f>
        <v>0</v>
      </c>
      <c r="V35" s="314">
        <f>'साठा नोंदवही'!U86</f>
        <v>0</v>
      </c>
      <c r="W35" s="314">
        <f>'साठा नोंदवही'!V86</f>
        <v>0</v>
      </c>
    </row>
    <row r="36" spans="2:23" ht="27.75" customHeight="1" x14ac:dyDescent="0.3">
      <c r="B36" s="1962"/>
      <c r="C36" s="1410"/>
      <c r="D36" s="1971"/>
      <c r="E36" s="498" t="s">
        <v>335</v>
      </c>
      <c r="F36" s="314">
        <f>'साठा नोंदवही'!E104</f>
        <v>0</v>
      </c>
      <c r="G36" s="314">
        <f>'साठा नोंदवही'!F104</f>
        <v>0</v>
      </c>
      <c r="H36" s="314">
        <f>'साठा नोंदवही'!G104</f>
        <v>0</v>
      </c>
      <c r="I36" s="314">
        <f>'साठा नोंदवही'!H104</f>
        <v>0</v>
      </c>
      <c r="J36" s="314">
        <f>'साठा नोंदवही'!I104</f>
        <v>0</v>
      </c>
      <c r="K36" s="314">
        <f>'साठा नोंदवही'!J104</f>
        <v>0</v>
      </c>
      <c r="L36" s="314">
        <f>'साठा नोंदवही'!K104</f>
        <v>0</v>
      </c>
      <c r="M36" s="314">
        <f>'साठा नोंदवही'!L104</f>
        <v>0</v>
      </c>
      <c r="N36" s="314">
        <f>'साठा नोंदवही'!M104</f>
        <v>0</v>
      </c>
      <c r="O36" s="314">
        <f>'साठा नोंदवही'!N104</f>
        <v>0</v>
      </c>
      <c r="P36" s="314">
        <f>'साठा नोंदवही'!O104</f>
        <v>0</v>
      </c>
      <c r="Q36" s="314">
        <f>'साठा नोंदवही'!P104</f>
        <v>0</v>
      </c>
      <c r="R36" s="314">
        <f>'साठा नोंदवही'!Q104</f>
        <v>0</v>
      </c>
      <c r="S36" s="314">
        <f>'साठा नोंदवही'!R104</f>
        <v>0</v>
      </c>
      <c r="T36" s="314">
        <f>'साठा नोंदवही'!S104</f>
        <v>0</v>
      </c>
      <c r="U36" s="314">
        <f>'साठा नोंदवही'!T104</f>
        <v>0</v>
      </c>
      <c r="V36" s="314">
        <f>'साठा नोंदवही'!U104</f>
        <v>0</v>
      </c>
      <c r="W36" s="314">
        <f>'साठा नोंदवही'!V104</f>
        <v>0</v>
      </c>
    </row>
    <row r="37" spans="2:23" ht="27.75" customHeight="1" x14ac:dyDescent="0.3">
      <c r="B37" s="1962"/>
      <c r="C37" s="1410"/>
      <c r="D37" s="1971"/>
      <c r="E37" s="498" t="s">
        <v>331</v>
      </c>
      <c r="F37" s="314">
        <f>(F34+F35-F36)</f>
        <v>0</v>
      </c>
      <c r="G37" s="314">
        <f t="shared" ref="G37:W37" si="5">(G34+G35-G36)</f>
        <v>0</v>
      </c>
      <c r="H37" s="314">
        <f t="shared" si="5"/>
        <v>0</v>
      </c>
      <c r="I37" s="314">
        <f t="shared" si="5"/>
        <v>0</v>
      </c>
      <c r="J37" s="314">
        <f t="shared" si="5"/>
        <v>0</v>
      </c>
      <c r="K37" s="314">
        <f t="shared" si="5"/>
        <v>0</v>
      </c>
      <c r="L37" s="314">
        <f t="shared" si="5"/>
        <v>0</v>
      </c>
      <c r="M37" s="314">
        <f t="shared" si="5"/>
        <v>0</v>
      </c>
      <c r="N37" s="314">
        <f t="shared" si="5"/>
        <v>0</v>
      </c>
      <c r="O37" s="314">
        <f t="shared" si="5"/>
        <v>0</v>
      </c>
      <c r="P37" s="314">
        <f t="shared" si="5"/>
        <v>0</v>
      </c>
      <c r="Q37" s="314">
        <f t="shared" si="5"/>
        <v>0</v>
      </c>
      <c r="R37" s="314">
        <f t="shared" si="5"/>
        <v>0</v>
      </c>
      <c r="S37" s="314">
        <f t="shared" si="5"/>
        <v>0</v>
      </c>
      <c r="T37" s="314">
        <f t="shared" si="5"/>
        <v>0</v>
      </c>
      <c r="U37" s="314">
        <f t="shared" si="5"/>
        <v>0</v>
      </c>
      <c r="V37" s="314">
        <f t="shared" si="5"/>
        <v>0</v>
      </c>
      <c r="W37" s="314">
        <f t="shared" si="5"/>
        <v>0</v>
      </c>
    </row>
    <row r="38" spans="2:23" ht="27.75" customHeight="1" x14ac:dyDescent="0.3">
      <c r="B38" s="1962"/>
      <c r="C38" s="1410"/>
      <c r="D38" s="1972"/>
      <c r="E38" s="498" t="s">
        <v>130</v>
      </c>
      <c r="F38" s="314">
        <f>'शिक्षक मानधन पावती'!BI150</f>
        <v>0</v>
      </c>
      <c r="G38" s="314">
        <f>'शिक्षक मानधन पावती'!BJ150</f>
        <v>0</v>
      </c>
      <c r="H38" s="314">
        <f>'शिक्षक मानधन पावती'!BK150</f>
        <v>0</v>
      </c>
      <c r="I38" s="314">
        <f>'शिक्षक मानधन पावती'!BL150</f>
        <v>0</v>
      </c>
      <c r="J38" s="314">
        <f>'शिक्षक मानधन पावती'!BM150</f>
        <v>0</v>
      </c>
      <c r="K38" s="314">
        <f>'शिक्षक मानधन पावती'!BN150</f>
        <v>0</v>
      </c>
      <c r="L38" s="314">
        <f>'शिक्षक मानधन पावती'!BO150</f>
        <v>0</v>
      </c>
      <c r="M38" s="314">
        <f>'शिक्षक मानधन पावती'!BP150</f>
        <v>0</v>
      </c>
      <c r="N38" s="314">
        <f>'शिक्षक मानधन पावती'!BQ150</f>
        <v>0</v>
      </c>
      <c r="O38" s="314">
        <f>'शिक्षक मानधन पावती'!BR150</f>
        <v>0</v>
      </c>
      <c r="P38" s="314">
        <f>'शिक्षक मानधन पावती'!BS150</f>
        <v>0</v>
      </c>
      <c r="Q38" s="314">
        <f>'शिक्षक मानधन पावती'!BT150</f>
        <v>0</v>
      </c>
      <c r="R38" s="314">
        <f>'शिक्षक मानधन पावती'!BU150</f>
        <v>0</v>
      </c>
      <c r="S38" s="314">
        <f>'शिक्षक मानधन पावती'!BV150</f>
        <v>0</v>
      </c>
      <c r="T38" s="314">
        <f>'शिक्षक मानधन पावती'!BW150</f>
        <v>0</v>
      </c>
      <c r="U38" s="314">
        <f>'शिक्षक मानधन पावती'!BX150</f>
        <v>0</v>
      </c>
      <c r="V38" s="314">
        <f>'शिक्षक मानधन पावती'!BY150</f>
        <v>0</v>
      </c>
      <c r="W38" s="314">
        <f>'शिक्षक मानधन पावती'!BZ150</f>
        <v>0</v>
      </c>
    </row>
    <row r="39" spans="2:23" ht="27.75" customHeight="1" x14ac:dyDescent="0.3">
      <c r="B39" s="1962">
        <v>7</v>
      </c>
      <c r="C39" s="1410" t="s">
        <v>136</v>
      </c>
      <c r="D39" s="1970">
        <f>HOME!E2</f>
        <v>2022</v>
      </c>
      <c r="E39" s="498" t="s">
        <v>128</v>
      </c>
      <c r="F39" s="314">
        <f>'साठा नोंदवही'!E69</f>
        <v>0</v>
      </c>
      <c r="G39" s="314">
        <f>'साठा नोंदवही'!F69</f>
        <v>0</v>
      </c>
      <c r="H39" s="314">
        <f>'साठा नोंदवही'!G69</f>
        <v>0</v>
      </c>
      <c r="I39" s="314">
        <f>'साठा नोंदवही'!H69</f>
        <v>0</v>
      </c>
      <c r="J39" s="314">
        <f>'साठा नोंदवही'!I69</f>
        <v>0</v>
      </c>
      <c r="K39" s="314">
        <f>'साठा नोंदवही'!J69</f>
        <v>0</v>
      </c>
      <c r="L39" s="314">
        <f>'साठा नोंदवही'!K69</f>
        <v>0</v>
      </c>
      <c r="M39" s="314">
        <f>'साठा नोंदवही'!L69</f>
        <v>0</v>
      </c>
      <c r="N39" s="314">
        <f>'साठा नोंदवही'!M69</f>
        <v>0</v>
      </c>
      <c r="O39" s="314">
        <f>'साठा नोंदवही'!N69</f>
        <v>0</v>
      </c>
      <c r="P39" s="314">
        <f>'साठा नोंदवही'!O69</f>
        <v>0</v>
      </c>
      <c r="Q39" s="314">
        <f>'साठा नोंदवही'!P69</f>
        <v>0</v>
      </c>
      <c r="R39" s="314">
        <f>'साठा नोंदवही'!Q69</f>
        <v>0</v>
      </c>
      <c r="S39" s="314">
        <f>'साठा नोंदवही'!R69</f>
        <v>0</v>
      </c>
      <c r="T39" s="314">
        <f>'साठा नोंदवही'!S69</f>
        <v>0</v>
      </c>
      <c r="U39" s="314">
        <f>'साठा नोंदवही'!T69</f>
        <v>0</v>
      </c>
      <c r="V39" s="314">
        <f>'साठा नोंदवही'!U69</f>
        <v>0</v>
      </c>
      <c r="W39" s="314">
        <f>'साठा नोंदवही'!V69</f>
        <v>0</v>
      </c>
    </row>
    <row r="40" spans="2:23" ht="27.75" customHeight="1" x14ac:dyDescent="0.3">
      <c r="B40" s="1962"/>
      <c r="C40" s="1410"/>
      <c r="D40" s="1971"/>
      <c r="E40" s="498" t="s">
        <v>129</v>
      </c>
      <c r="F40" s="314">
        <f>'साठा नोंदवही'!E87</f>
        <v>0</v>
      </c>
      <c r="G40" s="314">
        <f>'साठा नोंदवही'!F87</f>
        <v>0</v>
      </c>
      <c r="H40" s="314">
        <f>'साठा नोंदवही'!G87</f>
        <v>0</v>
      </c>
      <c r="I40" s="314">
        <f>'साठा नोंदवही'!H87</f>
        <v>0</v>
      </c>
      <c r="J40" s="314">
        <f>'साठा नोंदवही'!I87</f>
        <v>0</v>
      </c>
      <c r="K40" s="314">
        <f>'साठा नोंदवही'!J87</f>
        <v>0</v>
      </c>
      <c r="L40" s="314">
        <f>'साठा नोंदवही'!K87</f>
        <v>0</v>
      </c>
      <c r="M40" s="314">
        <f>'साठा नोंदवही'!L87</f>
        <v>0</v>
      </c>
      <c r="N40" s="314">
        <f>'साठा नोंदवही'!M87</f>
        <v>0</v>
      </c>
      <c r="O40" s="314">
        <f>'साठा नोंदवही'!N87</f>
        <v>0</v>
      </c>
      <c r="P40" s="314">
        <f>'साठा नोंदवही'!O87</f>
        <v>0</v>
      </c>
      <c r="Q40" s="314">
        <f>'साठा नोंदवही'!P87</f>
        <v>0</v>
      </c>
      <c r="R40" s="314">
        <f>'साठा नोंदवही'!Q87</f>
        <v>0</v>
      </c>
      <c r="S40" s="314">
        <f>'साठा नोंदवही'!R87</f>
        <v>0</v>
      </c>
      <c r="T40" s="314">
        <f>'साठा नोंदवही'!S87</f>
        <v>0</v>
      </c>
      <c r="U40" s="314">
        <f>'साठा नोंदवही'!T87</f>
        <v>0</v>
      </c>
      <c r="V40" s="314">
        <f>'साठा नोंदवही'!U87</f>
        <v>0</v>
      </c>
      <c r="W40" s="314">
        <f>'साठा नोंदवही'!V87</f>
        <v>0</v>
      </c>
    </row>
    <row r="41" spans="2:23" ht="27.75" customHeight="1" x14ac:dyDescent="0.3">
      <c r="B41" s="1962"/>
      <c r="C41" s="1410"/>
      <c r="D41" s="1971"/>
      <c r="E41" s="498" t="s">
        <v>335</v>
      </c>
      <c r="F41" s="314">
        <f>'साठा नोंदवही'!E105</f>
        <v>0</v>
      </c>
      <c r="G41" s="314">
        <f>'साठा नोंदवही'!F105</f>
        <v>0</v>
      </c>
      <c r="H41" s="314">
        <f>'साठा नोंदवही'!G105</f>
        <v>0</v>
      </c>
      <c r="I41" s="314">
        <f>'साठा नोंदवही'!H105</f>
        <v>0</v>
      </c>
      <c r="J41" s="314">
        <f>'साठा नोंदवही'!I105</f>
        <v>0</v>
      </c>
      <c r="K41" s="314">
        <f>'साठा नोंदवही'!J105</f>
        <v>0</v>
      </c>
      <c r="L41" s="314">
        <f>'साठा नोंदवही'!K105</f>
        <v>0</v>
      </c>
      <c r="M41" s="314">
        <f>'साठा नोंदवही'!L105</f>
        <v>0</v>
      </c>
      <c r="N41" s="314">
        <f>'साठा नोंदवही'!M105</f>
        <v>0</v>
      </c>
      <c r="O41" s="314">
        <f>'साठा नोंदवही'!N105</f>
        <v>0</v>
      </c>
      <c r="P41" s="314">
        <f>'साठा नोंदवही'!O105</f>
        <v>0</v>
      </c>
      <c r="Q41" s="314">
        <f>'साठा नोंदवही'!P105</f>
        <v>0</v>
      </c>
      <c r="R41" s="314">
        <f>'साठा नोंदवही'!Q105</f>
        <v>0</v>
      </c>
      <c r="S41" s="314">
        <f>'साठा नोंदवही'!R105</f>
        <v>0</v>
      </c>
      <c r="T41" s="314">
        <f>'साठा नोंदवही'!S105</f>
        <v>0</v>
      </c>
      <c r="U41" s="314">
        <f>'साठा नोंदवही'!T105</f>
        <v>0</v>
      </c>
      <c r="V41" s="314">
        <f>'साठा नोंदवही'!U105</f>
        <v>0</v>
      </c>
      <c r="W41" s="314">
        <f>'साठा नोंदवही'!V105</f>
        <v>0</v>
      </c>
    </row>
    <row r="42" spans="2:23" ht="27.75" customHeight="1" x14ac:dyDescent="0.3">
      <c r="B42" s="1962"/>
      <c r="C42" s="1410"/>
      <c r="D42" s="1971"/>
      <c r="E42" s="498" t="s">
        <v>331</v>
      </c>
      <c r="F42" s="314">
        <f>(F39+F40-F41)</f>
        <v>0</v>
      </c>
      <c r="G42" s="314">
        <f t="shared" ref="G42:W42" si="6">(G39+G40-G41)</f>
        <v>0</v>
      </c>
      <c r="H42" s="314">
        <f t="shared" si="6"/>
        <v>0</v>
      </c>
      <c r="I42" s="314">
        <f t="shared" si="6"/>
        <v>0</v>
      </c>
      <c r="J42" s="314">
        <f t="shared" si="6"/>
        <v>0</v>
      </c>
      <c r="K42" s="314">
        <f t="shared" si="6"/>
        <v>0</v>
      </c>
      <c r="L42" s="314">
        <f t="shared" si="6"/>
        <v>0</v>
      </c>
      <c r="M42" s="314">
        <f t="shared" si="6"/>
        <v>0</v>
      </c>
      <c r="N42" s="314">
        <f t="shared" si="6"/>
        <v>0</v>
      </c>
      <c r="O42" s="314">
        <f t="shared" si="6"/>
        <v>0</v>
      </c>
      <c r="P42" s="314">
        <f t="shared" si="6"/>
        <v>0</v>
      </c>
      <c r="Q42" s="314">
        <f t="shared" si="6"/>
        <v>0</v>
      </c>
      <c r="R42" s="314">
        <f t="shared" si="6"/>
        <v>0</v>
      </c>
      <c r="S42" s="314">
        <f t="shared" si="6"/>
        <v>0</v>
      </c>
      <c r="T42" s="314">
        <f t="shared" si="6"/>
        <v>0</v>
      </c>
      <c r="U42" s="314">
        <f t="shared" si="6"/>
        <v>0</v>
      </c>
      <c r="V42" s="314">
        <f t="shared" si="6"/>
        <v>0</v>
      </c>
      <c r="W42" s="314">
        <f t="shared" si="6"/>
        <v>0</v>
      </c>
    </row>
    <row r="43" spans="2:23" ht="27.75" customHeight="1" x14ac:dyDescent="0.3">
      <c r="B43" s="1962"/>
      <c r="C43" s="1410"/>
      <c r="D43" s="1972"/>
      <c r="E43" s="498" t="s">
        <v>130</v>
      </c>
      <c r="F43" s="314">
        <f>'शिक्षक मानधन पावती'!BI151</f>
        <v>0</v>
      </c>
      <c r="G43" s="314">
        <f>'शिक्षक मानधन पावती'!BJ151</f>
        <v>0</v>
      </c>
      <c r="H43" s="314">
        <f>'शिक्षक मानधन पावती'!BK151</f>
        <v>0</v>
      </c>
      <c r="I43" s="314">
        <f>'शिक्षक मानधन पावती'!BL151</f>
        <v>0</v>
      </c>
      <c r="J43" s="314">
        <f>'शिक्षक मानधन पावती'!BM151</f>
        <v>0</v>
      </c>
      <c r="K43" s="314">
        <f>'शिक्षक मानधन पावती'!BN151</f>
        <v>0</v>
      </c>
      <c r="L43" s="314">
        <f>'शिक्षक मानधन पावती'!BO151</f>
        <v>0</v>
      </c>
      <c r="M43" s="314">
        <f>'शिक्षक मानधन पावती'!BP151</f>
        <v>0</v>
      </c>
      <c r="N43" s="314">
        <f>'शिक्षक मानधन पावती'!BQ151</f>
        <v>0</v>
      </c>
      <c r="O43" s="314">
        <f>'शिक्षक मानधन पावती'!BR151</f>
        <v>0</v>
      </c>
      <c r="P43" s="314">
        <f>'शिक्षक मानधन पावती'!BS151</f>
        <v>0</v>
      </c>
      <c r="Q43" s="314">
        <f>'शिक्षक मानधन पावती'!BT151</f>
        <v>0</v>
      </c>
      <c r="R43" s="314">
        <f>'शिक्षक मानधन पावती'!BU151</f>
        <v>0</v>
      </c>
      <c r="S43" s="314">
        <f>'शिक्षक मानधन पावती'!BV151</f>
        <v>0</v>
      </c>
      <c r="T43" s="314">
        <f>'शिक्षक मानधन पावती'!BW151</f>
        <v>0</v>
      </c>
      <c r="U43" s="314">
        <f>'शिक्षक मानधन पावती'!BX151</f>
        <v>0</v>
      </c>
      <c r="V43" s="314">
        <f>'शिक्षक मानधन पावती'!BY151</f>
        <v>0</v>
      </c>
      <c r="W43" s="314">
        <f>'शिक्षक मानधन पावती'!BZ151</f>
        <v>0</v>
      </c>
    </row>
    <row r="44" spans="2:23" ht="27.75" customHeight="1" x14ac:dyDescent="0.3">
      <c r="B44" s="1962">
        <v>8</v>
      </c>
      <c r="C44" s="1410" t="s">
        <v>137</v>
      </c>
      <c r="D44" s="1970">
        <f>HOME!E2</f>
        <v>2022</v>
      </c>
      <c r="E44" s="498" t="s">
        <v>128</v>
      </c>
      <c r="F44" s="314">
        <f>'साठा नोंदवही'!E70</f>
        <v>0</v>
      </c>
      <c r="G44" s="314">
        <f>'साठा नोंदवही'!F70</f>
        <v>0</v>
      </c>
      <c r="H44" s="314">
        <f>'साठा नोंदवही'!G70</f>
        <v>0</v>
      </c>
      <c r="I44" s="314">
        <f>'साठा नोंदवही'!H70</f>
        <v>0</v>
      </c>
      <c r="J44" s="314">
        <f>'साठा नोंदवही'!I70</f>
        <v>0</v>
      </c>
      <c r="K44" s="314">
        <f>'साठा नोंदवही'!J70</f>
        <v>0</v>
      </c>
      <c r="L44" s="314">
        <f>'साठा नोंदवही'!K70</f>
        <v>0</v>
      </c>
      <c r="M44" s="314">
        <f>'साठा नोंदवही'!L70</f>
        <v>0</v>
      </c>
      <c r="N44" s="314">
        <f>'साठा नोंदवही'!M70</f>
        <v>0</v>
      </c>
      <c r="O44" s="314">
        <f>'साठा नोंदवही'!N70</f>
        <v>0</v>
      </c>
      <c r="P44" s="314">
        <f>'साठा नोंदवही'!O70</f>
        <v>0</v>
      </c>
      <c r="Q44" s="314">
        <f>'साठा नोंदवही'!P70</f>
        <v>0</v>
      </c>
      <c r="R44" s="314">
        <f>'साठा नोंदवही'!Q70</f>
        <v>0</v>
      </c>
      <c r="S44" s="314">
        <f>'साठा नोंदवही'!R70</f>
        <v>0</v>
      </c>
      <c r="T44" s="314">
        <f>'साठा नोंदवही'!S70</f>
        <v>0</v>
      </c>
      <c r="U44" s="314">
        <f>'साठा नोंदवही'!T70</f>
        <v>0</v>
      </c>
      <c r="V44" s="314">
        <f>'साठा नोंदवही'!U70</f>
        <v>0</v>
      </c>
      <c r="W44" s="314">
        <f>'साठा नोंदवही'!V70</f>
        <v>0</v>
      </c>
    </row>
    <row r="45" spans="2:23" ht="27.75" customHeight="1" x14ac:dyDescent="0.3">
      <c r="B45" s="1962"/>
      <c r="C45" s="1410"/>
      <c r="D45" s="1971"/>
      <c r="E45" s="498" t="s">
        <v>129</v>
      </c>
      <c r="F45" s="314">
        <f>'साठा नोंदवही'!E88</f>
        <v>0</v>
      </c>
      <c r="G45" s="314">
        <f>'साठा नोंदवही'!F88</f>
        <v>0</v>
      </c>
      <c r="H45" s="314">
        <f>'साठा नोंदवही'!G88</f>
        <v>0</v>
      </c>
      <c r="I45" s="314">
        <f>'साठा नोंदवही'!H88</f>
        <v>0</v>
      </c>
      <c r="J45" s="314">
        <f>'साठा नोंदवही'!I88</f>
        <v>0</v>
      </c>
      <c r="K45" s="314">
        <f>'साठा नोंदवही'!J88</f>
        <v>0</v>
      </c>
      <c r="L45" s="314">
        <f>'साठा नोंदवही'!K88</f>
        <v>0</v>
      </c>
      <c r="M45" s="314">
        <f>'साठा नोंदवही'!L88</f>
        <v>0</v>
      </c>
      <c r="N45" s="314">
        <f>'साठा नोंदवही'!M88</f>
        <v>0</v>
      </c>
      <c r="O45" s="314">
        <f>'साठा नोंदवही'!N88</f>
        <v>0</v>
      </c>
      <c r="P45" s="314">
        <f>'साठा नोंदवही'!O88</f>
        <v>0</v>
      </c>
      <c r="Q45" s="314">
        <f>'साठा नोंदवही'!P88</f>
        <v>0</v>
      </c>
      <c r="R45" s="314">
        <f>'साठा नोंदवही'!Q88</f>
        <v>0</v>
      </c>
      <c r="S45" s="314">
        <f>'साठा नोंदवही'!R88</f>
        <v>0</v>
      </c>
      <c r="T45" s="314">
        <f>'साठा नोंदवही'!S88</f>
        <v>0</v>
      </c>
      <c r="U45" s="314">
        <f>'साठा नोंदवही'!T88</f>
        <v>0</v>
      </c>
      <c r="V45" s="314">
        <f>'साठा नोंदवही'!U88</f>
        <v>0</v>
      </c>
      <c r="W45" s="314">
        <f>'साठा नोंदवही'!V88</f>
        <v>0</v>
      </c>
    </row>
    <row r="46" spans="2:23" ht="27.75" customHeight="1" x14ac:dyDescent="0.3">
      <c r="B46" s="1962"/>
      <c r="C46" s="1410"/>
      <c r="D46" s="1971"/>
      <c r="E46" s="498" t="s">
        <v>335</v>
      </c>
      <c r="F46" s="314">
        <f>'साठा नोंदवही'!E106</f>
        <v>0</v>
      </c>
      <c r="G46" s="314">
        <f>'साठा नोंदवही'!F106</f>
        <v>0</v>
      </c>
      <c r="H46" s="314">
        <f>'साठा नोंदवही'!G106</f>
        <v>0</v>
      </c>
      <c r="I46" s="314">
        <f>'साठा नोंदवही'!H106</f>
        <v>0</v>
      </c>
      <c r="J46" s="314">
        <f>'साठा नोंदवही'!I106</f>
        <v>0</v>
      </c>
      <c r="K46" s="314">
        <f>'साठा नोंदवही'!J106</f>
        <v>0</v>
      </c>
      <c r="L46" s="314">
        <f>'साठा नोंदवही'!K106</f>
        <v>0</v>
      </c>
      <c r="M46" s="314">
        <f>'साठा नोंदवही'!L106</f>
        <v>0</v>
      </c>
      <c r="N46" s="314">
        <f>'साठा नोंदवही'!M106</f>
        <v>0</v>
      </c>
      <c r="O46" s="314">
        <f>'साठा नोंदवही'!N106</f>
        <v>0</v>
      </c>
      <c r="P46" s="314">
        <f>'साठा नोंदवही'!O106</f>
        <v>0</v>
      </c>
      <c r="Q46" s="314">
        <f>'साठा नोंदवही'!P106</f>
        <v>0</v>
      </c>
      <c r="R46" s="314">
        <f>'साठा नोंदवही'!Q106</f>
        <v>0</v>
      </c>
      <c r="S46" s="314">
        <f>'साठा नोंदवही'!R106</f>
        <v>0</v>
      </c>
      <c r="T46" s="314">
        <f>'साठा नोंदवही'!S106</f>
        <v>0</v>
      </c>
      <c r="U46" s="314">
        <f>'साठा नोंदवही'!T106</f>
        <v>0</v>
      </c>
      <c r="V46" s="314">
        <f>'साठा नोंदवही'!U106</f>
        <v>0</v>
      </c>
      <c r="W46" s="314">
        <f>'साठा नोंदवही'!V106</f>
        <v>0</v>
      </c>
    </row>
    <row r="47" spans="2:23" ht="27.75" customHeight="1" x14ac:dyDescent="0.3">
      <c r="B47" s="1962"/>
      <c r="C47" s="1410"/>
      <c r="D47" s="1971"/>
      <c r="E47" s="498" t="s">
        <v>331</v>
      </c>
      <c r="F47" s="314">
        <f>(F44+F45-F46)</f>
        <v>0</v>
      </c>
      <c r="G47" s="314">
        <f t="shared" ref="G47:W47" si="7">(G44+G45-G46)</f>
        <v>0</v>
      </c>
      <c r="H47" s="314">
        <f t="shared" si="7"/>
        <v>0</v>
      </c>
      <c r="I47" s="314">
        <f t="shared" si="7"/>
        <v>0</v>
      </c>
      <c r="J47" s="314">
        <f t="shared" si="7"/>
        <v>0</v>
      </c>
      <c r="K47" s="314">
        <f t="shared" si="7"/>
        <v>0</v>
      </c>
      <c r="L47" s="314">
        <f t="shared" si="7"/>
        <v>0</v>
      </c>
      <c r="M47" s="314">
        <f t="shared" si="7"/>
        <v>0</v>
      </c>
      <c r="N47" s="314">
        <f t="shared" si="7"/>
        <v>0</v>
      </c>
      <c r="O47" s="314">
        <f t="shared" si="7"/>
        <v>0</v>
      </c>
      <c r="P47" s="314">
        <f t="shared" si="7"/>
        <v>0</v>
      </c>
      <c r="Q47" s="314">
        <f t="shared" si="7"/>
        <v>0</v>
      </c>
      <c r="R47" s="314">
        <f t="shared" si="7"/>
        <v>0</v>
      </c>
      <c r="S47" s="314">
        <f t="shared" si="7"/>
        <v>0</v>
      </c>
      <c r="T47" s="314">
        <f t="shared" si="7"/>
        <v>0</v>
      </c>
      <c r="U47" s="314">
        <f t="shared" si="7"/>
        <v>0</v>
      </c>
      <c r="V47" s="314">
        <f t="shared" si="7"/>
        <v>0</v>
      </c>
      <c r="W47" s="314">
        <f t="shared" si="7"/>
        <v>0</v>
      </c>
    </row>
    <row r="48" spans="2:23" ht="27.75" customHeight="1" x14ac:dyDescent="0.3">
      <c r="B48" s="1962"/>
      <c r="C48" s="1410"/>
      <c r="D48" s="1972"/>
      <c r="E48" s="498" t="s">
        <v>130</v>
      </c>
      <c r="F48" s="314">
        <f>'शिक्षक मानधन पावती'!BI152</f>
        <v>0</v>
      </c>
      <c r="G48" s="314">
        <f>'शिक्षक मानधन पावती'!BJ152</f>
        <v>0</v>
      </c>
      <c r="H48" s="314">
        <f>'शिक्षक मानधन पावती'!BK152</f>
        <v>0</v>
      </c>
      <c r="I48" s="314">
        <f>'शिक्षक मानधन पावती'!BL152</f>
        <v>0</v>
      </c>
      <c r="J48" s="314">
        <f>'शिक्षक मानधन पावती'!BM152</f>
        <v>0</v>
      </c>
      <c r="K48" s="314">
        <f>'शिक्षक मानधन पावती'!BN152</f>
        <v>0</v>
      </c>
      <c r="L48" s="314">
        <f>'शिक्षक मानधन पावती'!BO152</f>
        <v>0</v>
      </c>
      <c r="M48" s="314">
        <f>'शिक्षक मानधन पावती'!BP152</f>
        <v>0</v>
      </c>
      <c r="N48" s="314">
        <f>'शिक्षक मानधन पावती'!BQ152</f>
        <v>0</v>
      </c>
      <c r="O48" s="314">
        <f>'शिक्षक मानधन पावती'!BR152</f>
        <v>0</v>
      </c>
      <c r="P48" s="314">
        <f>'शिक्षक मानधन पावती'!BS152</f>
        <v>0</v>
      </c>
      <c r="Q48" s="314">
        <f>'शिक्षक मानधन पावती'!BT152</f>
        <v>0</v>
      </c>
      <c r="R48" s="314">
        <f>'शिक्षक मानधन पावती'!BU152</f>
        <v>0</v>
      </c>
      <c r="S48" s="314">
        <f>'शिक्षक मानधन पावती'!BV152</f>
        <v>0</v>
      </c>
      <c r="T48" s="314">
        <f>'शिक्षक मानधन पावती'!BW152</f>
        <v>0</v>
      </c>
      <c r="U48" s="314">
        <f>'शिक्षक मानधन पावती'!BX152</f>
        <v>0</v>
      </c>
      <c r="V48" s="314">
        <f>'शिक्षक मानधन पावती'!BY152</f>
        <v>0</v>
      </c>
      <c r="W48" s="314">
        <f>'शिक्षक मानधन पावती'!BZ152</f>
        <v>0</v>
      </c>
    </row>
    <row r="49" spans="2:53" ht="27.75" customHeight="1" x14ac:dyDescent="0.3">
      <c r="B49" s="1962">
        <v>9</v>
      </c>
      <c r="C49" s="1410" t="s">
        <v>138</v>
      </c>
      <c r="D49" s="1970">
        <f>HOME!E2</f>
        <v>2022</v>
      </c>
      <c r="E49" s="498" t="s">
        <v>128</v>
      </c>
      <c r="F49" s="314">
        <f>'साठा नोंदवही'!E71</f>
        <v>0</v>
      </c>
      <c r="G49" s="314">
        <f>'साठा नोंदवही'!F71</f>
        <v>0</v>
      </c>
      <c r="H49" s="314">
        <f>'साठा नोंदवही'!G71</f>
        <v>0</v>
      </c>
      <c r="I49" s="314">
        <f>'साठा नोंदवही'!H71</f>
        <v>0</v>
      </c>
      <c r="J49" s="314">
        <f>'साठा नोंदवही'!I71</f>
        <v>0</v>
      </c>
      <c r="K49" s="314">
        <f>'साठा नोंदवही'!J71</f>
        <v>0</v>
      </c>
      <c r="L49" s="314">
        <f>'साठा नोंदवही'!K71</f>
        <v>0</v>
      </c>
      <c r="M49" s="314">
        <f>'साठा नोंदवही'!L71</f>
        <v>0</v>
      </c>
      <c r="N49" s="314">
        <f>'साठा नोंदवही'!M71</f>
        <v>0</v>
      </c>
      <c r="O49" s="314">
        <f>'साठा नोंदवही'!N71</f>
        <v>0</v>
      </c>
      <c r="P49" s="314">
        <f>'साठा नोंदवही'!O71</f>
        <v>0</v>
      </c>
      <c r="Q49" s="314">
        <f>'साठा नोंदवही'!P71</f>
        <v>0</v>
      </c>
      <c r="R49" s="314">
        <f>'साठा नोंदवही'!Q71</f>
        <v>0</v>
      </c>
      <c r="S49" s="314">
        <f>'साठा नोंदवही'!R71</f>
        <v>0</v>
      </c>
      <c r="T49" s="314">
        <f>'साठा नोंदवही'!S71</f>
        <v>0</v>
      </c>
      <c r="U49" s="314">
        <f>'साठा नोंदवही'!T71</f>
        <v>0</v>
      </c>
      <c r="V49" s="314">
        <f>'साठा नोंदवही'!U71</f>
        <v>0</v>
      </c>
      <c r="W49" s="314">
        <f>'साठा नोंदवही'!V71</f>
        <v>0</v>
      </c>
    </row>
    <row r="50" spans="2:53" ht="27.75" customHeight="1" x14ac:dyDescent="0.3">
      <c r="B50" s="1962"/>
      <c r="C50" s="1410"/>
      <c r="D50" s="1971"/>
      <c r="E50" s="498" t="s">
        <v>129</v>
      </c>
      <c r="F50" s="314">
        <f>'साठा नोंदवही'!E89</f>
        <v>0</v>
      </c>
      <c r="G50" s="314">
        <f>'साठा नोंदवही'!F89</f>
        <v>0</v>
      </c>
      <c r="H50" s="314">
        <f>'साठा नोंदवही'!G89</f>
        <v>0</v>
      </c>
      <c r="I50" s="314">
        <f>'साठा नोंदवही'!H89</f>
        <v>0</v>
      </c>
      <c r="J50" s="314">
        <f>'साठा नोंदवही'!I89</f>
        <v>0</v>
      </c>
      <c r="K50" s="314">
        <f>'साठा नोंदवही'!J89</f>
        <v>0</v>
      </c>
      <c r="L50" s="314">
        <f>'साठा नोंदवही'!K89</f>
        <v>0</v>
      </c>
      <c r="M50" s="314">
        <f>'साठा नोंदवही'!L89</f>
        <v>0</v>
      </c>
      <c r="N50" s="314">
        <f>'साठा नोंदवही'!M89</f>
        <v>0</v>
      </c>
      <c r="O50" s="314">
        <f>'साठा नोंदवही'!N89</f>
        <v>0</v>
      </c>
      <c r="P50" s="314">
        <f>'साठा नोंदवही'!O89</f>
        <v>0</v>
      </c>
      <c r="Q50" s="314">
        <f>'साठा नोंदवही'!P89</f>
        <v>0</v>
      </c>
      <c r="R50" s="314">
        <f>'साठा नोंदवही'!Q89</f>
        <v>0</v>
      </c>
      <c r="S50" s="314">
        <f>'साठा नोंदवही'!R89</f>
        <v>0</v>
      </c>
      <c r="T50" s="314">
        <f>'साठा नोंदवही'!S89</f>
        <v>0</v>
      </c>
      <c r="U50" s="314">
        <f>'साठा नोंदवही'!T89</f>
        <v>0</v>
      </c>
      <c r="V50" s="314">
        <f>'साठा नोंदवही'!U89</f>
        <v>0</v>
      </c>
      <c r="W50" s="314">
        <f>'साठा नोंदवही'!V89</f>
        <v>0</v>
      </c>
    </row>
    <row r="51" spans="2:53" ht="27.75" customHeight="1" x14ac:dyDescent="0.3">
      <c r="B51" s="1962"/>
      <c r="C51" s="1410"/>
      <c r="D51" s="1971"/>
      <c r="E51" s="498" t="s">
        <v>335</v>
      </c>
      <c r="F51" s="314">
        <f>'साठा नोंदवही'!E107</f>
        <v>0</v>
      </c>
      <c r="G51" s="314">
        <f>'साठा नोंदवही'!F107</f>
        <v>0</v>
      </c>
      <c r="H51" s="314">
        <f>'साठा नोंदवही'!G107</f>
        <v>0</v>
      </c>
      <c r="I51" s="314">
        <f>'साठा नोंदवही'!H107</f>
        <v>0</v>
      </c>
      <c r="J51" s="314">
        <f>'साठा नोंदवही'!I107</f>
        <v>0</v>
      </c>
      <c r="K51" s="314">
        <f>'साठा नोंदवही'!J107</f>
        <v>0</v>
      </c>
      <c r="L51" s="314">
        <f>'साठा नोंदवही'!K107</f>
        <v>0</v>
      </c>
      <c r="M51" s="314">
        <f>'साठा नोंदवही'!L107</f>
        <v>0</v>
      </c>
      <c r="N51" s="314">
        <f>'साठा नोंदवही'!M107</f>
        <v>0</v>
      </c>
      <c r="O51" s="314">
        <f>'साठा नोंदवही'!N107</f>
        <v>0</v>
      </c>
      <c r="P51" s="314">
        <f>'साठा नोंदवही'!O107</f>
        <v>0</v>
      </c>
      <c r="Q51" s="314">
        <f>'साठा नोंदवही'!P107</f>
        <v>0</v>
      </c>
      <c r="R51" s="314">
        <f>'साठा नोंदवही'!Q107</f>
        <v>0</v>
      </c>
      <c r="S51" s="314">
        <f>'साठा नोंदवही'!R107</f>
        <v>0</v>
      </c>
      <c r="T51" s="314">
        <f>'साठा नोंदवही'!S107</f>
        <v>0</v>
      </c>
      <c r="U51" s="314">
        <f>'साठा नोंदवही'!T107</f>
        <v>0</v>
      </c>
      <c r="V51" s="314">
        <f>'साठा नोंदवही'!U107</f>
        <v>0</v>
      </c>
      <c r="W51" s="314">
        <f>'साठा नोंदवही'!V107</f>
        <v>0</v>
      </c>
    </row>
    <row r="52" spans="2:53" ht="27.75" customHeight="1" x14ac:dyDescent="0.3">
      <c r="B52" s="1962"/>
      <c r="C52" s="1410"/>
      <c r="D52" s="1971"/>
      <c r="E52" s="498" t="s">
        <v>331</v>
      </c>
      <c r="F52" s="314">
        <f>(F49+F50-F51)</f>
        <v>0</v>
      </c>
      <c r="G52" s="314">
        <f t="shared" ref="G52:W52" si="8">(G49+G50-G51)</f>
        <v>0</v>
      </c>
      <c r="H52" s="314">
        <f t="shared" si="8"/>
        <v>0</v>
      </c>
      <c r="I52" s="314">
        <f t="shared" si="8"/>
        <v>0</v>
      </c>
      <c r="J52" s="314">
        <f t="shared" si="8"/>
        <v>0</v>
      </c>
      <c r="K52" s="314">
        <f t="shared" si="8"/>
        <v>0</v>
      </c>
      <c r="L52" s="314">
        <f t="shared" si="8"/>
        <v>0</v>
      </c>
      <c r="M52" s="314">
        <f t="shared" si="8"/>
        <v>0</v>
      </c>
      <c r="N52" s="314">
        <f t="shared" si="8"/>
        <v>0</v>
      </c>
      <c r="O52" s="314">
        <f t="shared" si="8"/>
        <v>0</v>
      </c>
      <c r="P52" s="314">
        <f t="shared" si="8"/>
        <v>0</v>
      </c>
      <c r="Q52" s="314">
        <f t="shared" si="8"/>
        <v>0</v>
      </c>
      <c r="R52" s="314">
        <f t="shared" si="8"/>
        <v>0</v>
      </c>
      <c r="S52" s="314">
        <f t="shared" si="8"/>
        <v>0</v>
      </c>
      <c r="T52" s="314">
        <f t="shared" si="8"/>
        <v>0</v>
      </c>
      <c r="U52" s="314">
        <f t="shared" si="8"/>
        <v>0</v>
      </c>
      <c r="V52" s="314">
        <f t="shared" si="8"/>
        <v>0</v>
      </c>
      <c r="W52" s="314">
        <f t="shared" si="8"/>
        <v>0</v>
      </c>
    </row>
    <row r="53" spans="2:53" ht="27.75" customHeight="1" x14ac:dyDescent="0.3">
      <c r="B53" s="1962"/>
      <c r="C53" s="1410"/>
      <c r="D53" s="1972"/>
      <c r="E53" s="498" t="s">
        <v>130</v>
      </c>
      <c r="F53" s="314">
        <f>'शिक्षक मानधन पावती'!BI153</f>
        <v>0</v>
      </c>
      <c r="G53" s="314">
        <f>'शिक्षक मानधन पावती'!BJ153</f>
        <v>0</v>
      </c>
      <c r="H53" s="314">
        <f>'शिक्षक मानधन पावती'!BK153</f>
        <v>0</v>
      </c>
      <c r="I53" s="314">
        <f>'शिक्षक मानधन पावती'!BL153</f>
        <v>0</v>
      </c>
      <c r="J53" s="314">
        <f>'शिक्षक मानधन पावती'!BM153</f>
        <v>0</v>
      </c>
      <c r="K53" s="314">
        <f>'शिक्षक मानधन पावती'!BN153</f>
        <v>0</v>
      </c>
      <c r="L53" s="314">
        <f>'शिक्षक मानधन पावती'!BO153</f>
        <v>0</v>
      </c>
      <c r="M53" s="314">
        <f>'शिक्षक मानधन पावती'!BP153</f>
        <v>0</v>
      </c>
      <c r="N53" s="314">
        <f>'शिक्षक मानधन पावती'!BQ153</f>
        <v>0</v>
      </c>
      <c r="O53" s="314">
        <f>'शिक्षक मानधन पावती'!BR153</f>
        <v>0</v>
      </c>
      <c r="P53" s="314">
        <f>'शिक्षक मानधन पावती'!BS153</f>
        <v>0</v>
      </c>
      <c r="Q53" s="314">
        <f>'शिक्षक मानधन पावती'!BT153</f>
        <v>0</v>
      </c>
      <c r="R53" s="314">
        <f>'शिक्षक मानधन पावती'!BU153</f>
        <v>0</v>
      </c>
      <c r="S53" s="314">
        <f>'शिक्षक मानधन पावती'!BV153</f>
        <v>0</v>
      </c>
      <c r="T53" s="314">
        <f>'शिक्षक मानधन पावती'!BW153</f>
        <v>0</v>
      </c>
      <c r="U53" s="314">
        <f>'शिक्षक मानधन पावती'!BX153</f>
        <v>0</v>
      </c>
      <c r="V53" s="314">
        <f>'शिक्षक मानधन पावती'!BY153</f>
        <v>0</v>
      </c>
      <c r="W53" s="314">
        <f>'शिक्षक मानधन पावती'!BZ153</f>
        <v>0</v>
      </c>
    </row>
    <row r="54" spans="2:53" ht="27.75" customHeight="1" x14ac:dyDescent="0.3">
      <c r="B54" s="1962">
        <v>10</v>
      </c>
      <c r="C54" s="1410" t="s">
        <v>139</v>
      </c>
      <c r="D54" s="1970">
        <f>HOME!F2</f>
        <v>2023</v>
      </c>
      <c r="E54" s="498" t="s">
        <v>128</v>
      </c>
      <c r="F54" s="314">
        <f>'साठा नोंदवही'!E72</f>
        <v>0</v>
      </c>
      <c r="G54" s="314">
        <f>'साठा नोंदवही'!F72</f>
        <v>0</v>
      </c>
      <c r="H54" s="314">
        <f>'साठा नोंदवही'!G72</f>
        <v>0</v>
      </c>
      <c r="I54" s="314">
        <f>'साठा नोंदवही'!H72</f>
        <v>0</v>
      </c>
      <c r="J54" s="314">
        <f>'साठा नोंदवही'!I72</f>
        <v>0</v>
      </c>
      <c r="K54" s="314">
        <f>'साठा नोंदवही'!J72</f>
        <v>0</v>
      </c>
      <c r="L54" s="314">
        <f>'साठा नोंदवही'!K72</f>
        <v>0</v>
      </c>
      <c r="M54" s="314">
        <f>'साठा नोंदवही'!L72</f>
        <v>0</v>
      </c>
      <c r="N54" s="314">
        <f>'साठा नोंदवही'!M72</f>
        <v>0</v>
      </c>
      <c r="O54" s="314">
        <f>'साठा नोंदवही'!N72</f>
        <v>0</v>
      </c>
      <c r="P54" s="314">
        <f>'साठा नोंदवही'!O72</f>
        <v>0</v>
      </c>
      <c r="Q54" s="314">
        <f>'साठा नोंदवही'!P72</f>
        <v>0</v>
      </c>
      <c r="R54" s="314">
        <f>'साठा नोंदवही'!Q72</f>
        <v>0</v>
      </c>
      <c r="S54" s="314">
        <f>'साठा नोंदवही'!R72</f>
        <v>0</v>
      </c>
      <c r="T54" s="314">
        <f>'साठा नोंदवही'!S72</f>
        <v>0</v>
      </c>
      <c r="U54" s="314">
        <f>'साठा नोंदवही'!T72</f>
        <v>0</v>
      </c>
      <c r="V54" s="314">
        <f>'साठा नोंदवही'!U72</f>
        <v>0</v>
      </c>
      <c r="W54" s="314">
        <f>'साठा नोंदवही'!V72</f>
        <v>0</v>
      </c>
    </row>
    <row r="55" spans="2:53" ht="27.75" customHeight="1" x14ac:dyDescent="0.3">
      <c r="B55" s="1962"/>
      <c r="C55" s="1410"/>
      <c r="D55" s="1971"/>
      <c r="E55" s="498" t="s">
        <v>129</v>
      </c>
      <c r="F55" s="314">
        <f>'साठा नोंदवही'!E90</f>
        <v>0</v>
      </c>
      <c r="G55" s="314">
        <f>'साठा नोंदवही'!F90</f>
        <v>0</v>
      </c>
      <c r="H55" s="314">
        <f>'साठा नोंदवही'!G90</f>
        <v>0</v>
      </c>
      <c r="I55" s="314">
        <f>'साठा नोंदवही'!H90</f>
        <v>0</v>
      </c>
      <c r="J55" s="314">
        <f>'साठा नोंदवही'!I90</f>
        <v>0</v>
      </c>
      <c r="K55" s="314">
        <f>'साठा नोंदवही'!J90</f>
        <v>0</v>
      </c>
      <c r="L55" s="314">
        <f>'साठा नोंदवही'!K90</f>
        <v>0</v>
      </c>
      <c r="M55" s="314">
        <f>'साठा नोंदवही'!L90</f>
        <v>0</v>
      </c>
      <c r="N55" s="314">
        <f>'साठा नोंदवही'!M90</f>
        <v>0</v>
      </c>
      <c r="O55" s="314">
        <f>'साठा नोंदवही'!N90</f>
        <v>0</v>
      </c>
      <c r="P55" s="314">
        <f>'साठा नोंदवही'!O90</f>
        <v>0</v>
      </c>
      <c r="Q55" s="314">
        <f>'साठा नोंदवही'!P90</f>
        <v>0</v>
      </c>
      <c r="R55" s="314">
        <f>'साठा नोंदवही'!Q90</f>
        <v>0</v>
      </c>
      <c r="S55" s="314">
        <f>'साठा नोंदवही'!R90</f>
        <v>0</v>
      </c>
      <c r="T55" s="314">
        <f>'साठा नोंदवही'!S90</f>
        <v>0</v>
      </c>
      <c r="U55" s="314">
        <f>'साठा नोंदवही'!T90</f>
        <v>0</v>
      </c>
      <c r="V55" s="314">
        <f>'साठा नोंदवही'!U90</f>
        <v>0</v>
      </c>
      <c r="W55" s="314">
        <f>'साठा नोंदवही'!V90</f>
        <v>0</v>
      </c>
      <c r="AI55" s="153" t="str">
        <f>'शाळा माहिती'!C17</f>
        <v>1 ते 5</v>
      </c>
      <c r="AJ55" s="109">
        <f>'वार्षिक धान्यादी माल 1 ते 5'!E74</f>
        <v>20.89999999999992</v>
      </c>
      <c r="AK55" s="109">
        <f>'वार्षिक धान्यादी माल 1 ते 5'!F74</f>
        <v>1.7199999999999989</v>
      </c>
      <c r="AL55" s="109">
        <f>'वार्षिक धान्यादी माल 1 ते 5'!G74</f>
        <v>0</v>
      </c>
      <c r="AM55" s="109">
        <f>'वार्षिक धान्यादी माल 1 ते 5'!H74</f>
        <v>0</v>
      </c>
      <c r="AN55" s="109">
        <f>'वार्षिक धान्यादी माल 1 ते 5'!I74</f>
        <v>0</v>
      </c>
      <c r="AO55" s="109">
        <f>'वार्षिक धान्यादी माल 1 ते 5'!J74</f>
        <v>0</v>
      </c>
      <c r="AP55" s="109">
        <f>'वार्षिक धान्यादी माल 1 ते 5'!K74</f>
        <v>0</v>
      </c>
      <c r="AQ55" s="109">
        <f>'वार्षिक धान्यादी माल 1 ते 5'!L74</f>
        <v>0.22000000000000242</v>
      </c>
      <c r="AR55" s="109">
        <f>'वार्षिक धान्यादी माल 1 ते 5'!M74</f>
        <v>-0.76000000000000156</v>
      </c>
      <c r="AS55" s="109">
        <f>'वार्षिक धान्यादी माल 1 ते 5'!N74</f>
        <v>0.22350000000000014</v>
      </c>
      <c r="AT55" s="109">
        <f>'वार्षिक धान्यादी माल 1 ते 5'!O74</f>
        <v>4.4999999999995044E-3</v>
      </c>
      <c r="AU55" s="109">
        <f>'वार्षिक धान्यादी माल 1 ते 5'!P74</f>
        <v>0.32350000000000045</v>
      </c>
      <c r="AV55" s="109">
        <f>'वार्षिक धान्यादी माल 1 ते 5'!Q74</f>
        <v>0</v>
      </c>
      <c r="AW55" s="109">
        <f>'वार्षिक धान्यादी माल 1 ते 5'!R74</f>
        <v>0</v>
      </c>
      <c r="AX55" s="109">
        <f>'वार्षिक धान्यादी माल 1 ते 5'!S74</f>
        <v>14.044999999999998</v>
      </c>
      <c r="AY55" s="109">
        <f>'वार्षिक धान्यादी माल 1 ते 5'!T74</f>
        <v>2.2139999999999977</v>
      </c>
      <c r="AZ55" s="109">
        <f>'वार्षिक धान्यादी माल 1 ते 5'!U74</f>
        <v>0.39080000000000092</v>
      </c>
      <c r="BA55" s="109">
        <f>'वार्षिक धान्यादी माल 1 ते 5'!V74</f>
        <v>0</v>
      </c>
    </row>
    <row r="56" spans="2:53" ht="27.75" customHeight="1" x14ac:dyDescent="0.3">
      <c r="B56" s="1962"/>
      <c r="C56" s="1410"/>
      <c r="D56" s="1971"/>
      <c r="E56" s="498" t="s">
        <v>335</v>
      </c>
      <c r="F56" s="314">
        <f>'साठा नोंदवही'!E108</f>
        <v>0</v>
      </c>
      <c r="G56" s="314">
        <f>'साठा नोंदवही'!F108</f>
        <v>0</v>
      </c>
      <c r="H56" s="314">
        <f>'साठा नोंदवही'!G108</f>
        <v>0</v>
      </c>
      <c r="I56" s="314">
        <f>'साठा नोंदवही'!H108</f>
        <v>0</v>
      </c>
      <c r="J56" s="314">
        <f>'साठा नोंदवही'!I108</f>
        <v>0</v>
      </c>
      <c r="K56" s="314">
        <f>'साठा नोंदवही'!J108</f>
        <v>0</v>
      </c>
      <c r="L56" s="314">
        <f>'साठा नोंदवही'!K108</f>
        <v>0</v>
      </c>
      <c r="M56" s="314">
        <f>'साठा नोंदवही'!L108</f>
        <v>0</v>
      </c>
      <c r="N56" s="314">
        <f>'साठा नोंदवही'!M108</f>
        <v>0</v>
      </c>
      <c r="O56" s="314">
        <f>'साठा नोंदवही'!N108</f>
        <v>0</v>
      </c>
      <c r="P56" s="314">
        <f>'साठा नोंदवही'!O108</f>
        <v>0</v>
      </c>
      <c r="Q56" s="314">
        <f>'साठा नोंदवही'!P108</f>
        <v>0</v>
      </c>
      <c r="R56" s="314">
        <f>'साठा नोंदवही'!Q108</f>
        <v>0</v>
      </c>
      <c r="S56" s="314">
        <f>'साठा नोंदवही'!R108</f>
        <v>0</v>
      </c>
      <c r="T56" s="314">
        <f>'साठा नोंदवही'!S108</f>
        <v>0</v>
      </c>
      <c r="U56" s="314">
        <f>'साठा नोंदवही'!T108</f>
        <v>0</v>
      </c>
      <c r="V56" s="314">
        <f>'साठा नोंदवही'!U108</f>
        <v>0</v>
      </c>
      <c r="W56" s="314">
        <f>'साठा नोंदवही'!V108</f>
        <v>0</v>
      </c>
      <c r="AI56" s="153" t="str">
        <f>'शाळा माहिती'!C18</f>
        <v>6 ते 8</v>
      </c>
      <c r="AJ56" s="109">
        <f t="shared" ref="AJ56:BA56" si="9">F75</f>
        <v>0</v>
      </c>
      <c r="AK56" s="109">
        <f t="shared" si="9"/>
        <v>0</v>
      </c>
      <c r="AL56" s="109">
        <f t="shared" si="9"/>
        <v>0</v>
      </c>
      <c r="AM56" s="109">
        <f t="shared" si="9"/>
        <v>0</v>
      </c>
      <c r="AN56" s="109">
        <f t="shared" si="9"/>
        <v>0</v>
      </c>
      <c r="AO56" s="109">
        <f t="shared" si="9"/>
        <v>0</v>
      </c>
      <c r="AP56" s="109">
        <f t="shared" si="9"/>
        <v>0</v>
      </c>
      <c r="AQ56" s="109">
        <f t="shared" si="9"/>
        <v>0</v>
      </c>
      <c r="AR56" s="109">
        <f t="shared" si="9"/>
        <v>0</v>
      </c>
      <c r="AS56" s="109">
        <f t="shared" si="9"/>
        <v>0</v>
      </c>
      <c r="AT56" s="109">
        <f t="shared" si="9"/>
        <v>0</v>
      </c>
      <c r="AU56" s="109">
        <f t="shared" si="9"/>
        <v>0</v>
      </c>
      <c r="AV56" s="109">
        <f t="shared" si="9"/>
        <v>0</v>
      </c>
      <c r="AW56" s="109">
        <f t="shared" si="9"/>
        <v>0</v>
      </c>
      <c r="AX56" s="109">
        <f t="shared" si="9"/>
        <v>0</v>
      </c>
      <c r="AY56" s="109">
        <f t="shared" si="9"/>
        <v>0</v>
      </c>
      <c r="AZ56" s="109">
        <f t="shared" si="9"/>
        <v>0</v>
      </c>
      <c r="BA56" s="109">
        <f t="shared" si="9"/>
        <v>0</v>
      </c>
    </row>
    <row r="57" spans="2:53" ht="27.75" customHeight="1" x14ac:dyDescent="0.3">
      <c r="B57" s="1962"/>
      <c r="C57" s="1410"/>
      <c r="D57" s="1971"/>
      <c r="E57" s="498" t="s">
        <v>331</v>
      </c>
      <c r="F57" s="314">
        <f>(F54+F55-F56)</f>
        <v>0</v>
      </c>
      <c r="G57" s="314">
        <f t="shared" ref="G57:W57" si="10">(G54+G55-G56)</f>
        <v>0</v>
      </c>
      <c r="H57" s="314">
        <f t="shared" si="10"/>
        <v>0</v>
      </c>
      <c r="I57" s="314">
        <f t="shared" si="10"/>
        <v>0</v>
      </c>
      <c r="J57" s="314">
        <f t="shared" si="10"/>
        <v>0</v>
      </c>
      <c r="K57" s="314">
        <f t="shared" si="10"/>
        <v>0</v>
      </c>
      <c r="L57" s="314">
        <f t="shared" si="10"/>
        <v>0</v>
      </c>
      <c r="M57" s="314">
        <f t="shared" si="10"/>
        <v>0</v>
      </c>
      <c r="N57" s="314">
        <f t="shared" si="10"/>
        <v>0</v>
      </c>
      <c r="O57" s="314">
        <f t="shared" si="10"/>
        <v>0</v>
      </c>
      <c r="P57" s="314">
        <f t="shared" si="10"/>
        <v>0</v>
      </c>
      <c r="Q57" s="314">
        <f t="shared" si="10"/>
        <v>0</v>
      </c>
      <c r="R57" s="314">
        <f t="shared" si="10"/>
        <v>0</v>
      </c>
      <c r="S57" s="314">
        <f t="shared" si="10"/>
        <v>0</v>
      </c>
      <c r="T57" s="314">
        <f t="shared" si="10"/>
        <v>0</v>
      </c>
      <c r="U57" s="314">
        <f t="shared" si="10"/>
        <v>0</v>
      </c>
      <c r="V57" s="314">
        <f t="shared" si="10"/>
        <v>0</v>
      </c>
      <c r="W57" s="314">
        <f t="shared" si="10"/>
        <v>0</v>
      </c>
      <c r="AI57" s="153" t="str">
        <f>'शाळा माहिती'!C19</f>
        <v>1 ते 8</v>
      </c>
      <c r="AJ57" s="154">
        <f t="shared" ref="AJ57:BA57" si="11">SUM(AJ55:AJ56)</f>
        <v>20.89999999999992</v>
      </c>
      <c r="AK57" s="154">
        <f t="shared" si="11"/>
        <v>1.7199999999999989</v>
      </c>
      <c r="AL57" s="154">
        <f t="shared" si="11"/>
        <v>0</v>
      </c>
      <c r="AM57" s="154">
        <f t="shared" si="11"/>
        <v>0</v>
      </c>
      <c r="AN57" s="154">
        <f t="shared" si="11"/>
        <v>0</v>
      </c>
      <c r="AO57" s="154">
        <f t="shared" si="11"/>
        <v>0</v>
      </c>
      <c r="AP57" s="154">
        <f t="shared" si="11"/>
        <v>0</v>
      </c>
      <c r="AQ57" s="154">
        <f t="shared" si="11"/>
        <v>0.22000000000000242</v>
      </c>
      <c r="AR57" s="154">
        <f t="shared" si="11"/>
        <v>-0.76000000000000156</v>
      </c>
      <c r="AS57" s="154">
        <f t="shared" si="11"/>
        <v>0.22350000000000014</v>
      </c>
      <c r="AT57" s="154">
        <f t="shared" si="11"/>
        <v>4.4999999999995044E-3</v>
      </c>
      <c r="AU57" s="154">
        <f t="shared" si="11"/>
        <v>0.32350000000000045</v>
      </c>
      <c r="AV57" s="154">
        <f t="shared" si="11"/>
        <v>0</v>
      </c>
      <c r="AW57" s="154">
        <f t="shared" si="11"/>
        <v>0</v>
      </c>
      <c r="AX57" s="154">
        <f t="shared" si="11"/>
        <v>14.044999999999998</v>
      </c>
      <c r="AY57" s="154">
        <f t="shared" si="11"/>
        <v>2.2139999999999977</v>
      </c>
      <c r="AZ57" s="154">
        <f t="shared" si="11"/>
        <v>0.39080000000000092</v>
      </c>
      <c r="BA57" s="154">
        <f t="shared" si="11"/>
        <v>0</v>
      </c>
    </row>
    <row r="58" spans="2:53" ht="27.75" customHeight="1" x14ac:dyDescent="0.3">
      <c r="B58" s="1962"/>
      <c r="C58" s="1410"/>
      <c r="D58" s="1972"/>
      <c r="E58" s="498" t="s">
        <v>130</v>
      </c>
      <c r="F58" s="314">
        <f>'शिक्षक मानधन पावती'!BI154</f>
        <v>0</v>
      </c>
      <c r="G58" s="314">
        <f>'शिक्षक मानधन पावती'!BJ154</f>
        <v>0</v>
      </c>
      <c r="H58" s="314">
        <f>'शिक्षक मानधन पावती'!BK154</f>
        <v>0</v>
      </c>
      <c r="I58" s="314">
        <f>'शिक्षक मानधन पावती'!BL154</f>
        <v>0</v>
      </c>
      <c r="J58" s="314">
        <f>'शिक्षक मानधन पावती'!BM154</f>
        <v>0</v>
      </c>
      <c r="K58" s="314">
        <f>'शिक्षक मानधन पावती'!BN154</f>
        <v>0</v>
      </c>
      <c r="L58" s="314">
        <f>'शिक्षक मानधन पावती'!BO154</f>
        <v>0</v>
      </c>
      <c r="M58" s="314">
        <f>'शिक्षक मानधन पावती'!BP154</f>
        <v>0</v>
      </c>
      <c r="N58" s="314">
        <f>'शिक्षक मानधन पावती'!BQ154</f>
        <v>0</v>
      </c>
      <c r="O58" s="314">
        <f>'शिक्षक मानधन पावती'!BR154</f>
        <v>0</v>
      </c>
      <c r="P58" s="314">
        <f>'शिक्षक मानधन पावती'!BS154</f>
        <v>0</v>
      </c>
      <c r="Q58" s="314">
        <f>'शिक्षक मानधन पावती'!BT154</f>
        <v>0</v>
      </c>
      <c r="R58" s="314">
        <f>'शिक्षक मानधन पावती'!BU154</f>
        <v>0</v>
      </c>
      <c r="S58" s="314">
        <f>'शिक्षक मानधन पावती'!BV154</f>
        <v>0</v>
      </c>
      <c r="T58" s="314">
        <f>'शिक्षक मानधन पावती'!BW154</f>
        <v>0</v>
      </c>
      <c r="U58" s="314">
        <f>'शिक्षक मानधन पावती'!BX154</f>
        <v>0</v>
      </c>
      <c r="V58" s="314">
        <f>'शिक्षक मानधन पावती'!BY154</f>
        <v>0</v>
      </c>
      <c r="W58" s="314">
        <f>'शिक्षक मानधन पावती'!BZ154</f>
        <v>0</v>
      </c>
    </row>
    <row r="59" spans="2:53" ht="27.75" customHeight="1" x14ac:dyDescent="0.3">
      <c r="B59" s="1962">
        <v>11</v>
      </c>
      <c r="C59" s="1410" t="s">
        <v>140</v>
      </c>
      <c r="D59" s="1970">
        <f>HOME!F2</f>
        <v>2023</v>
      </c>
      <c r="E59" s="498" t="s">
        <v>128</v>
      </c>
      <c r="F59" s="314">
        <f>'साठा नोंदवही'!E73</f>
        <v>0</v>
      </c>
      <c r="G59" s="314">
        <f>'साठा नोंदवही'!F73</f>
        <v>0</v>
      </c>
      <c r="H59" s="314">
        <f>'साठा नोंदवही'!G73</f>
        <v>0</v>
      </c>
      <c r="I59" s="314">
        <f>'साठा नोंदवही'!H73</f>
        <v>0</v>
      </c>
      <c r="J59" s="314">
        <f>'साठा नोंदवही'!I73</f>
        <v>0</v>
      </c>
      <c r="K59" s="314">
        <f>'साठा नोंदवही'!J73</f>
        <v>0</v>
      </c>
      <c r="L59" s="314">
        <f>'साठा नोंदवही'!K73</f>
        <v>0</v>
      </c>
      <c r="M59" s="314">
        <f>'साठा नोंदवही'!L73</f>
        <v>0</v>
      </c>
      <c r="N59" s="314">
        <f>'साठा नोंदवही'!M73</f>
        <v>0</v>
      </c>
      <c r="O59" s="314">
        <f>'साठा नोंदवही'!N73</f>
        <v>0</v>
      </c>
      <c r="P59" s="314">
        <f>'साठा नोंदवही'!O73</f>
        <v>0</v>
      </c>
      <c r="Q59" s="314">
        <f>'साठा नोंदवही'!P73</f>
        <v>0</v>
      </c>
      <c r="R59" s="314">
        <f>'साठा नोंदवही'!Q73</f>
        <v>0</v>
      </c>
      <c r="S59" s="314">
        <f>'साठा नोंदवही'!R73</f>
        <v>0</v>
      </c>
      <c r="T59" s="314">
        <f>'साठा नोंदवही'!S73</f>
        <v>0</v>
      </c>
      <c r="U59" s="314">
        <f>'साठा नोंदवही'!T73</f>
        <v>0</v>
      </c>
      <c r="V59" s="314">
        <f>'साठा नोंदवही'!U73</f>
        <v>0</v>
      </c>
      <c r="W59" s="314">
        <f>'साठा नोंदवही'!V73</f>
        <v>0</v>
      </c>
    </row>
    <row r="60" spans="2:53" ht="27.75" customHeight="1" x14ac:dyDescent="0.3">
      <c r="B60" s="1962"/>
      <c r="C60" s="1410"/>
      <c r="D60" s="1971"/>
      <c r="E60" s="498" t="s">
        <v>129</v>
      </c>
      <c r="F60" s="314">
        <f>'साठा नोंदवही'!E91</f>
        <v>0</v>
      </c>
      <c r="G60" s="314">
        <f>'साठा नोंदवही'!F91</f>
        <v>0</v>
      </c>
      <c r="H60" s="314">
        <f>'साठा नोंदवही'!G91</f>
        <v>0</v>
      </c>
      <c r="I60" s="314">
        <f>'साठा नोंदवही'!H91</f>
        <v>0</v>
      </c>
      <c r="J60" s="314">
        <f>'साठा नोंदवही'!I91</f>
        <v>0</v>
      </c>
      <c r="K60" s="314">
        <f>'साठा नोंदवही'!J91</f>
        <v>0</v>
      </c>
      <c r="L60" s="314">
        <f>'साठा नोंदवही'!K91</f>
        <v>0</v>
      </c>
      <c r="M60" s="314">
        <f>'साठा नोंदवही'!L91</f>
        <v>0</v>
      </c>
      <c r="N60" s="314">
        <f>'साठा नोंदवही'!M91</f>
        <v>0</v>
      </c>
      <c r="O60" s="314">
        <f>'साठा नोंदवही'!N91</f>
        <v>0</v>
      </c>
      <c r="P60" s="314">
        <f>'साठा नोंदवही'!O91</f>
        <v>0</v>
      </c>
      <c r="Q60" s="314">
        <f>'साठा नोंदवही'!P91</f>
        <v>0</v>
      </c>
      <c r="R60" s="314">
        <f>'साठा नोंदवही'!Q91</f>
        <v>0</v>
      </c>
      <c r="S60" s="314">
        <f>'साठा नोंदवही'!R91</f>
        <v>0</v>
      </c>
      <c r="T60" s="314">
        <f>'साठा नोंदवही'!S91</f>
        <v>0</v>
      </c>
      <c r="U60" s="314">
        <f>'साठा नोंदवही'!T91</f>
        <v>0</v>
      </c>
      <c r="V60" s="314">
        <f>'साठा नोंदवही'!U91</f>
        <v>0</v>
      </c>
      <c r="W60" s="314">
        <f>'साठा नोंदवही'!V91</f>
        <v>0</v>
      </c>
    </row>
    <row r="61" spans="2:53" ht="27.75" customHeight="1" x14ac:dyDescent="0.3">
      <c r="B61" s="1962"/>
      <c r="C61" s="1410"/>
      <c r="D61" s="1971"/>
      <c r="E61" s="498" t="s">
        <v>335</v>
      </c>
      <c r="F61" s="314">
        <f>'साठा नोंदवही'!E109</f>
        <v>0</v>
      </c>
      <c r="G61" s="314">
        <f>'साठा नोंदवही'!F109</f>
        <v>0</v>
      </c>
      <c r="H61" s="314">
        <f>'साठा नोंदवही'!G109</f>
        <v>0</v>
      </c>
      <c r="I61" s="314">
        <f>'साठा नोंदवही'!H109</f>
        <v>0</v>
      </c>
      <c r="J61" s="314">
        <f>'साठा नोंदवही'!I109</f>
        <v>0</v>
      </c>
      <c r="K61" s="314">
        <f>'साठा नोंदवही'!J109</f>
        <v>0</v>
      </c>
      <c r="L61" s="314">
        <f>'साठा नोंदवही'!K109</f>
        <v>0</v>
      </c>
      <c r="M61" s="314">
        <f>'साठा नोंदवही'!L109</f>
        <v>0</v>
      </c>
      <c r="N61" s="314">
        <f>'साठा नोंदवही'!M109</f>
        <v>0</v>
      </c>
      <c r="O61" s="314">
        <f>'साठा नोंदवही'!N109</f>
        <v>0</v>
      </c>
      <c r="P61" s="314">
        <f>'साठा नोंदवही'!O109</f>
        <v>0</v>
      </c>
      <c r="Q61" s="314">
        <f>'साठा नोंदवही'!P109</f>
        <v>0</v>
      </c>
      <c r="R61" s="314">
        <f>'साठा नोंदवही'!Q109</f>
        <v>0</v>
      </c>
      <c r="S61" s="314">
        <f>'साठा नोंदवही'!R109</f>
        <v>0</v>
      </c>
      <c r="T61" s="314">
        <f>'साठा नोंदवही'!S109</f>
        <v>0</v>
      </c>
      <c r="U61" s="314">
        <f>'साठा नोंदवही'!T109</f>
        <v>0</v>
      </c>
      <c r="V61" s="314">
        <f>'साठा नोंदवही'!U109</f>
        <v>0</v>
      </c>
      <c r="W61" s="314">
        <f>'साठा नोंदवही'!V109</f>
        <v>0</v>
      </c>
    </row>
    <row r="62" spans="2:53" ht="27.75" customHeight="1" x14ac:dyDescent="0.3">
      <c r="B62" s="1962"/>
      <c r="C62" s="1410"/>
      <c r="D62" s="1971"/>
      <c r="E62" s="498" t="s">
        <v>331</v>
      </c>
      <c r="F62" s="314">
        <f>(F59+F60-F61)</f>
        <v>0</v>
      </c>
      <c r="G62" s="314">
        <f t="shared" ref="G62:W62" si="12">(G59+G60-G61)</f>
        <v>0</v>
      </c>
      <c r="H62" s="314">
        <f t="shared" si="12"/>
        <v>0</v>
      </c>
      <c r="I62" s="314">
        <f t="shared" si="12"/>
        <v>0</v>
      </c>
      <c r="J62" s="314">
        <f t="shared" si="12"/>
        <v>0</v>
      </c>
      <c r="K62" s="314">
        <f t="shared" si="12"/>
        <v>0</v>
      </c>
      <c r="L62" s="314">
        <f t="shared" si="12"/>
        <v>0</v>
      </c>
      <c r="M62" s="314">
        <f t="shared" si="12"/>
        <v>0</v>
      </c>
      <c r="N62" s="314">
        <f t="shared" si="12"/>
        <v>0</v>
      </c>
      <c r="O62" s="314">
        <f t="shared" si="12"/>
        <v>0</v>
      </c>
      <c r="P62" s="314">
        <f t="shared" si="12"/>
        <v>0</v>
      </c>
      <c r="Q62" s="314">
        <f t="shared" si="12"/>
        <v>0</v>
      </c>
      <c r="R62" s="314">
        <f t="shared" si="12"/>
        <v>0</v>
      </c>
      <c r="S62" s="314">
        <f t="shared" si="12"/>
        <v>0</v>
      </c>
      <c r="T62" s="314">
        <f t="shared" si="12"/>
        <v>0</v>
      </c>
      <c r="U62" s="314">
        <f t="shared" si="12"/>
        <v>0</v>
      </c>
      <c r="V62" s="314">
        <f t="shared" si="12"/>
        <v>0</v>
      </c>
      <c r="W62" s="314">
        <f t="shared" si="12"/>
        <v>0</v>
      </c>
    </row>
    <row r="63" spans="2:53" ht="27.75" customHeight="1" x14ac:dyDescent="0.3">
      <c r="B63" s="1962"/>
      <c r="C63" s="1410"/>
      <c r="D63" s="1972"/>
      <c r="E63" s="498" t="s">
        <v>130</v>
      </c>
      <c r="F63" s="314">
        <f>'शिक्षक मानधन पावती'!BI155</f>
        <v>0</v>
      </c>
      <c r="G63" s="314">
        <f>'शिक्षक मानधन पावती'!BJ155</f>
        <v>0</v>
      </c>
      <c r="H63" s="314">
        <f>'शिक्षक मानधन पावती'!BK155</f>
        <v>0</v>
      </c>
      <c r="I63" s="314">
        <f>'शिक्षक मानधन पावती'!BL155</f>
        <v>0</v>
      </c>
      <c r="J63" s="314">
        <f>'शिक्षक मानधन पावती'!BM155</f>
        <v>0</v>
      </c>
      <c r="K63" s="314">
        <f>'शिक्षक मानधन पावती'!BN155</f>
        <v>0</v>
      </c>
      <c r="L63" s="314">
        <f>'शिक्षक मानधन पावती'!BO155</f>
        <v>0</v>
      </c>
      <c r="M63" s="314">
        <f>'शिक्षक मानधन पावती'!BP155</f>
        <v>0</v>
      </c>
      <c r="N63" s="314">
        <f>'शिक्षक मानधन पावती'!BQ155</f>
        <v>0</v>
      </c>
      <c r="O63" s="314">
        <f>'शिक्षक मानधन पावती'!BR155</f>
        <v>0</v>
      </c>
      <c r="P63" s="314">
        <f>'शिक्षक मानधन पावती'!BS155</f>
        <v>0</v>
      </c>
      <c r="Q63" s="314">
        <f>'शिक्षक मानधन पावती'!BT155</f>
        <v>0</v>
      </c>
      <c r="R63" s="314">
        <f>'शिक्षक मानधन पावती'!BU155</f>
        <v>0</v>
      </c>
      <c r="S63" s="314">
        <f>'शिक्षक मानधन पावती'!BV155</f>
        <v>0</v>
      </c>
      <c r="T63" s="314">
        <f>'शिक्षक मानधन पावती'!BW155</f>
        <v>0</v>
      </c>
      <c r="U63" s="314">
        <f>'शिक्षक मानधन पावती'!BX155</f>
        <v>0</v>
      </c>
      <c r="V63" s="314">
        <f>'शिक्षक मानधन पावती'!BY155</f>
        <v>0</v>
      </c>
      <c r="W63" s="314">
        <f>'शिक्षक मानधन पावती'!BZ155</f>
        <v>0</v>
      </c>
    </row>
    <row r="64" spans="2:53" ht="27.75" customHeight="1" x14ac:dyDescent="0.3">
      <c r="B64" s="1962">
        <v>12</v>
      </c>
      <c r="C64" s="1410" t="s">
        <v>141</v>
      </c>
      <c r="D64" s="1970">
        <f>HOME!F2</f>
        <v>2023</v>
      </c>
      <c r="E64" s="498" t="s">
        <v>128</v>
      </c>
      <c r="F64" s="314">
        <f>'साठा नोंदवही'!E74</f>
        <v>0</v>
      </c>
      <c r="G64" s="314">
        <f>'साठा नोंदवही'!F74</f>
        <v>0</v>
      </c>
      <c r="H64" s="314">
        <f>'साठा नोंदवही'!G74</f>
        <v>0</v>
      </c>
      <c r="I64" s="314">
        <f>'साठा नोंदवही'!H74</f>
        <v>0</v>
      </c>
      <c r="J64" s="314">
        <f>'साठा नोंदवही'!I74</f>
        <v>0</v>
      </c>
      <c r="K64" s="314">
        <f>'साठा नोंदवही'!J74</f>
        <v>0</v>
      </c>
      <c r="L64" s="314">
        <f>'साठा नोंदवही'!K74</f>
        <v>0</v>
      </c>
      <c r="M64" s="314">
        <f>'साठा नोंदवही'!L74</f>
        <v>0</v>
      </c>
      <c r="N64" s="314">
        <f>'साठा नोंदवही'!M74</f>
        <v>0</v>
      </c>
      <c r="O64" s="314">
        <f>'साठा नोंदवही'!N74</f>
        <v>0</v>
      </c>
      <c r="P64" s="314">
        <f>'साठा नोंदवही'!O74</f>
        <v>0</v>
      </c>
      <c r="Q64" s="314">
        <f>'साठा नोंदवही'!P74</f>
        <v>0</v>
      </c>
      <c r="R64" s="314">
        <f>'साठा नोंदवही'!Q74</f>
        <v>0</v>
      </c>
      <c r="S64" s="314">
        <f>'साठा नोंदवही'!R74</f>
        <v>0</v>
      </c>
      <c r="T64" s="314">
        <f>'साठा नोंदवही'!S74</f>
        <v>0</v>
      </c>
      <c r="U64" s="314">
        <f>'साठा नोंदवही'!T74</f>
        <v>0</v>
      </c>
      <c r="V64" s="314">
        <f>'साठा नोंदवही'!U74</f>
        <v>0</v>
      </c>
      <c r="W64" s="314">
        <f>'साठा नोंदवही'!V74</f>
        <v>0</v>
      </c>
    </row>
    <row r="65" spans="2:23" ht="27.75" customHeight="1" x14ac:dyDescent="0.3">
      <c r="B65" s="1962"/>
      <c r="C65" s="1410"/>
      <c r="D65" s="1971"/>
      <c r="E65" s="498" t="s">
        <v>129</v>
      </c>
      <c r="F65" s="314">
        <f>'साठा नोंदवही'!E92</f>
        <v>0</v>
      </c>
      <c r="G65" s="314">
        <f>'साठा नोंदवही'!F92</f>
        <v>0</v>
      </c>
      <c r="H65" s="314">
        <f>'साठा नोंदवही'!G92</f>
        <v>0</v>
      </c>
      <c r="I65" s="314">
        <f>'साठा नोंदवही'!H92</f>
        <v>0</v>
      </c>
      <c r="J65" s="314">
        <f>'साठा नोंदवही'!I92</f>
        <v>0</v>
      </c>
      <c r="K65" s="314">
        <f>'साठा नोंदवही'!J92</f>
        <v>0</v>
      </c>
      <c r="L65" s="314">
        <f>'साठा नोंदवही'!K92</f>
        <v>0</v>
      </c>
      <c r="M65" s="314">
        <f>'साठा नोंदवही'!L92</f>
        <v>0</v>
      </c>
      <c r="N65" s="314">
        <f>'साठा नोंदवही'!M92</f>
        <v>0</v>
      </c>
      <c r="O65" s="314">
        <f>'साठा नोंदवही'!N92</f>
        <v>0</v>
      </c>
      <c r="P65" s="314">
        <f>'साठा नोंदवही'!O92</f>
        <v>0</v>
      </c>
      <c r="Q65" s="314">
        <f>'साठा नोंदवही'!P92</f>
        <v>0</v>
      </c>
      <c r="R65" s="314">
        <f>'साठा नोंदवही'!Q92</f>
        <v>0</v>
      </c>
      <c r="S65" s="314">
        <f>'साठा नोंदवही'!R92</f>
        <v>0</v>
      </c>
      <c r="T65" s="314">
        <f>'साठा नोंदवही'!S92</f>
        <v>0</v>
      </c>
      <c r="U65" s="314">
        <f>'साठा नोंदवही'!T92</f>
        <v>0</v>
      </c>
      <c r="V65" s="314">
        <f>'साठा नोंदवही'!U92</f>
        <v>0</v>
      </c>
      <c r="W65" s="314">
        <f>'साठा नोंदवही'!V92</f>
        <v>0</v>
      </c>
    </row>
    <row r="66" spans="2:23" ht="27.75" customHeight="1" x14ac:dyDescent="0.3">
      <c r="B66" s="1962"/>
      <c r="C66" s="1410"/>
      <c r="D66" s="1971"/>
      <c r="E66" s="498" t="s">
        <v>335</v>
      </c>
      <c r="F66" s="314">
        <f>'साठा नोंदवही'!E110</f>
        <v>0</v>
      </c>
      <c r="G66" s="314">
        <f>'साठा नोंदवही'!F110</f>
        <v>0</v>
      </c>
      <c r="H66" s="314">
        <f>'साठा नोंदवही'!G110</f>
        <v>0</v>
      </c>
      <c r="I66" s="314">
        <f>'साठा नोंदवही'!H110</f>
        <v>0</v>
      </c>
      <c r="J66" s="314">
        <f>'साठा नोंदवही'!I110</f>
        <v>0</v>
      </c>
      <c r="K66" s="314">
        <f>'साठा नोंदवही'!J110</f>
        <v>0</v>
      </c>
      <c r="L66" s="314">
        <f>'साठा नोंदवही'!K110</f>
        <v>0</v>
      </c>
      <c r="M66" s="314">
        <f>'साठा नोंदवही'!L110</f>
        <v>0</v>
      </c>
      <c r="N66" s="314">
        <f>'साठा नोंदवही'!M110</f>
        <v>0</v>
      </c>
      <c r="O66" s="314">
        <f>'साठा नोंदवही'!N110</f>
        <v>0</v>
      </c>
      <c r="P66" s="314">
        <f>'साठा नोंदवही'!O110</f>
        <v>0</v>
      </c>
      <c r="Q66" s="314">
        <f>'साठा नोंदवही'!P110</f>
        <v>0</v>
      </c>
      <c r="R66" s="314">
        <f>'साठा नोंदवही'!Q110</f>
        <v>0</v>
      </c>
      <c r="S66" s="314">
        <f>'साठा नोंदवही'!R110</f>
        <v>0</v>
      </c>
      <c r="T66" s="314">
        <f>'साठा नोंदवही'!S110</f>
        <v>0</v>
      </c>
      <c r="U66" s="314">
        <f>'साठा नोंदवही'!T110</f>
        <v>0</v>
      </c>
      <c r="V66" s="314">
        <f>'साठा नोंदवही'!U110</f>
        <v>0</v>
      </c>
      <c r="W66" s="314">
        <f>'साठा नोंदवही'!V110</f>
        <v>0</v>
      </c>
    </row>
    <row r="67" spans="2:23" ht="27.75" customHeight="1" x14ac:dyDescent="0.3">
      <c r="B67" s="1962"/>
      <c r="C67" s="1410"/>
      <c r="D67" s="1971"/>
      <c r="E67" s="498" t="s">
        <v>331</v>
      </c>
      <c r="F67" s="314">
        <f>(F64+F65-F66)</f>
        <v>0</v>
      </c>
      <c r="G67" s="314">
        <f t="shared" ref="G67:W67" si="13">(G64+G65-G66)</f>
        <v>0</v>
      </c>
      <c r="H67" s="314">
        <f t="shared" si="13"/>
        <v>0</v>
      </c>
      <c r="I67" s="314">
        <f t="shared" si="13"/>
        <v>0</v>
      </c>
      <c r="J67" s="314">
        <f t="shared" si="13"/>
        <v>0</v>
      </c>
      <c r="K67" s="314">
        <f t="shared" si="13"/>
        <v>0</v>
      </c>
      <c r="L67" s="314">
        <f t="shared" si="13"/>
        <v>0</v>
      </c>
      <c r="M67" s="314">
        <f t="shared" si="13"/>
        <v>0</v>
      </c>
      <c r="N67" s="314">
        <f t="shared" si="13"/>
        <v>0</v>
      </c>
      <c r="O67" s="314">
        <f t="shared" si="13"/>
        <v>0</v>
      </c>
      <c r="P67" s="314">
        <f t="shared" si="13"/>
        <v>0</v>
      </c>
      <c r="Q67" s="314">
        <f t="shared" si="13"/>
        <v>0</v>
      </c>
      <c r="R67" s="314">
        <f t="shared" si="13"/>
        <v>0</v>
      </c>
      <c r="S67" s="314">
        <f t="shared" si="13"/>
        <v>0</v>
      </c>
      <c r="T67" s="314">
        <f t="shared" si="13"/>
        <v>0</v>
      </c>
      <c r="U67" s="314">
        <f t="shared" si="13"/>
        <v>0</v>
      </c>
      <c r="V67" s="314">
        <f t="shared" si="13"/>
        <v>0</v>
      </c>
      <c r="W67" s="314">
        <f t="shared" si="13"/>
        <v>0</v>
      </c>
    </row>
    <row r="68" spans="2:23" ht="27.75" customHeight="1" x14ac:dyDescent="0.3">
      <c r="B68" s="1962"/>
      <c r="C68" s="1410"/>
      <c r="D68" s="1972"/>
      <c r="E68" s="498" t="s">
        <v>130</v>
      </c>
      <c r="F68" s="314">
        <f>'शिक्षक मानधन पावती'!BI156</f>
        <v>0</v>
      </c>
      <c r="G68" s="314">
        <f>'शिक्षक मानधन पावती'!BJ156</f>
        <v>0</v>
      </c>
      <c r="H68" s="314">
        <f>'शिक्षक मानधन पावती'!BK156</f>
        <v>0</v>
      </c>
      <c r="I68" s="314">
        <f>'शिक्षक मानधन पावती'!BL156</f>
        <v>0</v>
      </c>
      <c r="J68" s="314">
        <f>'शिक्षक मानधन पावती'!BM156</f>
        <v>0</v>
      </c>
      <c r="K68" s="314">
        <f>'शिक्षक मानधन पावती'!BN156</f>
        <v>0</v>
      </c>
      <c r="L68" s="314">
        <f>'शिक्षक मानधन पावती'!BO156</f>
        <v>0</v>
      </c>
      <c r="M68" s="314">
        <f>'शिक्षक मानधन पावती'!BP156</f>
        <v>0</v>
      </c>
      <c r="N68" s="314">
        <f>'शिक्षक मानधन पावती'!BQ156</f>
        <v>0</v>
      </c>
      <c r="O68" s="314">
        <f>'शिक्षक मानधन पावती'!BR156</f>
        <v>0</v>
      </c>
      <c r="P68" s="314">
        <f>'शिक्षक मानधन पावती'!BS156</f>
        <v>0</v>
      </c>
      <c r="Q68" s="314">
        <f>'शिक्षक मानधन पावती'!BT156</f>
        <v>0</v>
      </c>
      <c r="R68" s="314">
        <f>'शिक्षक मानधन पावती'!BU156</f>
        <v>0</v>
      </c>
      <c r="S68" s="314">
        <f>'शिक्षक मानधन पावती'!BV156</f>
        <v>0</v>
      </c>
      <c r="T68" s="314">
        <f>'शिक्षक मानधन पावती'!BW156</f>
        <v>0</v>
      </c>
      <c r="U68" s="314">
        <f>'शिक्षक मानधन पावती'!BX156</f>
        <v>0</v>
      </c>
      <c r="V68" s="314">
        <f>'शिक्षक मानधन पावती'!BY156</f>
        <v>0</v>
      </c>
      <c r="W68" s="314">
        <f>'शिक्षक मानधन पावती'!BZ156</f>
        <v>0</v>
      </c>
    </row>
    <row r="69" spans="2:23" ht="27.75" customHeight="1" x14ac:dyDescent="0.35">
      <c r="B69" s="1962">
        <v>13</v>
      </c>
      <c r="C69" s="1964" t="s">
        <v>29</v>
      </c>
      <c r="D69" s="1965"/>
      <c r="E69" s="562" t="s">
        <v>142</v>
      </c>
      <c r="F69" s="314">
        <f>F8</f>
        <v>0</v>
      </c>
      <c r="G69" s="314">
        <f t="shared" ref="G69:W69" si="14">G8</f>
        <v>0</v>
      </c>
      <c r="H69" s="314">
        <f t="shared" si="14"/>
        <v>0</v>
      </c>
      <c r="I69" s="314">
        <f t="shared" si="14"/>
        <v>0</v>
      </c>
      <c r="J69" s="314">
        <f t="shared" si="14"/>
        <v>0</v>
      </c>
      <c r="K69" s="314">
        <f t="shared" si="14"/>
        <v>0</v>
      </c>
      <c r="L69" s="314">
        <f t="shared" si="14"/>
        <v>0</v>
      </c>
      <c r="M69" s="314">
        <f t="shared" si="14"/>
        <v>0</v>
      </c>
      <c r="N69" s="314">
        <f t="shared" si="14"/>
        <v>0</v>
      </c>
      <c r="O69" s="314">
        <f t="shared" si="14"/>
        <v>0</v>
      </c>
      <c r="P69" s="314">
        <f t="shared" si="14"/>
        <v>0</v>
      </c>
      <c r="Q69" s="314">
        <f t="shared" si="14"/>
        <v>0</v>
      </c>
      <c r="R69" s="314">
        <f t="shared" si="14"/>
        <v>0</v>
      </c>
      <c r="S69" s="314">
        <f t="shared" si="14"/>
        <v>0</v>
      </c>
      <c r="T69" s="314">
        <f t="shared" si="14"/>
        <v>0</v>
      </c>
      <c r="U69" s="314">
        <f t="shared" si="14"/>
        <v>0</v>
      </c>
      <c r="V69" s="314">
        <f t="shared" si="14"/>
        <v>0</v>
      </c>
      <c r="W69" s="314">
        <f t="shared" si="14"/>
        <v>0</v>
      </c>
    </row>
    <row r="70" spans="2:23" ht="27.75" customHeight="1" x14ac:dyDescent="0.3">
      <c r="B70" s="1962"/>
      <c r="C70" s="1966"/>
      <c r="D70" s="1967"/>
      <c r="E70" s="498" t="s">
        <v>128</v>
      </c>
      <c r="F70" s="314">
        <f t="shared" ref="F70" si="15">SUM(F9,F14,F19,F24,F29,F34,F39,F44,F49,F54,F59,F64)</f>
        <v>0</v>
      </c>
      <c r="G70" s="314">
        <f t="shared" ref="G70:W70" si="16">SUM(G9,G14,G19,G24,G29,G34,G39,G44,G49,G54,G59,G64)</f>
        <v>0</v>
      </c>
      <c r="H70" s="314">
        <f t="shared" si="16"/>
        <v>0</v>
      </c>
      <c r="I70" s="314">
        <f t="shared" si="16"/>
        <v>0</v>
      </c>
      <c r="J70" s="314">
        <f t="shared" si="16"/>
        <v>0</v>
      </c>
      <c r="K70" s="314">
        <f t="shared" si="16"/>
        <v>0</v>
      </c>
      <c r="L70" s="314">
        <f t="shared" si="16"/>
        <v>0</v>
      </c>
      <c r="M70" s="314">
        <f t="shared" si="16"/>
        <v>0</v>
      </c>
      <c r="N70" s="314">
        <f t="shared" si="16"/>
        <v>0</v>
      </c>
      <c r="O70" s="314">
        <f t="shared" si="16"/>
        <v>0</v>
      </c>
      <c r="P70" s="314">
        <f t="shared" si="16"/>
        <v>0</v>
      </c>
      <c r="Q70" s="314">
        <f t="shared" si="16"/>
        <v>0</v>
      </c>
      <c r="R70" s="314">
        <f t="shared" si="16"/>
        <v>0</v>
      </c>
      <c r="S70" s="314">
        <f t="shared" si="16"/>
        <v>0</v>
      </c>
      <c r="T70" s="314">
        <f t="shared" si="16"/>
        <v>0</v>
      </c>
      <c r="U70" s="314">
        <f t="shared" si="16"/>
        <v>0</v>
      </c>
      <c r="V70" s="314">
        <f t="shared" si="16"/>
        <v>0</v>
      </c>
      <c r="W70" s="314">
        <f t="shared" si="16"/>
        <v>0</v>
      </c>
    </row>
    <row r="71" spans="2:23" ht="27.75" customHeight="1" x14ac:dyDescent="0.3">
      <c r="B71" s="1962"/>
      <c r="C71" s="1966"/>
      <c r="D71" s="1967"/>
      <c r="E71" s="498" t="s">
        <v>129</v>
      </c>
      <c r="F71" s="314">
        <f t="shared" ref="F71" si="17">SUM(F10,F15,F20,F25,F30,F35,F40,F45,F50,F55,F60,F65)</f>
        <v>0</v>
      </c>
      <c r="G71" s="314">
        <f t="shared" ref="G71:W71" si="18">SUM(G10,G15,G20,G25,G30,G35,G40,G45,G50,G55,G60,G65)</f>
        <v>0</v>
      </c>
      <c r="H71" s="314">
        <f t="shared" si="18"/>
        <v>0</v>
      </c>
      <c r="I71" s="314">
        <f t="shared" si="18"/>
        <v>0</v>
      </c>
      <c r="J71" s="314">
        <f t="shared" si="18"/>
        <v>0</v>
      </c>
      <c r="K71" s="314">
        <f t="shared" si="18"/>
        <v>0</v>
      </c>
      <c r="L71" s="314">
        <f t="shared" si="18"/>
        <v>0</v>
      </c>
      <c r="M71" s="314">
        <f t="shared" si="18"/>
        <v>0</v>
      </c>
      <c r="N71" s="314">
        <f t="shared" si="18"/>
        <v>0</v>
      </c>
      <c r="O71" s="314">
        <f t="shared" si="18"/>
        <v>0</v>
      </c>
      <c r="P71" s="314">
        <f t="shared" si="18"/>
        <v>0</v>
      </c>
      <c r="Q71" s="314">
        <f t="shared" si="18"/>
        <v>0</v>
      </c>
      <c r="R71" s="314">
        <f t="shared" si="18"/>
        <v>0</v>
      </c>
      <c r="S71" s="314">
        <f t="shared" si="18"/>
        <v>0</v>
      </c>
      <c r="T71" s="314">
        <f t="shared" si="18"/>
        <v>0</v>
      </c>
      <c r="U71" s="314">
        <f t="shared" si="18"/>
        <v>0</v>
      </c>
      <c r="V71" s="314">
        <f t="shared" si="18"/>
        <v>0</v>
      </c>
      <c r="W71" s="314">
        <f t="shared" si="18"/>
        <v>0</v>
      </c>
    </row>
    <row r="72" spans="2:23" ht="27.75" customHeight="1" x14ac:dyDescent="0.3">
      <c r="B72" s="1962"/>
      <c r="C72" s="1966"/>
      <c r="D72" s="1967"/>
      <c r="E72" s="498" t="s">
        <v>335</v>
      </c>
      <c r="F72" s="314">
        <f>(F11+F16+F21+F26+F31+F36+F41+F46+F51+F56+F61+F66)</f>
        <v>0</v>
      </c>
      <c r="G72" s="314">
        <f t="shared" ref="G72:W72" si="19">(G11+G16+G21+G26+G31+G36+G41+G46+G51+G56+G61+G66)</f>
        <v>0</v>
      </c>
      <c r="H72" s="314">
        <f t="shared" si="19"/>
        <v>0</v>
      </c>
      <c r="I72" s="314">
        <f t="shared" si="19"/>
        <v>0</v>
      </c>
      <c r="J72" s="314">
        <f t="shared" si="19"/>
        <v>0</v>
      </c>
      <c r="K72" s="314">
        <f t="shared" si="19"/>
        <v>0</v>
      </c>
      <c r="L72" s="314">
        <f t="shared" si="19"/>
        <v>0</v>
      </c>
      <c r="M72" s="314">
        <f t="shared" si="19"/>
        <v>0</v>
      </c>
      <c r="N72" s="314">
        <f t="shared" si="19"/>
        <v>0</v>
      </c>
      <c r="O72" s="314">
        <f t="shared" si="19"/>
        <v>0</v>
      </c>
      <c r="P72" s="314">
        <f t="shared" si="19"/>
        <v>0</v>
      </c>
      <c r="Q72" s="314">
        <f t="shared" si="19"/>
        <v>0</v>
      </c>
      <c r="R72" s="314">
        <f t="shared" si="19"/>
        <v>0</v>
      </c>
      <c r="S72" s="314">
        <f t="shared" si="19"/>
        <v>0</v>
      </c>
      <c r="T72" s="314">
        <f t="shared" si="19"/>
        <v>0</v>
      </c>
      <c r="U72" s="314">
        <f t="shared" si="19"/>
        <v>0</v>
      </c>
      <c r="V72" s="314">
        <f t="shared" si="19"/>
        <v>0</v>
      </c>
      <c r="W72" s="314">
        <f t="shared" si="19"/>
        <v>0</v>
      </c>
    </row>
    <row r="73" spans="2:23" ht="27.75" customHeight="1" x14ac:dyDescent="0.3">
      <c r="B73" s="1962"/>
      <c r="C73" s="1966"/>
      <c r="D73" s="1967"/>
      <c r="E73" s="498" t="s">
        <v>331</v>
      </c>
      <c r="F73" s="314">
        <f>(F69+F70+F71-F72)</f>
        <v>0</v>
      </c>
      <c r="G73" s="314">
        <f t="shared" ref="G73:W73" si="20">(G69+G70+G71-G72)</f>
        <v>0</v>
      </c>
      <c r="H73" s="314">
        <f t="shared" si="20"/>
        <v>0</v>
      </c>
      <c r="I73" s="314">
        <f t="shared" si="20"/>
        <v>0</v>
      </c>
      <c r="J73" s="314">
        <f t="shared" si="20"/>
        <v>0</v>
      </c>
      <c r="K73" s="314">
        <f t="shared" si="20"/>
        <v>0</v>
      </c>
      <c r="L73" s="314">
        <f t="shared" si="20"/>
        <v>0</v>
      </c>
      <c r="M73" s="314">
        <f t="shared" si="20"/>
        <v>0</v>
      </c>
      <c r="N73" s="314">
        <f t="shared" si="20"/>
        <v>0</v>
      </c>
      <c r="O73" s="314">
        <f t="shared" si="20"/>
        <v>0</v>
      </c>
      <c r="P73" s="314">
        <f t="shared" si="20"/>
        <v>0</v>
      </c>
      <c r="Q73" s="314">
        <f t="shared" si="20"/>
        <v>0</v>
      </c>
      <c r="R73" s="314">
        <f t="shared" si="20"/>
        <v>0</v>
      </c>
      <c r="S73" s="314">
        <f t="shared" si="20"/>
        <v>0</v>
      </c>
      <c r="T73" s="314">
        <f t="shared" si="20"/>
        <v>0</v>
      </c>
      <c r="U73" s="314">
        <f t="shared" si="20"/>
        <v>0</v>
      </c>
      <c r="V73" s="314">
        <f t="shared" si="20"/>
        <v>0</v>
      </c>
      <c r="W73" s="314">
        <f t="shared" si="20"/>
        <v>0</v>
      </c>
    </row>
    <row r="74" spans="2:23" ht="27.75" customHeight="1" x14ac:dyDescent="0.3">
      <c r="B74" s="1962"/>
      <c r="C74" s="1966"/>
      <c r="D74" s="1967"/>
      <c r="E74" s="498" t="s">
        <v>130</v>
      </c>
      <c r="F74" s="314">
        <f t="shared" ref="F74:W74" si="21">SUM(F13,F18,F23,F28,F33,F38,F43,F48,F53,F58,F63,F68)</f>
        <v>0</v>
      </c>
      <c r="G74" s="314">
        <f t="shared" si="21"/>
        <v>0</v>
      </c>
      <c r="H74" s="314">
        <f t="shared" si="21"/>
        <v>0</v>
      </c>
      <c r="I74" s="314">
        <f t="shared" si="21"/>
        <v>0</v>
      </c>
      <c r="J74" s="314">
        <f t="shared" si="21"/>
        <v>0</v>
      </c>
      <c r="K74" s="314">
        <f t="shared" si="21"/>
        <v>0</v>
      </c>
      <c r="L74" s="314">
        <f t="shared" si="21"/>
        <v>0</v>
      </c>
      <c r="M74" s="314">
        <f t="shared" si="21"/>
        <v>0</v>
      </c>
      <c r="N74" s="314">
        <f t="shared" si="21"/>
        <v>0</v>
      </c>
      <c r="O74" s="314">
        <f t="shared" si="21"/>
        <v>0</v>
      </c>
      <c r="P74" s="314">
        <f t="shared" si="21"/>
        <v>0</v>
      </c>
      <c r="Q74" s="314">
        <f t="shared" si="21"/>
        <v>0</v>
      </c>
      <c r="R74" s="314">
        <f t="shared" si="21"/>
        <v>0</v>
      </c>
      <c r="S74" s="314">
        <f t="shared" si="21"/>
        <v>0</v>
      </c>
      <c r="T74" s="314">
        <f t="shared" si="21"/>
        <v>0</v>
      </c>
      <c r="U74" s="314">
        <f t="shared" si="21"/>
        <v>0</v>
      </c>
      <c r="V74" s="314">
        <f t="shared" si="21"/>
        <v>0</v>
      </c>
      <c r="W74" s="314">
        <f t="shared" si="21"/>
        <v>0</v>
      </c>
    </row>
    <row r="75" spans="2:23" ht="27.75" customHeight="1" thickBot="1" x14ac:dyDescent="0.4">
      <c r="B75" s="1963"/>
      <c r="C75" s="1968"/>
      <c r="D75" s="1969"/>
      <c r="E75" s="563" t="s">
        <v>143</v>
      </c>
      <c r="F75" s="323">
        <f>F73-F74</f>
        <v>0</v>
      </c>
      <c r="G75" s="323">
        <f t="shared" ref="G75:W75" si="22">G73-G74</f>
        <v>0</v>
      </c>
      <c r="H75" s="323">
        <f t="shared" si="22"/>
        <v>0</v>
      </c>
      <c r="I75" s="323">
        <f t="shared" si="22"/>
        <v>0</v>
      </c>
      <c r="J75" s="323">
        <f t="shared" si="22"/>
        <v>0</v>
      </c>
      <c r="K75" s="323">
        <f t="shared" si="22"/>
        <v>0</v>
      </c>
      <c r="L75" s="323">
        <f t="shared" si="22"/>
        <v>0</v>
      </c>
      <c r="M75" s="323">
        <f t="shared" si="22"/>
        <v>0</v>
      </c>
      <c r="N75" s="323">
        <f t="shared" si="22"/>
        <v>0</v>
      </c>
      <c r="O75" s="323">
        <f t="shared" si="22"/>
        <v>0</v>
      </c>
      <c r="P75" s="323">
        <f t="shared" si="22"/>
        <v>0</v>
      </c>
      <c r="Q75" s="323">
        <f t="shared" si="22"/>
        <v>0</v>
      </c>
      <c r="R75" s="323">
        <f t="shared" si="22"/>
        <v>0</v>
      </c>
      <c r="S75" s="323">
        <f t="shared" si="22"/>
        <v>0</v>
      </c>
      <c r="T75" s="323">
        <f t="shared" si="22"/>
        <v>0</v>
      </c>
      <c r="U75" s="323">
        <f t="shared" si="22"/>
        <v>0</v>
      </c>
      <c r="V75" s="323">
        <f t="shared" si="22"/>
        <v>0</v>
      </c>
      <c r="W75" s="323">
        <f t="shared" si="22"/>
        <v>0</v>
      </c>
    </row>
    <row r="76" spans="2:23" ht="27.75" customHeight="1" x14ac:dyDescent="0.45">
      <c r="B76" s="502"/>
      <c r="C76" s="502"/>
      <c r="D76" s="502"/>
      <c r="E76" s="502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  <c r="S76" s="503"/>
      <c r="T76" s="503"/>
      <c r="U76" s="503"/>
      <c r="V76" s="502"/>
      <c r="W76" s="502"/>
    </row>
  </sheetData>
  <sheetProtection algorithmName="SHA-512" hashValue="RznyUAI3NIz3a8sEDutLs7V+GRnonybL9+GW/FRV9X5GvSE9pkBWKAYpmYw/JBhaPU32SSBP93VQRI8aiV4juQ==" saltValue="7xYcVWP93LL843KKaEppHg==" spinCount="100000" sheet="1" objects="1" scenarios="1" selectLockedCells="1"/>
  <mergeCells count="49">
    <mergeCell ref="B3:W3"/>
    <mergeCell ref="B4:C4"/>
    <mergeCell ref="D4:H4"/>
    <mergeCell ref="V4:W4"/>
    <mergeCell ref="B5:C5"/>
    <mergeCell ref="D5:H5"/>
    <mergeCell ref="J5:L5"/>
    <mergeCell ref="M5:N5"/>
    <mergeCell ref="O5:P5"/>
    <mergeCell ref="T5:U5"/>
    <mergeCell ref="J4:K4"/>
    <mergeCell ref="B9:B13"/>
    <mergeCell ref="C9:C13"/>
    <mergeCell ref="D9:D13"/>
    <mergeCell ref="B14:B18"/>
    <mergeCell ref="C14:C18"/>
    <mergeCell ref="D14:D18"/>
    <mergeCell ref="B19:B23"/>
    <mergeCell ref="C19:C23"/>
    <mergeCell ref="D19:D23"/>
    <mergeCell ref="B24:B28"/>
    <mergeCell ref="C24:C28"/>
    <mergeCell ref="D24:D28"/>
    <mergeCell ref="B29:B33"/>
    <mergeCell ref="C29:C33"/>
    <mergeCell ref="D29:D33"/>
    <mergeCell ref="B34:B38"/>
    <mergeCell ref="C34:C38"/>
    <mergeCell ref="D34:D38"/>
    <mergeCell ref="B39:B43"/>
    <mergeCell ref="C39:C43"/>
    <mergeCell ref="D39:D43"/>
    <mergeCell ref="B44:B48"/>
    <mergeCell ref="C44:C48"/>
    <mergeCell ref="D44:D48"/>
    <mergeCell ref="B49:B53"/>
    <mergeCell ref="C49:C53"/>
    <mergeCell ref="D49:D53"/>
    <mergeCell ref="B54:B58"/>
    <mergeCell ref="C54:C58"/>
    <mergeCell ref="D54:D58"/>
    <mergeCell ref="B69:B75"/>
    <mergeCell ref="C69:D75"/>
    <mergeCell ref="B59:B63"/>
    <mergeCell ref="C59:C63"/>
    <mergeCell ref="D59:D63"/>
    <mergeCell ref="B64:B68"/>
    <mergeCell ref="C64:C68"/>
    <mergeCell ref="D64:D68"/>
  </mergeCells>
  <printOptions horizontalCentered="1" verticalCentered="1"/>
  <pageMargins left="0.11811023622047245" right="0.11811023622047245" top="0.11811023622047245" bottom="0.11811023622047245" header="0.31496062992125984" footer="7.874015748031496E-2"/>
  <pageSetup paperSize="9" scale="42" orientation="portrait" r:id="rId1"/>
  <colBreaks count="1" manualBreakCount="1">
    <brk id="2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00FF"/>
    <pageSetUpPr fitToPage="1"/>
  </sheetPr>
  <dimension ref="B1:W16"/>
  <sheetViews>
    <sheetView showRowColHeaders="0" showZeros="0" zoomScaleNormal="100" workbookViewId="0">
      <selection activeCell="D5" sqref="D5:J5"/>
    </sheetView>
  </sheetViews>
  <sheetFormatPr defaultRowHeight="28.5" customHeight="1" x14ac:dyDescent="0.3"/>
  <cols>
    <col min="1" max="1" width="3.42578125" style="15" customWidth="1"/>
    <col min="2" max="2" width="6" style="15" customWidth="1"/>
    <col min="3" max="3" width="10.140625" style="15" customWidth="1"/>
    <col min="4" max="4" width="10.7109375" style="15" customWidth="1"/>
    <col min="5" max="5" width="8.7109375" style="15" customWidth="1"/>
    <col min="6" max="6" width="10.42578125" style="15" customWidth="1"/>
    <col min="7" max="7" width="13.28515625" style="15" customWidth="1"/>
    <col min="8" max="9" width="12.7109375" style="15" customWidth="1"/>
    <col min="10" max="10" width="12.140625" style="15" customWidth="1"/>
    <col min="11" max="11" width="10.28515625" style="15" customWidth="1"/>
    <col min="12" max="12" width="14.140625" style="15" customWidth="1"/>
    <col min="13" max="13" width="11.140625" style="15" customWidth="1"/>
    <col min="14" max="14" width="14.5703125" style="15" customWidth="1"/>
    <col min="15" max="15" width="10.5703125" style="15" customWidth="1"/>
    <col min="16" max="16" width="10.42578125" style="15" customWidth="1"/>
    <col min="17" max="17" width="14.28515625" style="15" customWidth="1"/>
    <col min="18" max="16384" width="9.140625" style="15"/>
  </cols>
  <sheetData>
    <row r="1" spans="2:23" ht="18" customHeight="1" x14ac:dyDescent="0.3"/>
    <row r="3" spans="2:23" ht="12" customHeight="1" thickBot="1" x14ac:dyDescent="0.35"/>
    <row r="4" spans="2:23" ht="44.25" customHeight="1" thickBot="1" x14ac:dyDescent="0.35">
      <c r="B4" s="1993" t="s">
        <v>448</v>
      </c>
      <c r="C4" s="1992"/>
      <c r="D4" s="1992"/>
      <c r="E4" s="1992"/>
      <c r="F4" s="1992"/>
      <c r="G4" s="1992"/>
      <c r="H4" s="1992"/>
      <c r="I4" s="1992"/>
      <c r="J4" s="1992"/>
      <c r="K4" s="1992"/>
      <c r="L4" s="1992"/>
      <c r="M4" s="1992"/>
      <c r="N4" s="1992" t="s">
        <v>312</v>
      </c>
      <c r="O4" s="1992"/>
      <c r="P4" s="311">
        <f>HOME!E2</f>
        <v>2022</v>
      </c>
      <c r="Q4" s="311">
        <f>HOME!F2</f>
        <v>2023</v>
      </c>
      <c r="R4" s="573"/>
      <c r="S4" s="574"/>
      <c r="T4" s="574"/>
      <c r="U4" s="574"/>
      <c r="V4" s="574"/>
    </row>
    <row r="5" spans="2:23" ht="45" customHeight="1" thickBot="1" x14ac:dyDescent="0.35">
      <c r="B5" s="1990" t="s">
        <v>334</v>
      </c>
      <c r="C5" s="1991"/>
      <c r="D5" s="2000" t="str">
        <f>'शाळा माहिती'!D4</f>
        <v>जि.प.प्रा.शा.बोरजाई वस्ती</v>
      </c>
      <c r="E5" s="2000"/>
      <c r="F5" s="2000"/>
      <c r="G5" s="2000"/>
      <c r="H5" s="2000"/>
      <c r="I5" s="2000"/>
      <c r="J5" s="2000"/>
      <c r="K5" s="31" t="s">
        <v>377</v>
      </c>
      <c r="L5" s="1292" t="str">
        <f>'शाळा माहिती'!D7</f>
        <v>गंगापूर</v>
      </c>
      <c r="M5" s="1417" t="s">
        <v>450</v>
      </c>
      <c r="N5" s="1417"/>
      <c r="O5" s="1997" t="str">
        <f>'शाळा माहिती'!D12</f>
        <v>इयता 1 ली ते 5 वी</v>
      </c>
      <c r="P5" s="1997"/>
      <c r="Q5" s="1997"/>
      <c r="R5" s="420"/>
      <c r="S5" s="575"/>
      <c r="T5" s="575"/>
      <c r="U5" s="575"/>
      <c r="V5" s="575"/>
    </row>
    <row r="6" spans="2:23" ht="39.75" customHeight="1" thickBot="1" x14ac:dyDescent="0.35">
      <c r="B6" s="1416" t="s">
        <v>458</v>
      </c>
      <c r="C6" s="1417"/>
      <c r="D6" s="1996">
        <f>'शाळा माहिती'!D10</f>
        <v>27190220701</v>
      </c>
      <c r="E6" s="1996"/>
      <c r="F6" s="1996"/>
      <c r="G6" s="31" t="s">
        <v>256</v>
      </c>
      <c r="H6" s="1996" t="str">
        <f>'शाळा माहिती'!D6</f>
        <v>जामगाव</v>
      </c>
      <c r="I6" s="1996"/>
      <c r="J6" s="1996"/>
      <c r="K6" s="31" t="s">
        <v>378</v>
      </c>
      <c r="L6" s="1292" t="str">
        <f>'शाळा माहिती'!D8</f>
        <v>औरंगाबाद</v>
      </c>
      <c r="M6" s="31" t="s">
        <v>257</v>
      </c>
      <c r="N6" s="585" t="s">
        <v>38</v>
      </c>
      <c r="O6" s="1998">
        <v>2022</v>
      </c>
      <c r="P6" s="1999"/>
      <c r="Q6" s="395"/>
      <c r="R6" s="576"/>
      <c r="S6" s="395"/>
      <c r="T6" s="395"/>
      <c r="U6" s="395"/>
      <c r="V6" s="395"/>
    </row>
    <row r="7" spans="2:23" ht="85.5" customHeight="1" thickBot="1" x14ac:dyDescent="0.35">
      <c r="B7" s="577" t="s">
        <v>86</v>
      </c>
      <c r="C7" s="578" t="s">
        <v>284</v>
      </c>
      <c r="D7" s="579" t="s">
        <v>445</v>
      </c>
      <c r="E7" s="579" t="s">
        <v>718</v>
      </c>
      <c r="F7" s="579" t="s">
        <v>453</v>
      </c>
      <c r="G7" s="579" t="s">
        <v>446</v>
      </c>
      <c r="H7" s="579" t="s">
        <v>447</v>
      </c>
      <c r="I7" s="579" t="s">
        <v>752</v>
      </c>
      <c r="J7" s="579" t="s">
        <v>751</v>
      </c>
      <c r="K7" s="579" t="s">
        <v>449</v>
      </c>
      <c r="L7" s="579" t="s">
        <v>451</v>
      </c>
      <c r="M7" s="579" t="s">
        <v>452</v>
      </c>
      <c r="N7" s="579" t="s">
        <v>455</v>
      </c>
      <c r="O7" s="579" t="s">
        <v>399</v>
      </c>
      <c r="P7" s="579" t="s">
        <v>402</v>
      </c>
      <c r="Q7" s="579" t="s">
        <v>456</v>
      </c>
      <c r="R7" s="580" t="s">
        <v>454</v>
      </c>
      <c r="S7" s="21"/>
      <c r="T7" s="21"/>
      <c r="U7" s="21"/>
      <c r="V7" s="21"/>
      <c r="W7" s="368"/>
    </row>
    <row r="8" spans="2:23" ht="23.25" customHeight="1" thickBot="1" x14ac:dyDescent="0.35">
      <c r="B8" s="1002">
        <v>1</v>
      </c>
      <c r="C8" s="1296">
        <v>2</v>
      </c>
      <c r="D8" s="1003">
        <v>3</v>
      </c>
      <c r="E8" s="1296">
        <v>4</v>
      </c>
      <c r="F8" s="1003">
        <v>5</v>
      </c>
      <c r="G8" s="1296">
        <v>6</v>
      </c>
      <c r="H8" s="1003">
        <v>7</v>
      </c>
      <c r="I8" s="1296">
        <v>8</v>
      </c>
      <c r="J8" s="1003">
        <v>9</v>
      </c>
      <c r="K8" s="1296">
        <v>10</v>
      </c>
      <c r="L8" s="1003">
        <v>11</v>
      </c>
      <c r="M8" s="1003">
        <v>12</v>
      </c>
      <c r="N8" s="1297">
        <v>13</v>
      </c>
      <c r="O8" s="1003">
        <v>14</v>
      </c>
      <c r="P8" s="1297">
        <v>15</v>
      </c>
      <c r="Q8" s="1003">
        <v>16</v>
      </c>
      <c r="R8" s="1298">
        <v>17</v>
      </c>
      <c r="S8" s="21"/>
      <c r="T8" s="21"/>
    </row>
    <row r="9" spans="2:23" ht="48.75" customHeight="1" x14ac:dyDescent="0.3">
      <c r="B9" s="581">
        <v>1</v>
      </c>
      <c r="C9" s="1001" t="str">
        <f>'शाळा माहिती'!C17</f>
        <v>1 ते 5</v>
      </c>
      <c r="D9" s="998">
        <f>(VLOOKUP(N6,'मुख्याध्यापक डायरी'!C6:T18,2,0))</f>
        <v>22</v>
      </c>
      <c r="E9" s="998">
        <f>VLOOKUP(N6,'मुख्याध्यापक डायरी'!C6:T18,10,0)</f>
        <v>19</v>
      </c>
      <c r="F9" s="998">
        <f>VLOOKUP(N6,'मुख्याध्यापक डायरी'!C6:T18,11,0)</f>
        <v>19</v>
      </c>
      <c r="G9" s="1163">
        <f>VLOOKUP(N6,'मुख्याध्यापक डायरी'!C6:T18,3,0)</f>
        <v>37.399999999999963</v>
      </c>
      <c r="H9" s="1163">
        <f>IF(VLOOKUP(N6,'मुख्याध्यापक डायरी'!C6:T18,4,0)&gt;0,VLOOKUP(N6,'मुख्याध्यापक डायरी'!C6:T18,4,0),"--")</f>
        <v>50</v>
      </c>
      <c r="I9" s="1163" t="str">
        <f>IF(VLOOKUP(N6,'साठा नोंदवही'!$C$44:$E$55,3,0)&gt;0,VLOOKUP(N6,'साठा नोंदवही'!$C$44:$E$55,3,0),"--")</f>
        <v>--</v>
      </c>
      <c r="J9" s="1163">
        <f>VLOOKUP(N6,'मुख्याध्यापक डायरी'!C6:T18,6,0)</f>
        <v>87.399999999999963</v>
      </c>
      <c r="K9" s="998">
        <f>VLOOKUP(N6,'मुख्याध्यापक डायरी'!C6:T18,7,0)</f>
        <v>418</v>
      </c>
      <c r="L9" s="1163">
        <f>VLOOKUP(N6,'मुख्याध्यापक डायरी'!C6:T18,8,0)</f>
        <v>41.800000000000004</v>
      </c>
      <c r="M9" s="1163">
        <f>VLOOKUP(N6,'मुख्याध्यापक डायरी'!C6:T18,9,0)</f>
        <v>45.599999999999959</v>
      </c>
      <c r="N9" s="1159">
        <f>VLOOKUP(N6,'मुख्याध्यापक डायरी'!C6:T18,16,0)</f>
        <v>1199.6600000000001</v>
      </c>
      <c r="O9" s="1994">
        <f>IF(VLOOKUP(N6,' प्रमाण निश्चिती '!B9:AB20,27,0)&gt;0,VLOOKUP(N6,' प्रमाण निश्चिती '!B9:AB20,27,0),"--")</f>
        <v>1500</v>
      </c>
      <c r="P9" s="1994">
        <f>IF(VLOOKUP(N6,' प्रमाण निश्चिती '!B9:AB20,27,0)&gt;0,VLOOKUP(N6,' प्रमाण निश्चिती '!B9:AB20,27,0),"--")</f>
        <v>1500</v>
      </c>
      <c r="Q9" s="2001">
        <f>SUM(N9,N10,O9,P9)</f>
        <v>4199.66</v>
      </c>
      <c r="R9" s="1988"/>
    </row>
    <row r="10" spans="2:23" ht="48.75" customHeight="1" thickBot="1" x14ac:dyDescent="0.35">
      <c r="B10" s="583">
        <v>2</v>
      </c>
      <c r="C10" s="201" t="str">
        <f>'शाळा माहिती'!C18</f>
        <v>6 ते 8</v>
      </c>
      <c r="D10" s="202">
        <f>(VLOOKUP(N6,'मुख्याध्यापक डायरी'!C23:T35,2,0))</f>
        <v>0</v>
      </c>
      <c r="E10" s="202">
        <f>VLOOKUP(N6,'मुख्याध्यापक डायरी'!C23:T35,10,0)</f>
        <v>0</v>
      </c>
      <c r="F10" s="202">
        <f>VLOOKUP(N6,'मुख्याध्यापक डायरी'!C23:T35,11,0)</f>
        <v>0</v>
      </c>
      <c r="G10" s="1160" t="str">
        <f>VLOOKUP(N6,'मुख्याध्यापक डायरी'!C23:T35,3,0)</f>
        <v/>
      </c>
      <c r="H10" s="1160" t="str">
        <f>IF(VLOOKUP(N6,'मुख्याध्यापक डायरी'!C23:T35,4,0)&gt;0,VLOOKUP(N6,'मुख्याध्यापक डायरी'!C23:T35,4,0),"--")</f>
        <v>--</v>
      </c>
      <c r="I10" s="1160" t="str">
        <f>IF(VLOOKUP(N6,'साठा नोंदवही'!$C$99:$E$110,3,0)&gt;0,VLOOKUP(N6,'साठा नोंदवही'!$C$99:$E$110,3,0),"--")</f>
        <v>--</v>
      </c>
      <c r="J10" s="1160" t="str">
        <f>VLOOKUP(N6,'मुख्याध्यापक डायरी'!C23:T35,6,0)</f>
        <v/>
      </c>
      <c r="K10" s="202">
        <f>VLOOKUP(N6,'मुख्याध्यापक डायरी'!C23:T35,7,0)</f>
        <v>0</v>
      </c>
      <c r="L10" s="1160">
        <f>VLOOKUP(N6,'मुख्याध्यापक डायरी'!C23:T35,8,0)</f>
        <v>0</v>
      </c>
      <c r="M10" s="1160" t="str">
        <f>VLOOKUP(N6,'मुख्याध्यापक डायरी'!C23:T35,9,0)</f>
        <v/>
      </c>
      <c r="N10" s="1165">
        <f>VLOOKUP(N6,'मुख्याध्यापक डायरी'!C23:T35,16,0)</f>
        <v>0</v>
      </c>
      <c r="O10" s="1995"/>
      <c r="P10" s="1995"/>
      <c r="Q10" s="2002"/>
      <c r="R10" s="1989"/>
    </row>
    <row r="11" spans="2:23" ht="57.75" customHeight="1" thickBot="1" x14ac:dyDescent="0.35">
      <c r="B11" s="1004">
        <v>3</v>
      </c>
      <c r="C11" s="1005" t="s">
        <v>35</v>
      </c>
      <c r="D11" s="1291">
        <f>SUM(D9:D10)</f>
        <v>22</v>
      </c>
      <c r="E11" s="1291">
        <f>ROUNDUP(((E9+E10)/2),0)</f>
        <v>10</v>
      </c>
      <c r="F11" s="1291">
        <f>ROUNDUP(((F9+F10)/2),0)</f>
        <v>10</v>
      </c>
      <c r="G11" s="1164">
        <f>SUM(G9:G10)</f>
        <v>37.399999999999963</v>
      </c>
      <c r="H11" s="1164">
        <f>IF(SUM(H9:H10)&gt;0,SUM(H9:H10),"--")</f>
        <v>50</v>
      </c>
      <c r="I11" s="1164" t="str">
        <f>IF(SUM(I9:I10)&gt;0,SUM(I9:I10),"--")</f>
        <v>--</v>
      </c>
      <c r="J11" s="1164">
        <f>SUM(J9:J10)</f>
        <v>87.399999999999963</v>
      </c>
      <c r="K11" s="1291">
        <f t="shared" ref="K11:Q11" si="0">SUM(K9:K10)</f>
        <v>418</v>
      </c>
      <c r="L11" s="1164">
        <f t="shared" si="0"/>
        <v>41.800000000000004</v>
      </c>
      <c r="M11" s="1164">
        <f>SUM(M9:M10)</f>
        <v>45.599999999999959</v>
      </c>
      <c r="N11" s="1293">
        <f t="shared" si="0"/>
        <v>1199.6600000000001</v>
      </c>
      <c r="O11" s="1291">
        <f>IF(SUM(O9,O10)&gt;0,SUM(O9,O10),"--")</f>
        <v>1500</v>
      </c>
      <c r="P11" s="1291">
        <f>IF(SUM(P9,P10)&gt;0,SUM(P9,P10),"--")</f>
        <v>1500</v>
      </c>
      <c r="Q11" s="1293">
        <f t="shared" si="0"/>
        <v>4199.66</v>
      </c>
      <c r="R11" s="1290"/>
    </row>
    <row r="12" spans="2:23" ht="28.5" customHeight="1" x14ac:dyDescent="0.3">
      <c r="Q12" s="584"/>
    </row>
    <row r="13" spans="2:23" ht="28.5" customHeight="1" x14ac:dyDescent="0.3">
      <c r="J13" s="15">
        <f>ROUNDUP(H13,0)</f>
        <v>0</v>
      </c>
    </row>
    <row r="15" spans="2:23" ht="28.5" customHeight="1" x14ac:dyDescent="0.4">
      <c r="O15" s="1799" t="s">
        <v>457</v>
      </c>
      <c r="P15" s="1799"/>
    </row>
    <row r="16" spans="2:23" ht="28.5" customHeight="1" x14ac:dyDescent="0.3">
      <c r="N16" s="1380" t="str">
        <f>'शाळा माहिती'!D4</f>
        <v>जि.प.प्रा.शा.बोरजाई वस्ती</v>
      </c>
      <c r="O16" s="1380"/>
      <c r="P16" s="1380"/>
      <c r="Q16" s="1380"/>
    </row>
  </sheetData>
  <sheetProtection algorithmName="SHA-512" hashValue="+sFuRnkoYHDnUywcuvyawjrzmnD5KPn+CZu8iezXJRXnCFKJTqjUXHjnke6TEUYw0EqQMa4TF51PNjyI/WGjbg==" saltValue="V6ClIzsx+XL8gC9ySRiDdQ==" spinCount="100000" sheet="1" objects="1" scenarios="1" selectLockedCells="1"/>
  <protectedRanges>
    <protectedRange sqref="N6:P6" name="Range1"/>
  </protectedRanges>
  <mergeCells count="16">
    <mergeCell ref="N4:O4"/>
    <mergeCell ref="B4:M4"/>
    <mergeCell ref="O9:O10"/>
    <mergeCell ref="P9:P10"/>
    <mergeCell ref="N16:Q16"/>
    <mergeCell ref="H6:J6"/>
    <mergeCell ref="D6:F6"/>
    <mergeCell ref="O5:Q5"/>
    <mergeCell ref="O6:P6"/>
    <mergeCell ref="D5:J5"/>
    <mergeCell ref="Q9:Q10"/>
    <mergeCell ref="R9:R10"/>
    <mergeCell ref="B5:C5"/>
    <mergeCell ref="B6:C6"/>
    <mergeCell ref="O15:P15"/>
    <mergeCell ref="M5:N5"/>
  </mergeCells>
  <dataValidations count="1">
    <dataValidation type="list" allowBlank="1" showInputMessage="1" showErrorMessage="1" sqref="N6">
      <formula1>month</formula1>
    </dataValidation>
  </dataValidations>
  <printOptions horizontalCentered="1" verticalCentered="1"/>
  <pageMargins left="0.39370078740157483" right="0.39370078740157483" top="1.1417322834645669" bottom="0.39370078740157483" header="0.78740157480314965" footer="0.31496062992125984"/>
  <pageSetup paperSize="9" scale="6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O6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00FF"/>
    <pageSetUpPr fitToPage="1"/>
  </sheetPr>
  <dimension ref="B1:AD52"/>
  <sheetViews>
    <sheetView showRowColHeaders="0" showZeros="0" zoomScaleNormal="100" workbookViewId="0">
      <selection activeCell="D4" sqref="D4:J5"/>
    </sheetView>
  </sheetViews>
  <sheetFormatPr defaultRowHeight="33.75" customHeight="1" x14ac:dyDescent="0.3"/>
  <cols>
    <col min="1" max="1" width="3.140625" style="15" customWidth="1"/>
    <col min="2" max="2" width="5" style="15" customWidth="1"/>
    <col min="3" max="3" width="14.140625" style="15" customWidth="1"/>
    <col min="4" max="4" width="13.140625" style="15" customWidth="1"/>
    <col min="5" max="5" width="16.42578125" style="15" customWidth="1"/>
    <col min="6" max="6" width="13.5703125" style="15" customWidth="1"/>
    <col min="7" max="7" width="14.5703125" style="15" customWidth="1"/>
    <col min="8" max="8" width="16.28515625" style="15" customWidth="1"/>
    <col min="9" max="9" width="12.7109375" style="15" customWidth="1"/>
    <col min="10" max="10" width="12.28515625" style="15" customWidth="1"/>
    <col min="11" max="11" width="17.42578125" style="15" customWidth="1"/>
    <col min="12" max="12" width="10.140625" style="15" customWidth="1"/>
    <col min="13" max="13" width="12.140625" style="15" customWidth="1"/>
    <col min="14" max="14" width="14.28515625" style="15" customWidth="1"/>
    <col min="15" max="15" width="13.85546875" style="15" customWidth="1"/>
    <col min="16" max="17" width="11.5703125" style="15" customWidth="1"/>
    <col min="18" max="18" width="14.140625" style="15" customWidth="1"/>
    <col min="19" max="19" width="11.140625" style="15" customWidth="1"/>
    <col min="20" max="20" width="11.42578125" style="15" customWidth="1"/>
    <col min="21" max="21" width="5.140625" style="15" customWidth="1"/>
    <col min="22" max="24" width="9.140625" style="15"/>
    <col min="25" max="25" width="9.140625" style="15" customWidth="1"/>
    <col min="26" max="30" width="9.140625" style="15" hidden="1" customWidth="1"/>
    <col min="31" max="31" width="9.140625" style="15" customWidth="1"/>
    <col min="32" max="16384" width="9.140625" style="15"/>
  </cols>
  <sheetData>
    <row r="1" spans="2:30" ht="36" customHeight="1" thickBot="1" x14ac:dyDescent="0.35"/>
    <row r="2" spans="2:30" ht="36.75" customHeight="1" thickBot="1" x14ac:dyDescent="0.35">
      <c r="C2" s="586" t="s">
        <v>334</v>
      </c>
      <c r="D2" s="1466" t="str">
        <f>'शाळा माहिती'!D4</f>
        <v>जि.प.प्रा.शा.बोरजाई वस्ती</v>
      </c>
      <c r="E2" s="1466"/>
      <c r="F2" s="1466"/>
      <c r="G2" s="1466"/>
      <c r="H2" s="586" t="s">
        <v>256</v>
      </c>
      <c r="I2" s="363" t="str">
        <f>'शाळा माहिती'!D6</f>
        <v>जामगाव</v>
      </c>
      <c r="J2" s="586" t="s">
        <v>377</v>
      </c>
      <c r="K2" s="363" t="str">
        <f>'शाळा माहिती'!D7</f>
        <v>गंगापूर</v>
      </c>
      <c r="L2" s="586" t="s">
        <v>378</v>
      </c>
      <c r="M2" s="1466" t="str">
        <f>'शाळा माहिती'!D8</f>
        <v>औरंगाबाद</v>
      </c>
      <c r="N2" s="1467"/>
      <c r="O2" s="1042" t="s">
        <v>379</v>
      </c>
      <c r="P2" s="1043">
        <f>HOME!E2</f>
        <v>2022</v>
      </c>
      <c r="Q2" s="1044">
        <f>HOME!F2</f>
        <v>2023</v>
      </c>
      <c r="R2" s="1153"/>
    </row>
    <row r="3" spans="2:30" ht="34.5" customHeight="1" thickBot="1" x14ac:dyDescent="0.35">
      <c r="B3" s="2017" t="s">
        <v>332</v>
      </c>
      <c r="C3" s="2017"/>
      <c r="D3" s="2017"/>
      <c r="E3" s="574"/>
      <c r="F3" s="574"/>
      <c r="G3" s="574"/>
      <c r="H3" s="574"/>
      <c r="I3" s="2012" t="s">
        <v>332</v>
      </c>
      <c r="J3" s="2012"/>
      <c r="R3" s="656"/>
      <c r="S3" s="2012" t="s">
        <v>332</v>
      </c>
      <c r="T3" s="2012"/>
    </row>
    <row r="4" spans="2:30" ht="52.5" customHeight="1" x14ac:dyDescent="0.3">
      <c r="B4" s="2013" t="s">
        <v>86</v>
      </c>
      <c r="C4" s="2015" t="s">
        <v>363</v>
      </c>
      <c r="D4" s="2003" t="s">
        <v>364</v>
      </c>
      <c r="E4" s="2003" t="s">
        <v>368</v>
      </c>
      <c r="F4" s="2003" t="s">
        <v>369</v>
      </c>
      <c r="G4" s="2003" t="s">
        <v>370</v>
      </c>
      <c r="H4" s="2003" t="s">
        <v>371</v>
      </c>
      <c r="I4" s="2003" t="s">
        <v>365</v>
      </c>
      <c r="J4" s="2003" t="s">
        <v>372</v>
      </c>
      <c r="K4" s="2003" t="s">
        <v>373</v>
      </c>
      <c r="L4" s="2003" t="s">
        <v>718</v>
      </c>
      <c r="M4" s="2003" t="s">
        <v>367</v>
      </c>
      <c r="N4" s="2008" t="s">
        <v>366</v>
      </c>
      <c r="O4" s="2009"/>
      <c r="P4" s="2009"/>
      <c r="Q4" s="2010"/>
      <c r="R4" s="1158" t="s">
        <v>733</v>
      </c>
      <c r="S4" s="2003" t="s">
        <v>380</v>
      </c>
      <c r="T4" s="2005" t="s">
        <v>381</v>
      </c>
    </row>
    <row r="5" spans="2:30" ht="48" customHeight="1" thickBot="1" x14ac:dyDescent="0.35">
      <c r="B5" s="2014"/>
      <c r="C5" s="2016"/>
      <c r="D5" s="2004"/>
      <c r="E5" s="2004"/>
      <c r="F5" s="2004"/>
      <c r="G5" s="2004"/>
      <c r="H5" s="2004"/>
      <c r="I5" s="2004"/>
      <c r="J5" s="2004"/>
      <c r="K5" s="2004"/>
      <c r="L5" s="2004"/>
      <c r="M5" s="2004"/>
      <c r="N5" s="1032" t="s">
        <v>375</v>
      </c>
      <c r="O5" s="1033" t="s">
        <v>374</v>
      </c>
      <c r="P5" s="1033" t="s">
        <v>376</v>
      </c>
      <c r="Q5" s="1033" t="s">
        <v>732</v>
      </c>
      <c r="R5" s="1157">
        <f>AD6</f>
        <v>2.68</v>
      </c>
      <c r="S5" s="2007"/>
      <c r="T5" s="2006"/>
    </row>
    <row r="6" spans="2:30" ht="35.1" customHeight="1" x14ac:dyDescent="0.45">
      <c r="B6" s="1034">
        <v>1</v>
      </c>
      <c r="C6" s="1035" t="s">
        <v>42</v>
      </c>
      <c r="D6" s="1036">
        <f>IFERROR('शिक्षक मानधन पावती'!CS51,"")</f>
        <v>22</v>
      </c>
      <c r="E6" s="1161">
        <f>IFERROR(IF('शिक्षक मानधन पावती'!CS51&gt;1,'शिक्षक मानधन पावती'!BH50,""),"")</f>
        <v>30.2</v>
      </c>
      <c r="F6" s="1161">
        <f>'साठा नोंदवही'!BA31</f>
        <v>50</v>
      </c>
      <c r="G6" s="1036">
        <f>'साठा नोंदवही'!E44</f>
        <v>29.6</v>
      </c>
      <c r="H6" s="1161">
        <f>IFERROR(IF('शिक्षक मानधन पावती'!CS51&gt;1,E6+F6-G6,""),"")</f>
        <v>50.6</v>
      </c>
      <c r="I6" s="1036">
        <f>'शिक्षक मानधन पावती'!CW51</f>
        <v>506</v>
      </c>
      <c r="J6" s="1161">
        <f>'शिक्षक मानधन पावती'!BI67</f>
        <v>50.600000000000016</v>
      </c>
      <c r="K6" s="1161" t="str">
        <f>IF('शिक्षक मानधन पावती'!BH46&gt;0,'शिक्षक मानधन पावती'!BH46,"--")</f>
        <v>--</v>
      </c>
      <c r="L6" s="1036">
        <f>'शिक्षक मानधन पावती'!CT51</f>
        <v>23</v>
      </c>
      <c r="M6" s="1036">
        <f>'शिक्षक मानधन पावती'!CX51</f>
        <v>23</v>
      </c>
      <c r="N6" s="1037">
        <f>'शिक्षक मानधन पावती'!BZ45</f>
        <v>364.31999999999988</v>
      </c>
      <c r="O6" s="1037">
        <f>'शिक्षक मानधन पावती'!CA45</f>
        <v>323.84000000000003</v>
      </c>
      <c r="P6" s="1037">
        <f>'शिक्षक मानधन पावती'!CB45</f>
        <v>268.18</v>
      </c>
      <c r="Q6" s="1038">
        <f>IFERROR(I6*AC6,"")</f>
        <v>399.74</v>
      </c>
      <c r="R6" s="1038">
        <f>IFERROR(I6*AD6,"")</f>
        <v>1356.0800000000002</v>
      </c>
      <c r="S6" s="1041">
        <f>(I6*' प्रमाण निश्चिती '!Z9)</f>
        <v>814.66000000000008</v>
      </c>
      <c r="T6" s="1155">
        <f>(I6*' प्रमाण निश्चिती '!AA9)</f>
        <v>541.42000000000007</v>
      </c>
      <c r="AA6" s="40" t="s">
        <v>42</v>
      </c>
      <c r="AB6" s="350">
        <f>HOME!$E$2</f>
        <v>2022</v>
      </c>
      <c r="AC6" s="1154">
        <f>' प्रमाण निश्चिती '!X9</f>
        <v>0.79</v>
      </c>
      <c r="AD6" s="1154">
        <f>' प्रमाण निश्चिती '!Y9</f>
        <v>2.68</v>
      </c>
    </row>
    <row r="7" spans="2:30" ht="35.1" customHeight="1" x14ac:dyDescent="0.45">
      <c r="B7" s="1039">
        <v>2</v>
      </c>
      <c r="C7" s="1040" t="s">
        <v>44</v>
      </c>
      <c r="D7" s="1036">
        <f>IFERROR('शिक्षक मानधन पावती'!CS52,"")</f>
        <v>0</v>
      </c>
      <c r="E7" s="1161" t="str">
        <f>IFERROR(IF('शिक्षक मानधन पावती'!CS52&gt;1,'शिक्षक मानधन पावती'!BH51,""),"")</f>
        <v/>
      </c>
      <c r="F7" s="1166">
        <f>'साठा नोंदवही'!BA34</f>
        <v>100</v>
      </c>
      <c r="G7" s="1036">
        <f>'साठा नोंदवही'!E45</f>
        <v>0</v>
      </c>
      <c r="H7" s="1161" t="str">
        <f>IFERROR(IF('शिक्षक मानधन पावती'!CS52&gt;1,E7+F7-G7,""),"")</f>
        <v/>
      </c>
      <c r="I7" s="1036">
        <f>'शिक्षक मानधन पावती'!CW52</f>
        <v>0</v>
      </c>
      <c r="J7" s="1161">
        <f>'शिक्षक मानधन पावती'!BI68</f>
        <v>0</v>
      </c>
      <c r="K7" s="1161" t="str">
        <f>IFERROR(IF('शिक्षक मानधन पावती'!CS52&gt;1,H7-J7,""),"")</f>
        <v/>
      </c>
      <c r="L7" s="1036">
        <f>'शिक्षक मानधन पावती'!CT52</f>
        <v>0</v>
      </c>
      <c r="M7" s="1036">
        <f>'शिक्षक मानधन पावती'!CX52</f>
        <v>0</v>
      </c>
      <c r="N7" s="1041">
        <f>'शिक्षक मानधन पावती'!DC45</f>
        <v>0</v>
      </c>
      <c r="O7" s="1041">
        <f>'शिक्षक मानधन पावती'!DD45</f>
        <v>0</v>
      </c>
      <c r="P7" s="1041">
        <f>'शिक्षक मानधन पावती'!DE45</f>
        <v>0</v>
      </c>
      <c r="Q7" s="1038">
        <f t="shared" ref="Q7:Q17" si="0">IFERROR(I7*AC7,"")</f>
        <v>0</v>
      </c>
      <c r="R7" s="1038">
        <f t="shared" ref="R7:R17" si="1">IFERROR(I7*AD7,"")</f>
        <v>0</v>
      </c>
      <c r="S7" s="1041">
        <f>(I7*' प्रमाण निश्चिती '!Z10)</f>
        <v>0</v>
      </c>
      <c r="T7" s="1155">
        <f>(I7*' प्रमाण निश्चिती '!AA10)</f>
        <v>0</v>
      </c>
      <c r="AA7" s="40" t="s">
        <v>44</v>
      </c>
      <c r="AB7" s="350">
        <f>HOME!$E$2</f>
        <v>2022</v>
      </c>
      <c r="AC7" s="1154">
        <f>' प्रमाण निश्चिती '!X10</f>
        <v>0.79</v>
      </c>
      <c r="AD7" s="1154">
        <f>' प्रमाण निश्चिती '!Y10</f>
        <v>2.68</v>
      </c>
    </row>
    <row r="8" spans="2:30" ht="35.1" customHeight="1" x14ac:dyDescent="0.45">
      <c r="B8" s="1039">
        <v>3</v>
      </c>
      <c r="C8" s="1040" t="s">
        <v>94</v>
      </c>
      <c r="D8" s="1036">
        <f>IFERROR('शिक्षक मानधन पावती'!CS53,"")</f>
        <v>17</v>
      </c>
      <c r="E8" s="1161">
        <f>IFERROR(IF('शिक्षक मानधन पावती'!CS53&gt;1,'शिक्षक मानधन पावती'!BH52,""),"")</f>
        <v>99.999999999999986</v>
      </c>
      <c r="F8" s="1166">
        <f>'साठा नोंदवही'!BA37</f>
        <v>0</v>
      </c>
      <c r="G8" s="1036">
        <f>'साठा नोंदवही'!E46</f>
        <v>0</v>
      </c>
      <c r="H8" s="1161">
        <f>IFERROR(IF('शिक्षक मानधन पावती'!CS53&gt;1,E8+F8-G8,""),"")</f>
        <v>99.999999999999986</v>
      </c>
      <c r="I8" s="1036">
        <f>'शिक्षक मानधन पावती'!CW53</f>
        <v>234</v>
      </c>
      <c r="J8" s="1161">
        <f>'शिक्षक मानधन पावती'!BI69</f>
        <v>23.399999999999995</v>
      </c>
      <c r="K8" s="1161">
        <f>IFERROR(IF('शिक्षक मानधन पावती'!CS53&gt;1,H8-J8,""),"")</f>
        <v>76.599999999999994</v>
      </c>
      <c r="L8" s="1036">
        <f>'शिक्षक मानधन पावती'!CT53</f>
        <v>14</v>
      </c>
      <c r="M8" s="1036">
        <f>'शिक्षक मानधन पावती'!CX53</f>
        <v>14</v>
      </c>
      <c r="N8" s="1041">
        <f>'शिक्षक मानधन पावती'!EF45</f>
        <v>168.48000000000002</v>
      </c>
      <c r="O8" s="1041">
        <f>'शिक्षक मानधन पावती'!EG45</f>
        <v>149.76</v>
      </c>
      <c r="P8" s="1041">
        <f>'शिक्षक मानधन पावती'!EH45</f>
        <v>124.02000000000002</v>
      </c>
      <c r="Q8" s="1038">
        <f t="shared" si="0"/>
        <v>184.86</v>
      </c>
      <c r="R8" s="1038">
        <f t="shared" si="1"/>
        <v>627.12</v>
      </c>
      <c r="S8" s="1041">
        <f>(I8*' प्रमाण निश्चिती '!Z11)</f>
        <v>376.74</v>
      </c>
      <c r="T8" s="1155">
        <f>(I8*' प्रमाण निश्चिती '!AA11)</f>
        <v>250.38000000000002</v>
      </c>
      <c r="AA8" s="40" t="s">
        <v>94</v>
      </c>
      <c r="AB8" s="350">
        <f>HOME!$E$2</f>
        <v>2022</v>
      </c>
      <c r="AC8" s="1154">
        <f>' प्रमाण निश्चिती '!X11</f>
        <v>0.79</v>
      </c>
      <c r="AD8" s="1154">
        <f>' प्रमाण निश्चिती '!Y11</f>
        <v>2.68</v>
      </c>
    </row>
    <row r="9" spans="2:30" ht="35.1" customHeight="1" x14ac:dyDescent="0.45">
      <c r="B9" s="1039">
        <v>4</v>
      </c>
      <c r="C9" s="1040" t="s">
        <v>46</v>
      </c>
      <c r="D9" s="1036">
        <f>IFERROR('शिक्षक मानधन पावती'!CS54,"")</f>
        <v>17</v>
      </c>
      <c r="E9" s="1161">
        <f>IFERROR(IF('शिक्षक मानधन पावती'!CS54&gt;1,'शिक्षक मानधन पावती'!BH53,""),"")</f>
        <v>76.599999999999994</v>
      </c>
      <c r="F9" s="1166">
        <f>'साठा नोंदवही'!BA40</f>
        <v>0</v>
      </c>
      <c r="G9" s="1036">
        <f>'साठा नोंदवही'!E47</f>
        <v>0</v>
      </c>
      <c r="H9" s="1161">
        <f>IFERROR(IF('शिक्षक मानधन पावती'!CS54&gt;1,E9+F9-G9,""),"")</f>
        <v>76.599999999999994</v>
      </c>
      <c r="I9" s="1036">
        <f>'शिक्षक मानधन पावती'!CW54</f>
        <v>442</v>
      </c>
      <c r="J9" s="1161">
        <f>'शिक्षक मानधन पावती'!BI70</f>
        <v>44.20000000000001</v>
      </c>
      <c r="K9" s="1161">
        <f>IFERROR(IF('शिक्षक मानधन पावती'!CS54&gt;1,H9-J9,""),"")</f>
        <v>32.399999999999984</v>
      </c>
      <c r="L9" s="1036">
        <f>'शिक्षक मानधन पावती'!CT54</f>
        <v>26</v>
      </c>
      <c r="M9" s="1036">
        <f>'शिक्षक मानधन पावती'!CX54</f>
        <v>26</v>
      </c>
      <c r="N9" s="1041">
        <f>'शिक्षक मानधन पावती'!FI45</f>
        <v>318.24000000000012</v>
      </c>
      <c r="O9" s="1041">
        <f>'शिक्षक मानधन पावती'!FJ45</f>
        <v>282.87999999999994</v>
      </c>
      <c r="P9" s="1041">
        <f>'शिक्षक मानधन पावती'!FK45</f>
        <v>234.25999999999993</v>
      </c>
      <c r="Q9" s="1038">
        <f t="shared" si="0"/>
        <v>349.18</v>
      </c>
      <c r="R9" s="1038">
        <f t="shared" si="1"/>
        <v>1184.5600000000002</v>
      </c>
      <c r="S9" s="1041">
        <f>(I9*' प्रमाण निश्चिती '!Z12)</f>
        <v>711.62</v>
      </c>
      <c r="T9" s="1155">
        <f>(I9*' प्रमाण निश्चिती '!AA12)</f>
        <v>472.94000000000005</v>
      </c>
      <c r="AA9" s="40" t="s">
        <v>46</v>
      </c>
      <c r="AB9" s="350">
        <f>HOME!$E$2</f>
        <v>2022</v>
      </c>
      <c r="AC9" s="1154">
        <f>' प्रमाण निश्चिती '!X12</f>
        <v>0.79</v>
      </c>
      <c r="AD9" s="1154">
        <f>' प्रमाण निश्चिती '!Y12</f>
        <v>2.68</v>
      </c>
    </row>
    <row r="10" spans="2:30" ht="35.1" customHeight="1" x14ac:dyDescent="0.45">
      <c r="B10" s="1039">
        <v>5</v>
      </c>
      <c r="C10" s="1040" t="s">
        <v>34</v>
      </c>
      <c r="D10" s="1036">
        <f>IFERROR('शिक्षक मानधन पावती'!CS55,"")</f>
        <v>15</v>
      </c>
      <c r="E10" s="1161">
        <f>IFERROR(IF('शिक्षक मानधन पावती'!CS55&gt;1,'शिक्षक मानधन पावती'!BH54,""),"")</f>
        <v>32.399999999999984</v>
      </c>
      <c r="F10" s="1166">
        <f>'साठा नोंदवही'!BA43</f>
        <v>100</v>
      </c>
      <c r="G10" s="1036">
        <f>'साठा नोंदवही'!E48</f>
        <v>0</v>
      </c>
      <c r="H10" s="1161">
        <f>IFERROR(IF('शिक्षक मानधन पावती'!CS55&gt;1,E10+F10-G10,""),"")</f>
        <v>132.39999999999998</v>
      </c>
      <c r="I10" s="1036">
        <f>'शिक्षक मानधन पावती'!CW55</f>
        <v>330</v>
      </c>
      <c r="J10" s="1161">
        <f>'शिक्षक मानधन पावती'!BI71</f>
        <v>33</v>
      </c>
      <c r="K10" s="1161">
        <f>IFERROR(IF('शिक्षक मानधन पावती'!CS55&gt;1,H10-J10,""),"")</f>
        <v>99.399999999999977</v>
      </c>
      <c r="L10" s="1036">
        <f>'शिक्षक मानधन पावती'!CT55</f>
        <v>22</v>
      </c>
      <c r="M10" s="1036">
        <f>'शिक्षक मानधन पावती'!CX55</f>
        <v>22</v>
      </c>
      <c r="N10" s="1041">
        <f>'शिक्षक मानधन पावती'!GL45</f>
        <v>237.60000000000011</v>
      </c>
      <c r="O10" s="1041">
        <f>'शिक्षक मानधन पावती'!GM45</f>
        <v>211.19999999999993</v>
      </c>
      <c r="P10" s="1041">
        <f>'शिक्षक मानधन पावती'!GN45</f>
        <v>174.89999999999998</v>
      </c>
      <c r="Q10" s="1038">
        <f t="shared" si="0"/>
        <v>260.7</v>
      </c>
      <c r="R10" s="1038">
        <f t="shared" si="1"/>
        <v>884.40000000000009</v>
      </c>
      <c r="S10" s="1041">
        <f>(I10*' प्रमाण निश्चिती '!Z13)</f>
        <v>531.30000000000007</v>
      </c>
      <c r="T10" s="1155">
        <f>(I10*' प्रमाण निश्चिती '!AA13)</f>
        <v>353.1</v>
      </c>
      <c r="AA10" s="40" t="s">
        <v>34</v>
      </c>
      <c r="AB10" s="350">
        <f>HOME!$E$2</f>
        <v>2022</v>
      </c>
      <c r="AC10" s="1154">
        <f>' प्रमाण निश्चिती '!X13</f>
        <v>0.79</v>
      </c>
      <c r="AD10" s="1154">
        <f>' प्रमाण निश्चिती '!Y13</f>
        <v>2.68</v>
      </c>
    </row>
    <row r="11" spans="2:30" ht="35.1" customHeight="1" x14ac:dyDescent="0.45">
      <c r="B11" s="1039">
        <v>6</v>
      </c>
      <c r="C11" s="1040" t="s">
        <v>37</v>
      </c>
      <c r="D11" s="1036">
        <f>IFERROR('शिक्षक मानधन पावती'!CS56,"")</f>
        <v>17</v>
      </c>
      <c r="E11" s="1161">
        <f>IFERROR(IF('शिक्षक मानधन पावती'!CS56&gt;1,'शिक्षक मानधन पावती'!BH55,""),"")</f>
        <v>99.399999999999977</v>
      </c>
      <c r="F11" s="1166">
        <f>'साठा नोंदवही'!BA46</f>
        <v>0</v>
      </c>
      <c r="G11" s="1036">
        <f>'साठा नोंदवही'!E49</f>
        <v>0</v>
      </c>
      <c r="H11" s="1161">
        <f>IFERROR(IF('शिक्षक मानधन पावती'!CS56&gt;1,E11+F11-G11,""),"")</f>
        <v>99.399999999999977</v>
      </c>
      <c r="I11" s="1036">
        <f>'शिक्षक मानधन पावती'!CW56</f>
        <v>384</v>
      </c>
      <c r="J11" s="1161">
        <f>'शिक्षक मानधन पावती'!BI72</f>
        <v>38.40000000000002</v>
      </c>
      <c r="K11" s="1161">
        <f>IFERROR(IF('शिक्षक मानधन पावती'!CS56&gt;1,H11-J11,""),"")</f>
        <v>60.999999999999957</v>
      </c>
      <c r="L11" s="1036">
        <f>'शिक्षक मानधन पावती'!CT56</f>
        <v>23</v>
      </c>
      <c r="M11" s="1036">
        <f>'शिक्षक मानधन पावती'!CX56</f>
        <v>23</v>
      </c>
      <c r="N11" s="1041">
        <f>'शिक्षक मानधन पावती'!HO45</f>
        <v>276.48</v>
      </c>
      <c r="O11" s="1041">
        <f>'शिक्षक मानधन पावती'!HP45</f>
        <v>245.76000000000008</v>
      </c>
      <c r="P11" s="1041">
        <f>'शिक्षक मानधन पावती'!HQ45</f>
        <v>203.51999999999998</v>
      </c>
      <c r="Q11" s="1038">
        <f t="shared" si="0"/>
        <v>303.36</v>
      </c>
      <c r="R11" s="1038">
        <f t="shared" si="1"/>
        <v>1029.1200000000001</v>
      </c>
      <c r="S11" s="1041">
        <f>(I11*' प्रमाण निश्चिती '!Z14)</f>
        <v>618.24</v>
      </c>
      <c r="T11" s="1155">
        <f>(I11*' प्रमाण निश्चिती '!AA14)</f>
        <v>410.88</v>
      </c>
      <c r="AA11" s="40" t="s">
        <v>37</v>
      </c>
      <c r="AB11" s="350">
        <f>HOME!$E$2</f>
        <v>2022</v>
      </c>
      <c r="AC11" s="1154">
        <f>' प्रमाण निश्चिती '!X14</f>
        <v>0.79</v>
      </c>
      <c r="AD11" s="1154">
        <f>' प्रमाण निश्चिती '!Y14</f>
        <v>2.68</v>
      </c>
    </row>
    <row r="12" spans="2:30" ht="35.1" customHeight="1" x14ac:dyDescent="0.45">
      <c r="B12" s="1039">
        <v>7</v>
      </c>
      <c r="C12" s="1040" t="s">
        <v>47</v>
      </c>
      <c r="D12" s="1036">
        <f>IFERROR('शिक्षक मानधन पावती'!CS57,"")</f>
        <v>21</v>
      </c>
      <c r="E12" s="1161">
        <f>IFERROR(IF('शिक्षक मानधन पावती'!CS57&gt;1,'शिक्षक मानधन पावती'!BH56,""),"")</f>
        <v>60.999999999999957</v>
      </c>
      <c r="F12" s="1166">
        <f>'साठा नोंदवही'!BA49</f>
        <v>0</v>
      </c>
      <c r="G12" s="1036">
        <f>'साठा नोंदवही'!E50</f>
        <v>0</v>
      </c>
      <c r="H12" s="1161">
        <f>IFERROR(IF('शिक्षक मानधन पावती'!CS57&gt;1,E12+F12-G12,""),"")</f>
        <v>60.999999999999957</v>
      </c>
      <c r="I12" s="1036">
        <f>'शिक्षक मानधन पावती'!CW57</f>
        <v>236</v>
      </c>
      <c r="J12" s="1161">
        <f>'शिक्षक मानधन पावती'!BI73</f>
        <v>23.599999999999994</v>
      </c>
      <c r="K12" s="1161">
        <f>IFERROR(IF('शिक्षक मानधन पावती'!CS57&gt;1,H12-J12,""),"")</f>
        <v>37.399999999999963</v>
      </c>
      <c r="L12" s="1036">
        <f>'शिक्षक मानधन पावती'!CT57</f>
        <v>11</v>
      </c>
      <c r="M12" s="1036">
        <f>'शिक्षक मानधन पावती'!CX57</f>
        <v>11</v>
      </c>
      <c r="N12" s="1041">
        <f>'शिक्षक मानधन पावती'!IR45</f>
        <v>167.56</v>
      </c>
      <c r="O12" s="1041">
        <f>'शिक्षक मानधन पावती'!IS45</f>
        <v>186.43999999999997</v>
      </c>
      <c r="P12" s="1041">
        <f>'शिक्षक मानधन पावती'!IT45</f>
        <v>136.88000000000002</v>
      </c>
      <c r="Q12" s="1038">
        <f t="shared" si="0"/>
        <v>186.44</v>
      </c>
      <c r="R12" s="1038">
        <f t="shared" si="1"/>
        <v>677.32</v>
      </c>
      <c r="S12" s="1041">
        <f>(I12*' प्रमाण निश्चिती '!Z15)</f>
        <v>379.96000000000004</v>
      </c>
      <c r="T12" s="1155">
        <f>(I12*' प्रमाण निश्चिती '!AA15)</f>
        <v>252.52</v>
      </c>
      <c r="AA12" s="40" t="s">
        <v>47</v>
      </c>
      <c r="AB12" s="350">
        <f>HOME!$E$2</f>
        <v>2022</v>
      </c>
      <c r="AC12" s="1154">
        <f>' प्रमाण निश्चिती '!X15</f>
        <v>0.79</v>
      </c>
      <c r="AD12" s="1154">
        <f>' प्रमाण निश्चिती '!Y15</f>
        <v>2.87</v>
      </c>
    </row>
    <row r="13" spans="2:30" ht="35.1" customHeight="1" x14ac:dyDescent="0.45">
      <c r="B13" s="1039">
        <v>8</v>
      </c>
      <c r="C13" s="1040" t="s">
        <v>38</v>
      </c>
      <c r="D13" s="1036">
        <f>IFERROR('शिक्षक मानधन पावती'!CS58,"")</f>
        <v>22</v>
      </c>
      <c r="E13" s="1161">
        <f>IFERROR(IF('शिक्षक मानधन पावती'!CS58&gt;1,'शिक्षक मानधन पावती'!BH57,""),"")</f>
        <v>37.399999999999963</v>
      </c>
      <c r="F13" s="1166">
        <f>'साठा नोंदवही'!BA52</f>
        <v>50</v>
      </c>
      <c r="G13" s="1036">
        <f>'साठा नोंदवही'!E51</f>
        <v>0</v>
      </c>
      <c r="H13" s="1161">
        <f>IFERROR(IF('शिक्षक मानधन पावती'!CS58&gt;1,E13+F13-G13,""),"")</f>
        <v>87.399999999999963</v>
      </c>
      <c r="I13" s="1036">
        <f>'शिक्षक मानधन पावती'!CW58</f>
        <v>418</v>
      </c>
      <c r="J13" s="1161">
        <f>'शिक्षक मानधन पावती'!BI74</f>
        <v>41.800000000000004</v>
      </c>
      <c r="K13" s="1161">
        <f>IFERROR(IF('शिक्षक मानधन पावती'!CS58&gt;1,H13-J13,""),"")</f>
        <v>45.599999999999959</v>
      </c>
      <c r="L13" s="1036">
        <f>'शिक्षक मानधन पावती'!CT58</f>
        <v>19</v>
      </c>
      <c r="M13" s="1036">
        <f>'शिक्षक मानधन पावती'!CX58</f>
        <v>19</v>
      </c>
      <c r="N13" s="1041">
        <f>'शिक्षक मानधन पावती'!JU45</f>
        <v>296.78000000000003</v>
      </c>
      <c r="O13" s="1041">
        <f>'शिक्षक मानधन पावती'!JV45</f>
        <v>330.21999999999997</v>
      </c>
      <c r="P13" s="1041">
        <f>'शिक्षक मानधन पावती'!JW45</f>
        <v>242.43999999999994</v>
      </c>
      <c r="Q13" s="1038">
        <f t="shared" si="0"/>
        <v>330.22</v>
      </c>
      <c r="R13" s="1038">
        <f t="shared" si="1"/>
        <v>1199.6600000000001</v>
      </c>
      <c r="S13" s="1041">
        <f>(I13*' प्रमाण निश्चिती '!Z16)</f>
        <v>672.98</v>
      </c>
      <c r="T13" s="1155">
        <f>(I13*' प्रमाण निश्चिती '!AA16)</f>
        <v>447.26000000000005</v>
      </c>
      <c r="AA13" s="40" t="s">
        <v>38</v>
      </c>
      <c r="AB13" s="350">
        <f>HOME!$E$2</f>
        <v>2022</v>
      </c>
      <c r="AC13" s="1154">
        <f>' प्रमाण निश्चिती '!X16</f>
        <v>0.79</v>
      </c>
      <c r="AD13" s="1154">
        <f>' प्रमाण निश्चिती '!Y16</f>
        <v>2.87</v>
      </c>
    </row>
    <row r="14" spans="2:30" ht="35.1" customHeight="1" x14ac:dyDescent="0.45">
      <c r="B14" s="1039">
        <v>9</v>
      </c>
      <c r="C14" s="1040" t="s">
        <v>39</v>
      </c>
      <c r="D14" s="1036">
        <f>IFERROR('शिक्षक मानधन पावती'!CS59,"")</f>
        <v>21</v>
      </c>
      <c r="E14" s="1161">
        <f>IFERROR(IF('शिक्षक मानधन पावती'!CS59&gt;1,'शिक्षक मानधन पावती'!BH58,""),"")</f>
        <v>45.599999999999959</v>
      </c>
      <c r="F14" s="1166">
        <f>'साठा नोंदवही'!BA55</f>
        <v>30</v>
      </c>
      <c r="G14" s="1036">
        <f>'साठा नोंदवही'!E52</f>
        <v>0</v>
      </c>
      <c r="H14" s="1161">
        <f>IFERROR(IF('शिक्षक मानधन पावती'!CS59&gt;1,E14+F14-G14,""),"")</f>
        <v>75.599999999999966</v>
      </c>
      <c r="I14" s="1036">
        <f>'शिक्षक मानधन पावती'!CW59</f>
        <v>547</v>
      </c>
      <c r="J14" s="1161">
        <f>'शिक्षक मानधन पावती'!BI75</f>
        <v>54.700000000000024</v>
      </c>
      <c r="K14" s="1161">
        <f>IFERROR(IF('शिक्षक मानधन पावती'!CS59&gt;1,H14-J14,""),"")</f>
        <v>20.899999999999942</v>
      </c>
      <c r="L14" s="1036">
        <f>'शिक्षक मानधन पावती'!CT59</f>
        <v>26</v>
      </c>
      <c r="M14" s="1036">
        <f>'शिक्षक मानधन पावती'!CX59</f>
        <v>26</v>
      </c>
      <c r="N14" s="1041">
        <f>'शिक्षक मानधन पावती'!KX45</f>
        <v>388.37000000000018</v>
      </c>
      <c r="O14" s="1041">
        <f>'शिक्षक मानधन पावती'!KY45</f>
        <v>432.12999999999977</v>
      </c>
      <c r="P14" s="1041">
        <f>'शिक्षक मानधन पावती'!KZ45</f>
        <v>317.2600000000001</v>
      </c>
      <c r="Q14" s="1038">
        <f t="shared" si="0"/>
        <v>432.13</v>
      </c>
      <c r="R14" s="1038">
        <f t="shared" si="1"/>
        <v>1569.89</v>
      </c>
      <c r="S14" s="1041">
        <f>(I14*' प्रमाण निश्चिती '!Z17)</f>
        <v>880.67000000000007</v>
      </c>
      <c r="T14" s="1155">
        <f>(I14*' प्रमाण निश्चिती '!AA17)</f>
        <v>585.29000000000008</v>
      </c>
      <c r="AA14" s="40" t="s">
        <v>39</v>
      </c>
      <c r="AB14" s="350">
        <f>HOME!$E$2</f>
        <v>2022</v>
      </c>
      <c r="AC14" s="1154">
        <f>' प्रमाण निश्चिती '!X17</f>
        <v>0.79</v>
      </c>
      <c r="AD14" s="1154">
        <f>' प्रमाण निश्चिती '!Y17</f>
        <v>2.87</v>
      </c>
    </row>
    <row r="15" spans="2:30" ht="35.1" customHeight="1" x14ac:dyDescent="0.45">
      <c r="B15" s="1039">
        <v>10</v>
      </c>
      <c r="C15" s="1040" t="s">
        <v>33</v>
      </c>
      <c r="D15" s="1036">
        <f>IFERROR('शिक्षक मानधन पावती'!CS60,"")</f>
        <v>0</v>
      </c>
      <c r="E15" s="1161" t="str">
        <f>IFERROR(IF('शिक्षक मानधन पावती'!CS60&gt;1,'शिक्षक मानधन पावती'!BH59,""),"")</f>
        <v/>
      </c>
      <c r="F15" s="1166">
        <f>'साठा नोंदवही'!BA58</f>
        <v>0</v>
      </c>
      <c r="G15" s="1036">
        <f>'साठा नोंदवही'!E53</f>
        <v>0</v>
      </c>
      <c r="H15" s="1161" t="str">
        <f>IFERROR(IF('शिक्षक मानधन पावती'!CS60&gt;1,E15+F15-G15,""),"")</f>
        <v/>
      </c>
      <c r="I15" s="1036">
        <f>'शिक्षक मानधन पावती'!CW60</f>
        <v>0</v>
      </c>
      <c r="J15" s="1161">
        <f>'शिक्षक मानधन पावती'!BI76</f>
        <v>0</v>
      </c>
      <c r="K15" s="1161" t="str">
        <f>IFERROR(IF('शिक्षक मानधन पावती'!CS60&gt;1,H15-J15,""),"")</f>
        <v/>
      </c>
      <c r="L15" s="1036">
        <f>'शिक्षक मानधन पावती'!CT60</f>
        <v>0</v>
      </c>
      <c r="M15" s="1036">
        <f>'शिक्षक मानधन पावती'!CX60</f>
        <v>0</v>
      </c>
      <c r="N15" s="1041">
        <f>'शिक्षक मानधन पावती'!MA45</f>
        <v>0</v>
      </c>
      <c r="O15" s="1041">
        <f>'शिक्षक मानधन पावती'!MB45</f>
        <v>0</v>
      </c>
      <c r="P15" s="1041">
        <f>'शिक्षक मानधन पावती'!MC45</f>
        <v>0</v>
      </c>
      <c r="Q15" s="1038">
        <f t="shared" si="0"/>
        <v>0</v>
      </c>
      <c r="R15" s="1038">
        <f t="shared" si="1"/>
        <v>0</v>
      </c>
      <c r="S15" s="1041">
        <f>(I15*' प्रमाण निश्चिती '!Z18)</f>
        <v>0</v>
      </c>
      <c r="T15" s="1155">
        <f>(I15*' प्रमाण निश्चिती '!AA18)</f>
        <v>0</v>
      </c>
      <c r="AA15" s="40" t="s">
        <v>33</v>
      </c>
      <c r="AB15" s="350">
        <f>HOME!$F$2</f>
        <v>2023</v>
      </c>
      <c r="AC15" s="1154">
        <f>' प्रमाण निश्चिती '!X18</f>
        <v>0.79</v>
      </c>
      <c r="AD15" s="1154">
        <f>' प्रमाण निश्चिती '!Y18</f>
        <v>2.87</v>
      </c>
    </row>
    <row r="16" spans="2:30" ht="35.1" customHeight="1" x14ac:dyDescent="0.45">
      <c r="B16" s="1039">
        <v>11</v>
      </c>
      <c r="C16" s="1040" t="s">
        <v>40</v>
      </c>
      <c r="D16" s="1036">
        <f>IFERROR('शिक्षक मानधन पावती'!CS61,"")</f>
        <v>0</v>
      </c>
      <c r="E16" s="1161" t="str">
        <f>IFERROR(IF('शिक्षक मानधन पावती'!CS61&gt;1,'शिक्षक मानधन पावती'!BH60,""),"")</f>
        <v/>
      </c>
      <c r="F16" s="1166">
        <f>'साठा नोंदवही'!BA61</f>
        <v>0</v>
      </c>
      <c r="G16" s="1036">
        <f>'साठा नोंदवही'!E54</f>
        <v>0</v>
      </c>
      <c r="H16" s="1161" t="str">
        <f>IFERROR(IF('शिक्षक मानधन पावती'!CS61&gt;1,E16+F16-G16,""),"")</f>
        <v/>
      </c>
      <c r="I16" s="1036">
        <f>'शिक्षक मानधन पावती'!CW61</f>
        <v>0</v>
      </c>
      <c r="J16" s="1161">
        <f>'शिक्षक मानधन पावती'!BI77</f>
        <v>0</v>
      </c>
      <c r="K16" s="1161" t="str">
        <f>IFERROR(IF('शिक्षक मानधन पावती'!CS61&gt;1,H16-J16,""),"")</f>
        <v/>
      </c>
      <c r="L16" s="1036">
        <f>'शिक्षक मानधन पावती'!CT61</f>
        <v>0</v>
      </c>
      <c r="M16" s="1036">
        <f>'शिक्षक मानधन पावती'!CX61</f>
        <v>0</v>
      </c>
      <c r="N16" s="1041">
        <f>'शिक्षक मानधन पावती'!ND45</f>
        <v>0</v>
      </c>
      <c r="O16" s="1041">
        <f>'शिक्षक मानधन पावती'!NE45</f>
        <v>0</v>
      </c>
      <c r="P16" s="1041">
        <f>'शिक्षक मानधन पावती'!NF45</f>
        <v>0</v>
      </c>
      <c r="Q16" s="1038">
        <f t="shared" si="0"/>
        <v>0</v>
      </c>
      <c r="R16" s="1038">
        <f t="shared" si="1"/>
        <v>0</v>
      </c>
      <c r="S16" s="1041">
        <f>(I16*' प्रमाण निश्चिती '!Z19)</f>
        <v>0</v>
      </c>
      <c r="T16" s="1155">
        <f>(I16*' प्रमाण निश्चिती '!AA19)</f>
        <v>0</v>
      </c>
      <c r="AA16" s="40" t="s">
        <v>40</v>
      </c>
      <c r="AB16" s="350">
        <f>HOME!$F$2</f>
        <v>2023</v>
      </c>
      <c r="AC16" s="1154">
        <f>' प्रमाण निश्चिती '!X19</f>
        <v>0.79</v>
      </c>
      <c r="AD16" s="1154">
        <f>' प्रमाण निश्चिती '!Y19</f>
        <v>2.87</v>
      </c>
    </row>
    <row r="17" spans="2:30" ht="35.1" customHeight="1" x14ac:dyDescent="0.45">
      <c r="B17" s="1039">
        <v>12</v>
      </c>
      <c r="C17" s="1040" t="s">
        <v>41</v>
      </c>
      <c r="D17" s="1036">
        <f>IFERROR('शिक्षक मानधन पावती'!CS62,"")</f>
        <v>0</v>
      </c>
      <c r="E17" s="1161" t="str">
        <f>IFERROR(IF('शिक्षक मानधन पावती'!CS62&gt;1,'शिक्षक मानधन पावती'!BH61,""),"")</f>
        <v/>
      </c>
      <c r="F17" s="1166">
        <f>'साठा नोंदवही'!BA64</f>
        <v>0</v>
      </c>
      <c r="G17" s="1036">
        <f>'साठा नोंदवही'!E55</f>
        <v>0</v>
      </c>
      <c r="H17" s="1161" t="str">
        <f>IFERROR(IF('शिक्षक मानधन पावती'!CS62&gt;1,E17+F17-G17,""),"")</f>
        <v/>
      </c>
      <c r="I17" s="1036">
        <f>'शिक्षक मानधन पावती'!CW62</f>
        <v>0</v>
      </c>
      <c r="J17" s="1161">
        <f>'शिक्षक मानधन पावती'!BI78</f>
        <v>0</v>
      </c>
      <c r="K17" s="1161" t="str">
        <f>IFERROR(IF('शिक्षक मानधन पावती'!CS62&gt;1,H17-J17,""),"")</f>
        <v/>
      </c>
      <c r="L17" s="1036">
        <f>'शिक्षक मानधन पावती'!CT62</f>
        <v>0</v>
      </c>
      <c r="M17" s="1036">
        <f>'शिक्षक मानधन पावती'!CX62</f>
        <v>0</v>
      </c>
      <c r="N17" s="1041">
        <f>'शिक्षक मानधन पावती'!OG45</f>
        <v>0</v>
      </c>
      <c r="O17" s="1041">
        <f>'शिक्षक मानधन पावती'!OH45</f>
        <v>0</v>
      </c>
      <c r="P17" s="1041">
        <f>'शिक्षक मानधन पावती'!OI45</f>
        <v>0</v>
      </c>
      <c r="Q17" s="1038">
        <f t="shared" si="0"/>
        <v>0</v>
      </c>
      <c r="R17" s="1038">
        <f t="shared" si="1"/>
        <v>0</v>
      </c>
      <c r="S17" s="1041">
        <f>(I17*' प्रमाण निश्चिती '!Z20)</f>
        <v>0</v>
      </c>
      <c r="T17" s="1155">
        <f>(I17*' प्रमाण निश्चिती '!AA20)</f>
        <v>0</v>
      </c>
      <c r="AA17" s="40" t="s">
        <v>41</v>
      </c>
      <c r="AB17" s="350">
        <f>HOME!$F$2</f>
        <v>2023</v>
      </c>
      <c r="AC17" s="1154">
        <f>' प्रमाण निश्चिती '!X20</f>
        <v>0.79</v>
      </c>
      <c r="AD17" s="1154">
        <f>' प्रमाण निश्चिती '!Y20</f>
        <v>2.87</v>
      </c>
    </row>
    <row r="18" spans="2:30" ht="35.1" customHeight="1" thickBot="1" x14ac:dyDescent="0.35">
      <c r="B18" s="1045">
        <v>13</v>
      </c>
      <c r="C18" s="1046" t="s">
        <v>35</v>
      </c>
      <c r="D18" s="1047">
        <f>'शिक्षक मानधन पावती'!CS63</f>
        <v>19</v>
      </c>
      <c r="E18" s="1162">
        <f>E6</f>
        <v>30.2</v>
      </c>
      <c r="F18" s="1167">
        <f>SUM(F6:F17)</f>
        <v>330</v>
      </c>
      <c r="G18" s="1047">
        <f>'साठा नोंदवही'!E56</f>
        <v>29.6</v>
      </c>
      <c r="H18" s="1162">
        <f>IFERROR(E18+F18-G18,"")</f>
        <v>330.59999999999997</v>
      </c>
      <c r="I18" s="1047">
        <f>'शिक्षक मानधन पावती'!CW63</f>
        <v>3097</v>
      </c>
      <c r="J18" s="1162">
        <f>'शिक्षक मानधन पावती'!BI79</f>
        <v>309.70000000000005</v>
      </c>
      <c r="K18" s="1162">
        <f>IFERROR(H18-J18,"")</f>
        <v>20.89999999999992</v>
      </c>
      <c r="L18" s="1048">
        <f>'शिक्षक मानधन पावती'!CT63</f>
        <v>164</v>
      </c>
      <c r="M18" s="1048">
        <f>'शिक्षक मानधन पावती'!CX63</f>
        <v>164</v>
      </c>
      <c r="N18" s="1049">
        <f t="shared" ref="N18:T18" si="2">SUM(N6:N17)</f>
        <v>2217.8300000000004</v>
      </c>
      <c r="O18" s="1049">
        <f t="shared" si="2"/>
        <v>2162.23</v>
      </c>
      <c r="P18" s="1049">
        <f t="shared" si="2"/>
        <v>1701.46</v>
      </c>
      <c r="Q18" s="1049">
        <f t="shared" si="2"/>
        <v>2446.63</v>
      </c>
      <c r="R18" s="1050">
        <f t="shared" si="2"/>
        <v>8528.15</v>
      </c>
      <c r="S18" s="1049">
        <f t="shared" si="2"/>
        <v>4986.17</v>
      </c>
      <c r="T18" s="1156">
        <f t="shared" si="2"/>
        <v>3313.7900000000004</v>
      </c>
    </row>
    <row r="20" spans="2:30" ht="36" customHeight="1" thickBot="1" x14ac:dyDescent="0.35">
      <c r="B20" s="2017" t="s">
        <v>333</v>
      </c>
      <c r="C20" s="2017"/>
      <c r="D20" s="2017"/>
      <c r="E20" s="574"/>
      <c r="F20" s="574"/>
      <c r="G20" s="574"/>
      <c r="H20" s="574"/>
      <c r="I20" s="574"/>
      <c r="J20" s="574"/>
      <c r="K20" s="2012" t="s">
        <v>333</v>
      </c>
      <c r="L20" s="2012"/>
      <c r="M20" s="2012"/>
      <c r="S20" s="2012" t="s">
        <v>333</v>
      </c>
      <c r="T20" s="2012"/>
    </row>
    <row r="21" spans="2:30" ht="51" customHeight="1" x14ac:dyDescent="0.3">
      <c r="B21" s="2013" t="s">
        <v>86</v>
      </c>
      <c r="C21" s="2015" t="s">
        <v>363</v>
      </c>
      <c r="D21" s="2003" t="s">
        <v>364</v>
      </c>
      <c r="E21" s="2003" t="s">
        <v>368</v>
      </c>
      <c r="F21" s="2003" t="s">
        <v>369</v>
      </c>
      <c r="G21" s="2003" t="s">
        <v>370</v>
      </c>
      <c r="H21" s="2003" t="s">
        <v>371</v>
      </c>
      <c r="I21" s="2003" t="s">
        <v>365</v>
      </c>
      <c r="J21" s="2003" t="s">
        <v>372</v>
      </c>
      <c r="K21" s="2003" t="s">
        <v>373</v>
      </c>
      <c r="L21" s="2003" t="s">
        <v>718</v>
      </c>
      <c r="M21" s="2003" t="s">
        <v>367</v>
      </c>
      <c r="N21" s="2008" t="s">
        <v>366</v>
      </c>
      <c r="O21" s="2009"/>
      <c r="P21" s="2009"/>
      <c r="Q21" s="2010"/>
      <c r="R21" s="1158" t="s">
        <v>734</v>
      </c>
      <c r="S21" s="2003" t="s">
        <v>380</v>
      </c>
      <c r="T21" s="2005" t="s">
        <v>381</v>
      </c>
    </row>
    <row r="22" spans="2:30" ht="44.25" customHeight="1" thickBot="1" x14ac:dyDescent="0.35">
      <c r="B22" s="2014"/>
      <c r="C22" s="2016"/>
      <c r="D22" s="2004"/>
      <c r="E22" s="2004"/>
      <c r="F22" s="2004"/>
      <c r="G22" s="2004"/>
      <c r="H22" s="2004"/>
      <c r="I22" s="2004"/>
      <c r="J22" s="2004"/>
      <c r="K22" s="2004"/>
      <c r="L22" s="2004"/>
      <c r="M22" s="2004"/>
      <c r="N22" s="1032" t="s">
        <v>375</v>
      </c>
      <c r="O22" s="1033" t="s">
        <v>374</v>
      </c>
      <c r="P22" s="1033" t="s">
        <v>376</v>
      </c>
      <c r="Q22" s="1033" t="s">
        <v>732</v>
      </c>
      <c r="R22" s="1157">
        <f>AD23</f>
        <v>4.0199999999999996</v>
      </c>
      <c r="S22" s="2007"/>
      <c r="T22" s="2006"/>
    </row>
    <row r="23" spans="2:30" ht="35.1" customHeight="1" x14ac:dyDescent="0.45">
      <c r="B23" s="1034">
        <v>1</v>
      </c>
      <c r="C23" s="1035" t="s">
        <v>42</v>
      </c>
      <c r="D23" s="1036">
        <f>IFERROR('शिक्षक मानधन पावती'!CS129,"")</f>
        <v>0</v>
      </c>
      <c r="E23" s="1161" t="str">
        <f>IFERROR(IF('शिक्षक मानधन पावती'!CS129&gt;1,'शिक्षक मानधन पावती'!BH128,""),"")</f>
        <v/>
      </c>
      <c r="F23" s="1161">
        <f>'साठा नोंदवही'!BA101</f>
        <v>0</v>
      </c>
      <c r="G23" s="1161">
        <f>'साठा नोंदवही'!E99</f>
        <v>0</v>
      </c>
      <c r="H23" s="1161" t="str">
        <f>IFERROR(IF('शिक्षक मानधन पावती'!CS129&gt;1,E23+F23-G23,""),"")</f>
        <v/>
      </c>
      <c r="I23" s="1036">
        <f>'शिक्षक मानधन पावती'!CW129</f>
        <v>0</v>
      </c>
      <c r="J23" s="1161">
        <f>'शिक्षक मानधन पावती'!BI145</f>
        <v>0</v>
      </c>
      <c r="K23" s="1161" t="str">
        <f>IFERROR(IF('शिक्षक मानधन पावती'!CS129&gt;0,H23-J23,"--"),"")</f>
        <v>--</v>
      </c>
      <c r="L23" s="1036">
        <f>'शिक्षक मानधन पावती'!CT129</f>
        <v>0</v>
      </c>
      <c r="M23" s="1036">
        <f>'शिक्षक मानधन पावती'!CX129</f>
        <v>0</v>
      </c>
      <c r="N23" s="1037">
        <f>'शिक्षक मानधन पावती'!BZ123</f>
        <v>0</v>
      </c>
      <c r="O23" s="1037">
        <f>'शिक्षक मानधन पावती'!CA123</f>
        <v>0</v>
      </c>
      <c r="P23" s="1037">
        <f>'शिक्षक मानधन पावती'!CB123</f>
        <v>0</v>
      </c>
      <c r="Q23" s="1037">
        <f>IFERROR(I23*AC23,"")</f>
        <v>0</v>
      </c>
      <c r="R23" s="1037">
        <f>IFERROR(I23*AD23,"")</f>
        <v>0</v>
      </c>
      <c r="S23" s="1041">
        <f>(I23*' प्रमाण निश्चिती '!Z28)</f>
        <v>0</v>
      </c>
      <c r="T23" s="1155">
        <f>(I23*' प्रमाण निश्चिती '!AA28)</f>
        <v>0</v>
      </c>
      <c r="AA23" s="40" t="s">
        <v>42</v>
      </c>
      <c r="AB23" s="350">
        <f>HOME!$E$2</f>
        <v>2022</v>
      </c>
      <c r="AC23" s="1154">
        <f>' प्रमाण निश्चिती '!X28</f>
        <v>1.18</v>
      </c>
      <c r="AD23" s="1154">
        <f>' प्रमाण निश्चिती '!Y28</f>
        <v>4.0199999999999996</v>
      </c>
    </row>
    <row r="24" spans="2:30" ht="35.1" customHeight="1" x14ac:dyDescent="0.45">
      <c r="B24" s="1039">
        <v>2</v>
      </c>
      <c r="C24" s="1040" t="s">
        <v>44</v>
      </c>
      <c r="D24" s="1036">
        <f>IFERROR('शिक्षक मानधन पावती'!CS130,"")</f>
        <v>0</v>
      </c>
      <c r="E24" s="1161" t="str">
        <f>IFERROR(IF('शिक्षक मानधन पावती'!CS130&gt;1,'शिक्षक मानधन पावती'!BH129,""),"")</f>
        <v/>
      </c>
      <c r="F24" s="1166">
        <f>'साठा नोंदवही'!BA104</f>
        <v>0</v>
      </c>
      <c r="G24" s="1161">
        <f>'साठा नोंदवही'!E100</f>
        <v>0</v>
      </c>
      <c r="H24" s="1161" t="str">
        <f>IFERROR(IF('शिक्षक मानधन पावती'!CS130&gt;1,E24+F24-G24,""),"")</f>
        <v/>
      </c>
      <c r="I24" s="1036">
        <f>'शिक्षक मानधन पावती'!CW130</f>
        <v>0</v>
      </c>
      <c r="J24" s="1161">
        <f>'शिक्षक मानधन पावती'!BI146</f>
        <v>0</v>
      </c>
      <c r="K24" s="1161" t="str">
        <f>IFERROR(IF('शिक्षक मानधन पावती'!CS130&gt;1,H24-J24,""),"")</f>
        <v/>
      </c>
      <c r="L24" s="1036">
        <f>'शिक्षक मानधन पावती'!CT130</f>
        <v>0</v>
      </c>
      <c r="M24" s="1036">
        <f>'शिक्षक मानधन पावती'!CX130</f>
        <v>0</v>
      </c>
      <c r="N24" s="1041">
        <f>'शिक्षक मानधन पावती'!DC123</f>
        <v>0</v>
      </c>
      <c r="O24" s="1041">
        <f>'शिक्षक मानधन पावती'!DD123</f>
        <v>0</v>
      </c>
      <c r="P24" s="1041">
        <f>'शिक्षक मानधन पावती'!DE123</f>
        <v>0</v>
      </c>
      <c r="Q24" s="1037">
        <f t="shared" ref="Q24:Q34" si="3">IFERROR(I24*AC24,"")</f>
        <v>0</v>
      </c>
      <c r="R24" s="1037">
        <f t="shared" ref="R24:R34" si="4">IFERROR(I24*AD24,"")</f>
        <v>0</v>
      </c>
      <c r="S24" s="1041">
        <f>(I24*' प्रमाण निश्चिती '!Z29)</f>
        <v>0</v>
      </c>
      <c r="T24" s="1155">
        <f>(I24*' प्रमाण निश्चिती '!AA29)</f>
        <v>0</v>
      </c>
      <c r="AA24" s="40" t="s">
        <v>44</v>
      </c>
      <c r="AB24" s="350">
        <f>HOME!$E$2</f>
        <v>2022</v>
      </c>
      <c r="AC24" s="1154">
        <f>' प्रमाण निश्चिती '!X29</f>
        <v>1.18</v>
      </c>
      <c r="AD24" s="1154">
        <f>' प्रमाण निश्चिती '!Y29</f>
        <v>4.0199999999999996</v>
      </c>
    </row>
    <row r="25" spans="2:30" ht="35.1" customHeight="1" x14ac:dyDescent="0.45">
      <c r="B25" s="1039">
        <v>3</v>
      </c>
      <c r="C25" s="1040" t="s">
        <v>94</v>
      </c>
      <c r="D25" s="1036">
        <f>IFERROR('शिक्षक मानधन पावती'!CS131,"")</f>
        <v>0</v>
      </c>
      <c r="E25" s="1161" t="str">
        <f>IFERROR(IF('शिक्षक मानधन पावती'!CS131&gt;1,'शिक्षक मानधन पावती'!BH130,""),"")</f>
        <v/>
      </c>
      <c r="F25" s="1166">
        <f>'साठा नोंदवही'!BA107</f>
        <v>0</v>
      </c>
      <c r="G25" s="1161">
        <f>'साठा नोंदवही'!E101</f>
        <v>0</v>
      </c>
      <c r="H25" s="1161" t="str">
        <f>IFERROR(IF('शिक्षक मानधन पावती'!CS131&gt;1,E25+F25-G25,""),"")</f>
        <v/>
      </c>
      <c r="I25" s="1036">
        <f>'शिक्षक मानधन पावती'!CW131</f>
        <v>0</v>
      </c>
      <c r="J25" s="1161">
        <f>'शिक्षक मानधन पावती'!BI147</f>
        <v>0</v>
      </c>
      <c r="K25" s="1161" t="str">
        <f>IFERROR(IF('शिक्षक मानधन पावती'!CS131&gt;1,H25-J25,""),"")</f>
        <v/>
      </c>
      <c r="L25" s="1036">
        <f>'शिक्षक मानधन पावती'!CT131</f>
        <v>0</v>
      </c>
      <c r="M25" s="1036">
        <f>'शिक्षक मानधन पावती'!CX131</f>
        <v>0</v>
      </c>
      <c r="N25" s="1041">
        <f>'शिक्षक मानधन पावती'!EF123</f>
        <v>0</v>
      </c>
      <c r="O25" s="1041">
        <f>'शिक्षक मानधन पावती'!EG123</f>
        <v>0</v>
      </c>
      <c r="P25" s="1041">
        <f>'शिक्षक मानधन पावती'!EH123</f>
        <v>0</v>
      </c>
      <c r="Q25" s="1037">
        <f t="shared" si="3"/>
        <v>0</v>
      </c>
      <c r="R25" s="1037">
        <f t="shared" si="4"/>
        <v>0</v>
      </c>
      <c r="S25" s="1041">
        <f>(I25*' प्रमाण निश्चिती '!Z30)</f>
        <v>0</v>
      </c>
      <c r="T25" s="1155">
        <f>(I25*' प्रमाण निश्चिती '!AA30)</f>
        <v>0</v>
      </c>
      <c r="AA25" s="40" t="s">
        <v>94</v>
      </c>
      <c r="AB25" s="350">
        <f>HOME!$E$2</f>
        <v>2022</v>
      </c>
      <c r="AC25" s="1154">
        <f>' प्रमाण निश्चिती '!X30</f>
        <v>1.18</v>
      </c>
      <c r="AD25" s="1154">
        <f>' प्रमाण निश्चिती '!Y30</f>
        <v>4.0199999999999996</v>
      </c>
    </row>
    <row r="26" spans="2:30" ht="35.1" customHeight="1" x14ac:dyDescent="0.45">
      <c r="B26" s="1039">
        <v>4</v>
      </c>
      <c r="C26" s="1040" t="s">
        <v>46</v>
      </c>
      <c r="D26" s="1036">
        <f>IFERROR('शिक्षक मानधन पावती'!CS132,"")</f>
        <v>0</v>
      </c>
      <c r="E26" s="1161" t="str">
        <f>IFERROR(IF('शिक्षक मानधन पावती'!CS132&gt;1,'शिक्षक मानधन पावती'!BH131,""),"")</f>
        <v/>
      </c>
      <c r="F26" s="1166">
        <f>'साठा नोंदवही'!BA110</f>
        <v>0</v>
      </c>
      <c r="G26" s="1161">
        <f>'साठा नोंदवही'!E102</f>
        <v>0</v>
      </c>
      <c r="H26" s="1161" t="str">
        <f>IFERROR(IF('शिक्षक मानधन पावती'!CS132&gt;1,E26+F26-G26,""),"")</f>
        <v/>
      </c>
      <c r="I26" s="1036">
        <f>'शिक्षक मानधन पावती'!CW132</f>
        <v>0</v>
      </c>
      <c r="J26" s="1161">
        <f>'शिक्षक मानधन पावती'!BI148</f>
        <v>0</v>
      </c>
      <c r="K26" s="1161" t="str">
        <f>IFERROR(IF('शिक्षक मानधन पावती'!CS132&gt;1,H26-J26,""),"")</f>
        <v/>
      </c>
      <c r="L26" s="1036">
        <f>'शिक्षक मानधन पावती'!CT132</f>
        <v>0</v>
      </c>
      <c r="M26" s="1036">
        <f>'शिक्षक मानधन पावती'!CX132</f>
        <v>0</v>
      </c>
      <c r="N26" s="1041">
        <f>'शिक्षक मानधन पावती'!FI123</f>
        <v>0</v>
      </c>
      <c r="O26" s="1041">
        <f>'शिक्षक मानधन पावती'!FJ123</f>
        <v>0</v>
      </c>
      <c r="P26" s="1041">
        <f>'शिक्षक मानधन पावती'!FK123</f>
        <v>0</v>
      </c>
      <c r="Q26" s="1037">
        <f t="shared" si="3"/>
        <v>0</v>
      </c>
      <c r="R26" s="1037">
        <f t="shared" si="4"/>
        <v>0</v>
      </c>
      <c r="S26" s="1041">
        <f>(I26*' प्रमाण निश्चिती '!Z31)</f>
        <v>0</v>
      </c>
      <c r="T26" s="1155">
        <f>(I26*' प्रमाण निश्चिती '!AA31)</f>
        <v>0</v>
      </c>
      <c r="AA26" s="40" t="s">
        <v>46</v>
      </c>
      <c r="AB26" s="350">
        <f>HOME!$E$2</f>
        <v>2022</v>
      </c>
      <c r="AC26" s="1154">
        <f>' प्रमाण निश्चिती '!X31</f>
        <v>1.18</v>
      </c>
      <c r="AD26" s="1154">
        <f>' प्रमाण निश्चिती '!Y31</f>
        <v>4.0199999999999996</v>
      </c>
    </row>
    <row r="27" spans="2:30" ht="35.1" customHeight="1" x14ac:dyDescent="0.45">
      <c r="B27" s="1039">
        <v>5</v>
      </c>
      <c r="C27" s="1040" t="s">
        <v>34</v>
      </c>
      <c r="D27" s="1036">
        <f>IFERROR('शिक्षक मानधन पावती'!CS133,"")</f>
        <v>0</v>
      </c>
      <c r="E27" s="1161" t="str">
        <f>IFERROR(IF('शिक्षक मानधन पावती'!CS133&gt;1,'शिक्षक मानधन पावती'!BH132,""),"")</f>
        <v/>
      </c>
      <c r="F27" s="1166">
        <f>'साठा नोंदवही'!BA113</f>
        <v>0</v>
      </c>
      <c r="G27" s="1161">
        <f>'साठा नोंदवही'!E103</f>
        <v>0</v>
      </c>
      <c r="H27" s="1161" t="str">
        <f>IFERROR(IF('शिक्षक मानधन पावती'!CS133&gt;1,E27+F27-G27,""),"")</f>
        <v/>
      </c>
      <c r="I27" s="1036">
        <f>'शिक्षक मानधन पावती'!CW133</f>
        <v>0</v>
      </c>
      <c r="J27" s="1161">
        <f>'शिक्षक मानधन पावती'!BI149</f>
        <v>0</v>
      </c>
      <c r="K27" s="1161" t="str">
        <f>IFERROR(IF('शिक्षक मानधन पावती'!CS133&gt;1,H27-J27,""),"")</f>
        <v/>
      </c>
      <c r="L27" s="1036">
        <f>'शिक्षक मानधन पावती'!CT133</f>
        <v>0</v>
      </c>
      <c r="M27" s="1036">
        <f>'शिक्षक मानधन पावती'!CX133</f>
        <v>0</v>
      </c>
      <c r="N27" s="1041">
        <f>'शिक्षक मानधन पावती'!GL123</f>
        <v>0</v>
      </c>
      <c r="O27" s="1041">
        <f>'शिक्षक मानधन पावती'!GM123</f>
        <v>0</v>
      </c>
      <c r="P27" s="1041">
        <f>'शिक्षक मानधन पावती'!GN123</f>
        <v>0</v>
      </c>
      <c r="Q27" s="1037">
        <f t="shared" si="3"/>
        <v>0</v>
      </c>
      <c r="R27" s="1037">
        <f t="shared" si="4"/>
        <v>0</v>
      </c>
      <c r="S27" s="1041">
        <f>(I27*' प्रमाण निश्चिती '!Z32)</f>
        <v>0</v>
      </c>
      <c r="T27" s="1155">
        <f>(I27*' प्रमाण निश्चिती '!AA32)</f>
        <v>0</v>
      </c>
      <c r="AA27" s="40" t="s">
        <v>34</v>
      </c>
      <c r="AB27" s="350">
        <f>HOME!$E$2</f>
        <v>2022</v>
      </c>
      <c r="AC27" s="1154">
        <f>' प्रमाण निश्चिती '!X32</f>
        <v>1.18</v>
      </c>
      <c r="AD27" s="1154">
        <f>' प्रमाण निश्चिती '!Y32</f>
        <v>4.0199999999999996</v>
      </c>
    </row>
    <row r="28" spans="2:30" ht="35.1" customHeight="1" x14ac:dyDescent="0.45">
      <c r="B28" s="1039">
        <v>6</v>
      </c>
      <c r="C28" s="1040" t="s">
        <v>37</v>
      </c>
      <c r="D28" s="1036">
        <f>IFERROR('शिक्षक मानधन पावती'!CS134,"")</f>
        <v>0</v>
      </c>
      <c r="E28" s="1161" t="str">
        <f>IFERROR(IF('शिक्षक मानधन पावती'!CS134&gt;1,'शिक्षक मानधन पावती'!BH133,""),"")</f>
        <v/>
      </c>
      <c r="F28" s="1166">
        <f>'साठा नोंदवही'!BA116</f>
        <v>0</v>
      </c>
      <c r="G28" s="1161">
        <f>'साठा नोंदवही'!E104</f>
        <v>0</v>
      </c>
      <c r="H28" s="1161" t="str">
        <f>IFERROR(IF('शिक्षक मानधन पावती'!CS134&gt;1,E28+F28-G28,""),"")</f>
        <v/>
      </c>
      <c r="I28" s="1036">
        <f>'शिक्षक मानधन पावती'!CW134</f>
        <v>0</v>
      </c>
      <c r="J28" s="1161">
        <f>'शिक्षक मानधन पावती'!BI150</f>
        <v>0</v>
      </c>
      <c r="K28" s="1161" t="str">
        <f>IFERROR(IF('शिक्षक मानधन पावती'!CS134&gt;1,H28-J28,""),"")</f>
        <v/>
      </c>
      <c r="L28" s="1036">
        <f>'शिक्षक मानधन पावती'!CT134</f>
        <v>0</v>
      </c>
      <c r="M28" s="1036">
        <f>'शिक्षक मानधन पावती'!CX134</f>
        <v>0</v>
      </c>
      <c r="N28" s="1041">
        <f>'शिक्षक मानधन पावती'!HO123</f>
        <v>0</v>
      </c>
      <c r="O28" s="1041">
        <f>'शिक्षक मानधन पावती'!HP123</f>
        <v>0</v>
      </c>
      <c r="P28" s="1041">
        <f>'शिक्षक मानधन पावती'!HQ123</f>
        <v>0</v>
      </c>
      <c r="Q28" s="1037">
        <f t="shared" si="3"/>
        <v>0</v>
      </c>
      <c r="R28" s="1037">
        <f t="shared" si="4"/>
        <v>0</v>
      </c>
      <c r="S28" s="1041">
        <f>(I28*' प्रमाण निश्चिती '!Z33)</f>
        <v>0</v>
      </c>
      <c r="T28" s="1155">
        <f>(I28*' प्रमाण निश्चिती '!AA33)</f>
        <v>0</v>
      </c>
      <c r="AA28" s="40" t="s">
        <v>37</v>
      </c>
      <c r="AB28" s="350">
        <f>HOME!$E$2</f>
        <v>2022</v>
      </c>
      <c r="AC28" s="1154">
        <f>' प्रमाण निश्चिती '!X33</f>
        <v>1.18</v>
      </c>
      <c r="AD28" s="1154">
        <f>' प्रमाण निश्चिती '!Y33</f>
        <v>4.0199999999999996</v>
      </c>
    </row>
    <row r="29" spans="2:30" ht="35.1" customHeight="1" x14ac:dyDescent="0.45">
      <c r="B29" s="1039">
        <v>7</v>
      </c>
      <c r="C29" s="1040" t="s">
        <v>47</v>
      </c>
      <c r="D29" s="1036">
        <f>IFERROR('शिक्षक मानधन पावती'!CS135,"")</f>
        <v>0</v>
      </c>
      <c r="E29" s="1161" t="str">
        <f>IFERROR(IF('शिक्षक मानधन पावती'!CS135&gt;1,'शिक्षक मानधन पावती'!BH134,""),"")</f>
        <v/>
      </c>
      <c r="F29" s="1166">
        <f>'साठा नोंदवही'!BA119</f>
        <v>0</v>
      </c>
      <c r="G29" s="1161">
        <f>'साठा नोंदवही'!E105</f>
        <v>0</v>
      </c>
      <c r="H29" s="1161" t="str">
        <f>IFERROR(IF('शिक्षक मानधन पावती'!CS135&gt;1,E29+F29-G29,""),"")</f>
        <v/>
      </c>
      <c r="I29" s="1036">
        <f>'शिक्षक मानधन पावती'!CW135</f>
        <v>0</v>
      </c>
      <c r="J29" s="1161">
        <f>'शिक्षक मानधन पावती'!BI151</f>
        <v>0</v>
      </c>
      <c r="K29" s="1161" t="str">
        <f>IFERROR(IF('शिक्षक मानधन पावती'!CS135&gt;1,H29-J29,""),"")</f>
        <v/>
      </c>
      <c r="L29" s="1036">
        <f>'शिक्षक मानधन पावती'!CT135</f>
        <v>0</v>
      </c>
      <c r="M29" s="1036">
        <f>'शिक्षक मानधन पावती'!CX135</f>
        <v>0</v>
      </c>
      <c r="N29" s="1041">
        <f>'शिक्षक मानधन पावती'!IR123</f>
        <v>0</v>
      </c>
      <c r="O29" s="1041">
        <f>'शिक्षक मानधन पावती'!IS123</f>
        <v>0</v>
      </c>
      <c r="P29" s="1041">
        <f>'शिक्षक मानधन पावती'!IT123</f>
        <v>0</v>
      </c>
      <c r="Q29" s="1037">
        <f t="shared" si="3"/>
        <v>0</v>
      </c>
      <c r="R29" s="1037">
        <f t="shared" si="4"/>
        <v>0</v>
      </c>
      <c r="S29" s="1041">
        <f>(I29*' प्रमाण निश्चिती '!Z34)</f>
        <v>0</v>
      </c>
      <c r="T29" s="1155">
        <f>(I29*' प्रमाण निश्चिती '!AA34)</f>
        <v>0</v>
      </c>
      <c r="AA29" s="40" t="s">
        <v>47</v>
      </c>
      <c r="AB29" s="350">
        <f>HOME!$E$2</f>
        <v>2022</v>
      </c>
      <c r="AC29" s="1154">
        <f>' प्रमाण निश्चिती '!X34</f>
        <v>1.18</v>
      </c>
      <c r="AD29" s="1154">
        <f>' प्रमाण निश्चिती '!Y34</f>
        <v>4.0199999999999996</v>
      </c>
    </row>
    <row r="30" spans="2:30" ht="35.1" customHeight="1" x14ac:dyDescent="0.45">
      <c r="B30" s="1039">
        <v>8</v>
      </c>
      <c r="C30" s="1040" t="s">
        <v>38</v>
      </c>
      <c r="D30" s="1036">
        <f>IFERROR('शिक्षक मानधन पावती'!CS136,"")</f>
        <v>0</v>
      </c>
      <c r="E30" s="1161" t="str">
        <f>IFERROR(IF('शिक्षक मानधन पावती'!CS136&gt;1,'शिक्षक मानधन पावती'!BH135,""),"")</f>
        <v/>
      </c>
      <c r="F30" s="1166">
        <f>'साठा नोंदवही'!BA122</f>
        <v>0</v>
      </c>
      <c r="G30" s="1161">
        <f>'साठा नोंदवही'!E106</f>
        <v>0</v>
      </c>
      <c r="H30" s="1161" t="str">
        <f>IFERROR(IF('शिक्षक मानधन पावती'!CS136&gt;1,E30+F30-G30,""),"")</f>
        <v/>
      </c>
      <c r="I30" s="1036">
        <f>'शिक्षक मानधन पावती'!CW136</f>
        <v>0</v>
      </c>
      <c r="J30" s="1161">
        <f>'शिक्षक मानधन पावती'!BI152</f>
        <v>0</v>
      </c>
      <c r="K30" s="1161" t="str">
        <f>IFERROR(IF('शिक्षक मानधन पावती'!CS136&gt;1,H30-J30,""),"")</f>
        <v/>
      </c>
      <c r="L30" s="1036">
        <f>'शिक्षक मानधन पावती'!CT136</f>
        <v>0</v>
      </c>
      <c r="M30" s="1036">
        <f>'शिक्षक मानधन पावती'!CX136</f>
        <v>0</v>
      </c>
      <c r="N30" s="1041">
        <f>'शिक्षक मानधन पावती'!JU123</f>
        <v>0</v>
      </c>
      <c r="O30" s="1041">
        <f>'शिक्षक मानधन पावती'!JV123</f>
        <v>0</v>
      </c>
      <c r="P30" s="1041">
        <f>'शिक्षक मानधन पावती'!JW123</f>
        <v>0</v>
      </c>
      <c r="Q30" s="1037">
        <f t="shared" si="3"/>
        <v>0</v>
      </c>
      <c r="R30" s="1037">
        <f t="shared" si="4"/>
        <v>0</v>
      </c>
      <c r="S30" s="1041">
        <f>(I30*' प्रमाण निश्चिती '!Z35)</f>
        <v>0</v>
      </c>
      <c r="T30" s="1155">
        <f>(I30*' प्रमाण निश्चिती '!AA35)</f>
        <v>0</v>
      </c>
      <c r="AA30" s="40" t="s">
        <v>38</v>
      </c>
      <c r="AB30" s="350">
        <f>HOME!$E$2</f>
        <v>2022</v>
      </c>
      <c r="AC30" s="1154">
        <f>' प्रमाण निश्चिती '!X35</f>
        <v>1.18</v>
      </c>
      <c r="AD30" s="1154">
        <f>' प्रमाण निश्चिती '!Y35</f>
        <v>4.0199999999999996</v>
      </c>
    </row>
    <row r="31" spans="2:30" ht="35.1" customHeight="1" x14ac:dyDescent="0.45">
      <c r="B31" s="1039">
        <v>9</v>
      </c>
      <c r="C31" s="1040" t="s">
        <v>39</v>
      </c>
      <c r="D31" s="1036">
        <f>IFERROR('शिक्षक मानधन पावती'!CS137,"")</f>
        <v>0</v>
      </c>
      <c r="E31" s="1161" t="str">
        <f>IFERROR(IF('शिक्षक मानधन पावती'!CS137&gt;1,'शिक्षक मानधन पावती'!BH136,""),"")</f>
        <v/>
      </c>
      <c r="F31" s="1166">
        <f>'साठा नोंदवही'!BA125</f>
        <v>0</v>
      </c>
      <c r="G31" s="1161">
        <f>'साठा नोंदवही'!E107</f>
        <v>0</v>
      </c>
      <c r="H31" s="1161" t="str">
        <f>IFERROR(IF('शिक्षक मानधन पावती'!CS137&gt;1,E31+F31-G31,""),"")</f>
        <v/>
      </c>
      <c r="I31" s="1036">
        <f>'शिक्षक मानधन पावती'!CW137</f>
        <v>0</v>
      </c>
      <c r="J31" s="1161">
        <f>'शिक्षक मानधन पावती'!BI153</f>
        <v>0</v>
      </c>
      <c r="K31" s="1161" t="str">
        <f>IFERROR(IF('शिक्षक मानधन पावती'!CS137&gt;1,H31-J31,""),"")</f>
        <v/>
      </c>
      <c r="L31" s="1036">
        <f>'शिक्षक मानधन पावती'!CT137</f>
        <v>0</v>
      </c>
      <c r="M31" s="1036">
        <f>'शिक्षक मानधन पावती'!CX137</f>
        <v>0</v>
      </c>
      <c r="N31" s="1041">
        <f>'शिक्षक मानधन पावती'!KX123</f>
        <v>0</v>
      </c>
      <c r="O31" s="1041">
        <f>'शिक्षक मानधन पावती'!KY123</f>
        <v>0</v>
      </c>
      <c r="P31" s="1041">
        <f>'शिक्षक मानधन पावती'!KZ123</f>
        <v>0</v>
      </c>
      <c r="Q31" s="1037">
        <f t="shared" si="3"/>
        <v>0</v>
      </c>
      <c r="R31" s="1037">
        <f t="shared" si="4"/>
        <v>0</v>
      </c>
      <c r="S31" s="1041">
        <f>(I31*' प्रमाण निश्चिती '!Z36)</f>
        <v>0</v>
      </c>
      <c r="T31" s="1155">
        <f>(I31*' प्रमाण निश्चिती '!AA36)</f>
        <v>0</v>
      </c>
      <c r="AA31" s="40" t="s">
        <v>39</v>
      </c>
      <c r="AB31" s="350">
        <f>HOME!$E$2</f>
        <v>2022</v>
      </c>
      <c r="AC31" s="1154">
        <f>' प्रमाण निश्चिती '!X36</f>
        <v>1.18</v>
      </c>
      <c r="AD31" s="1154">
        <f>' प्रमाण निश्चिती '!Y36</f>
        <v>4.0199999999999996</v>
      </c>
    </row>
    <row r="32" spans="2:30" ht="35.1" customHeight="1" x14ac:dyDescent="0.45">
      <c r="B32" s="1039">
        <v>10</v>
      </c>
      <c r="C32" s="1040" t="s">
        <v>33</v>
      </c>
      <c r="D32" s="1036">
        <f>IFERROR('शिक्षक मानधन पावती'!CS138,"")</f>
        <v>0</v>
      </c>
      <c r="E32" s="1161" t="str">
        <f>IFERROR(IF('शिक्षक मानधन पावती'!CS138&gt;1,'शिक्षक मानधन पावती'!BH137,""),"")</f>
        <v/>
      </c>
      <c r="F32" s="1166">
        <f>'साठा नोंदवही'!BA128</f>
        <v>0</v>
      </c>
      <c r="G32" s="1161">
        <f>'साठा नोंदवही'!E108</f>
        <v>0</v>
      </c>
      <c r="H32" s="1161" t="str">
        <f>IFERROR(IF('शिक्षक मानधन पावती'!CS138&gt;1,E32+F32-G32,""),"")</f>
        <v/>
      </c>
      <c r="I32" s="1036">
        <f>'शिक्षक मानधन पावती'!CW138</f>
        <v>0</v>
      </c>
      <c r="J32" s="1161">
        <f>'शिक्षक मानधन पावती'!BI154</f>
        <v>0</v>
      </c>
      <c r="K32" s="1161" t="str">
        <f>IFERROR(IF('शिक्षक मानधन पावती'!CS138&gt;1,H32-J32,""),"")</f>
        <v/>
      </c>
      <c r="L32" s="1036">
        <f>'शिक्षक मानधन पावती'!CT138</f>
        <v>0</v>
      </c>
      <c r="M32" s="1036">
        <f>'शिक्षक मानधन पावती'!CX138</f>
        <v>0</v>
      </c>
      <c r="N32" s="1041">
        <f>'शिक्षक मानधन पावती'!MA123</f>
        <v>0</v>
      </c>
      <c r="O32" s="1041">
        <f>'शिक्षक मानधन पावती'!MB123</f>
        <v>0</v>
      </c>
      <c r="P32" s="1041">
        <f>'शिक्षक मानधन पावती'!MC123</f>
        <v>0</v>
      </c>
      <c r="Q32" s="1037">
        <f t="shared" si="3"/>
        <v>0</v>
      </c>
      <c r="R32" s="1037">
        <f t="shared" si="4"/>
        <v>0</v>
      </c>
      <c r="S32" s="1041">
        <f>(I32*' प्रमाण निश्चिती '!Z37)</f>
        <v>0</v>
      </c>
      <c r="T32" s="1155">
        <f>(I32*' प्रमाण निश्चिती '!AA37)</f>
        <v>0</v>
      </c>
      <c r="AA32" s="40" t="s">
        <v>33</v>
      </c>
      <c r="AB32" s="350">
        <f>HOME!$F$2</f>
        <v>2023</v>
      </c>
      <c r="AC32" s="1154">
        <f>' प्रमाण निश्चिती '!X37</f>
        <v>1.18</v>
      </c>
      <c r="AD32" s="1154">
        <f>' प्रमाण निश्चिती '!Y37</f>
        <v>4.0199999999999996</v>
      </c>
    </row>
    <row r="33" spans="2:30" ht="35.1" customHeight="1" x14ac:dyDescent="0.45">
      <c r="B33" s="1039">
        <v>11</v>
      </c>
      <c r="C33" s="1040" t="s">
        <v>40</v>
      </c>
      <c r="D33" s="1036">
        <f>IFERROR('शिक्षक मानधन पावती'!CS139,"")</f>
        <v>0</v>
      </c>
      <c r="E33" s="1161" t="str">
        <f>IFERROR(IF('शिक्षक मानधन पावती'!CS139&gt;1,'शिक्षक मानधन पावती'!BH138,""),"")</f>
        <v/>
      </c>
      <c r="F33" s="1166">
        <f>'साठा नोंदवही'!BA131</f>
        <v>0</v>
      </c>
      <c r="G33" s="1161">
        <f>'साठा नोंदवही'!E109</f>
        <v>0</v>
      </c>
      <c r="H33" s="1161" t="str">
        <f>IFERROR(IF('शिक्षक मानधन पावती'!CS139&gt;1,E33+F33-G33,""),"")</f>
        <v/>
      </c>
      <c r="I33" s="1036">
        <f>'शिक्षक मानधन पावती'!CW139</f>
        <v>0</v>
      </c>
      <c r="J33" s="1161">
        <f>'शिक्षक मानधन पावती'!BI155</f>
        <v>0</v>
      </c>
      <c r="K33" s="1161" t="str">
        <f>IFERROR(IF('शिक्षक मानधन पावती'!CS139&gt;1,H33-J33,""),"")</f>
        <v/>
      </c>
      <c r="L33" s="1036">
        <f>'शिक्षक मानधन पावती'!CT139</f>
        <v>0</v>
      </c>
      <c r="M33" s="1036">
        <f>'शिक्षक मानधन पावती'!CX139</f>
        <v>0</v>
      </c>
      <c r="N33" s="1041">
        <f>'शिक्षक मानधन पावती'!ND123</f>
        <v>0</v>
      </c>
      <c r="O33" s="1041">
        <f>'शिक्षक मानधन पावती'!NE123</f>
        <v>0</v>
      </c>
      <c r="P33" s="1041">
        <f>'शिक्षक मानधन पावती'!NF123</f>
        <v>0</v>
      </c>
      <c r="Q33" s="1037">
        <f t="shared" si="3"/>
        <v>0</v>
      </c>
      <c r="R33" s="1037">
        <f t="shared" si="4"/>
        <v>0</v>
      </c>
      <c r="S33" s="1041">
        <f>(I33*' प्रमाण निश्चिती '!Z38)</f>
        <v>0</v>
      </c>
      <c r="T33" s="1155">
        <f>(I33*' प्रमाण निश्चिती '!AA38)</f>
        <v>0</v>
      </c>
      <c r="AA33" s="40" t="s">
        <v>40</v>
      </c>
      <c r="AB33" s="350">
        <f>HOME!$F$2</f>
        <v>2023</v>
      </c>
      <c r="AC33" s="1154">
        <f>' प्रमाण निश्चिती '!X38</f>
        <v>1.18</v>
      </c>
      <c r="AD33" s="1154">
        <f>' प्रमाण निश्चिती '!Y38</f>
        <v>4.0199999999999996</v>
      </c>
    </row>
    <row r="34" spans="2:30" ht="35.1" customHeight="1" x14ac:dyDescent="0.45">
      <c r="B34" s="1039">
        <v>12</v>
      </c>
      <c r="C34" s="1040" t="s">
        <v>41</v>
      </c>
      <c r="D34" s="1036">
        <f>IFERROR('शिक्षक मानधन पावती'!CS140,"")</f>
        <v>0</v>
      </c>
      <c r="E34" s="1161" t="str">
        <f>IFERROR(IF('शिक्षक मानधन पावती'!CS140&gt;1,'शिक्षक मानधन पावती'!BH139,""),"")</f>
        <v/>
      </c>
      <c r="F34" s="1166">
        <f>'साठा नोंदवही'!BA134</f>
        <v>0</v>
      </c>
      <c r="G34" s="1161">
        <f>'साठा नोंदवही'!E110</f>
        <v>0</v>
      </c>
      <c r="H34" s="1161" t="str">
        <f>IFERROR(IF('शिक्षक मानधन पावती'!CS140&gt;1,E34+F34-G34,""),"")</f>
        <v/>
      </c>
      <c r="I34" s="1036">
        <f>'शिक्षक मानधन पावती'!CW140</f>
        <v>0</v>
      </c>
      <c r="J34" s="1161">
        <f>'शिक्षक मानधन पावती'!BI156</f>
        <v>0</v>
      </c>
      <c r="K34" s="1161" t="str">
        <f>IFERROR(IF('शिक्षक मानधन पावती'!CS140&gt;1,H34-J34,""),"")</f>
        <v/>
      </c>
      <c r="L34" s="1036">
        <f>'शिक्षक मानधन पावती'!CT140</f>
        <v>0</v>
      </c>
      <c r="M34" s="1036">
        <f>'शिक्षक मानधन पावती'!CX140</f>
        <v>0</v>
      </c>
      <c r="N34" s="1041">
        <f>'शिक्षक मानधन पावती'!OG123</f>
        <v>0</v>
      </c>
      <c r="O34" s="1041">
        <f>'शिक्षक मानधन पावती'!OH123</f>
        <v>0</v>
      </c>
      <c r="P34" s="1041">
        <f>'शिक्षक मानधन पावती'!OI123</f>
        <v>0</v>
      </c>
      <c r="Q34" s="1037">
        <f t="shared" si="3"/>
        <v>0</v>
      </c>
      <c r="R34" s="1037">
        <f t="shared" si="4"/>
        <v>0</v>
      </c>
      <c r="S34" s="1041">
        <f>(I34*' प्रमाण निश्चिती '!Z39)</f>
        <v>0</v>
      </c>
      <c r="T34" s="1155">
        <f>(I34*' प्रमाण निश्चिती '!AA39)</f>
        <v>0</v>
      </c>
      <c r="AA34" s="40" t="s">
        <v>41</v>
      </c>
      <c r="AB34" s="350">
        <f>HOME!$F$2</f>
        <v>2023</v>
      </c>
      <c r="AC34" s="1154">
        <f>' प्रमाण निश्चिती '!X39</f>
        <v>1.18</v>
      </c>
      <c r="AD34" s="1154">
        <f>' प्रमाण निश्चिती '!Y39</f>
        <v>4.0199999999999996</v>
      </c>
    </row>
    <row r="35" spans="2:30" ht="35.1" customHeight="1" thickBot="1" x14ac:dyDescent="0.35">
      <c r="B35" s="1045">
        <v>13</v>
      </c>
      <c r="C35" s="1046" t="s">
        <v>35</v>
      </c>
      <c r="D35" s="1047">
        <f>'शिक्षक मानधन पावती'!CS141</f>
        <v>0</v>
      </c>
      <c r="E35" s="1162" t="str">
        <f>E23</f>
        <v/>
      </c>
      <c r="F35" s="1167">
        <f>SUM(F23:F34)</f>
        <v>0</v>
      </c>
      <c r="G35" s="1162">
        <f>'साठा नोंदवही'!E111</f>
        <v>0</v>
      </c>
      <c r="H35" s="1162" t="str">
        <f>IFERROR(E35+F35-G35,"")</f>
        <v/>
      </c>
      <c r="I35" s="1047">
        <f>'शिक्षक मानधन पावती'!CW141</f>
        <v>0</v>
      </c>
      <c r="J35" s="1162">
        <f>'शिक्षक मानधन पावती'!BI157</f>
        <v>0</v>
      </c>
      <c r="K35" s="1162" t="str">
        <f>IFERROR(H35-J35,"")</f>
        <v/>
      </c>
      <c r="L35" s="1048">
        <f>'शिक्षक मानधन पावती'!CT141</f>
        <v>0</v>
      </c>
      <c r="M35" s="1048">
        <f>'शिक्षक मानधन पावती'!CX141</f>
        <v>0</v>
      </c>
      <c r="N35" s="1049">
        <f>SUM(N23:N34)</f>
        <v>0</v>
      </c>
      <c r="O35" s="1049">
        <f t="shared" ref="O35:Q35" si="5">SUM(O23:O34)</f>
        <v>0</v>
      </c>
      <c r="P35" s="1049">
        <f t="shared" si="5"/>
        <v>0</v>
      </c>
      <c r="Q35" s="1049">
        <f t="shared" si="5"/>
        <v>0</v>
      </c>
      <c r="R35" s="1049">
        <f>SUM(R23:R34)</f>
        <v>0</v>
      </c>
      <c r="S35" s="1049">
        <f>SUM(S23:S34)</f>
        <v>0</v>
      </c>
      <c r="T35" s="1156">
        <f>SUM(T23:T34)</f>
        <v>0</v>
      </c>
    </row>
    <row r="37" spans="2:30" ht="34.5" customHeight="1" thickBot="1" x14ac:dyDescent="0.55000000000000004">
      <c r="B37" s="2018" t="s">
        <v>386</v>
      </c>
      <c r="C37" s="2018"/>
      <c r="D37" s="2018"/>
      <c r="I37" s="2011" t="s">
        <v>386</v>
      </c>
      <c r="J37" s="2011"/>
      <c r="S37" s="2011" t="s">
        <v>386</v>
      </c>
      <c r="T37" s="2011"/>
    </row>
    <row r="38" spans="2:30" ht="45.75" customHeight="1" x14ac:dyDescent="0.3">
      <c r="B38" s="2013" t="s">
        <v>86</v>
      </c>
      <c r="C38" s="2015" t="s">
        <v>363</v>
      </c>
      <c r="D38" s="2003" t="s">
        <v>364</v>
      </c>
      <c r="E38" s="2003" t="s">
        <v>368</v>
      </c>
      <c r="F38" s="2003" t="s">
        <v>369</v>
      </c>
      <c r="G38" s="2003" t="s">
        <v>370</v>
      </c>
      <c r="H38" s="2003" t="s">
        <v>371</v>
      </c>
      <c r="I38" s="2003" t="s">
        <v>365</v>
      </c>
      <c r="J38" s="2003" t="s">
        <v>372</v>
      </c>
      <c r="K38" s="2003" t="s">
        <v>373</v>
      </c>
      <c r="L38" s="2003" t="s">
        <v>718</v>
      </c>
      <c r="M38" s="2003" t="s">
        <v>367</v>
      </c>
      <c r="N38" s="2008" t="s">
        <v>366</v>
      </c>
      <c r="O38" s="2009"/>
      <c r="P38" s="2009"/>
      <c r="Q38" s="2010"/>
      <c r="R38" s="1158" t="s">
        <v>733</v>
      </c>
      <c r="S38" s="2003" t="s">
        <v>380</v>
      </c>
      <c r="T38" s="2005" t="s">
        <v>381</v>
      </c>
    </row>
    <row r="39" spans="2:30" ht="57" customHeight="1" thickBot="1" x14ac:dyDescent="0.35">
      <c r="B39" s="2014"/>
      <c r="C39" s="2016"/>
      <c r="D39" s="2004"/>
      <c r="E39" s="2004"/>
      <c r="F39" s="2004"/>
      <c r="G39" s="2004"/>
      <c r="H39" s="2004"/>
      <c r="I39" s="2004"/>
      <c r="J39" s="2004"/>
      <c r="K39" s="2004"/>
      <c r="L39" s="2004"/>
      <c r="M39" s="2004"/>
      <c r="N39" s="1032" t="s">
        <v>375</v>
      </c>
      <c r="O39" s="1033" t="s">
        <v>374</v>
      </c>
      <c r="P39" s="1033" t="s">
        <v>376</v>
      </c>
      <c r="Q39" s="1033" t="s">
        <v>732</v>
      </c>
      <c r="R39" s="1157">
        <f>AD6+AD23</f>
        <v>6.6999999999999993</v>
      </c>
      <c r="S39" s="2007"/>
      <c r="T39" s="2006"/>
    </row>
    <row r="40" spans="2:30" ht="35.1" customHeight="1" x14ac:dyDescent="0.3">
      <c r="B40" s="1034">
        <v>1</v>
      </c>
      <c r="C40" s="1035" t="s">
        <v>42</v>
      </c>
      <c r="D40" s="1036">
        <f t="shared" ref="D40:D51" si="6">IFERROR(D6+D23,"")</f>
        <v>22</v>
      </c>
      <c r="E40" s="1161">
        <f>IFERROR(SUM(E6,E23),"")</f>
        <v>30.2</v>
      </c>
      <c r="F40" s="1161">
        <f>IFERROR(SUM(F6,F23),"")</f>
        <v>50</v>
      </c>
      <c r="G40" s="1161">
        <f>IFERROR(SUM(G6,G23),"")</f>
        <v>29.6</v>
      </c>
      <c r="H40" s="1161">
        <f>IFERROR(E40+F40-G40,"")</f>
        <v>50.6</v>
      </c>
      <c r="I40" s="1036">
        <f t="shared" ref="I40:J52" si="7">I6+I23</f>
        <v>506</v>
      </c>
      <c r="J40" s="1161">
        <f t="shared" si="7"/>
        <v>50.600000000000016</v>
      </c>
      <c r="K40" s="1161" t="str">
        <f t="shared" ref="K40:K52" si="8">IFERROR(K6+K23,"")</f>
        <v/>
      </c>
      <c r="L40" s="1036">
        <f>L6</f>
        <v>23</v>
      </c>
      <c r="M40" s="1036">
        <f t="shared" ref="M40:M52" si="9">M6</f>
        <v>23</v>
      </c>
      <c r="N40" s="1037">
        <f t="shared" ref="N40:T52" si="10">N6+N23</f>
        <v>364.31999999999988</v>
      </c>
      <c r="O40" s="1037">
        <f t="shared" si="10"/>
        <v>323.84000000000003</v>
      </c>
      <c r="P40" s="1037">
        <f>P6+P23</f>
        <v>268.18</v>
      </c>
      <c r="Q40" s="1037">
        <f>Q6+Q23</f>
        <v>399.74</v>
      </c>
      <c r="R40" s="1037">
        <f>R6+R23</f>
        <v>1356.0800000000002</v>
      </c>
      <c r="S40" s="1041">
        <f t="shared" si="10"/>
        <v>814.66000000000008</v>
      </c>
      <c r="T40" s="1155">
        <f t="shared" si="10"/>
        <v>541.42000000000007</v>
      </c>
    </row>
    <row r="41" spans="2:30" ht="35.1" customHeight="1" x14ac:dyDescent="0.3">
      <c r="B41" s="1039">
        <v>2</v>
      </c>
      <c r="C41" s="1040" t="s">
        <v>44</v>
      </c>
      <c r="D41" s="1036">
        <f t="shared" si="6"/>
        <v>0</v>
      </c>
      <c r="E41" s="1161">
        <f t="shared" ref="E41:G51" si="11">IFERROR(SUM(E7,E24),"")</f>
        <v>0</v>
      </c>
      <c r="F41" s="1161">
        <f t="shared" si="11"/>
        <v>100</v>
      </c>
      <c r="G41" s="1161">
        <f t="shared" si="11"/>
        <v>0</v>
      </c>
      <c r="H41" s="1161">
        <f t="shared" ref="H41:H51" si="12">IFERROR(E41+F41-G41,"")</f>
        <v>100</v>
      </c>
      <c r="I41" s="1036">
        <f t="shared" si="7"/>
        <v>0</v>
      </c>
      <c r="J41" s="1161">
        <f t="shared" si="7"/>
        <v>0</v>
      </c>
      <c r="K41" s="1161" t="str">
        <f t="shared" si="8"/>
        <v/>
      </c>
      <c r="L41" s="1036">
        <f t="shared" ref="L41:L52" si="13">L7</f>
        <v>0</v>
      </c>
      <c r="M41" s="1036">
        <f t="shared" si="9"/>
        <v>0</v>
      </c>
      <c r="N41" s="1037">
        <f t="shared" si="10"/>
        <v>0</v>
      </c>
      <c r="O41" s="1037">
        <f t="shared" si="10"/>
        <v>0</v>
      </c>
      <c r="P41" s="1037">
        <f t="shared" si="10"/>
        <v>0</v>
      </c>
      <c r="Q41" s="1037">
        <f t="shared" si="10"/>
        <v>0</v>
      </c>
      <c r="R41" s="1037">
        <f t="shared" si="10"/>
        <v>0</v>
      </c>
      <c r="S41" s="1041">
        <f t="shared" si="10"/>
        <v>0</v>
      </c>
      <c r="T41" s="1155">
        <f t="shared" si="10"/>
        <v>0</v>
      </c>
    </row>
    <row r="42" spans="2:30" ht="35.1" customHeight="1" x14ac:dyDescent="0.3">
      <c r="B42" s="1039">
        <v>3</v>
      </c>
      <c r="C42" s="1040" t="s">
        <v>94</v>
      </c>
      <c r="D42" s="1036">
        <f t="shared" si="6"/>
        <v>17</v>
      </c>
      <c r="E42" s="1161">
        <f t="shared" si="11"/>
        <v>99.999999999999986</v>
      </c>
      <c r="F42" s="1161">
        <f t="shared" si="11"/>
        <v>0</v>
      </c>
      <c r="G42" s="1161">
        <f t="shared" si="11"/>
        <v>0</v>
      </c>
      <c r="H42" s="1161">
        <f t="shared" si="12"/>
        <v>99.999999999999986</v>
      </c>
      <c r="I42" s="1036">
        <f t="shared" si="7"/>
        <v>234</v>
      </c>
      <c r="J42" s="1161">
        <f t="shared" si="7"/>
        <v>23.399999999999995</v>
      </c>
      <c r="K42" s="1161" t="str">
        <f t="shared" si="8"/>
        <v/>
      </c>
      <c r="L42" s="1036">
        <f t="shared" si="13"/>
        <v>14</v>
      </c>
      <c r="M42" s="1036">
        <f t="shared" si="9"/>
        <v>14</v>
      </c>
      <c r="N42" s="1037">
        <f t="shared" si="10"/>
        <v>168.48000000000002</v>
      </c>
      <c r="O42" s="1037">
        <f t="shared" si="10"/>
        <v>149.76</v>
      </c>
      <c r="P42" s="1037">
        <f t="shared" si="10"/>
        <v>124.02000000000002</v>
      </c>
      <c r="Q42" s="1037">
        <f t="shared" si="10"/>
        <v>184.86</v>
      </c>
      <c r="R42" s="1037">
        <f t="shared" si="10"/>
        <v>627.12</v>
      </c>
      <c r="S42" s="1041">
        <f t="shared" si="10"/>
        <v>376.74</v>
      </c>
      <c r="T42" s="1155">
        <f t="shared" si="10"/>
        <v>250.38000000000002</v>
      </c>
    </row>
    <row r="43" spans="2:30" ht="35.1" customHeight="1" x14ac:dyDescent="0.3">
      <c r="B43" s="1039">
        <v>4</v>
      </c>
      <c r="C43" s="1040" t="s">
        <v>46</v>
      </c>
      <c r="D43" s="1036">
        <f t="shared" si="6"/>
        <v>17</v>
      </c>
      <c r="E43" s="1161">
        <f t="shared" si="11"/>
        <v>76.599999999999994</v>
      </c>
      <c r="F43" s="1161">
        <f t="shared" si="11"/>
        <v>0</v>
      </c>
      <c r="G43" s="1161">
        <f t="shared" si="11"/>
        <v>0</v>
      </c>
      <c r="H43" s="1161">
        <f t="shared" si="12"/>
        <v>76.599999999999994</v>
      </c>
      <c r="I43" s="1036">
        <f t="shared" si="7"/>
        <v>442</v>
      </c>
      <c r="J43" s="1161">
        <f t="shared" si="7"/>
        <v>44.20000000000001</v>
      </c>
      <c r="K43" s="1161" t="str">
        <f t="shared" si="8"/>
        <v/>
      </c>
      <c r="L43" s="1036">
        <f t="shared" si="13"/>
        <v>26</v>
      </c>
      <c r="M43" s="1036">
        <f t="shared" si="9"/>
        <v>26</v>
      </c>
      <c r="N43" s="1037">
        <f t="shared" si="10"/>
        <v>318.24000000000012</v>
      </c>
      <c r="O43" s="1037">
        <f t="shared" si="10"/>
        <v>282.87999999999994</v>
      </c>
      <c r="P43" s="1037">
        <f t="shared" si="10"/>
        <v>234.25999999999993</v>
      </c>
      <c r="Q43" s="1037">
        <f t="shared" si="10"/>
        <v>349.18</v>
      </c>
      <c r="R43" s="1037">
        <f t="shared" si="10"/>
        <v>1184.5600000000002</v>
      </c>
      <c r="S43" s="1041">
        <f t="shared" si="10"/>
        <v>711.62</v>
      </c>
      <c r="T43" s="1155">
        <f t="shared" si="10"/>
        <v>472.94000000000005</v>
      </c>
    </row>
    <row r="44" spans="2:30" ht="35.1" customHeight="1" x14ac:dyDescent="0.3">
      <c r="B44" s="1039">
        <v>5</v>
      </c>
      <c r="C44" s="1040" t="s">
        <v>34</v>
      </c>
      <c r="D44" s="1036">
        <f t="shared" si="6"/>
        <v>15</v>
      </c>
      <c r="E44" s="1161">
        <f t="shared" si="11"/>
        <v>32.399999999999984</v>
      </c>
      <c r="F44" s="1161">
        <f t="shared" si="11"/>
        <v>100</v>
      </c>
      <c r="G44" s="1161">
        <f t="shared" si="11"/>
        <v>0</v>
      </c>
      <c r="H44" s="1161">
        <f t="shared" si="12"/>
        <v>132.39999999999998</v>
      </c>
      <c r="I44" s="1036">
        <f t="shared" si="7"/>
        <v>330</v>
      </c>
      <c r="J44" s="1161">
        <f t="shared" si="7"/>
        <v>33</v>
      </c>
      <c r="K44" s="1161" t="str">
        <f t="shared" si="8"/>
        <v/>
      </c>
      <c r="L44" s="1036">
        <f t="shared" si="13"/>
        <v>22</v>
      </c>
      <c r="M44" s="1036">
        <f t="shared" si="9"/>
        <v>22</v>
      </c>
      <c r="N44" s="1037">
        <f t="shared" si="10"/>
        <v>237.60000000000011</v>
      </c>
      <c r="O44" s="1037">
        <f t="shared" si="10"/>
        <v>211.19999999999993</v>
      </c>
      <c r="P44" s="1037">
        <f t="shared" si="10"/>
        <v>174.89999999999998</v>
      </c>
      <c r="Q44" s="1037">
        <f t="shared" si="10"/>
        <v>260.7</v>
      </c>
      <c r="R44" s="1037">
        <f t="shared" si="10"/>
        <v>884.40000000000009</v>
      </c>
      <c r="S44" s="1041">
        <f t="shared" si="10"/>
        <v>531.30000000000007</v>
      </c>
      <c r="T44" s="1155">
        <f t="shared" si="10"/>
        <v>353.1</v>
      </c>
    </row>
    <row r="45" spans="2:30" ht="35.1" customHeight="1" x14ac:dyDescent="0.3">
      <c r="B45" s="1039">
        <v>6</v>
      </c>
      <c r="C45" s="1040" t="s">
        <v>37</v>
      </c>
      <c r="D45" s="1036">
        <f t="shared" si="6"/>
        <v>17</v>
      </c>
      <c r="E45" s="1161">
        <f t="shared" si="11"/>
        <v>99.399999999999977</v>
      </c>
      <c r="F45" s="1161">
        <f t="shared" si="11"/>
        <v>0</v>
      </c>
      <c r="G45" s="1161">
        <f t="shared" si="11"/>
        <v>0</v>
      </c>
      <c r="H45" s="1161">
        <f t="shared" si="12"/>
        <v>99.399999999999977</v>
      </c>
      <c r="I45" s="1036">
        <f t="shared" si="7"/>
        <v>384</v>
      </c>
      <c r="J45" s="1161">
        <f t="shared" si="7"/>
        <v>38.40000000000002</v>
      </c>
      <c r="K45" s="1161" t="str">
        <f t="shared" si="8"/>
        <v/>
      </c>
      <c r="L45" s="1036">
        <f t="shared" si="13"/>
        <v>23</v>
      </c>
      <c r="M45" s="1036">
        <f t="shared" si="9"/>
        <v>23</v>
      </c>
      <c r="N45" s="1037">
        <f t="shared" si="10"/>
        <v>276.48</v>
      </c>
      <c r="O45" s="1037">
        <f t="shared" si="10"/>
        <v>245.76000000000008</v>
      </c>
      <c r="P45" s="1037">
        <f t="shared" si="10"/>
        <v>203.51999999999998</v>
      </c>
      <c r="Q45" s="1037">
        <f t="shared" si="10"/>
        <v>303.36</v>
      </c>
      <c r="R45" s="1037">
        <f t="shared" si="10"/>
        <v>1029.1200000000001</v>
      </c>
      <c r="S45" s="1041">
        <f t="shared" si="10"/>
        <v>618.24</v>
      </c>
      <c r="T45" s="1155">
        <f t="shared" si="10"/>
        <v>410.88</v>
      </c>
    </row>
    <row r="46" spans="2:30" ht="35.1" customHeight="1" x14ac:dyDescent="0.3">
      <c r="B46" s="1039">
        <v>7</v>
      </c>
      <c r="C46" s="1040" t="s">
        <v>47</v>
      </c>
      <c r="D46" s="1036">
        <f t="shared" si="6"/>
        <v>21</v>
      </c>
      <c r="E46" s="1161">
        <f t="shared" si="11"/>
        <v>60.999999999999957</v>
      </c>
      <c r="F46" s="1161">
        <f t="shared" si="11"/>
        <v>0</v>
      </c>
      <c r="G46" s="1161">
        <f t="shared" si="11"/>
        <v>0</v>
      </c>
      <c r="H46" s="1161">
        <f t="shared" si="12"/>
        <v>60.999999999999957</v>
      </c>
      <c r="I46" s="1036">
        <f t="shared" si="7"/>
        <v>236</v>
      </c>
      <c r="J46" s="1161">
        <f t="shared" si="7"/>
        <v>23.599999999999994</v>
      </c>
      <c r="K46" s="1161" t="str">
        <f t="shared" si="8"/>
        <v/>
      </c>
      <c r="L46" s="1036">
        <f t="shared" si="13"/>
        <v>11</v>
      </c>
      <c r="M46" s="1036">
        <f t="shared" si="9"/>
        <v>11</v>
      </c>
      <c r="N46" s="1037">
        <f t="shared" si="10"/>
        <v>167.56</v>
      </c>
      <c r="O46" s="1037">
        <f t="shared" si="10"/>
        <v>186.43999999999997</v>
      </c>
      <c r="P46" s="1037">
        <f t="shared" si="10"/>
        <v>136.88000000000002</v>
      </c>
      <c r="Q46" s="1037">
        <f t="shared" si="10"/>
        <v>186.44</v>
      </c>
      <c r="R46" s="1037">
        <f t="shared" si="10"/>
        <v>677.32</v>
      </c>
      <c r="S46" s="1041">
        <f t="shared" si="10"/>
        <v>379.96000000000004</v>
      </c>
      <c r="T46" s="1155">
        <f t="shared" si="10"/>
        <v>252.52</v>
      </c>
    </row>
    <row r="47" spans="2:30" ht="35.1" customHeight="1" x14ac:dyDescent="0.3">
      <c r="B47" s="1039">
        <v>8</v>
      </c>
      <c r="C47" s="1040" t="s">
        <v>38</v>
      </c>
      <c r="D47" s="1036">
        <f t="shared" si="6"/>
        <v>22</v>
      </c>
      <c r="E47" s="1161">
        <f t="shared" si="11"/>
        <v>37.399999999999963</v>
      </c>
      <c r="F47" s="1161">
        <f t="shared" si="11"/>
        <v>50</v>
      </c>
      <c r="G47" s="1161">
        <f t="shared" si="11"/>
        <v>0</v>
      </c>
      <c r="H47" s="1161">
        <f t="shared" si="12"/>
        <v>87.399999999999963</v>
      </c>
      <c r="I47" s="1036">
        <f t="shared" si="7"/>
        <v>418</v>
      </c>
      <c r="J47" s="1161">
        <f t="shared" si="7"/>
        <v>41.800000000000004</v>
      </c>
      <c r="K47" s="1161" t="str">
        <f t="shared" si="8"/>
        <v/>
      </c>
      <c r="L47" s="1036">
        <f t="shared" si="13"/>
        <v>19</v>
      </c>
      <c r="M47" s="1036">
        <f t="shared" si="9"/>
        <v>19</v>
      </c>
      <c r="N47" s="1037">
        <f t="shared" si="10"/>
        <v>296.78000000000003</v>
      </c>
      <c r="O47" s="1037">
        <f t="shared" si="10"/>
        <v>330.21999999999997</v>
      </c>
      <c r="P47" s="1037">
        <f t="shared" si="10"/>
        <v>242.43999999999994</v>
      </c>
      <c r="Q47" s="1037">
        <f t="shared" si="10"/>
        <v>330.22</v>
      </c>
      <c r="R47" s="1037">
        <f t="shared" si="10"/>
        <v>1199.6600000000001</v>
      </c>
      <c r="S47" s="1041">
        <f t="shared" si="10"/>
        <v>672.98</v>
      </c>
      <c r="T47" s="1155">
        <f t="shared" si="10"/>
        <v>447.26000000000005</v>
      </c>
    </row>
    <row r="48" spans="2:30" ht="35.1" customHeight="1" x14ac:dyDescent="0.3">
      <c r="B48" s="1039">
        <v>9</v>
      </c>
      <c r="C48" s="1040" t="s">
        <v>39</v>
      </c>
      <c r="D48" s="1036">
        <f t="shared" si="6"/>
        <v>21</v>
      </c>
      <c r="E48" s="1161">
        <f t="shared" si="11"/>
        <v>45.599999999999959</v>
      </c>
      <c r="F48" s="1161">
        <f t="shared" si="11"/>
        <v>30</v>
      </c>
      <c r="G48" s="1161">
        <f t="shared" si="11"/>
        <v>0</v>
      </c>
      <c r="H48" s="1161">
        <f t="shared" si="12"/>
        <v>75.599999999999966</v>
      </c>
      <c r="I48" s="1036">
        <f t="shared" si="7"/>
        <v>547</v>
      </c>
      <c r="J48" s="1161">
        <f t="shared" si="7"/>
        <v>54.700000000000024</v>
      </c>
      <c r="K48" s="1161" t="str">
        <f t="shared" si="8"/>
        <v/>
      </c>
      <c r="L48" s="1036">
        <f t="shared" si="13"/>
        <v>26</v>
      </c>
      <c r="M48" s="1036">
        <f t="shared" si="9"/>
        <v>26</v>
      </c>
      <c r="N48" s="1037">
        <f t="shared" si="10"/>
        <v>388.37000000000018</v>
      </c>
      <c r="O48" s="1037">
        <f t="shared" si="10"/>
        <v>432.12999999999977</v>
      </c>
      <c r="P48" s="1037">
        <f t="shared" si="10"/>
        <v>317.2600000000001</v>
      </c>
      <c r="Q48" s="1037">
        <f t="shared" si="10"/>
        <v>432.13</v>
      </c>
      <c r="R48" s="1037">
        <f t="shared" si="10"/>
        <v>1569.89</v>
      </c>
      <c r="S48" s="1041">
        <f t="shared" si="10"/>
        <v>880.67000000000007</v>
      </c>
      <c r="T48" s="1155">
        <f t="shared" si="10"/>
        <v>585.29000000000008</v>
      </c>
    </row>
    <row r="49" spans="2:20" ht="35.1" customHeight="1" x14ac:dyDescent="0.3">
      <c r="B49" s="1039">
        <v>10</v>
      </c>
      <c r="C49" s="1040" t="s">
        <v>33</v>
      </c>
      <c r="D49" s="1036">
        <f t="shared" si="6"/>
        <v>0</v>
      </c>
      <c r="E49" s="1161">
        <f t="shared" si="11"/>
        <v>0</v>
      </c>
      <c r="F49" s="1161">
        <f t="shared" si="11"/>
        <v>0</v>
      </c>
      <c r="G49" s="1161">
        <f t="shared" si="11"/>
        <v>0</v>
      </c>
      <c r="H49" s="1161">
        <f t="shared" si="12"/>
        <v>0</v>
      </c>
      <c r="I49" s="1036">
        <f t="shared" si="7"/>
        <v>0</v>
      </c>
      <c r="J49" s="1161">
        <f t="shared" si="7"/>
        <v>0</v>
      </c>
      <c r="K49" s="1161" t="str">
        <f t="shared" si="8"/>
        <v/>
      </c>
      <c r="L49" s="1036">
        <f t="shared" si="13"/>
        <v>0</v>
      </c>
      <c r="M49" s="1036">
        <f t="shared" si="9"/>
        <v>0</v>
      </c>
      <c r="N49" s="1037">
        <f t="shared" si="10"/>
        <v>0</v>
      </c>
      <c r="O49" s="1037">
        <f t="shared" si="10"/>
        <v>0</v>
      </c>
      <c r="P49" s="1037">
        <f t="shared" si="10"/>
        <v>0</v>
      </c>
      <c r="Q49" s="1037">
        <f t="shared" si="10"/>
        <v>0</v>
      </c>
      <c r="R49" s="1037">
        <f t="shared" si="10"/>
        <v>0</v>
      </c>
      <c r="S49" s="1041">
        <f t="shared" si="10"/>
        <v>0</v>
      </c>
      <c r="T49" s="1155">
        <f t="shared" si="10"/>
        <v>0</v>
      </c>
    </row>
    <row r="50" spans="2:20" ht="35.1" customHeight="1" x14ac:dyDescent="0.3">
      <c r="B50" s="1039">
        <v>11</v>
      </c>
      <c r="C50" s="1040" t="s">
        <v>40</v>
      </c>
      <c r="D50" s="1036">
        <f t="shared" si="6"/>
        <v>0</v>
      </c>
      <c r="E50" s="1161">
        <f t="shared" si="11"/>
        <v>0</v>
      </c>
      <c r="F50" s="1161">
        <f t="shared" si="11"/>
        <v>0</v>
      </c>
      <c r="G50" s="1161">
        <f t="shared" si="11"/>
        <v>0</v>
      </c>
      <c r="H50" s="1161">
        <f t="shared" si="12"/>
        <v>0</v>
      </c>
      <c r="I50" s="1036">
        <f t="shared" si="7"/>
        <v>0</v>
      </c>
      <c r="J50" s="1161">
        <f t="shared" si="7"/>
        <v>0</v>
      </c>
      <c r="K50" s="1161" t="str">
        <f t="shared" si="8"/>
        <v/>
      </c>
      <c r="L50" s="1036">
        <f t="shared" si="13"/>
        <v>0</v>
      </c>
      <c r="M50" s="1036">
        <f t="shared" si="9"/>
        <v>0</v>
      </c>
      <c r="N50" s="1037">
        <f t="shared" si="10"/>
        <v>0</v>
      </c>
      <c r="O50" s="1037">
        <f t="shared" si="10"/>
        <v>0</v>
      </c>
      <c r="P50" s="1037">
        <f t="shared" si="10"/>
        <v>0</v>
      </c>
      <c r="Q50" s="1037">
        <f t="shared" si="10"/>
        <v>0</v>
      </c>
      <c r="R50" s="1037">
        <f t="shared" si="10"/>
        <v>0</v>
      </c>
      <c r="S50" s="1041">
        <f t="shared" si="10"/>
        <v>0</v>
      </c>
      <c r="T50" s="1155">
        <f t="shared" si="10"/>
        <v>0</v>
      </c>
    </row>
    <row r="51" spans="2:20" ht="35.1" customHeight="1" x14ac:dyDescent="0.3">
      <c r="B51" s="1039">
        <v>12</v>
      </c>
      <c r="C51" s="1040" t="s">
        <v>41</v>
      </c>
      <c r="D51" s="1036">
        <f t="shared" si="6"/>
        <v>0</v>
      </c>
      <c r="E51" s="1161">
        <f t="shared" si="11"/>
        <v>0</v>
      </c>
      <c r="F51" s="1161">
        <f t="shared" si="11"/>
        <v>0</v>
      </c>
      <c r="G51" s="1161">
        <f t="shared" si="11"/>
        <v>0</v>
      </c>
      <c r="H51" s="1161">
        <f t="shared" si="12"/>
        <v>0</v>
      </c>
      <c r="I51" s="1036">
        <f t="shared" si="7"/>
        <v>0</v>
      </c>
      <c r="J51" s="1161">
        <f t="shared" si="7"/>
        <v>0</v>
      </c>
      <c r="K51" s="1161" t="str">
        <f t="shared" si="8"/>
        <v/>
      </c>
      <c r="L51" s="1036">
        <f t="shared" si="13"/>
        <v>0</v>
      </c>
      <c r="M51" s="1036">
        <f t="shared" si="9"/>
        <v>0</v>
      </c>
      <c r="N51" s="1037">
        <f t="shared" si="10"/>
        <v>0</v>
      </c>
      <c r="O51" s="1037">
        <f t="shared" si="10"/>
        <v>0</v>
      </c>
      <c r="P51" s="1037">
        <f t="shared" si="10"/>
        <v>0</v>
      </c>
      <c r="Q51" s="1037">
        <f t="shared" si="10"/>
        <v>0</v>
      </c>
      <c r="R51" s="1037">
        <f t="shared" si="10"/>
        <v>0</v>
      </c>
      <c r="S51" s="1041">
        <f t="shared" si="10"/>
        <v>0</v>
      </c>
      <c r="T51" s="1155">
        <f t="shared" si="10"/>
        <v>0</v>
      </c>
    </row>
    <row r="52" spans="2:20" ht="35.1" customHeight="1" thickBot="1" x14ac:dyDescent="0.35">
      <c r="B52" s="1045">
        <v>13</v>
      </c>
      <c r="C52" s="1046" t="s">
        <v>35</v>
      </c>
      <c r="D52" s="1048">
        <f>IFERROR(D18+D35,"")</f>
        <v>19</v>
      </c>
      <c r="E52" s="1167">
        <f>IFERROR(SUM(E18,E35),"")</f>
        <v>30.2</v>
      </c>
      <c r="F52" s="1167">
        <f>IFERROR(SUM(F18,F35),"")</f>
        <v>330</v>
      </c>
      <c r="G52" s="1167">
        <f>IFERROR(SUM(G18,G35),"")</f>
        <v>29.6</v>
      </c>
      <c r="H52" s="1167">
        <f>SUM(H40:H51)</f>
        <v>782.99999999999977</v>
      </c>
      <c r="I52" s="1048">
        <f t="shared" si="7"/>
        <v>3097</v>
      </c>
      <c r="J52" s="1167">
        <f t="shared" si="7"/>
        <v>309.70000000000005</v>
      </c>
      <c r="K52" s="1167" t="str">
        <f t="shared" si="8"/>
        <v/>
      </c>
      <c r="L52" s="1048">
        <f t="shared" si="13"/>
        <v>164</v>
      </c>
      <c r="M52" s="1048">
        <f t="shared" si="9"/>
        <v>164</v>
      </c>
      <c r="N52" s="1049">
        <f t="shared" si="10"/>
        <v>2217.8300000000004</v>
      </c>
      <c r="O52" s="1049">
        <f t="shared" si="10"/>
        <v>2162.23</v>
      </c>
      <c r="P52" s="1049">
        <f t="shared" si="10"/>
        <v>1701.46</v>
      </c>
      <c r="Q52" s="1049">
        <f t="shared" si="10"/>
        <v>2446.63</v>
      </c>
      <c r="R52" s="1049">
        <f t="shared" si="10"/>
        <v>8528.15</v>
      </c>
      <c r="S52" s="1049">
        <f t="shared" si="10"/>
        <v>4986.17</v>
      </c>
      <c r="T52" s="1156">
        <f t="shared" si="10"/>
        <v>3313.7900000000004</v>
      </c>
    </row>
  </sheetData>
  <sheetProtection algorithmName="SHA-512" hashValue="vsZ1mVzguiywKQXVgqJjTgfTjgrd4UHHmhKG054n5HMhcE6t4Al07va3oojOL9DlaqIxuH9Y6PAFBPuQqEyf/A==" saltValue="SLa3/k3WsnfpTzIdrqZswQ==" spinCount="100000" sheet="1" objects="1" scenarios="1" selectLockedCells="1"/>
  <mergeCells count="56">
    <mergeCell ref="B3:D3"/>
    <mergeCell ref="L21:L22"/>
    <mergeCell ref="S3:T3"/>
    <mergeCell ref="B38:B39"/>
    <mergeCell ref="C38:C39"/>
    <mergeCell ref="F38:F39"/>
    <mergeCell ref="G38:G39"/>
    <mergeCell ref="H38:H39"/>
    <mergeCell ref="I38:I39"/>
    <mergeCell ref="J38:J39"/>
    <mergeCell ref="F21:F22"/>
    <mergeCell ref="G21:G22"/>
    <mergeCell ref="H21:H22"/>
    <mergeCell ref="M38:M39"/>
    <mergeCell ref="B37:D37"/>
    <mergeCell ref="L38:L39"/>
    <mergeCell ref="D2:G2"/>
    <mergeCell ref="S21:S22"/>
    <mergeCell ref="B21:B22"/>
    <mergeCell ref="C21:C22"/>
    <mergeCell ref="D21:D22"/>
    <mergeCell ref="E21:E22"/>
    <mergeCell ref="J4:J5"/>
    <mergeCell ref="B4:B5"/>
    <mergeCell ref="C4:C5"/>
    <mergeCell ref="I3:J3"/>
    <mergeCell ref="M2:N2"/>
    <mergeCell ref="K4:K5"/>
    <mergeCell ref="B20:D20"/>
    <mergeCell ref="M4:M5"/>
    <mergeCell ref="K20:M20"/>
    <mergeCell ref="K21:K22"/>
    <mergeCell ref="D38:D39"/>
    <mergeCell ref="E38:E39"/>
    <mergeCell ref="G4:G5"/>
    <mergeCell ref="H4:H5"/>
    <mergeCell ref="I4:I5"/>
    <mergeCell ref="D4:D5"/>
    <mergeCell ref="E4:E5"/>
    <mergeCell ref="F4:F5"/>
    <mergeCell ref="I37:J37"/>
    <mergeCell ref="I21:I22"/>
    <mergeCell ref="J21:J22"/>
    <mergeCell ref="M21:M22"/>
    <mergeCell ref="L4:L5"/>
    <mergeCell ref="T21:T22"/>
    <mergeCell ref="K38:K39"/>
    <mergeCell ref="S38:S39"/>
    <mergeCell ref="T38:T39"/>
    <mergeCell ref="N4:Q4"/>
    <mergeCell ref="N21:Q21"/>
    <mergeCell ref="N38:Q38"/>
    <mergeCell ref="S37:T37"/>
    <mergeCell ref="T4:T5"/>
    <mergeCell ref="S4:S5"/>
    <mergeCell ref="S20:T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rowBreaks count="2" manualBreakCount="2">
    <brk id="19" max="16383" man="1"/>
    <brk id="3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00FF"/>
  </sheetPr>
  <dimension ref="A1:QS157"/>
  <sheetViews>
    <sheetView zoomScaleNormal="100" workbookViewId="0">
      <selection activeCell="C5" sqref="C5:J5"/>
    </sheetView>
  </sheetViews>
  <sheetFormatPr defaultRowHeight="29.25" customHeight="1" x14ac:dyDescent="0.3"/>
  <cols>
    <col min="1" max="1" width="7.140625" style="1006" customWidth="1"/>
    <col min="2" max="2" width="7.7109375" style="1006" customWidth="1"/>
    <col min="3" max="6" width="9.140625" style="1006"/>
    <col min="7" max="7" width="10.140625" style="1006" customWidth="1"/>
    <col min="8" max="9" width="9.140625" style="1006"/>
    <col min="10" max="10" width="10.7109375" style="1006" customWidth="1"/>
    <col min="11" max="11" width="9.140625" style="1006"/>
    <col min="12" max="12" width="14" style="1006" customWidth="1"/>
    <col min="13" max="13" width="9.140625" style="1006" customWidth="1"/>
    <col min="14" max="14" width="7.85546875" style="1006" customWidth="1"/>
    <col min="15" max="15" width="6.42578125" style="1006" customWidth="1"/>
    <col min="16" max="16" width="8.7109375" style="1006" customWidth="1"/>
    <col min="17" max="19" width="9.140625" style="1006" customWidth="1"/>
    <col min="20" max="20" width="8.5703125" style="1006" customWidth="1"/>
    <col min="21" max="25" width="9.140625" style="1006" hidden="1" customWidth="1"/>
    <col min="26" max="26" width="9.28515625" style="1006" hidden="1" customWidth="1"/>
    <col min="27" max="27" width="9.140625" style="1006" hidden="1" customWidth="1"/>
    <col min="28" max="28" width="1.28515625" style="1006" hidden="1" customWidth="1"/>
    <col min="29" max="30" width="9.140625" style="1006" hidden="1" customWidth="1"/>
    <col min="31" max="31" width="0.140625" style="1006" hidden="1" customWidth="1"/>
    <col min="32" max="36" width="9.140625" style="1006" hidden="1" customWidth="1"/>
    <col min="37" max="37" width="5.5703125" style="1006" hidden="1" customWidth="1"/>
    <col min="38" max="38" width="7.140625" style="1006" hidden="1" customWidth="1"/>
    <col min="39" max="44" width="9.140625" style="1006" hidden="1" customWidth="1"/>
    <col min="45" max="45" width="4.7109375" style="1006" hidden="1" customWidth="1"/>
    <col min="46" max="46" width="4.85546875" style="1006" hidden="1" customWidth="1"/>
    <col min="47" max="53" width="0.5703125" style="1006" hidden="1" customWidth="1"/>
    <col min="54" max="54" width="3.28515625" style="1006" hidden="1" customWidth="1"/>
    <col min="55" max="55" width="11.42578125" style="1006" hidden="1" customWidth="1"/>
    <col min="56" max="56" width="4.42578125" style="1006" hidden="1" customWidth="1"/>
    <col min="57" max="57" width="4.5703125" style="1006" hidden="1" customWidth="1"/>
    <col min="58" max="58" width="5.42578125" style="1006" hidden="1" customWidth="1"/>
    <col min="59" max="59" width="6.28515625" style="1006" hidden="1" customWidth="1"/>
    <col min="60" max="70" width="10.7109375" style="1006" hidden="1" customWidth="1"/>
    <col min="71" max="72" width="4.42578125" style="1006" hidden="1" customWidth="1"/>
    <col min="73" max="73" width="1.140625" style="1006" hidden="1" customWidth="1"/>
    <col min="74" max="75" width="4.42578125" style="1006" hidden="1" customWidth="1"/>
    <col min="76" max="82" width="4.85546875" style="1006" hidden="1" customWidth="1"/>
    <col min="83" max="83" width="12.28515625" style="1006" hidden="1" customWidth="1"/>
    <col min="84" max="84" width="10.28515625" style="1006" hidden="1" customWidth="1"/>
    <col min="85" max="85" width="8" style="1006" hidden="1" customWidth="1"/>
    <col min="86" max="86" width="8.28515625" style="1006" hidden="1" customWidth="1"/>
    <col min="87" max="87" width="5.85546875" style="1006" hidden="1" customWidth="1"/>
    <col min="88" max="92" width="10.7109375" style="1006" hidden="1" customWidth="1"/>
    <col min="93" max="93" width="4.140625" style="1006" hidden="1" customWidth="1"/>
    <col min="94" max="94" width="10.7109375" style="1006" hidden="1" customWidth="1"/>
    <col min="95" max="95" width="7.85546875" style="1006" hidden="1" customWidth="1"/>
    <col min="96" max="96" width="11.42578125" style="1006" hidden="1" customWidth="1"/>
    <col min="97" max="97" width="9" style="1006" hidden="1" customWidth="1"/>
    <col min="98" max="98" width="7.28515625" style="1006" hidden="1" customWidth="1"/>
    <col min="99" max="99" width="7.7109375" style="1006" hidden="1" customWidth="1"/>
    <col min="100" max="100" width="5.7109375" style="1006" hidden="1" customWidth="1"/>
    <col min="101" max="101" width="12" style="1006" hidden="1" customWidth="1"/>
    <col min="102" max="102" width="8.5703125" style="1006" hidden="1" customWidth="1"/>
    <col min="103" max="103" width="5.5703125" style="1006" hidden="1" customWidth="1"/>
    <col min="104" max="112" width="0.5703125" style="1006" hidden="1" customWidth="1"/>
    <col min="113" max="113" width="10.140625" style="1006" hidden="1" customWidth="1"/>
    <col min="114" max="114" width="6.140625" style="1006" hidden="1" customWidth="1"/>
    <col min="115" max="115" width="6" style="1006" hidden="1" customWidth="1"/>
    <col min="116" max="116" width="4.85546875" style="1006" hidden="1" customWidth="1"/>
    <col min="117" max="117" width="3" style="1006" hidden="1" customWidth="1"/>
    <col min="118" max="118" width="4.7109375" style="1006" hidden="1" customWidth="1"/>
    <col min="119" max="141" width="0.5703125" style="1006" hidden="1" customWidth="1"/>
    <col min="142" max="142" width="4.140625" style="1006" hidden="1" customWidth="1"/>
    <col min="143" max="143" width="7.42578125" style="1006" hidden="1" customWidth="1"/>
    <col min="144" max="144" width="9.42578125" style="1006" hidden="1" customWidth="1"/>
    <col min="145" max="145" width="7.140625" style="1006" hidden="1" customWidth="1"/>
    <col min="146" max="146" width="3.7109375" style="1006" hidden="1" customWidth="1"/>
    <col min="147" max="147" width="6.28515625" style="1006" hidden="1" customWidth="1"/>
    <col min="148" max="148" width="5.140625" style="1006" hidden="1" customWidth="1"/>
    <col min="149" max="149" width="3.42578125" style="1006" hidden="1" customWidth="1"/>
    <col min="150" max="170" width="0.5703125" style="1006" hidden="1" customWidth="1"/>
    <col min="171" max="171" width="5.85546875" style="1006" hidden="1" customWidth="1"/>
    <col min="172" max="172" width="6.140625" style="1006" hidden="1" customWidth="1"/>
    <col min="173" max="179" width="5.7109375" style="1006" hidden="1" customWidth="1"/>
    <col min="180" max="192" width="0.5703125" style="1006" hidden="1" customWidth="1"/>
    <col min="193" max="193" width="5.5703125" style="1006" hidden="1" customWidth="1"/>
    <col min="194" max="200" width="0.5703125" style="1006" hidden="1" customWidth="1"/>
    <col min="201" max="201" width="3.7109375" style="1006" hidden="1" customWidth="1"/>
    <col min="202" max="202" width="4.140625" style="1006" hidden="1" customWidth="1"/>
    <col min="203" max="203" width="6.85546875" style="1006" hidden="1" customWidth="1"/>
    <col min="204" max="204" width="4.85546875" style="1006" hidden="1" customWidth="1"/>
    <col min="205" max="227" width="0.5703125" style="1006" hidden="1" customWidth="1"/>
    <col min="228" max="228" width="4.42578125" style="1006" hidden="1" customWidth="1"/>
    <col min="229" max="229" width="12" style="1006" hidden="1" customWidth="1"/>
    <col min="230" max="230" width="4.85546875" style="1006" hidden="1" customWidth="1"/>
    <col min="231" max="231" width="4.140625" style="1006" hidden="1" customWidth="1"/>
    <col min="232" max="232" width="3.85546875" style="1006" hidden="1" customWidth="1"/>
    <col min="233" max="233" width="5.140625" style="1006" hidden="1" customWidth="1"/>
    <col min="234" max="251" width="0.5703125" style="1006" hidden="1" customWidth="1"/>
    <col min="252" max="252" width="5.140625" style="1006" hidden="1" customWidth="1"/>
    <col min="253" max="257" width="0.5703125" style="1006" hidden="1" customWidth="1"/>
    <col min="258" max="258" width="5.140625" style="1006" hidden="1" customWidth="1"/>
    <col min="259" max="259" width="0.140625" style="1006" hidden="1" customWidth="1"/>
    <col min="260" max="260" width="4.28515625" style="1006" hidden="1" customWidth="1"/>
    <col min="261" max="261" width="3.42578125" style="1006" hidden="1" customWidth="1"/>
    <col min="262" max="262" width="5.7109375" style="1006" hidden="1" customWidth="1"/>
    <col min="263" max="287" width="0.5703125" style="1006" hidden="1" customWidth="1"/>
    <col min="288" max="288" width="4.42578125" style="1006" hidden="1" customWidth="1"/>
    <col min="289" max="289" width="4.5703125" style="1006" hidden="1" customWidth="1"/>
    <col min="290" max="290" width="4.28515625" style="1006" hidden="1" customWidth="1"/>
    <col min="291" max="291" width="4.140625" style="1006" hidden="1" customWidth="1"/>
    <col min="292" max="300" width="0.5703125" style="1006" hidden="1" customWidth="1"/>
    <col min="301" max="301" width="0.28515625" style="1006" hidden="1" customWidth="1"/>
    <col min="302" max="306" width="0.5703125" style="1006" hidden="1" customWidth="1"/>
    <col min="307" max="307" width="0.28515625" style="1006" hidden="1" customWidth="1"/>
    <col min="308" max="316" width="0.5703125" style="1006" hidden="1" customWidth="1"/>
    <col min="317" max="318" width="4.28515625" style="1006" hidden="1" customWidth="1"/>
    <col min="319" max="319" width="5.42578125" style="1006" hidden="1" customWidth="1"/>
    <col min="320" max="320" width="7.5703125" style="1006" hidden="1" customWidth="1"/>
    <col min="321" max="321" width="4.7109375" style="1006" hidden="1" customWidth="1"/>
    <col min="322" max="322" width="7.140625" style="1006" hidden="1" customWidth="1"/>
    <col min="323" max="323" width="2.28515625" style="1006" hidden="1" customWidth="1"/>
    <col min="324" max="324" width="8.140625" style="1006" hidden="1" customWidth="1"/>
    <col min="325" max="325" width="7.85546875" style="1006" hidden="1" customWidth="1"/>
    <col min="326" max="326" width="7.42578125" style="1006" hidden="1" customWidth="1"/>
    <col min="327" max="327" width="6.7109375" style="1006" hidden="1" customWidth="1"/>
    <col min="328" max="328" width="4.5703125" style="1006" hidden="1" customWidth="1"/>
    <col min="329" max="329" width="7.42578125" style="1006" hidden="1" customWidth="1"/>
    <col min="330" max="330" width="12.140625" style="1006" hidden="1" customWidth="1"/>
    <col min="331" max="331" width="2.28515625" style="1006" hidden="1" customWidth="1"/>
    <col min="332" max="332" width="3.85546875" style="1006" hidden="1" customWidth="1"/>
    <col min="333" max="333" width="10" style="1006" hidden="1" customWidth="1"/>
    <col min="334" max="334" width="4.85546875" style="1006" hidden="1" customWidth="1"/>
    <col min="335" max="335" width="5.7109375" style="1006" hidden="1" customWidth="1"/>
    <col min="336" max="336" width="5.5703125" style="1006" hidden="1" customWidth="1"/>
    <col min="337" max="337" width="3.85546875" style="1006" hidden="1" customWidth="1"/>
    <col min="338" max="338" width="6.28515625" style="1006" hidden="1" customWidth="1"/>
    <col min="339" max="339" width="3.28515625" style="1006" hidden="1" customWidth="1"/>
    <col min="340" max="340" width="7.140625" style="1006" hidden="1" customWidth="1"/>
    <col min="341" max="341" width="7.85546875" style="1006" hidden="1" customWidth="1"/>
    <col min="342" max="342" width="4.5703125" style="1006" hidden="1" customWidth="1"/>
    <col min="343" max="343" width="5.5703125" style="1006" hidden="1" customWidth="1"/>
    <col min="344" max="344" width="5.28515625" style="1006" hidden="1" customWidth="1"/>
    <col min="345" max="345" width="2.5703125" style="1006" hidden="1" customWidth="1"/>
    <col min="346" max="347" width="7.5703125" style="1006" hidden="1" customWidth="1"/>
    <col min="348" max="348" width="5" style="1006" hidden="1" customWidth="1"/>
    <col min="349" max="349" width="6" style="1006" hidden="1" customWidth="1"/>
    <col min="350" max="350" width="5.140625" style="1006" hidden="1" customWidth="1"/>
    <col min="351" max="351" width="1.7109375" style="1006" hidden="1" customWidth="1"/>
    <col min="352" max="352" width="2.140625" style="1006" hidden="1" customWidth="1"/>
    <col min="353" max="353" width="4.5703125" style="1006" hidden="1" customWidth="1"/>
    <col min="354" max="354" width="1.7109375" style="1006" hidden="1" customWidth="1"/>
    <col min="355" max="355" width="1.28515625" style="1006" hidden="1" customWidth="1"/>
    <col min="356" max="356" width="2" style="1006" hidden="1" customWidth="1"/>
    <col min="357" max="357" width="1.5703125" style="1006" hidden="1" customWidth="1"/>
    <col min="358" max="358" width="3.42578125" style="1006" hidden="1" customWidth="1"/>
    <col min="359" max="359" width="1.42578125" style="1006" hidden="1" customWidth="1"/>
    <col min="360" max="360" width="1.7109375" style="1006" hidden="1" customWidth="1"/>
    <col min="361" max="361" width="1.85546875" style="1006" hidden="1" customWidth="1"/>
    <col min="362" max="362" width="0.42578125" style="1006" hidden="1" customWidth="1"/>
    <col min="363" max="363" width="4.42578125" style="1006" hidden="1" customWidth="1"/>
    <col min="364" max="364" width="5.28515625" style="1006" hidden="1" customWidth="1"/>
    <col min="365" max="365" width="4.42578125" style="1006" hidden="1" customWidth="1"/>
    <col min="366" max="367" width="1.28515625" style="1006" hidden="1" customWidth="1"/>
    <col min="368" max="368" width="1.5703125" style="1006" hidden="1" customWidth="1"/>
    <col min="369" max="369" width="6.5703125" style="1006" hidden="1" customWidth="1"/>
    <col min="370" max="370" width="10.7109375" style="1006" hidden="1" customWidth="1"/>
    <col min="371" max="371" width="3.42578125" style="1006" hidden="1" customWidth="1"/>
    <col min="372" max="372" width="8.42578125" style="1006" hidden="1" customWidth="1"/>
    <col min="373" max="373" width="7.85546875" style="1006" hidden="1" customWidth="1"/>
    <col min="374" max="374" width="6.7109375" style="1006" hidden="1" customWidth="1"/>
    <col min="375" max="375" width="8" style="1006" hidden="1" customWidth="1"/>
    <col min="376" max="376" width="6.85546875" style="1006" hidden="1" customWidth="1"/>
    <col min="377" max="377" width="5.85546875" style="1006" hidden="1" customWidth="1"/>
    <col min="378" max="378" width="6.85546875" style="1006" hidden="1" customWidth="1"/>
    <col min="379" max="379" width="7.7109375" style="1006" hidden="1" customWidth="1"/>
    <col min="380" max="380" width="9.42578125" style="1006" hidden="1" customWidth="1"/>
    <col min="381" max="381" width="8.140625" style="1006" hidden="1" customWidth="1"/>
    <col min="382" max="382" width="8.7109375" style="1006" hidden="1" customWidth="1"/>
    <col min="383" max="383" width="6.5703125" style="1006" hidden="1" customWidth="1"/>
    <col min="384" max="384" width="6.7109375" style="1006" hidden="1" customWidth="1"/>
    <col min="385" max="385" width="8.28515625" style="1006" hidden="1" customWidth="1"/>
    <col min="386" max="386" width="8.140625" style="1006" hidden="1" customWidth="1"/>
    <col min="387" max="387" width="5.85546875" style="1006" hidden="1" customWidth="1"/>
    <col min="388" max="388" width="1.85546875" style="1006" hidden="1" customWidth="1"/>
    <col min="389" max="389" width="6.28515625" style="1006" hidden="1" customWidth="1"/>
    <col min="390" max="390" width="7.28515625" style="1006" hidden="1" customWidth="1"/>
    <col min="391" max="391" width="2.5703125" style="1006" hidden="1" customWidth="1"/>
    <col min="392" max="392" width="10.5703125" style="1006" hidden="1" customWidth="1"/>
    <col min="393" max="393" width="0.5703125" style="1006" hidden="1" customWidth="1"/>
    <col min="394" max="394" width="5.42578125" style="1006" hidden="1" customWidth="1"/>
    <col min="395" max="395" width="4.140625" style="1006" hidden="1" customWidth="1"/>
    <col min="396" max="396" width="6.42578125" style="1006" hidden="1" customWidth="1"/>
    <col min="397" max="397" width="8" style="1006" hidden="1" customWidth="1"/>
    <col min="398" max="398" width="8.85546875" style="1006" hidden="1" customWidth="1"/>
    <col min="399" max="399" width="11.85546875" style="1006" hidden="1" customWidth="1"/>
    <col min="400" max="400" width="6.85546875" style="1006" hidden="1" customWidth="1"/>
    <col min="401" max="401" width="5.28515625" style="1006" hidden="1" customWidth="1"/>
    <col min="402" max="402" width="11.7109375" style="1006" hidden="1" customWidth="1"/>
    <col min="403" max="403" width="6.5703125" style="1006" hidden="1" customWidth="1"/>
    <col min="404" max="404" width="0.5703125" style="1006" hidden="1" customWidth="1"/>
    <col min="405" max="405" width="5.28515625" style="1006" hidden="1" customWidth="1"/>
    <col min="406" max="406" width="6.7109375" style="1006" hidden="1" customWidth="1"/>
    <col min="407" max="407" width="8.42578125" style="1006" hidden="1" customWidth="1"/>
    <col min="408" max="408" width="4" style="1006" hidden="1" customWidth="1"/>
    <col min="409" max="409" width="6.7109375" style="1006" hidden="1" customWidth="1"/>
    <col min="410" max="410" width="7.42578125" style="1006" hidden="1" customWidth="1"/>
    <col min="411" max="411" width="8.5703125" style="1006" hidden="1" customWidth="1"/>
    <col min="412" max="412" width="2.140625" style="1006" hidden="1" customWidth="1"/>
    <col min="413" max="413" width="8.140625" style="1006" hidden="1" customWidth="1"/>
    <col min="414" max="414" width="9.28515625" style="1006" hidden="1" customWidth="1"/>
    <col min="415" max="415" width="8.7109375" style="1006" hidden="1" customWidth="1"/>
    <col min="416" max="416" width="11" style="1006" hidden="1" customWidth="1"/>
    <col min="417" max="417" width="8.85546875" style="1006" hidden="1" customWidth="1"/>
    <col min="418" max="418" width="8.28515625" style="1006" hidden="1" customWidth="1"/>
    <col min="419" max="419" width="8.140625" style="1006" hidden="1" customWidth="1"/>
    <col min="420" max="420" width="11.7109375" style="1006" hidden="1" customWidth="1"/>
    <col min="421" max="421" width="8.85546875" style="1006" hidden="1" customWidth="1"/>
    <col min="422" max="422" width="8.5703125" style="1006" hidden="1" customWidth="1"/>
    <col min="423" max="423" width="7.5703125" style="1006" hidden="1" customWidth="1"/>
    <col min="424" max="424" width="9.28515625" style="1006" hidden="1" customWidth="1"/>
    <col min="425" max="425" width="7.7109375" style="1006" hidden="1" customWidth="1"/>
    <col min="426" max="426" width="8.7109375" style="1006" hidden="1" customWidth="1"/>
    <col min="427" max="427" width="8.5703125" style="1006" hidden="1" customWidth="1"/>
    <col min="428" max="428" width="7.5703125" style="1006" hidden="1" customWidth="1"/>
    <col min="429" max="429" width="9.140625" style="1006" hidden="1" customWidth="1"/>
    <col min="430" max="430" width="1.140625" style="1006" hidden="1" customWidth="1"/>
    <col min="431" max="431" width="7.42578125" style="1006" hidden="1" customWidth="1"/>
    <col min="432" max="432" width="4.7109375" style="1006" hidden="1" customWidth="1"/>
    <col min="433" max="433" width="4.42578125" style="1006" hidden="1" customWidth="1"/>
    <col min="434" max="434" width="7.140625" style="1006" hidden="1" customWidth="1"/>
    <col min="435" max="435" width="10.140625" style="1006" hidden="1" customWidth="1"/>
    <col min="436" max="436" width="11.140625" style="1006" hidden="1" customWidth="1"/>
    <col min="437" max="438" width="10.5703125" style="1006" hidden="1" customWidth="1"/>
    <col min="439" max="439" width="11" style="1006" hidden="1" customWidth="1"/>
    <col min="440" max="440" width="9.28515625" style="1006" hidden="1" customWidth="1"/>
    <col min="441" max="441" width="8.7109375" style="1006" hidden="1" customWidth="1"/>
    <col min="442" max="442" width="8" style="1006" hidden="1" customWidth="1"/>
    <col min="443" max="443" width="3.5703125" style="1006" hidden="1" customWidth="1"/>
    <col min="444" max="444" width="11" style="1006" hidden="1" customWidth="1"/>
    <col min="445" max="445" width="10.28515625" style="1006" hidden="1" customWidth="1"/>
    <col min="446" max="446" width="10" style="1006" hidden="1" customWidth="1"/>
    <col min="447" max="447" width="10.85546875" style="1006" hidden="1" customWidth="1"/>
    <col min="448" max="448" width="8.85546875" style="1006" hidden="1" customWidth="1"/>
    <col min="449" max="449" width="5.42578125" style="1006" hidden="1" customWidth="1"/>
    <col min="450" max="450" width="9" style="1006" hidden="1" customWidth="1"/>
    <col min="451" max="451" width="12.85546875" style="1006" hidden="1" customWidth="1"/>
    <col min="452" max="452" width="11.7109375" style="1006" hidden="1" customWidth="1"/>
    <col min="453" max="453" width="0.42578125" style="1006" hidden="1" customWidth="1"/>
    <col min="454" max="454" width="16.42578125" style="1006" hidden="1" customWidth="1"/>
    <col min="455" max="455" width="13.28515625" style="1006" hidden="1" customWidth="1"/>
    <col min="456" max="456" width="10.140625" style="1006" hidden="1" customWidth="1"/>
    <col min="457" max="457" width="9.85546875" style="1006" hidden="1" customWidth="1"/>
    <col min="458" max="458" width="0.140625" style="1006" hidden="1" customWidth="1"/>
    <col min="459" max="459" width="17" style="1006" customWidth="1"/>
    <col min="460" max="460" width="6.42578125" style="1006" customWidth="1"/>
    <col min="461" max="471" width="9.140625" style="1006" customWidth="1"/>
    <col min="472" max="16384" width="9.140625" style="1006"/>
  </cols>
  <sheetData>
    <row r="1" spans="1:461" ht="29.25" customHeight="1" thickBot="1" x14ac:dyDescent="0.35">
      <c r="QS1" s="140"/>
    </row>
    <row r="2" spans="1:461" ht="29.25" customHeight="1" thickBot="1" x14ac:dyDescent="0.35">
      <c r="B2" s="2053" t="s">
        <v>200</v>
      </c>
      <c r="C2" s="2054"/>
      <c r="D2" s="2054"/>
      <c r="E2" s="2055"/>
      <c r="F2" s="2055"/>
      <c r="G2" s="2055"/>
      <c r="H2" s="2055"/>
      <c r="I2" s="2055"/>
      <c r="J2" s="2055"/>
      <c r="K2" s="2055"/>
      <c r="L2" s="2055"/>
      <c r="M2" s="2055"/>
      <c r="N2" s="2055"/>
      <c r="O2" s="2056"/>
    </row>
    <row r="3" spans="1:461" ht="40.5" customHeight="1" x14ac:dyDescent="0.3">
      <c r="A3" s="1007"/>
      <c r="B3" s="2063" t="s">
        <v>709</v>
      </c>
      <c r="C3" s="2063"/>
      <c r="D3" s="1008"/>
      <c r="E3" s="2061" t="s">
        <v>727</v>
      </c>
      <c r="F3" s="2061"/>
      <c r="G3" s="2061"/>
      <c r="H3" s="2066" t="str">
        <f>IF('शाळा माहिती'!D7="","",'शाळा माहिती'!D7)</f>
        <v>गंगापूर</v>
      </c>
      <c r="I3" s="2066"/>
      <c r="J3" s="2064" t="s">
        <v>312</v>
      </c>
      <c r="K3" s="2065"/>
      <c r="L3" s="609">
        <f>HOME!E2</f>
        <v>2022</v>
      </c>
      <c r="M3" s="610">
        <f>HOME!F2</f>
        <v>2023</v>
      </c>
      <c r="N3" s="1009"/>
      <c r="O3" s="1010"/>
    </row>
    <row r="4" spans="1:461" ht="39" customHeight="1" x14ac:dyDescent="0.3">
      <c r="B4" s="2057" t="s">
        <v>201</v>
      </c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8"/>
      <c r="O4" s="2059"/>
    </row>
    <row r="5" spans="1:461" ht="33" customHeight="1" x14ac:dyDescent="0.4">
      <c r="B5" s="1011" t="s">
        <v>113</v>
      </c>
      <c r="C5" s="2067" t="str">
        <f>IF('शाळा माहिती'!D4="","",'शाळा माहिती'!D4)</f>
        <v>जि.प.प्रा.शा.बोरजाई वस्ती</v>
      </c>
      <c r="D5" s="2067"/>
      <c r="E5" s="2067"/>
      <c r="F5" s="2067"/>
      <c r="G5" s="2067"/>
      <c r="H5" s="304" t="s">
        <v>114</v>
      </c>
      <c r="I5" s="2067" t="str">
        <f>IF('शाळा माहिती'!D6="","",'शाळा माहिती'!D6)</f>
        <v>जामगाव</v>
      </c>
      <c r="J5" s="2067"/>
      <c r="K5" s="337" t="s">
        <v>148</v>
      </c>
      <c r="L5" s="304" t="str">
        <f>IF('शाळा माहिती'!D7="","",'शाळा माहिती'!D7)</f>
        <v>गंगापूर</v>
      </c>
      <c r="M5" s="337" t="s">
        <v>149</v>
      </c>
      <c r="N5" s="304" t="str">
        <f>IF('शाळा माहिती'!D8="","",'शाळा माहिती'!D8)</f>
        <v>औरंगाबाद</v>
      </c>
      <c r="O5" s="1012"/>
      <c r="BA5" s="301"/>
      <c r="BH5" s="301"/>
      <c r="CD5" s="301"/>
      <c r="CK5" s="301"/>
    </row>
    <row r="6" spans="1:461" ht="33" customHeight="1" x14ac:dyDescent="0.5">
      <c r="B6" s="1013" t="s">
        <v>202</v>
      </c>
      <c r="C6" s="328"/>
      <c r="D6" s="328"/>
      <c r="E6" s="328"/>
      <c r="F6" s="1000">
        <f>HOME!E2</f>
        <v>2022</v>
      </c>
      <c r="G6" s="328" t="s">
        <v>203</v>
      </c>
      <c r="H6" s="1000">
        <f>HOME!F2</f>
        <v>2023</v>
      </c>
      <c r="I6" s="328" t="s">
        <v>204</v>
      </c>
      <c r="J6" s="328"/>
      <c r="K6" s="328"/>
      <c r="L6" s="328"/>
      <c r="M6" s="328"/>
      <c r="N6" s="328"/>
      <c r="O6" s="1012"/>
      <c r="BA6" s="2029" t="s">
        <v>246</v>
      </c>
      <c r="BB6" s="2029"/>
      <c r="BC6" s="2029"/>
      <c r="BD6" s="326" t="s">
        <v>42</v>
      </c>
      <c r="BE6" s="2026">
        <v>2020</v>
      </c>
      <c r="BF6" s="2026"/>
      <c r="BG6" s="2026"/>
      <c r="BH6" s="2031" t="s">
        <v>105</v>
      </c>
      <c r="BI6" s="2031"/>
      <c r="BJ6" s="2031"/>
      <c r="BK6" s="2031"/>
      <c r="BL6" s="2031"/>
      <c r="BM6" s="2031"/>
      <c r="BN6" s="2031"/>
      <c r="BO6" s="2031"/>
      <c r="BP6" s="2031"/>
      <c r="BQ6" s="2024" t="s">
        <v>308</v>
      </c>
      <c r="BR6" s="2024"/>
      <c r="BS6" s="2024"/>
      <c r="BT6" s="2024"/>
      <c r="BU6" s="2024"/>
      <c r="BV6" s="2024"/>
      <c r="BW6" s="2024"/>
      <c r="BX6" s="2024"/>
      <c r="BY6" s="2024"/>
      <c r="BZ6" s="2024"/>
      <c r="CA6" s="2024"/>
      <c r="CB6" s="2024"/>
      <c r="CC6" s="2024"/>
      <c r="CD6" s="2029" t="s">
        <v>247</v>
      </c>
      <c r="CE6" s="2029"/>
      <c r="CF6" s="2029"/>
      <c r="CG6" s="337" t="s">
        <v>44</v>
      </c>
      <c r="CH6" s="2026">
        <v>2020</v>
      </c>
      <c r="CI6" s="2026"/>
      <c r="CJ6" s="2026"/>
      <c r="CK6" s="2031" t="s">
        <v>105</v>
      </c>
      <c r="CL6" s="2031"/>
      <c r="CM6" s="2031"/>
      <c r="CN6" s="2031"/>
      <c r="CO6" s="2031"/>
      <c r="CP6" s="2031"/>
      <c r="CQ6" s="2031"/>
      <c r="CR6" s="2031"/>
      <c r="CS6" s="2031"/>
      <c r="CT6" s="2024" t="s">
        <v>308</v>
      </c>
      <c r="CU6" s="2024"/>
      <c r="CV6" s="2024"/>
      <c r="CW6" s="2024"/>
      <c r="CX6" s="2024"/>
      <c r="CY6" s="2024"/>
      <c r="CZ6" s="2024"/>
      <c r="DA6" s="2024"/>
      <c r="DB6" s="2024"/>
      <c r="DC6" s="2024"/>
      <c r="DD6" s="2024"/>
      <c r="DE6" s="2024"/>
      <c r="DF6" s="2024"/>
      <c r="DG6" s="2029" t="s">
        <v>219</v>
      </c>
      <c r="DH6" s="2029"/>
      <c r="DI6" s="2029"/>
      <c r="DJ6" s="337" t="s">
        <v>94</v>
      </c>
      <c r="DK6" s="2026">
        <v>2020</v>
      </c>
      <c r="DL6" s="2026"/>
      <c r="DM6" s="2026"/>
      <c r="DN6" s="2031" t="s">
        <v>105</v>
      </c>
      <c r="DO6" s="2031"/>
      <c r="DP6" s="2031"/>
      <c r="DQ6" s="2031"/>
      <c r="DR6" s="2031"/>
      <c r="DS6" s="2031"/>
      <c r="DT6" s="2031"/>
      <c r="DU6" s="2031"/>
      <c r="DV6" s="2031"/>
      <c r="DW6" s="2024" t="s">
        <v>308</v>
      </c>
      <c r="DX6" s="2024"/>
      <c r="DY6" s="2024"/>
      <c r="DZ6" s="2024"/>
      <c r="EA6" s="2024"/>
      <c r="EB6" s="2024"/>
      <c r="EC6" s="2024"/>
      <c r="ED6" s="2024"/>
      <c r="EE6" s="2024"/>
      <c r="EF6" s="2024"/>
      <c r="EG6" s="2024"/>
      <c r="EH6" s="2024"/>
      <c r="EI6" s="2024"/>
      <c r="EJ6" s="2029" t="s">
        <v>220</v>
      </c>
      <c r="EK6" s="2029"/>
      <c r="EL6" s="2029"/>
      <c r="EM6" s="337" t="s">
        <v>46</v>
      </c>
      <c r="EN6" s="2026">
        <v>2020</v>
      </c>
      <c r="EO6" s="2026"/>
      <c r="EP6" s="2026"/>
      <c r="EQ6" s="2031" t="s">
        <v>105</v>
      </c>
      <c r="ER6" s="2031"/>
      <c r="ES6" s="2031"/>
      <c r="ET6" s="2031"/>
      <c r="EU6" s="2031"/>
      <c r="EV6" s="2031"/>
      <c r="EW6" s="2031"/>
      <c r="EX6" s="2031"/>
      <c r="EY6" s="2031"/>
      <c r="EZ6" s="2024" t="s">
        <v>308</v>
      </c>
      <c r="FA6" s="2024"/>
      <c r="FB6" s="2024"/>
      <c r="FC6" s="2024"/>
      <c r="FD6" s="2024"/>
      <c r="FE6" s="2024"/>
      <c r="FF6" s="2024"/>
      <c r="FG6" s="2024"/>
      <c r="FH6" s="2024"/>
      <c r="FI6" s="2024"/>
      <c r="FJ6" s="2024"/>
      <c r="FK6" s="2024"/>
      <c r="FL6" s="2024"/>
      <c r="FM6" s="2029" t="s">
        <v>221</v>
      </c>
      <c r="FN6" s="2029"/>
      <c r="FO6" s="2029"/>
      <c r="FP6" s="337" t="s">
        <v>34</v>
      </c>
      <c r="FQ6" s="2026">
        <v>2020</v>
      </c>
      <c r="FR6" s="2026"/>
      <c r="FS6" s="2026"/>
      <c r="FT6" s="2031" t="s">
        <v>105</v>
      </c>
      <c r="FU6" s="2031"/>
      <c r="FV6" s="2031"/>
      <c r="FW6" s="2031"/>
      <c r="FX6" s="2031"/>
      <c r="FY6" s="2031"/>
      <c r="FZ6" s="2031"/>
      <c r="GA6" s="2031"/>
      <c r="GB6" s="2031"/>
      <c r="GC6" s="2024" t="s">
        <v>308</v>
      </c>
      <c r="GD6" s="2024"/>
      <c r="GE6" s="2024"/>
      <c r="GF6" s="2024"/>
      <c r="GG6" s="2024"/>
      <c r="GH6" s="2024"/>
      <c r="GI6" s="2024"/>
      <c r="GJ6" s="2024"/>
      <c r="GK6" s="2024"/>
      <c r="GL6" s="2024"/>
      <c r="GM6" s="2024"/>
      <c r="GN6" s="2024"/>
      <c r="GO6" s="2024"/>
      <c r="GP6" s="2029" t="s">
        <v>222</v>
      </c>
      <c r="GQ6" s="2029"/>
      <c r="GR6" s="2029"/>
      <c r="GS6" s="337" t="s">
        <v>37</v>
      </c>
      <c r="GT6" s="2026">
        <v>2020</v>
      </c>
      <c r="GU6" s="2026"/>
      <c r="GV6" s="2026"/>
      <c r="GW6" s="2031" t="s">
        <v>105</v>
      </c>
      <c r="GX6" s="2031"/>
      <c r="GY6" s="2031"/>
      <c r="GZ6" s="2031"/>
      <c r="HA6" s="2031"/>
      <c r="HB6" s="2031"/>
      <c r="HC6" s="2031"/>
      <c r="HD6" s="2031"/>
      <c r="HE6" s="2031"/>
      <c r="HF6" s="2024" t="s">
        <v>308</v>
      </c>
      <c r="HG6" s="2024"/>
      <c r="HH6" s="2024"/>
      <c r="HI6" s="2024"/>
      <c r="HJ6" s="2024"/>
      <c r="HK6" s="2024"/>
      <c r="HL6" s="2024"/>
      <c r="HM6" s="2024"/>
      <c r="HN6" s="2024"/>
      <c r="HO6" s="2024"/>
      <c r="HP6" s="2024"/>
      <c r="HQ6" s="2024"/>
      <c r="HR6" s="2024"/>
      <c r="HS6" s="2029" t="s">
        <v>223</v>
      </c>
      <c r="HT6" s="2029"/>
      <c r="HU6" s="2029"/>
      <c r="HV6" s="337" t="s">
        <v>47</v>
      </c>
      <c r="HW6" s="2026">
        <v>2020</v>
      </c>
      <c r="HX6" s="2026"/>
      <c r="HY6" s="2026"/>
      <c r="HZ6" s="2031" t="s">
        <v>105</v>
      </c>
      <c r="IA6" s="2031"/>
      <c r="IB6" s="2031"/>
      <c r="IC6" s="2031"/>
      <c r="ID6" s="2031"/>
      <c r="IE6" s="2031"/>
      <c r="IF6" s="2031"/>
      <c r="IG6" s="2031"/>
      <c r="IH6" s="2031"/>
      <c r="II6" s="2024" t="s">
        <v>308</v>
      </c>
      <c r="IJ6" s="2024"/>
      <c r="IK6" s="2024"/>
      <c r="IL6" s="2024"/>
      <c r="IM6" s="2024"/>
      <c r="IN6" s="2024"/>
      <c r="IO6" s="2024"/>
      <c r="IP6" s="2024"/>
      <c r="IQ6" s="2024"/>
      <c r="IR6" s="2024"/>
      <c r="IS6" s="2024"/>
      <c r="IT6" s="2024"/>
      <c r="IU6" s="2024"/>
      <c r="IV6" s="2029" t="s">
        <v>224</v>
      </c>
      <c r="IW6" s="2029"/>
      <c r="IX6" s="2029"/>
      <c r="IY6" s="337" t="s">
        <v>38</v>
      </c>
      <c r="IZ6" s="2026">
        <v>2020</v>
      </c>
      <c r="JA6" s="2026"/>
      <c r="JB6" s="2026"/>
      <c r="JC6" s="2031" t="s">
        <v>105</v>
      </c>
      <c r="JD6" s="2031"/>
      <c r="JE6" s="2031"/>
      <c r="JF6" s="2031"/>
      <c r="JG6" s="2031"/>
      <c r="JH6" s="2031"/>
      <c r="JI6" s="2031"/>
      <c r="JJ6" s="2031"/>
      <c r="JK6" s="2031"/>
      <c r="JL6" s="2024" t="s">
        <v>308</v>
      </c>
      <c r="JM6" s="2024"/>
      <c r="JN6" s="2024"/>
      <c r="JO6" s="2024"/>
      <c r="JP6" s="2024"/>
      <c r="JQ6" s="2024"/>
      <c r="JR6" s="2024"/>
      <c r="JS6" s="2024"/>
      <c r="JT6" s="2024"/>
      <c r="JU6" s="2024"/>
      <c r="JV6" s="2024"/>
      <c r="JW6" s="2024"/>
      <c r="JX6" s="2024"/>
      <c r="JY6" s="2029" t="s">
        <v>225</v>
      </c>
      <c r="JZ6" s="2029"/>
      <c r="KA6" s="2029"/>
      <c r="KB6" s="337" t="s">
        <v>39</v>
      </c>
      <c r="KC6" s="2030">
        <v>2020</v>
      </c>
      <c r="KD6" s="2030"/>
      <c r="KE6" s="2030"/>
      <c r="KF6" s="2031" t="s">
        <v>105</v>
      </c>
      <c r="KG6" s="2031"/>
      <c r="KH6" s="2031"/>
      <c r="KI6" s="2031"/>
      <c r="KJ6" s="2031"/>
      <c r="KK6" s="2031"/>
      <c r="KL6" s="2031"/>
      <c r="KM6" s="2031"/>
      <c r="KN6" s="2031"/>
      <c r="KO6" s="2024" t="s">
        <v>308</v>
      </c>
      <c r="KP6" s="2024"/>
      <c r="KQ6" s="2024"/>
      <c r="KR6" s="2024"/>
      <c r="KS6" s="2024"/>
      <c r="KT6" s="2024"/>
      <c r="KU6" s="2024"/>
      <c r="KV6" s="2024"/>
      <c r="KW6" s="2024"/>
      <c r="KX6" s="2024"/>
      <c r="KY6" s="2024"/>
      <c r="KZ6" s="2024"/>
      <c r="LA6" s="2024"/>
      <c r="LB6" s="2029" t="s">
        <v>226</v>
      </c>
      <c r="LC6" s="2029"/>
      <c r="LD6" s="2029"/>
      <c r="LE6" s="337" t="s">
        <v>33</v>
      </c>
      <c r="LF6" s="2030">
        <v>2021</v>
      </c>
      <c r="LG6" s="2030"/>
      <c r="LH6" s="2030"/>
      <c r="LI6" s="2031" t="s">
        <v>105</v>
      </c>
      <c r="LJ6" s="2031"/>
      <c r="LK6" s="2031"/>
      <c r="LL6" s="2031"/>
      <c r="LM6" s="2031"/>
      <c r="LN6" s="2031"/>
      <c r="LO6" s="2031"/>
      <c r="LP6" s="2031"/>
      <c r="LQ6" s="2031"/>
      <c r="LR6" s="2024" t="s">
        <v>308</v>
      </c>
      <c r="LS6" s="2024"/>
      <c r="LT6" s="2024"/>
      <c r="LU6" s="2024"/>
      <c r="LV6" s="2024"/>
      <c r="LW6" s="2024"/>
      <c r="LX6" s="2024"/>
      <c r="LY6" s="2024"/>
      <c r="LZ6" s="2024"/>
      <c r="MA6" s="2024"/>
      <c r="MB6" s="2024"/>
      <c r="MC6" s="2024"/>
      <c r="MD6" s="2024"/>
      <c r="ME6" s="2029" t="s">
        <v>227</v>
      </c>
      <c r="MF6" s="2029"/>
      <c r="MG6" s="2029"/>
      <c r="MH6" s="337" t="s">
        <v>40</v>
      </c>
      <c r="MI6" s="2030">
        <v>2021</v>
      </c>
      <c r="MJ6" s="2030"/>
      <c r="MK6" s="2030"/>
      <c r="ML6" s="2031" t="s">
        <v>105</v>
      </c>
      <c r="MM6" s="2031"/>
      <c r="MN6" s="2031"/>
      <c r="MO6" s="2031"/>
      <c r="MP6" s="2031"/>
      <c r="MQ6" s="2031"/>
      <c r="MR6" s="2031"/>
      <c r="MS6" s="2031"/>
      <c r="MT6" s="2031"/>
      <c r="MU6" s="2024" t="s">
        <v>308</v>
      </c>
      <c r="MV6" s="2024"/>
      <c r="MW6" s="2024"/>
      <c r="MX6" s="2024"/>
      <c r="MY6" s="2024"/>
      <c r="MZ6" s="2024"/>
      <c r="NA6" s="2024"/>
      <c r="NB6" s="2024"/>
      <c r="NC6" s="2024"/>
      <c r="ND6" s="2024"/>
      <c r="NE6" s="2024"/>
      <c r="NF6" s="2024"/>
      <c r="NG6" s="2024"/>
      <c r="NH6" s="2029" t="s">
        <v>228</v>
      </c>
      <c r="NI6" s="2029"/>
      <c r="NJ6" s="2029"/>
      <c r="NK6" s="337" t="s">
        <v>41</v>
      </c>
      <c r="NL6" s="2030">
        <v>2021</v>
      </c>
      <c r="NM6" s="2030"/>
      <c r="NN6" s="2030"/>
      <c r="NO6" s="2031" t="s">
        <v>105</v>
      </c>
      <c r="NP6" s="2031"/>
      <c r="NQ6" s="2031"/>
      <c r="NR6" s="2031"/>
      <c r="NS6" s="2031"/>
      <c r="NT6" s="2031"/>
      <c r="NU6" s="2031"/>
      <c r="NV6" s="2031"/>
      <c r="NW6" s="2031"/>
      <c r="NX6" s="2024" t="s">
        <v>308</v>
      </c>
      <c r="NY6" s="2024"/>
      <c r="NZ6" s="2024"/>
      <c r="OA6" s="2024"/>
      <c r="OB6" s="2024"/>
      <c r="OC6" s="2024"/>
      <c r="OD6" s="2024"/>
      <c r="OE6" s="2024"/>
      <c r="OF6" s="2024"/>
      <c r="OG6" s="2024"/>
      <c r="OH6" s="2024"/>
      <c r="OI6" s="2024"/>
      <c r="OJ6" s="2024"/>
    </row>
    <row r="7" spans="1:461" ht="29.25" customHeight="1" x14ac:dyDescent="0.45">
      <c r="B7" s="1013" t="s">
        <v>205</v>
      </c>
      <c r="C7" s="2037"/>
      <c r="D7" s="2037"/>
      <c r="E7" s="2060" t="s">
        <v>206</v>
      </c>
      <c r="F7" s="2060"/>
      <c r="G7" s="1051">
        <v>1000</v>
      </c>
      <c r="H7" s="328"/>
      <c r="I7" s="2037" t="s">
        <v>296</v>
      </c>
      <c r="J7" s="2037"/>
      <c r="K7" s="328" t="str">
        <f>IFERROR(IF(G7=0,"शून्य",IF(VALUE(RIGHT(INT(G7/10^3),2))=0,"",INDEX(MA_Sankhya,RIGHT(INT(G7/10^3),2))&amp;" हजार ")&amp;IF(RIGHT(G7,3)="100","शंभर",IF(VALUE(RIGHT(INT(G7/10^2),1))=0,"",INDEX(MA_Sankhya,RIGHT(INT(G7/10^2),1))&amp;"शे "))&amp;IF(VALUE(RIGHT(G7,2))=0,"",INDEX(MA_Sankhya,RIGHT(G7,2))))," ")&amp;" रुपये"&amp;" फक्त/-"</f>
        <v>एक हजार  रुपये फक्त/-</v>
      </c>
      <c r="L7" s="328"/>
      <c r="M7" s="328"/>
      <c r="N7" s="328"/>
      <c r="O7" s="1012"/>
      <c r="BA7" s="2025" t="s">
        <v>86</v>
      </c>
      <c r="BB7" s="2025" t="s">
        <v>17</v>
      </c>
      <c r="BC7" s="2026" t="s">
        <v>18</v>
      </c>
      <c r="BD7" s="2026" t="s">
        <v>32</v>
      </c>
      <c r="BE7" s="2027" t="s">
        <v>107</v>
      </c>
      <c r="BF7" s="2026" t="s">
        <v>108</v>
      </c>
      <c r="BG7" s="2027" t="s">
        <v>93</v>
      </c>
      <c r="BH7" s="281" t="str">
        <f>'साठा नोंदवही'!E5</f>
        <v>तांदूळ</v>
      </c>
      <c r="BI7" s="281" t="str">
        <f>'साठा नोंदवही'!F5</f>
        <v>मुगडाळ</v>
      </c>
      <c r="BJ7" s="281" t="str">
        <f>'साठा नोंदवही'!G5</f>
        <v>तुरडाळ</v>
      </c>
      <c r="BK7" s="281" t="str">
        <f>'साठा नोंदवही'!H5</f>
        <v>मसूरडाळ</v>
      </c>
      <c r="BL7" s="281" t="str">
        <f>'साठा नोंदवही'!I5</f>
        <v>मटकी</v>
      </c>
      <c r="BM7" s="281" t="str">
        <f>'साठा नोंदवही'!J5</f>
        <v>मुग</v>
      </c>
      <c r="BN7" s="281" t="str">
        <f>'साठा नोंदवही'!K5</f>
        <v>चवळी</v>
      </c>
      <c r="BO7" s="281" t="str">
        <f>'साठा नोंदवही'!L5</f>
        <v>हरभरा</v>
      </c>
      <c r="BP7" s="281" t="str">
        <f>'साठा नोंदवही'!M5</f>
        <v>वाटाणा</v>
      </c>
      <c r="BQ7" s="281" t="str">
        <f>'साठा नोंदवही'!N5</f>
        <v>जिरे</v>
      </c>
      <c r="BR7" s="281" t="str">
        <f>'साठा नोंदवही'!O5</f>
        <v>मोहरी</v>
      </c>
      <c r="BS7" s="281" t="str">
        <f>'साठा नोंदवही'!P5</f>
        <v>हळद</v>
      </c>
      <c r="BT7" s="281" t="str">
        <f>'साठा नोंदवही'!Q5</f>
        <v>मिरची पावडर</v>
      </c>
      <c r="BU7" s="281" t="str">
        <f>'साठा नोंदवही'!R5</f>
        <v>गरम मसाला</v>
      </c>
      <c r="BV7" s="281" t="str">
        <f>'साठा नोंदवही'!S5</f>
        <v>सोयाबीन तेल</v>
      </c>
      <c r="BW7" s="281" t="str">
        <f>'साठा नोंदवही'!T5</f>
        <v>मीठ</v>
      </c>
      <c r="BX7" s="281" t="str">
        <f>'साठा नोंदवही'!U5</f>
        <v>कांदा लसून मसाला</v>
      </c>
      <c r="BY7" s="281">
        <f>'साठा नोंदवही'!V5</f>
        <v>0</v>
      </c>
      <c r="BZ7" s="281" t="s">
        <v>98</v>
      </c>
      <c r="CA7" s="281" t="s">
        <v>60</v>
      </c>
      <c r="CB7" s="281" t="s">
        <v>99</v>
      </c>
      <c r="CC7" s="281" t="s">
        <v>100</v>
      </c>
      <c r="CD7" s="2025" t="s">
        <v>86</v>
      </c>
      <c r="CE7" s="2025" t="s">
        <v>17</v>
      </c>
      <c r="CF7" s="2026" t="s">
        <v>18</v>
      </c>
      <c r="CG7" s="2026" t="s">
        <v>32</v>
      </c>
      <c r="CH7" s="2027" t="s">
        <v>107</v>
      </c>
      <c r="CI7" s="2026" t="s">
        <v>108</v>
      </c>
      <c r="CJ7" s="2027" t="s">
        <v>93</v>
      </c>
      <c r="CK7" s="281" t="str">
        <f>'साठा नोंदवही'!E5</f>
        <v>तांदूळ</v>
      </c>
      <c r="CL7" s="281" t="str">
        <f>'साठा नोंदवही'!F5</f>
        <v>मुगडाळ</v>
      </c>
      <c r="CM7" s="281" t="str">
        <f>'साठा नोंदवही'!G5</f>
        <v>तुरडाळ</v>
      </c>
      <c r="CN7" s="281" t="str">
        <f>'साठा नोंदवही'!H5</f>
        <v>मसूरडाळ</v>
      </c>
      <c r="CO7" s="281" t="str">
        <f>'साठा नोंदवही'!I5</f>
        <v>मटकी</v>
      </c>
      <c r="CP7" s="281" t="str">
        <f>'साठा नोंदवही'!J5</f>
        <v>मुग</v>
      </c>
      <c r="CQ7" s="281" t="str">
        <f>'साठा नोंदवही'!K5</f>
        <v>चवळी</v>
      </c>
      <c r="CR7" s="281" t="str">
        <f>'साठा नोंदवही'!L5</f>
        <v>हरभरा</v>
      </c>
      <c r="CS7" s="281" t="str">
        <f>'साठा नोंदवही'!M5</f>
        <v>वाटाणा</v>
      </c>
      <c r="CT7" s="281" t="str">
        <f>'साठा नोंदवही'!N5</f>
        <v>जिरे</v>
      </c>
      <c r="CU7" s="281" t="str">
        <f>'साठा नोंदवही'!O5</f>
        <v>मोहरी</v>
      </c>
      <c r="CV7" s="281" t="str">
        <f>'साठा नोंदवही'!P5</f>
        <v>हळद</v>
      </c>
      <c r="CW7" s="281" t="str">
        <f>'साठा नोंदवही'!Q5</f>
        <v>मिरची पावडर</v>
      </c>
      <c r="CX7" s="281" t="str">
        <f>'साठा नोंदवही'!R5</f>
        <v>गरम मसाला</v>
      </c>
      <c r="CY7" s="281" t="str">
        <f>'साठा नोंदवही'!S5</f>
        <v>सोयाबीन तेल</v>
      </c>
      <c r="CZ7" s="281" t="str">
        <f>'साठा नोंदवही'!T5</f>
        <v>मीठ</v>
      </c>
      <c r="DA7" s="281" t="str">
        <f>'साठा नोंदवही'!U5</f>
        <v>कांदा लसून मसाला</v>
      </c>
      <c r="DB7" s="281">
        <f>'साठा नोंदवही'!V5</f>
        <v>0</v>
      </c>
      <c r="DC7" s="281" t="s">
        <v>98</v>
      </c>
      <c r="DD7" s="281" t="s">
        <v>60</v>
      </c>
      <c r="DE7" s="281" t="s">
        <v>99</v>
      </c>
      <c r="DF7" s="281" t="s">
        <v>100</v>
      </c>
      <c r="DG7" s="2025" t="s">
        <v>86</v>
      </c>
      <c r="DH7" s="2025" t="s">
        <v>17</v>
      </c>
      <c r="DI7" s="2026" t="s">
        <v>18</v>
      </c>
      <c r="DJ7" s="2026" t="s">
        <v>32</v>
      </c>
      <c r="DK7" s="2027" t="s">
        <v>107</v>
      </c>
      <c r="DL7" s="2026" t="s">
        <v>108</v>
      </c>
      <c r="DM7" s="2027" t="s">
        <v>93</v>
      </c>
      <c r="DN7" s="281" t="str">
        <f>'साठा नोंदवही'!E5</f>
        <v>तांदूळ</v>
      </c>
      <c r="DO7" s="281" t="str">
        <f>'साठा नोंदवही'!F5</f>
        <v>मुगडाळ</v>
      </c>
      <c r="DP7" s="281" t="str">
        <f>'साठा नोंदवही'!G5</f>
        <v>तुरडाळ</v>
      </c>
      <c r="DQ7" s="281" t="str">
        <f>'साठा नोंदवही'!H5</f>
        <v>मसूरडाळ</v>
      </c>
      <c r="DR7" s="281" t="str">
        <f>'साठा नोंदवही'!I5</f>
        <v>मटकी</v>
      </c>
      <c r="DS7" s="281" t="str">
        <f>'साठा नोंदवही'!J5</f>
        <v>मुग</v>
      </c>
      <c r="DT7" s="281" t="str">
        <f>'साठा नोंदवही'!K5</f>
        <v>चवळी</v>
      </c>
      <c r="DU7" s="281" t="str">
        <f>'साठा नोंदवही'!L5</f>
        <v>हरभरा</v>
      </c>
      <c r="DV7" s="281" t="str">
        <f>'साठा नोंदवही'!M5</f>
        <v>वाटाणा</v>
      </c>
      <c r="DW7" s="281" t="str">
        <f>'साठा नोंदवही'!N5</f>
        <v>जिरे</v>
      </c>
      <c r="DX7" s="281" t="str">
        <f>'साठा नोंदवही'!O5</f>
        <v>मोहरी</v>
      </c>
      <c r="DY7" s="281" t="str">
        <f>'साठा नोंदवही'!P5</f>
        <v>हळद</v>
      </c>
      <c r="DZ7" s="281" t="str">
        <f>'साठा नोंदवही'!Q5</f>
        <v>मिरची पावडर</v>
      </c>
      <c r="EA7" s="281" t="str">
        <f>'साठा नोंदवही'!R5</f>
        <v>गरम मसाला</v>
      </c>
      <c r="EB7" s="281" t="str">
        <f>'साठा नोंदवही'!S5</f>
        <v>सोयाबीन तेल</v>
      </c>
      <c r="EC7" s="281" t="str">
        <f>'साठा नोंदवही'!T5</f>
        <v>मीठ</v>
      </c>
      <c r="ED7" s="281" t="str">
        <f>'साठा नोंदवही'!U5</f>
        <v>कांदा लसून मसाला</v>
      </c>
      <c r="EE7" s="281">
        <f>'साठा नोंदवही'!V5</f>
        <v>0</v>
      </c>
      <c r="EF7" s="281" t="s">
        <v>98</v>
      </c>
      <c r="EG7" s="281" t="s">
        <v>60</v>
      </c>
      <c r="EH7" s="281" t="s">
        <v>99</v>
      </c>
      <c r="EI7" s="281" t="s">
        <v>100</v>
      </c>
      <c r="EJ7" s="2025" t="s">
        <v>86</v>
      </c>
      <c r="EK7" s="2025" t="s">
        <v>17</v>
      </c>
      <c r="EL7" s="2026" t="s">
        <v>18</v>
      </c>
      <c r="EM7" s="2026" t="s">
        <v>32</v>
      </c>
      <c r="EN7" s="2027" t="s">
        <v>107</v>
      </c>
      <c r="EO7" s="2026" t="s">
        <v>108</v>
      </c>
      <c r="EP7" s="2027" t="s">
        <v>93</v>
      </c>
      <c r="EQ7" s="281" t="str">
        <f>'साठा नोंदवही'!E5</f>
        <v>तांदूळ</v>
      </c>
      <c r="ER7" s="281" t="str">
        <f>'साठा नोंदवही'!F5</f>
        <v>मुगडाळ</v>
      </c>
      <c r="ES7" s="281" t="str">
        <f>'साठा नोंदवही'!G5</f>
        <v>तुरडाळ</v>
      </c>
      <c r="ET7" s="281" t="str">
        <f>'साठा नोंदवही'!H5</f>
        <v>मसूरडाळ</v>
      </c>
      <c r="EU7" s="281" t="str">
        <f>'साठा नोंदवही'!I5</f>
        <v>मटकी</v>
      </c>
      <c r="EV7" s="281" t="str">
        <f>'साठा नोंदवही'!J5</f>
        <v>मुग</v>
      </c>
      <c r="EW7" s="281" t="str">
        <f>'साठा नोंदवही'!K5</f>
        <v>चवळी</v>
      </c>
      <c r="EX7" s="281" t="str">
        <f>'साठा नोंदवही'!L5</f>
        <v>हरभरा</v>
      </c>
      <c r="EY7" s="281" t="str">
        <f>'साठा नोंदवही'!M5</f>
        <v>वाटाणा</v>
      </c>
      <c r="EZ7" s="281" t="str">
        <f>'साठा नोंदवही'!N5</f>
        <v>जिरे</v>
      </c>
      <c r="FA7" s="281" t="str">
        <f>'साठा नोंदवही'!O5</f>
        <v>मोहरी</v>
      </c>
      <c r="FB7" s="281" t="str">
        <f>'साठा नोंदवही'!P5</f>
        <v>हळद</v>
      </c>
      <c r="FC7" s="281" t="str">
        <f>'साठा नोंदवही'!Q5</f>
        <v>मिरची पावडर</v>
      </c>
      <c r="FD7" s="281" t="str">
        <f>'साठा नोंदवही'!R5</f>
        <v>गरम मसाला</v>
      </c>
      <c r="FE7" s="281" t="str">
        <f>'साठा नोंदवही'!S5</f>
        <v>सोयाबीन तेल</v>
      </c>
      <c r="FF7" s="281" t="str">
        <f>'साठा नोंदवही'!T5</f>
        <v>मीठ</v>
      </c>
      <c r="FG7" s="281" t="str">
        <f>'साठा नोंदवही'!U5</f>
        <v>कांदा लसून मसाला</v>
      </c>
      <c r="FH7" s="281">
        <f>'साठा नोंदवही'!V5</f>
        <v>0</v>
      </c>
      <c r="FI7" s="281" t="s">
        <v>98</v>
      </c>
      <c r="FJ7" s="281" t="s">
        <v>60</v>
      </c>
      <c r="FK7" s="281" t="s">
        <v>99</v>
      </c>
      <c r="FL7" s="281" t="s">
        <v>100</v>
      </c>
      <c r="FM7" s="2025" t="s">
        <v>86</v>
      </c>
      <c r="FN7" s="2025" t="s">
        <v>17</v>
      </c>
      <c r="FO7" s="2026" t="s">
        <v>18</v>
      </c>
      <c r="FP7" s="2026" t="s">
        <v>32</v>
      </c>
      <c r="FQ7" s="2027" t="s">
        <v>107</v>
      </c>
      <c r="FR7" s="2026" t="s">
        <v>108</v>
      </c>
      <c r="FS7" s="2027" t="s">
        <v>93</v>
      </c>
      <c r="FT7" s="281" t="str">
        <f>'साठा नोंदवही'!E5</f>
        <v>तांदूळ</v>
      </c>
      <c r="FU7" s="281" t="str">
        <f>'साठा नोंदवही'!F5</f>
        <v>मुगडाळ</v>
      </c>
      <c r="FV7" s="281" t="str">
        <f>'साठा नोंदवही'!G5</f>
        <v>तुरडाळ</v>
      </c>
      <c r="FW7" s="281" t="str">
        <f>'साठा नोंदवही'!H5</f>
        <v>मसूरडाळ</v>
      </c>
      <c r="FX7" s="281" t="str">
        <f>'साठा नोंदवही'!I5</f>
        <v>मटकी</v>
      </c>
      <c r="FY7" s="281" t="str">
        <f>'साठा नोंदवही'!J5</f>
        <v>मुग</v>
      </c>
      <c r="FZ7" s="281" t="str">
        <f>'साठा नोंदवही'!K5</f>
        <v>चवळी</v>
      </c>
      <c r="GA7" s="281" t="str">
        <f>'साठा नोंदवही'!L5</f>
        <v>हरभरा</v>
      </c>
      <c r="GB7" s="281" t="str">
        <f>'साठा नोंदवही'!M5</f>
        <v>वाटाणा</v>
      </c>
      <c r="GC7" s="281" t="str">
        <f>'साठा नोंदवही'!N5</f>
        <v>जिरे</v>
      </c>
      <c r="GD7" s="281" t="str">
        <f>'साठा नोंदवही'!O5</f>
        <v>मोहरी</v>
      </c>
      <c r="GE7" s="281" t="str">
        <f>'साठा नोंदवही'!P5</f>
        <v>हळद</v>
      </c>
      <c r="GF7" s="281" t="str">
        <f>'साठा नोंदवही'!Q5</f>
        <v>मिरची पावडर</v>
      </c>
      <c r="GG7" s="281" t="str">
        <f>'साठा नोंदवही'!R5</f>
        <v>गरम मसाला</v>
      </c>
      <c r="GH7" s="281" t="str">
        <f>'साठा नोंदवही'!S5</f>
        <v>सोयाबीन तेल</v>
      </c>
      <c r="GI7" s="281" t="str">
        <f>'साठा नोंदवही'!T5</f>
        <v>मीठ</v>
      </c>
      <c r="GJ7" s="281" t="str">
        <f>'साठा नोंदवही'!U5</f>
        <v>कांदा लसून मसाला</v>
      </c>
      <c r="GK7" s="281">
        <f>'साठा नोंदवही'!V5</f>
        <v>0</v>
      </c>
      <c r="GL7" s="281" t="s">
        <v>98</v>
      </c>
      <c r="GM7" s="281" t="s">
        <v>60</v>
      </c>
      <c r="GN7" s="281" t="s">
        <v>99</v>
      </c>
      <c r="GO7" s="281" t="s">
        <v>100</v>
      </c>
      <c r="GP7" s="2025" t="s">
        <v>86</v>
      </c>
      <c r="GQ7" s="2025" t="s">
        <v>17</v>
      </c>
      <c r="GR7" s="2026" t="s">
        <v>18</v>
      </c>
      <c r="GS7" s="2026" t="s">
        <v>32</v>
      </c>
      <c r="GT7" s="2027" t="s">
        <v>107</v>
      </c>
      <c r="GU7" s="2026" t="s">
        <v>108</v>
      </c>
      <c r="GV7" s="2027" t="s">
        <v>93</v>
      </c>
      <c r="GW7" s="281" t="str">
        <f>'साठा नोंदवही'!E5</f>
        <v>तांदूळ</v>
      </c>
      <c r="GX7" s="281" t="str">
        <f>'साठा नोंदवही'!F5</f>
        <v>मुगडाळ</v>
      </c>
      <c r="GY7" s="281" t="str">
        <f>'साठा नोंदवही'!G5</f>
        <v>तुरडाळ</v>
      </c>
      <c r="GZ7" s="281" t="str">
        <f>'साठा नोंदवही'!H5</f>
        <v>मसूरडाळ</v>
      </c>
      <c r="HA7" s="281" t="str">
        <f>'साठा नोंदवही'!I5</f>
        <v>मटकी</v>
      </c>
      <c r="HB7" s="281" t="str">
        <f>'साठा नोंदवही'!J5</f>
        <v>मुग</v>
      </c>
      <c r="HC7" s="281" t="str">
        <f>'साठा नोंदवही'!K5</f>
        <v>चवळी</v>
      </c>
      <c r="HD7" s="281" t="str">
        <f>'साठा नोंदवही'!L5</f>
        <v>हरभरा</v>
      </c>
      <c r="HE7" s="281" t="str">
        <f>'साठा नोंदवही'!M5</f>
        <v>वाटाणा</v>
      </c>
      <c r="HF7" s="281" t="str">
        <f>'साठा नोंदवही'!N5</f>
        <v>जिरे</v>
      </c>
      <c r="HG7" s="281" t="str">
        <f>'साठा नोंदवही'!O5</f>
        <v>मोहरी</v>
      </c>
      <c r="HH7" s="281" t="str">
        <f>'साठा नोंदवही'!P5</f>
        <v>हळद</v>
      </c>
      <c r="HI7" s="281" t="str">
        <f>'साठा नोंदवही'!Q5</f>
        <v>मिरची पावडर</v>
      </c>
      <c r="HJ7" s="281" t="str">
        <f>'साठा नोंदवही'!R5</f>
        <v>गरम मसाला</v>
      </c>
      <c r="HK7" s="281" t="str">
        <f>'साठा नोंदवही'!S5</f>
        <v>सोयाबीन तेल</v>
      </c>
      <c r="HL7" s="281" t="str">
        <f>'साठा नोंदवही'!T5</f>
        <v>मीठ</v>
      </c>
      <c r="HM7" s="281" t="str">
        <f>'साठा नोंदवही'!U5</f>
        <v>कांदा लसून मसाला</v>
      </c>
      <c r="HN7" s="281">
        <f>'साठा नोंदवही'!V5</f>
        <v>0</v>
      </c>
      <c r="HO7" s="281" t="s">
        <v>98</v>
      </c>
      <c r="HP7" s="281" t="s">
        <v>60</v>
      </c>
      <c r="HQ7" s="281" t="s">
        <v>99</v>
      </c>
      <c r="HR7" s="281" t="s">
        <v>100</v>
      </c>
      <c r="HS7" s="2025" t="s">
        <v>86</v>
      </c>
      <c r="HT7" s="2025" t="s">
        <v>17</v>
      </c>
      <c r="HU7" s="2026" t="s">
        <v>18</v>
      </c>
      <c r="HV7" s="2026" t="s">
        <v>32</v>
      </c>
      <c r="HW7" s="2027" t="s">
        <v>107</v>
      </c>
      <c r="HX7" s="2026" t="s">
        <v>108</v>
      </c>
      <c r="HY7" s="2027" t="s">
        <v>93</v>
      </c>
      <c r="HZ7" s="281" t="str">
        <f>'साठा नोंदवही'!E5</f>
        <v>तांदूळ</v>
      </c>
      <c r="IA7" s="281" t="str">
        <f>'साठा नोंदवही'!F5</f>
        <v>मुगडाळ</v>
      </c>
      <c r="IB7" s="281" t="str">
        <f>'साठा नोंदवही'!G5</f>
        <v>तुरडाळ</v>
      </c>
      <c r="IC7" s="281" t="str">
        <f>'साठा नोंदवही'!H5</f>
        <v>मसूरडाळ</v>
      </c>
      <c r="ID7" s="281" t="str">
        <f>'साठा नोंदवही'!I5</f>
        <v>मटकी</v>
      </c>
      <c r="IE7" s="281" t="str">
        <f>'साठा नोंदवही'!J5</f>
        <v>मुग</v>
      </c>
      <c r="IF7" s="281" t="str">
        <f>'साठा नोंदवही'!K5</f>
        <v>चवळी</v>
      </c>
      <c r="IG7" s="281" t="str">
        <f>'साठा नोंदवही'!L5</f>
        <v>हरभरा</v>
      </c>
      <c r="IH7" s="281" t="str">
        <f>'साठा नोंदवही'!M5</f>
        <v>वाटाणा</v>
      </c>
      <c r="II7" s="281" t="str">
        <f>'साठा नोंदवही'!N5</f>
        <v>जिरे</v>
      </c>
      <c r="IJ7" s="281" t="str">
        <f>'साठा नोंदवही'!O5</f>
        <v>मोहरी</v>
      </c>
      <c r="IK7" s="281" t="str">
        <f>'साठा नोंदवही'!P5</f>
        <v>हळद</v>
      </c>
      <c r="IL7" s="281" t="str">
        <f>'साठा नोंदवही'!Q5</f>
        <v>मिरची पावडर</v>
      </c>
      <c r="IM7" s="281" t="str">
        <f>'साठा नोंदवही'!R5</f>
        <v>गरम मसाला</v>
      </c>
      <c r="IN7" s="281" t="str">
        <f>'साठा नोंदवही'!S5</f>
        <v>सोयाबीन तेल</v>
      </c>
      <c r="IO7" s="281" t="str">
        <f>'साठा नोंदवही'!T5</f>
        <v>मीठ</v>
      </c>
      <c r="IP7" s="281" t="str">
        <f>'साठा नोंदवही'!U5</f>
        <v>कांदा लसून मसाला</v>
      </c>
      <c r="IQ7" s="281">
        <f>'साठा नोंदवही'!V5</f>
        <v>0</v>
      </c>
      <c r="IR7" s="281" t="s">
        <v>98</v>
      </c>
      <c r="IS7" s="281" t="s">
        <v>60</v>
      </c>
      <c r="IT7" s="281" t="s">
        <v>99</v>
      </c>
      <c r="IU7" s="281" t="s">
        <v>100</v>
      </c>
      <c r="IV7" s="2025" t="s">
        <v>86</v>
      </c>
      <c r="IW7" s="2025" t="s">
        <v>17</v>
      </c>
      <c r="IX7" s="2026" t="s">
        <v>18</v>
      </c>
      <c r="IY7" s="2026" t="s">
        <v>32</v>
      </c>
      <c r="IZ7" s="2027" t="s">
        <v>107</v>
      </c>
      <c r="JA7" s="2026" t="s">
        <v>108</v>
      </c>
      <c r="JB7" s="2027" t="s">
        <v>93</v>
      </c>
      <c r="JC7" s="281" t="str">
        <f>'साठा नोंदवही'!E5</f>
        <v>तांदूळ</v>
      </c>
      <c r="JD7" s="281" t="str">
        <f>'साठा नोंदवही'!F5</f>
        <v>मुगडाळ</v>
      </c>
      <c r="JE7" s="281" t="str">
        <f>'साठा नोंदवही'!G5</f>
        <v>तुरडाळ</v>
      </c>
      <c r="JF7" s="281" t="str">
        <f>'साठा नोंदवही'!H5</f>
        <v>मसूरडाळ</v>
      </c>
      <c r="JG7" s="281" t="str">
        <f>'साठा नोंदवही'!I5</f>
        <v>मटकी</v>
      </c>
      <c r="JH7" s="281" t="str">
        <f>'साठा नोंदवही'!J5</f>
        <v>मुग</v>
      </c>
      <c r="JI7" s="281" t="str">
        <f>'साठा नोंदवही'!K5</f>
        <v>चवळी</v>
      </c>
      <c r="JJ7" s="281" t="str">
        <f>'साठा नोंदवही'!L5</f>
        <v>हरभरा</v>
      </c>
      <c r="JK7" s="281" t="str">
        <f>'साठा नोंदवही'!M5</f>
        <v>वाटाणा</v>
      </c>
      <c r="JL7" s="281" t="str">
        <f>'साठा नोंदवही'!N5</f>
        <v>जिरे</v>
      </c>
      <c r="JM7" s="281" t="str">
        <f>'साठा नोंदवही'!O5</f>
        <v>मोहरी</v>
      </c>
      <c r="JN7" s="281" t="str">
        <f>'साठा नोंदवही'!P5</f>
        <v>हळद</v>
      </c>
      <c r="JO7" s="281" t="str">
        <f>'साठा नोंदवही'!Q5</f>
        <v>मिरची पावडर</v>
      </c>
      <c r="JP7" s="281" t="str">
        <f>'साठा नोंदवही'!R5</f>
        <v>गरम मसाला</v>
      </c>
      <c r="JQ7" s="281" t="str">
        <f>'साठा नोंदवही'!S5</f>
        <v>सोयाबीन तेल</v>
      </c>
      <c r="JR7" s="281" t="str">
        <f>'साठा नोंदवही'!T5</f>
        <v>मीठ</v>
      </c>
      <c r="JS7" s="281" t="str">
        <f>'साठा नोंदवही'!U5</f>
        <v>कांदा लसून मसाला</v>
      </c>
      <c r="JT7" s="281">
        <f>'साठा नोंदवही'!V5</f>
        <v>0</v>
      </c>
      <c r="JU7" s="281" t="s">
        <v>98</v>
      </c>
      <c r="JV7" s="281" t="s">
        <v>60</v>
      </c>
      <c r="JW7" s="281" t="s">
        <v>99</v>
      </c>
      <c r="JX7" s="281" t="s">
        <v>100</v>
      </c>
      <c r="JY7" s="2025" t="s">
        <v>86</v>
      </c>
      <c r="JZ7" s="2025" t="s">
        <v>17</v>
      </c>
      <c r="KA7" s="2026" t="s">
        <v>18</v>
      </c>
      <c r="KB7" s="2026" t="s">
        <v>32</v>
      </c>
      <c r="KC7" s="2027" t="s">
        <v>107</v>
      </c>
      <c r="KD7" s="2026" t="s">
        <v>108</v>
      </c>
      <c r="KE7" s="2027" t="s">
        <v>93</v>
      </c>
      <c r="KF7" s="281" t="str">
        <f>'साठा नोंदवही'!E5</f>
        <v>तांदूळ</v>
      </c>
      <c r="KG7" s="281" t="str">
        <f>'साठा नोंदवही'!F5</f>
        <v>मुगडाळ</v>
      </c>
      <c r="KH7" s="281" t="str">
        <f>'साठा नोंदवही'!G5</f>
        <v>तुरडाळ</v>
      </c>
      <c r="KI7" s="281" t="str">
        <f>'साठा नोंदवही'!H5</f>
        <v>मसूरडाळ</v>
      </c>
      <c r="KJ7" s="281" t="str">
        <f>'साठा नोंदवही'!I5</f>
        <v>मटकी</v>
      </c>
      <c r="KK7" s="281" t="str">
        <f>'साठा नोंदवही'!J5</f>
        <v>मुग</v>
      </c>
      <c r="KL7" s="281" t="str">
        <f>'साठा नोंदवही'!K5</f>
        <v>चवळी</v>
      </c>
      <c r="KM7" s="281" t="str">
        <f>'साठा नोंदवही'!L5</f>
        <v>हरभरा</v>
      </c>
      <c r="KN7" s="281" t="str">
        <f>'साठा नोंदवही'!M5</f>
        <v>वाटाणा</v>
      </c>
      <c r="KO7" s="281" t="str">
        <f>'साठा नोंदवही'!N5</f>
        <v>जिरे</v>
      </c>
      <c r="KP7" s="281" t="str">
        <f>'साठा नोंदवही'!O5</f>
        <v>मोहरी</v>
      </c>
      <c r="KQ7" s="281" t="str">
        <f>'साठा नोंदवही'!P5</f>
        <v>हळद</v>
      </c>
      <c r="KR7" s="281" t="str">
        <f>'साठा नोंदवही'!Q5</f>
        <v>मिरची पावडर</v>
      </c>
      <c r="KS7" s="281" t="str">
        <f>'साठा नोंदवही'!R5</f>
        <v>गरम मसाला</v>
      </c>
      <c r="KT7" s="281" t="str">
        <f>'साठा नोंदवही'!S5</f>
        <v>सोयाबीन तेल</v>
      </c>
      <c r="KU7" s="281" t="str">
        <f>'साठा नोंदवही'!T5</f>
        <v>मीठ</v>
      </c>
      <c r="KV7" s="281" t="str">
        <f>'साठा नोंदवही'!U5</f>
        <v>कांदा लसून मसाला</v>
      </c>
      <c r="KW7" s="281">
        <f>'साठा नोंदवही'!V5</f>
        <v>0</v>
      </c>
      <c r="KX7" s="281" t="s">
        <v>98</v>
      </c>
      <c r="KY7" s="281" t="s">
        <v>60</v>
      </c>
      <c r="KZ7" s="281" t="s">
        <v>99</v>
      </c>
      <c r="LA7" s="281" t="s">
        <v>100</v>
      </c>
      <c r="LB7" s="2025" t="s">
        <v>86</v>
      </c>
      <c r="LC7" s="2025" t="s">
        <v>17</v>
      </c>
      <c r="LD7" s="2026" t="s">
        <v>18</v>
      </c>
      <c r="LE7" s="2026" t="s">
        <v>32</v>
      </c>
      <c r="LF7" s="2027" t="s">
        <v>107</v>
      </c>
      <c r="LG7" s="2026" t="s">
        <v>108</v>
      </c>
      <c r="LH7" s="2027" t="s">
        <v>93</v>
      </c>
      <c r="LI7" s="281" t="str">
        <f>'साठा नोंदवही'!E5</f>
        <v>तांदूळ</v>
      </c>
      <c r="LJ7" s="281" t="str">
        <f>'साठा नोंदवही'!F5</f>
        <v>मुगडाळ</v>
      </c>
      <c r="LK7" s="281" t="str">
        <f>'साठा नोंदवही'!G5</f>
        <v>तुरडाळ</v>
      </c>
      <c r="LL7" s="281" t="str">
        <f>'साठा नोंदवही'!H5</f>
        <v>मसूरडाळ</v>
      </c>
      <c r="LM7" s="281" t="str">
        <f>'साठा नोंदवही'!I5</f>
        <v>मटकी</v>
      </c>
      <c r="LN7" s="281" t="str">
        <f>'साठा नोंदवही'!J5</f>
        <v>मुग</v>
      </c>
      <c r="LO7" s="281" t="str">
        <f>'साठा नोंदवही'!K5</f>
        <v>चवळी</v>
      </c>
      <c r="LP7" s="281" t="str">
        <f>'साठा नोंदवही'!L5</f>
        <v>हरभरा</v>
      </c>
      <c r="LQ7" s="281" t="str">
        <f>'साठा नोंदवही'!M5</f>
        <v>वाटाणा</v>
      </c>
      <c r="LR7" s="281" t="str">
        <f>'साठा नोंदवही'!N5</f>
        <v>जिरे</v>
      </c>
      <c r="LS7" s="281" t="str">
        <f>'साठा नोंदवही'!O5</f>
        <v>मोहरी</v>
      </c>
      <c r="LT7" s="281" t="str">
        <f>'साठा नोंदवही'!P5</f>
        <v>हळद</v>
      </c>
      <c r="LU7" s="281" t="str">
        <f>'साठा नोंदवही'!Q5</f>
        <v>मिरची पावडर</v>
      </c>
      <c r="LV7" s="281" t="str">
        <f>'साठा नोंदवही'!R5</f>
        <v>गरम मसाला</v>
      </c>
      <c r="LW7" s="281" t="str">
        <f>'साठा नोंदवही'!S5</f>
        <v>सोयाबीन तेल</v>
      </c>
      <c r="LX7" s="281" t="str">
        <f>'साठा नोंदवही'!T5</f>
        <v>मीठ</v>
      </c>
      <c r="LY7" s="281" t="str">
        <f>'साठा नोंदवही'!U5</f>
        <v>कांदा लसून मसाला</v>
      </c>
      <c r="LZ7" s="281">
        <f>'साठा नोंदवही'!V5</f>
        <v>0</v>
      </c>
      <c r="MA7" s="281" t="s">
        <v>98</v>
      </c>
      <c r="MB7" s="281" t="s">
        <v>60</v>
      </c>
      <c r="MC7" s="281" t="s">
        <v>99</v>
      </c>
      <c r="MD7" s="281" t="s">
        <v>100</v>
      </c>
      <c r="ME7" s="2025" t="s">
        <v>86</v>
      </c>
      <c r="MF7" s="2025" t="s">
        <v>17</v>
      </c>
      <c r="MG7" s="2026" t="s">
        <v>18</v>
      </c>
      <c r="MH7" s="2026" t="s">
        <v>32</v>
      </c>
      <c r="MI7" s="2027" t="s">
        <v>107</v>
      </c>
      <c r="MJ7" s="2026" t="s">
        <v>108</v>
      </c>
      <c r="MK7" s="2027" t="s">
        <v>93</v>
      </c>
      <c r="ML7" s="281" t="str">
        <f>'साठा नोंदवही'!E5</f>
        <v>तांदूळ</v>
      </c>
      <c r="MM7" s="281" t="str">
        <f>'साठा नोंदवही'!F5</f>
        <v>मुगडाळ</v>
      </c>
      <c r="MN7" s="281" t="str">
        <f>'साठा नोंदवही'!G5</f>
        <v>तुरडाळ</v>
      </c>
      <c r="MO7" s="281" t="str">
        <f>'साठा नोंदवही'!H5</f>
        <v>मसूरडाळ</v>
      </c>
      <c r="MP7" s="281" t="str">
        <f>'साठा नोंदवही'!I5</f>
        <v>मटकी</v>
      </c>
      <c r="MQ7" s="281" t="str">
        <f>'साठा नोंदवही'!J5</f>
        <v>मुग</v>
      </c>
      <c r="MR7" s="281" t="str">
        <f>'साठा नोंदवही'!K5</f>
        <v>चवळी</v>
      </c>
      <c r="MS7" s="281" t="str">
        <f>'साठा नोंदवही'!L5</f>
        <v>हरभरा</v>
      </c>
      <c r="MT7" s="281" t="str">
        <f>'साठा नोंदवही'!M5</f>
        <v>वाटाणा</v>
      </c>
      <c r="MU7" s="281" t="str">
        <f>'साठा नोंदवही'!N5</f>
        <v>जिरे</v>
      </c>
      <c r="MV7" s="281" t="str">
        <f>'साठा नोंदवही'!O5</f>
        <v>मोहरी</v>
      </c>
      <c r="MW7" s="281" t="str">
        <f>'साठा नोंदवही'!P5</f>
        <v>हळद</v>
      </c>
      <c r="MX7" s="281" t="str">
        <f>'साठा नोंदवही'!Q5</f>
        <v>मिरची पावडर</v>
      </c>
      <c r="MY7" s="281" t="str">
        <f>'साठा नोंदवही'!R5</f>
        <v>गरम मसाला</v>
      </c>
      <c r="MZ7" s="281" t="str">
        <f>'साठा नोंदवही'!S5</f>
        <v>सोयाबीन तेल</v>
      </c>
      <c r="NA7" s="281" t="str">
        <f>'साठा नोंदवही'!T5</f>
        <v>मीठ</v>
      </c>
      <c r="NB7" s="281" t="str">
        <f>'साठा नोंदवही'!U5</f>
        <v>कांदा लसून मसाला</v>
      </c>
      <c r="NC7" s="281">
        <f>'साठा नोंदवही'!V5</f>
        <v>0</v>
      </c>
      <c r="ND7" s="281" t="s">
        <v>98</v>
      </c>
      <c r="NE7" s="281" t="s">
        <v>60</v>
      </c>
      <c r="NF7" s="281" t="s">
        <v>99</v>
      </c>
      <c r="NG7" s="281" t="s">
        <v>100</v>
      </c>
      <c r="NH7" s="2025" t="s">
        <v>86</v>
      </c>
      <c r="NI7" s="2025" t="s">
        <v>17</v>
      </c>
      <c r="NJ7" s="2026" t="s">
        <v>18</v>
      </c>
      <c r="NK7" s="2026" t="s">
        <v>32</v>
      </c>
      <c r="NL7" s="2027" t="s">
        <v>107</v>
      </c>
      <c r="NM7" s="2026" t="s">
        <v>108</v>
      </c>
      <c r="NN7" s="2027" t="s">
        <v>93</v>
      </c>
      <c r="NO7" s="281" t="str">
        <f>'साठा नोंदवही'!E5</f>
        <v>तांदूळ</v>
      </c>
      <c r="NP7" s="281" t="str">
        <f>'साठा नोंदवही'!F5</f>
        <v>मुगडाळ</v>
      </c>
      <c r="NQ7" s="281" t="str">
        <f>'साठा नोंदवही'!G5</f>
        <v>तुरडाळ</v>
      </c>
      <c r="NR7" s="281" t="str">
        <f>'साठा नोंदवही'!H5</f>
        <v>मसूरडाळ</v>
      </c>
      <c r="NS7" s="281" t="str">
        <f>'साठा नोंदवही'!I5</f>
        <v>मटकी</v>
      </c>
      <c r="NT7" s="281" t="str">
        <f>'साठा नोंदवही'!J5</f>
        <v>मुग</v>
      </c>
      <c r="NU7" s="281" t="str">
        <f>'साठा नोंदवही'!K5</f>
        <v>चवळी</v>
      </c>
      <c r="NV7" s="281" t="str">
        <f>'साठा नोंदवही'!L5</f>
        <v>हरभरा</v>
      </c>
      <c r="NW7" s="281" t="str">
        <f>'साठा नोंदवही'!M5</f>
        <v>वाटाणा</v>
      </c>
      <c r="NX7" s="281" t="str">
        <f>'साठा नोंदवही'!N5</f>
        <v>जिरे</v>
      </c>
      <c r="NY7" s="281" t="str">
        <f>'साठा नोंदवही'!O5</f>
        <v>मोहरी</v>
      </c>
      <c r="NZ7" s="281" t="str">
        <f>'साठा नोंदवही'!P5</f>
        <v>हळद</v>
      </c>
      <c r="OA7" s="281" t="str">
        <f>'साठा नोंदवही'!Q5</f>
        <v>मिरची पावडर</v>
      </c>
      <c r="OB7" s="281" t="str">
        <f>'साठा नोंदवही'!R5</f>
        <v>गरम मसाला</v>
      </c>
      <c r="OC7" s="281" t="str">
        <f>'साठा नोंदवही'!S5</f>
        <v>सोयाबीन तेल</v>
      </c>
      <c r="OD7" s="281" t="str">
        <f>'साठा नोंदवही'!T5</f>
        <v>मीठ</v>
      </c>
      <c r="OE7" s="281" t="str">
        <f>'साठा नोंदवही'!U5</f>
        <v>कांदा लसून मसाला</v>
      </c>
      <c r="OF7" s="281">
        <f>'साठा नोंदवही'!V5</f>
        <v>0</v>
      </c>
      <c r="OG7" s="281" t="s">
        <v>98</v>
      </c>
      <c r="OH7" s="281" t="s">
        <v>60</v>
      </c>
      <c r="OI7" s="281" t="s">
        <v>99</v>
      </c>
      <c r="OJ7" s="281" t="s">
        <v>100</v>
      </c>
    </row>
    <row r="8" spans="1:461" ht="29.25" customHeight="1" x14ac:dyDescent="0.45">
      <c r="B8" s="2038" t="s">
        <v>719</v>
      </c>
      <c r="C8" s="2037"/>
      <c r="D8" s="2037"/>
      <c r="E8" s="2037"/>
      <c r="F8" s="2037"/>
      <c r="G8" s="2037"/>
      <c r="H8" s="2037"/>
      <c r="I8" s="2037"/>
      <c r="J8" s="2037"/>
      <c r="K8" s="2037"/>
      <c r="L8" s="2037"/>
      <c r="M8" s="2037"/>
      <c r="N8" s="2037"/>
      <c r="O8" s="2039"/>
      <c r="BA8" s="2025"/>
      <c r="BB8" s="2025"/>
      <c r="BC8" s="2026"/>
      <c r="BD8" s="2026"/>
      <c r="BE8" s="2027"/>
      <c r="BF8" s="2026"/>
      <c r="BG8" s="2028"/>
      <c r="BH8" s="281" t="s">
        <v>81</v>
      </c>
      <c r="BI8" s="281" t="s">
        <v>81</v>
      </c>
      <c r="BJ8" s="281" t="s">
        <v>81</v>
      </c>
      <c r="BK8" s="281" t="s">
        <v>81</v>
      </c>
      <c r="BL8" s="281" t="s">
        <v>81</v>
      </c>
      <c r="BM8" s="281" t="s">
        <v>81</v>
      </c>
      <c r="BN8" s="281" t="s">
        <v>81</v>
      </c>
      <c r="BO8" s="281" t="s">
        <v>81</v>
      </c>
      <c r="BP8" s="281" t="s">
        <v>81</v>
      </c>
      <c r="BQ8" s="281" t="s">
        <v>81</v>
      </c>
      <c r="BR8" s="281" t="s">
        <v>81</v>
      </c>
      <c r="BS8" s="281" t="s">
        <v>81</v>
      </c>
      <c r="BT8" s="281" t="s">
        <v>81</v>
      </c>
      <c r="BU8" s="281" t="s">
        <v>81</v>
      </c>
      <c r="BV8" s="281" t="s">
        <v>215</v>
      </c>
      <c r="BW8" s="281" t="s">
        <v>81</v>
      </c>
      <c r="BX8" s="281" t="s">
        <v>81</v>
      </c>
      <c r="BY8" s="281" t="s">
        <v>81</v>
      </c>
      <c r="BZ8" s="281" t="s">
        <v>214</v>
      </c>
      <c r="CA8" s="281" t="s">
        <v>214</v>
      </c>
      <c r="CB8" s="281" t="s">
        <v>214</v>
      </c>
      <c r="CC8" s="281" t="s">
        <v>214</v>
      </c>
      <c r="CD8" s="2025"/>
      <c r="CE8" s="2025"/>
      <c r="CF8" s="2026"/>
      <c r="CG8" s="2026"/>
      <c r="CH8" s="2027"/>
      <c r="CI8" s="2026"/>
      <c r="CJ8" s="2028"/>
      <c r="CK8" s="281" t="s">
        <v>81</v>
      </c>
      <c r="CL8" s="281" t="s">
        <v>81</v>
      </c>
      <c r="CM8" s="281" t="s">
        <v>81</v>
      </c>
      <c r="CN8" s="281" t="s">
        <v>81</v>
      </c>
      <c r="CO8" s="281" t="s">
        <v>81</v>
      </c>
      <c r="CP8" s="281" t="s">
        <v>81</v>
      </c>
      <c r="CQ8" s="281" t="s">
        <v>81</v>
      </c>
      <c r="CR8" s="281" t="s">
        <v>81</v>
      </c>
      <c r="CS8" s="281" t="s">
        <v>81</v>
      </c>
      <c r="CT8" s="281" t="s">
        <v>81</v>
      </c>
      <c r="CU8" s="281" t="s">
        <v>81</v>
      </c>
      <c r="CV8" s="281" t="s">
        <v>81</v>
      </c>
      <c r="CW8" s="281" t="s">
        <v>81</v>
      </c>
      <c r="CX8" s="281" t="s">
        <v>81</v>
      </c>
      <c r="CY8" s="281" t="s">
        <v>215</v>
      </c>
      <c r="CZ8" s="281" t="s">
        <v>81</v>
      </c>
      <c r="DA8" s="281" t="s">
        <v>81</v>
      </c>
      <c r="DB8" s="281" t="s">
        <v>81</v>
      </c>
      <c r="DC8" s="281" t="s">
        <v>214</v>
      </c>
      <c r="DD8" s="281" t="s">
        <v>214</v>
      </c>
      <c r="DE8" s="281" t="s">
        <v>214</v>
      </c>
      <c r="DF8" s="281" t="s">
        <v>214</v>
      </c>
      <c r="DG8" s="2025"/>
      <c r="DH8" s="2025"/>
      <c r="DI8" s="2026"/>
      <c r="DJ8" s="2026"/>
      <c r="DK8" s="2027"/>
      <c r="DL8" s="2026"/>
      <c r="DM8" s="2028"/>
      <c r="DN8" s="281" t="s">
        <v>81</v>
      </c>
      <c r="DO8" s="281" t="s">
        <v>81</v>
      </c>
      <c r="DP8" s="281" t="s">
        <v>81</v>
      </c>
      <c r="DQ8" s="281" t="s">
        <v>81</v>
      </c>
      <c r="DR8" s="281" t="s">
        <v>81</v>
      </c>
      <c r="DS8" s="281" t="s">
        <v>81</v>
      </c>
      <c r="DT8" s="281" t="s">
        <v>81</v>
      </c>
      <c r="DU8" s="281" t="s">
        <v>81</v>
      </c>
      <c r="DV8" s="281" t="s">
        <v>81</v>
      </c>
      <c r="DW8" s="281" t="s">
        <v>81</v>
      </c>
      <c r="DX8" s="281" t="s">
        <v>81</v>
      </c>
      <c r="DY8" s="281" t="s">
        <v>81</v>
      </c>
      <c r="DZ8" s="281" t="s">
        <v>81</v>
      </c>
      <c r="EA8" s="281" t="s">
        <v>81</v>
      </c>
      <c r="EB8" s="281" t="s">
        <v>215</v>
      </c>
      <c r="EC8" s="281" t="s">
        <v>81</v>
      </c>
      <c r="ED8" s="281" t="s">
        <v>81</v>
      </c>
      <c r="EE8" s="281" t="s">
        <v>81</v>
      </c>
      <c r="EF8" s="281" t="s">
        <v>214</v>
      </c>
      <c r="EG8" s="281" t="s">
        <v>214</v>
      </c>
      <c r="EH8" s="281" t="s">
        <v>214</v>
      </c>
      <c r="EI8" s="281" t="s">
        <v>214</v>
      </c>
      <c r="EJ8" s="2025"/>
      <c r="EK8" s="2025"/>
      <c r="EL8" s="2026"/>
      <c r="EM8" s="2026"/>
      <c r="EN8" s="2027"/>
      <c r="EO8" s="2026"/>
      <c r="EP8" s="2028"/>
      <c r="EQ8" s="281" t="s">
        <v>81</v>
      </c>
      <c r="ER8" s="281" t="s">
        <v>81</v>
      </c>
      <c r="ES8" s="281" t="s">
        <v>81</v>
      </c>
      <c r="ET8" s="281" t="s">
        <v>81</v>
      </c>
      <c r="EU8" s="281" t="s">
        <v>81</v>
      </c>
      <c r="EV8" s="281" t="s">
        <v>81</v>
      </c>
      <c r="EW8" s="281" t="s">
        <v>81</v>
      </c>
      <c r="EX8" s="281" t="s">
        <v>81</v>
      </c>
      <c r="EY8" s="281" t="s">
        <v>81</v>
      </c>
      <c r="EZ8" s="281" t="s">
        <v>81</v>
      </c>
      <c r="FA8" s="281" t="s">
        <v>81</v>
      </c>
      <c r="FB8" s="281" t="s">
        <v>81</v>
      </c>
      <c r="FC8" s="281" t="s">
        <v>81</v>
      </c>
      <c r="FD8" s="281" t="s">
        <v>81</v>
      </c>
      <c r="FE8" s="281" t="s">
        <v>215</v>
      </c>
      <c r="FF8" s="281" t="s">
        <v>81</v>
      </c>
      <c r="FG8" s="281" t="s">
        <v>81</v>
      </c>
      <c r="FH8" s="281" t="s">
        <v>81</v>
      </c>
      <c r="FI8" s="281" t="s">
        <v>214</v>
      </c>
      <c r="FJ8" s="281" t="s">
        <v>214</v>
      </c>
      <c r="FK8" s="281" t="s">
        <v>214</v>
      </c>
      <c r="FL8" s="281" t="s">
        <v>214</v>
      </c>
      <c r="FM8" s="2025"/>
      <c r="FN8" s="2025"/>
      <c r="FO8" s="2026"/>
      <c r="FP8" s="2026"/>
      <c r="FQ8" s="2027"/>
      <c r="FR8" s="2026"/>
      <c r="FS8" s="2028"/>
      <c r="FT8" s="281" t="s">
        <v>81</v>
      </c>
      <c r="FU8" s="281" t="s">
        <v>81</v>
      </c>
      <c r="FV8" s="281" t="s">
        <v>81</v>
      </c>
      <c r="FW8" s="281" t="s">
        <v>81</v>
      </c>
      <c r="FX8" s="281" t="s">
        <v>81</v>
      </c>
      <c r="FY8" s="281" t="s">
        <v>81</v>
      </c>
      <c r="FZ8" s="281" t="s">
        <v>81</v>
      </c>
      <c r="GA8" s="281" t="s">
        <v>81</v>
      </c>
      <c r="GB8" s="281" t="s">
        <v>81</v>
      </c>
      <c r="GC8" s="281" t="s">
        <v>81</v>
      </c>
      <c r="GD8" s="281" t="s">
        <v>81</v>
      </c>
      <c r="GE8" s="281" t="s">
        <v>81</v>
      </c>
      <c r="GF8" s="281" t="s">
        <v>81</v>
      </c>
      <c r="GG8" s="281" t="s">
        <v>81</v>
      </c>
      <c r="GH8" s="281" t="s">
        <v>215</v>
      </c>
      <c r="GI8" s="281" t="s">
        <v>81</v>
      </c>
      <c r="GJ8" s="281" t="s">
        <v>81</v>
      </c>
      <c r="GK8" s="281" t="s">
        <v>81</v>
      </c>
      <c r="GL8" s="281" t="s">
        <v>214</v>
      </c>
      <c r="GM8" s="281" t="s">
        <v>214</v>
      </c>
      <c r="GN8" s="281" t="s">
        <v>214</v>
      </c>
      <c r="GO8" s="281" t="s">
        <v>214</v>
      </c>
      <c r="GP8" s="2025"/>
      <c r="GQ8" s="2025"/>
      <c r="GR8" s="2026"/>
      <c r="GS8" s="2026"/>
      <c r="GT8" s="2027"/>
      <c r="GU8" s="2026"/>
      <c r="GV8" s="2028"/>
      <c r="GW8" s="281" t="s">
        <v>81</v>
      </c>
      <c r="GX8" s="281" t="s">
        <v>81</v>
      </c>
      <c r="GY8" s="281" t="s">
        <v>81</v>
      </c>
      <c r="GZ8" s="281" t="s">
        <v>81</v>
      </c>
      <c r="HA8" s="281" t="s">
        <v>81</v>
      </c>
      <c r="HB8" s="281" t="s">
        <v>81</v>
      </c>
      <c r="HC8" s="281" t="s">
        <v>81</v>
      </c>
      <c r="HD8" s="281" t="s">
        <v>81</v>
      </c>
      <c r="HE8" s="281" t="s">
        <v>81</v>
      </c>
      <c r="HF8" s="281" t="s">
        <v>81</v>
      </c>
      <c r="HG8" s="281" t="s">
        <v>81</v>
      </c>
      <c r="HH8" s="281" t="s">
        <v>81</v>
      </c>
      <c r="HI8" s="281" t="s">
        <v>81</v>
      </c>
      <c r="HJ8" s="281" t="s">
        <v>81</v>
      </c>
      <c r="HK8" s="281" t="s">
        <v>215</v>
      </c>
      <c r="HL8" s="281" t="s">
        <v>81</v>
      </c>
      <c r="HM8" s="281" t="s">
        <v>81</v>
      </c>
      <c r="HN8" s="281" t="s">
        <v>81</v>
      </c>
      <c r="HO8" s="281" t="s">
        <v>214</v>
      </c>
      <c r="HP8" s="281" t="s">
        <v>214</v>
      </c>
      <c r="HQ8" s="281" t="s">
        <v>214</v>
      </c>
      <c r="HR8" s="281" t="s">
        <v>214</v>
      </c>
      <c r="HS8" s="2025"/>
      <c r="HT8" s="2025"/>
      <c r="HU8" s="2026"/>
      <c r="HV8" s="2026"/>
      <c r="HW8" s="2027"/>
      <c r="HX8" s="2026"/>
      <c r="HY8" s="2028"/>
      <c r="HZ8" s="281" t="s">
        <v>81</v>
      </c>
      <c r="IA8" s="281" t="s">
        <v>81</v>
      </c>
      <c r="IB8" s="281" t="s">
        <v>81</v>
      </c>
      <c r="IC8" s="281" t="s">
        <v>81</v>
      </c>
      <c r="ID8" s="281" t="s">
        <v>81</v>
      </c>
      <c r="IE8" s="281" t="s">
        <v>81</v>
      </c>
      <c r="IF8" s="281" t="s">
        <v>81</v>
      </c>
      <c r="IG8" s="281" t="s">
        <v>81</v>
      </c>
      <c r="IH8" s="281" t="s">
        <v>81</v>
      </c>
      <c r="II8" s="281" t="s">
        <v>81</v>
      </c>
      <c r="IJ8" s="281" t="s">
        <v>81</v>
      </c>
      <c r="IK8" s="281" t="s">
        <v>81</v>
      </c>
      <c r="IL8" s="281" t="s">
        <v>81</v>
      </c>
      <c r="IM8" s="281" t="s">
        <v>81</v>
      </c>
      <c r="IN8" s="281" t="s">
        <v>215</v>
      </c>
      <c r="IO8" s="281" t="s">
        <v>81</v>
      </c>
      <c r="IP8" s="281" t="s">
        <v>81</v>
      </c>
      <c r="IQ8" s="281" t="s">
        <v>81</v>
      </c>
      <c r="IR8" s="281" t="s">
        <v>214</v>
      </c>
      <c r="IS8" s="281" t="s">
        <v>214</v>
      </c>
      <c r="IT8" s="281" t="s">
        <v>214</v>
      </c>
      <c r="IU8" s="281" t="s">
        <v>214</v>
      </c>
      <c r="IV8" s="2025"/>
      <c r="IW8" s="2025"/>
      <c r="IX8" s="2026"/>
      <c r="IY8" s="2026"/>
      <c r="IZ8" s="2027"/>
      <c r="JA8" s="2026"/>
      <c r="JB8" s="2028"/>
      <c r="JC8" s="281" t="s">
        <v>81</v>
      </c>
      <c r="JD8" s="281" t="s">
        <v>81</v>
      </c>
      <c r="JE8" s="281" t="s">
        <v>81</v>
      </c>
      <c r="JF8" s="281" t="s">
        <v>81</v>
      </c>
      <c r="JG8" s="281" t="s">
        <v>81</v>
      </c>
      <c r="JH8" s="281" t="s">
        <v>81</v>
      </c>
      <c r="JI8" s="281" t="s">
        <v>81</v>
      </c>
      <c r="JJ8" s="281" t="s">
        <v>81</v>
      </c>
      <c r="JK8" s="281" t="s">
        <v>81</v>
      </c>
      <c r="JL8" s="281" t="s">
        <v>81</v>
      </c>
      <c r="JM8" s="281" t="s">
        <v>81</v>
      </c>
      <c r="JN8" s="281" t="s">
        <v>81</v>
      </c>
      <c r="JO8" s="281" t="s">
        <v>81</v>
      </c>
      <c r="JP8" s="281" t="s">
        <v>81</v>
      </c>
      <c r="JQ8" s="281" t="s">
        <v>215</v>
      </c>
      <c r="JR8" s="281" t="s">
        <v>81</v>
      </c>
      <c r="JS8" s="281" t="s">
        <v>81</v>
      </c>
      <c r="JT8" s="281" t="s">
        <v>81</v>
      </c>
      <c r="JU8" s="281" t="s">
        <v>214</v>
      </c>
      <c r="JV8" s="281" t="s">
        <v>214</v>
      </c>
      <c r="JW8" s="281" t="s">
        <v>214</v>
      </c>
      <c r="JX8" s="281" t="s">
        <v>214</v>
      </c>
      <c r="JY8" s="2025"/>
      <c r="JZ8" s="2025"/>
      <c r="KA8" s="2026"/>
      <c r="KB8" s="2026"/>
      <c r="KC8" s="2027"/>
      <c r="KD8" s="2026"/>
      <c r="KE8" s="2028"/>
      <c r="KF8" s="281" t="s">
        <v>81</v>
      </c>
      <c r="KG8" s="281" t="s">
        <v>81</v>
      </c>
      <c r="KH8" s="281" t="s">
        <v>81</v>
      </c>
      <c r="KI8" s="281" t="s">
        <v>81</v>
      </c>
      <c r="KJ8" s="281" t="s">
        <v>81</v>
      </c>
      <c r="KK8" s="281" t="s">
        <v>81</v>
      </c>
      <c r="KL8" s="281" t="s">
        <v>81</v>
      </c>
      <c r="KM8" s="281" t="s">
        <v>81</v>
      </c>
      <c r="KN8" s="281" t="s">
        <v>81</v>
      </c>
      <c r="KO8" s="281" t="s">
        <v>81</v>
      </c>
      <c r="KP8" s="281" t="s">
        <v>81</v>
      </c>
      <c r="KQ8" s="281" t="s">
        <v>81</v>
      </c>
      <c r="KR8" s="281" t="s">
        <v>81</v>
      </c>
      <c r="KS8" s="281" t="s">
        <v>81</v>
      </c>
      <c r="KT8" s="281" t="s">
        <v>215</v>
      </c>
      <c r="KU8" s="281" t="s">
        <v>81</v>
      </c>
      <c r="KV8" s="281" t="s">
        <v>81</v>
      </c>
      <c r="KW8" s="281" t="s">
        <v>81</v>
      </c>
      <c r="KX8" s="281" t="s">
        <v>214</v>
      </c>
      <c r="KY8" s="281" t="s">
        <v>214</v>
      </c>
      <c r="KZ8" s="281" t="s">
        <v>214</v>
      </c>
      <c r="LA8" s="281" t="s">
        <v>214</v>
      </c>
      <c r="LB8" s="2025"/>
      <c r="LC8" s="2025"/>
      <c r="LD8" s="2026"/>
      <c r="LE8" s="2026"/>
      <c r="LF8" s="2027"/>
      <c r="LG8" s="2026"/>
      <c r="LH8" s="2028"/>
      <c r="LI8" s="281" t="s">
        <v>81</v>
      </c>
      <c r="LJ8" s="281" t="s">
        <v>81</v>
      </c>
      <c r="LK8" s="281" t="s">
        <v>81</v>
      </c>
      <c r="LL8" s="281" t="s">
        <v>81</v>
      </c>
      <c r="LM8" s="281" t="s">
        <v>81</v>
      </c>
      <c r="LN8" s="281" t="s">
        <v>81</v>
      </c>
      <c r="LO8" s="281" t="s">
        <v>81</v>
      </c>
      <c r="LP8" s="281" t="s">
        <v>81</v>
      </c>
      <c r="LQ8" s="281" t="s">
        <v>81</v>
      </c>
      <c r="LR8" s="281" t="s">
        <v>81</v>
      </c>
      <c r="LS8" s="281" t="s">
        <v>81</v>
      </c>
      <c r="LT8" s="281" t="s">
        <v>81</v>
      </c>
      <c r="LU8" s="281" t="s">
        <v>81</v>
      </c>
      <c r="LV8" s="281" t="s">
        <v>81</v>
      </c>
      <c r="LW8" s="281" t="s">
        <v>215</v>
      </c>
      <c r="LX8" s="281" t="s">
        <v>81</v>
      </c>
      <c r="LY8" s="281" t="s">
        <v>81</v>
      </c>
      <c r="LZ8" s="281" t="s">
        <v>81</v>
      </c>
      <c r="MA8" s="281" t="s">
        <v>214</v>
      </c>
      <c r="MB8" s="281" t="s">
        <v>214</v>
      </c>
      <c r="MC8" s="281" t="s">
        <v>214</v>
      </c>
      <c r="MD8" s="281" t="s">
        <v>214</v>
      </c>
      <c r="ME8" s="2025"/>
      <c r="MF8" s="2025"/>
      <c r="MG8" s="2026"/>
      <c r="MH8" s="2026"/>
      <c r="MI8" s="2027"/>
      <c r="MJ8" s="2026"/>
      <c r="MK8" s="2028"/>
      <c r="ML8" s="281" t="s">
        <v>81</v>
      </c>
      <c r="MM8" s="281" t="s">
        <v>81</v>
      </c>
      <c r="MN8" s="281" t="s">
        <v>81</v>
      </c>
      <c r="MO8" s="281" t="s">
        <v>81</v>
      </c>
      <c r="MP8" s="281" t="s">
        <v>81</v>
      </c>
      <c r="MQ8" s="281" t="s">
        <v>81</v>
      </c>
      <c r="MR8" s="281" t="s">
        <v>81</v>
      </c>
      <c r="MS8" s="281" t="s">
        <v>81</v>
      </c>
      <c r="MT8" s="281" t="s">
        <v>81</v>
      </c>
      <c r="MU8" s="281" t="s">
        <v>81</v>
      </c>
      <c r="MV8" s="281" t="s">
        <v>81</v>
      </c>
      <c r="MW8" s="281" t="s">
        <v>81</v>
      </c>
      <c r="MX8" s="281" t="s">
        <v>81</v>
      </c>
      <c r="MY8" s="281" t="s">
        <v>81</v>
      </c>
      <c r="MZ8" s="281" t="s">
        <v>215</v>
      </c>
      <c r="NA8" s="281" t="s">
        <v>81</v>
      </c>
      <c r="NB8" s="281" t="s">
        <v>81</v>
      </c>
      <c r="NC8" s="281" t="s">
        <v>81</v>
      </c>
      <c r="ND8" s="281" t="s">
        <v>214</v>
      </c>
      <c r="NE8" s="281" t="s">
        <v>214</v>
      </c>
      <c r="NF8" s="281" t="s">
        <v>214</v>
      </c>
      <c r="NG8" s="281" t="s">
        <v>214</v>
      </c>
      <c r="NH8" s="2025"/>
      <c r="NI8" s="2025"/>
      <c r="NJ8" s="2026"/>
      <c r="NK8" s="2026"/>
      <c r="NL8" s="2027"/>
      <c r="NM8" s="2026"/>
      <c r="NN8" s="2028"/>
      <c r="NO8" s="281" t="s">
        <v>81</v>
      </c>
      <c r="NP8" s="281" t="s">
        <v>81</v>
      </c>
      <c r="NQ8" s="281" t="s">
        <v>81</v>
      </c>
      <c r="NR8" s="281" t="s">
        <v>81</v>
      </c>
      <c r="NS8" s="281" t="s">
        <v>81</v>
      </c>
      <c r="NT8" s="281" t="s">
        <v>81</v>
      </c>
      <c r="NU8" s="281" t="s">
        <v>81</v>
      </c>
      <c r="NV8" s="281" t="s">
        <v>81</v>
      </c>
      <c r="NW8" s="281" t="s">
        <v>81</v>
      </c>
      <c r="NX8" s="281" t="s">
        <v>81</v>
      </c>
      <c r="NY8" s="281" t="s">
        <v>81</v>
      </c>
      <c r="NZ8" s="281" t="s">
        <v>81</v>
      </c>
      <c r="OA8" s="281" t="s">
        <v>81</v>
      </c>
      <c r="OB8" s="281" t="s">
        <v>81</v>
      </c>
      <c r="OC8" s="281" t="s">
        <v>215</v>
      </c>
      <c r="OD8" s="281" t="s">
        <v>81</v>
      </c>
      <c r="OE8" s="281" t="s">
        <v>81</v>
      </c>
      <c r="OF8" s="281" t="s">
        <v>81</v>
      </c>
      <c r="OG8" s="281" t="s">
        <v>214</v>
      </c>
      <c r="OH8" s="281" t="s">
        <v>214</v>
      </c>
      <c r="OI8" s="281" t="s">
        <v>214</v>
      </c>
      <c r="OJ8" s="281" t="s">
        <v>214</v>
      </c>
    </row>
    <row r="9" spans="1:461" ht="32.25" customHeight="1" x14ac:dyDescent="0.4">
      <c r="B9" s="1014"/>
      <c r="C9" s="1015"/>
      <c r="D9" s="1009"/>
      <c r="E9" s="1009"/>
      <c r="F9" s="1009"/>
      <c r="G9" s="1009"/>
      <c r="H9" s="1009"/>
      <c r="I9" s="1015"/>
      <c r="J9" s="1015"/>
      <c r="K9" s="1015"/>
      <c r="L9" s="1015"/>
      <c r="M9" s="1015"/>
      <c r="N9" s="1015"/>
      <c r="O9" s="1012"/>
      <c r="BA9" s="1016"/>
      <c r="BB9" s="1016"/>
      <c r="BC9" s="295"/>
      <c r="BD9" s="2032" t="s">
        <v>216</v>
      </c>
      <c r="BE9" s="2032"/>
      <c r="BF9" s="2032"/>
      <c r="BG9" s="2032"/>
      <c r="BH9" s="282">
        <f>' प्रमाण निश्चिती '!C9</f>
        <v>0.1</v>
      </c>
      <c r="BI9" s="282">
        <f>' प्रमाण निश्चिती '!D9</f>
        <v>0.02</v>
      </c>
      <c r="BJ9" s="282">
        <f>' प्रमाण निश्चिती '!E9</f>
        <v>0.02</v>
      </c>
      <c r="BK9" s="282">
        <f>' प्रमाण निश्चिती '!F9</f>
        <v>0.02</v>
      </c>
      <c r="BL9" s="282">
        <f>' प्रमाण निश्चिती '!G9</f>
        <v>0.02</v>
      </c>
      <c r="BM9" s="282">
        <f>' प्रमाण निश्चिती '!H9</f>
        <v>0.02</v>
      </c>
      <c r="BN9" s="282">
        <f>' प्रमाण निश्चिती '!I9</f>
        <v>0.02</v>
      </c>
      <c r="BO9" s="282">
        <f>' प्रमाण निश्चिती '!J9</f>
        <v>0.02</v>
      </c>
      <c r="BP9" s="282">
        <f>' प्रमाण निश्चिती '!K9</f>
        <v>0.02</v>
      </c>
      <c r="BQ9" s="282">
        <f>' प्रमाण निश्चिती '!L9</f>
        <v>2.9999999999999997E-4</v>
      </c>
      <c r="BR9" s="282">
        <f>' प्रमाण निश्चिती '!M9</f>
        <v>5.0000000000000001E-4</v>
      </c>
      <c r="BS9" s="282">
        <f>' प्रमाण निश्चिती '!N9</f>
        <v>2.9999999999999997E-4</v>
      </c>
      <c r="BT9" s="282">
        <f>' प्रमाण निश्चिती '!O9</f>
        <v>0</v>
      </c>
      <c r="BU9" s="282">
        <f>' प्रमाण निश्चिती '!P9</f>
        <v>0</v>
      </c>
      <c r="BV9" s="282">
        <f>' प्रमाण निश्चिती '!Q9</f>
        <v>5.0000000000000001E-3</v>
      </c>
      <c r="BW9" s="282">
        <f>' प्रमाण निश्चिती '!R9</f>
        <v>2E-3</v>
      </c>
      <c r="BX9" s="282">
        <f>' प्रमाण निश्चिती '!S9</f>
        <v>1.1999999999999999E-3</v>
      </c>
      <c r="BY9" s="282">
        <f>' प्रमाण निश्चिती '!T9</f>
        <v>0</v>
      </c>
      <c r="BZ9" s="283">
        <f>' प्रमाण निश्चिती '!U9</f>
        <v>0.72</v>
      </c>
      <c r="CA9" s="283">
        <f>' प्रमाण निश्चिती '!V9</f>
        <v>0.64</v>
      </c>
      <c r="CB9" s="283">
        <f>' प्रमाण निश्चिती '!W9</f>
        <v>0.53</v>
      </c>
      <c r="CC9" s="283">
        <f>' प्रमाण निश्चिती '!Y9</f>
        <v>2.68</v>
      </c>
      <c r="CD9" s="1016"/>
      <c r="CE9" s="1016"/>
      <c r="CF9" s="295"/>
      <c r="CG9" s="2032" t="s">
        <v>216</v>
      </c>
      <c r="CH9" s="2032"/>
      <c r="CI9" s="2032"/>
      <c r="CJ9" s="2032"/>
      <c r="CK9" s="282">
        <f>' प्रमाण निश्चिती '!C10</f>
        <v>0.1</v>
      </c>
      <c r="CL9" s="282">
        <f>' प्रमाण निश्चिती '!D10</f>
        <v>0.02</v>
      </c>
      <c r="CM9" s="282">
        <f>' प्रमाण निश्चिती '!E10</f>
        <v>0.02</v>
      </c>
      <c r="CN9" s="282">
        <f>' प्रमाण निश्चिती '!F10</f>
        <v>0.02</v>
      </c>
      <c r="CO9" s="282">
        <f>' प्रमाण निश्चिती '!G10</f>
        <v>0.02</v>
      </c>
      <c r="CP9" s="282">
        <f>' प्रमाण निश्चिती '!H10</f>
        <v>0.02</v>
      </c>
      <c r="CQ9" s="282">
        <f>' प्रमाण निश्चिती '!I10</f>
        <v>0.02</v>
      </c>
      <c r="CR9" s="282">
        <f>' प्रमाण निश्चिती '!J10</f>
        <v>0.02</v>
      </c>
      <c r="CS9" s="282">
        <f>' प्रमाण निश्चिती '!K10</f>
        <v>0.02</v>
      </c>
      <c r="CT9" s="282">
        <f>' प्रमाण निश्चिती '!L10</f>
        <v>2.9999999999999997E-4</v>
      </c>
      <c r="CU9" s="282">
        <f>' प्रमाण निश्चिती '!M10</f>
        <v>5.0000000000000001E-4</v>
      </c>
      <c r="CV9" s="282">
        <f>' प्रमाण निश्चिती '!N10</f>
        <v>2.9999999999999997E-4</v>
      </c>
      <c r="CW9" s="282">
        <f>' प्रमाण निश्चिती '!O10</f>
        <v>0</v>
      </c>
      <c r="CX9" s="282">
        <f>' प्रमाण निश्चिती '!P10</f>
        <v>0</v>
      </c>
      <c r="CY9" s="282">
        <f>' प्रमाण निश्चिती '!Q10</f>
        <v>5.0000000000000001E-3</v>
      </c>
      <c r="CZ9" s="282">
        <f>' प्रमाण निश्चिती '!R10</f>
        <v>2E-3</v>
      </c>
      <c r="DA9" s="282">
        <f>' प्रमाण निश्चिती '!S10</f>
        <v>1.1999999999999999E-3</v>
      </c>
      <c r="DB9" s="282">
        <f>' प्रमाण निश्चिती '!T10</f>
        <v>0</v>
      </c>
      <c r="DC9" s="283">
        <f>' प्रमाण निश्चिती '!U10</f>
        <v>0.72</v>
      </c>
      <c r="DD9" s="283">
        <f>' प्रमाण निश्चिती '!V10</f>
        <v>0.64</v>
      </c>
      <c r="DE9" s="283">
        <f>' प्रमाण निश्चिती '!W10</f>
        <v>0.53</v>
      </c>
      <c r="DF9" s="283">
        <f>' प्रमाण निश्चिती '!Y10</f>
        <v>2.68</v>
      </c>
      <c r="DG9" s="1016"/>
      <c r="DH9" s="1016"/>
      <c r="DI9" s="295"/>
      <c r="DJ9" s="2032" t="s">
        <v>216</v>
      </c>
      <c r="DK9" s="2032"/>
      <c r="DL9" s="2032"/>
      <c r="DM9" s="2032"/>
      <c r="DN9" s="282">
        <f>' प्रमाण निश्चिती '!C11</f>
        <v>0.1</v>
      </c>
      <c r="DO9" s="282">
        <f>' प्रमाण निश्चिती '!D11</f>
        <v>0.02</v>
      </c>
      <c r="DP9" s="282">
        <f>' प्रमाण निश्चिती '!E11</f>
        <v>0.02</v>
      </c>
      <c r="DQ9" s="282">
        <f>' प्रमाण निश्चिती '!F11</f>
        <v>0.02</v>
      </c>
      <c r="DR9" s="282">
        <f>' प्रमाण निश्चिती '!G11</f>
        <v>0.02</v>
      </c>
      <c r="DS9" s="282">
        <f>' प्रमाण निश्चिती '!H11</f>
        <v>0.02</v>
      </c>
      <c r="DT9" s="282">
        <f>' प्रमाण निश्चिती '!I11</f>
        <v>0.02</v>
      </c>
      <c r="DU9" s="282">
        <f>' प्रमाण निश्चिती '!J11</f>
        <v>0.02</v>
      </c>
      <c r="DV9" s="282">
        <f>' प्रमाण निश्चिती '!K11</f>
        <v>0.02</v>
      </c>
      <c r="DW9" s="282">
        <f>' प्रमाण निश्चिती '!L11</f>
        <v>2.9999999999999997E-4</v>
      </c>
      <c r="DX9" s="282">
        <f>' प्रमाण निश्चिती '!M11</f>
        <v>5.0000000000000001E-4</v>
      </c>
      <c r="DY9" s="282">
        <f>' प्रमाण निश्चिती '!N11</f>
        <v>2.9999999999999997E-4</v>
      </c>
      <c r="DZ9" s="282">
        <f>' प्रमाण निश्चिती '!O11</f>
        <v>0</v>
      </c>
      <c r="EA9" s="282">
        <f>' प्रमाण निश्चिती '!P11</f>
        <v>0</v>
      </c>
      <c r="EB9" s="282">
        <f>' प्रमाण निश्चिती '!Q11</f>
        <v>5.0000000000000001E-3</v>
      </c>
      <c r="EC9" s="282">
        <f>' प्रमाण निश्चिती '!R11</f>
        <v>2E-3</v>
      </c>
      <c r="ED9" s="282">
        <f>' प्रमाण निश्चिती '!S11</f>
        <v>1.1999999999999999E-3</v>
      </c>
      <c r="EE9" s="282">
        <f>' प्रमाण निश्चिती '!T11</f>
        <v>0</v>
      </c>
      <c r="EF9" s="283">
        <f>' प्रमाण निश्चिती '!U11</f>
        <v>0.72</v>
      </c>
      <c r="EG9" s="283">
        <f>' प्रमाण निश्चिती '!V11</f>
        <v>0.64</v>
      </c>
      <c r="EH9" s="283">
        <f>' प्रमाण निश्चिती '!W11</f>
        <v>0.53</v>
      </c>
      <c r="EI9" s="283">
        <f>' प्रमाण निश्चिती '!Y11</f>
        <v>2.68</v>
      </c>
      <c r="EJ9" s="1016"/>
      <c r="EK9" s="1016"/>
      <c r="EL9" s="295"/>
      <c r="EM9" s="2032" t="s">
        <v>216</v>
      </c>
      <c r="EN9" s="2032"/>
      <c r="EO9" s="2032"/>
      <c r="EP9" s="2032"/>
      <c r="EQ9" s="282">
        <f>' प्रमाण निश्चिती '!C12</f>
        <v>0.1</v>
      </c>
      <c r="ER9" s="282">
        <f>' प्रमाण निश्चिती '!D12</f>
        <v>0.02</v>
      </c>
      <c r="ES9" s="282">
        <f>' प्रमाण निश्चिती '!E12</f>
        <v>0.02</v>
      </c>
      <c r="ET9" s="282">
        <f>' प्रमाण निश्चिती '!F12</f>
        <v>0.02</v>
      </c>
      <c r="EU9" s="282">
        <f>' प्रमाण निश्चिती '!G12</f>
        <v>0.02</v>
      </c>
      <c r="EV9" s="282">
        <f>' प्रमाण निश्चिती '!H12</f>
        <v>0.02</v>
      </c>
      <c r="EW9" s="282">
        <f>' प्रमाण निश्चिती '!I12</f>
        <v>0.02</v>
      </c>
      <c r="EX9" s="282">
        <f>' प्रमाण निश्चिती '!J12</f>
        <v>0.02</v>
      </c>
      <c r="EY9" s="282">
        <f>' प्रमाण निश्चिती '!K12</f>
        <v>0.02</v>
      </c>
      <c r="EZ9" s="282">
        <f>' प्रमाण निश्चिती '!L12</f>
        <v>2.9999999999999997E-4</v>
      </c>
      <c r="FA9" s="282">
        <f>' प्रमाण निश्चिती '!M12</f>
        <v>5.0000000000000001E-4</v>
      </c>
      <c r="FB9" s="282">
        <f>' प्रमाण निश्चिती '!N12</f>
        <v>2.9999999999999997E-4</v>
      </c>
      <c r="FC9" s="282">
        <f>' प्रमाण निश्चिती '!O12</f>
        <v>0</v>
      </c>
      <c r="FD9" s="282">
        <f>' प्रमाण निश्चिती '!P12</f>
        <v>0</v>
      </c>
      <c r="FE9" s="282">
        <f>' प्रमाण निश्चिती '!Q12</f>
        <v>5.0000000000000001E-3</v>
      </c>
      <c r="FF9" s="282">
        <f>' प्रमाण निश्चिती '!R12</f>
        <v>2E-3</v>
      </c>
      <c r="FG9" s="282">
        <f>' प्रमाण निश्चिती '!S12</f>
        <v>1.1999999999999999E-3</v>
      </c>
      <c r="FH9" s="282">
        <f>' प्रमाण निश्चिती '!T12</f>
        <v>0</v>
      </c>
      <c r="FI9" s="283">
        <f>' प्रमाण निश्चिती '!U12</f>
        <v>0.72</v>
      </c>
      <c r="FJ9" s="283">
        <f>' प्रमाण निश्चिती '!V12</f>
        <v>0.64</v>
      </c>
      <c r="FK9" s="283">
        <f>' प्रमाण निश्चिती '!W12</f>
        <v>0.53</v>
      </c>
      <c r="FL9" s="283">
        <f>' प्रमाण निश्चिती '!Y12</f>
        <v>2.68</v>
      </c>
      <c r="FM9" s="1016"/>
      <c r="FN9" s="1016"/>
      <c r="FO9" s="295"/>
      <c r="FP9" s="2032" t="s">
        <v>216</v>
      </c>
      <c r="FQ9" s="2032"/>
      <c r="FR9" s="2032"/>
      <c r="FS9" s="2032"/>
      <c r="FT9" s="282">
        <f>' प्रमाण निश्चिती '!C13</f>
        <v>0.1</v>
      </c>
      <c r="FU9" s="282">
        <f>' प्रमाण निश्चिती '!D13</f>
        <v>0.02</v>
      </c>
      <c r="FV9" s="282">
        <f>' प्रमाण निश्चिती '!E13</f>
        <v>0.02</v>
      </c>
      <c r="FW9" s="282">
        <f>' प्रमाण निश्चिती '!F13</f>
        <v>0.02</v>
      </c>
      <c r="FX9" s="282">
        <f>' प्रमाण निश्चिती '!G13</f>
        <v>0.02</v>
      </c>
      <c r="FY9" s="282">
        <f>' प्रमाण निश्चिती '!H13</f>
        <v>0.02</v>
      </c>
      <c r="FZ9" s="282">
        <f>' प्रमाण निश्चिती '!I13</f>
        <v>0.02</v>
      </c>
      <c r="GA9" s="282">
        <f>' प्रमाण निश्चिती '!J13</f>
        <v>0.02</v>
      </c>
      <c r="GB9" s="282">
        <f>' प्रमाण निश्चिती '!K13</f>
        <v>0.02</v>
      </c>
      <c r="GC9" s="282">
        <f>' प्रमाण निश्चिती '!L13</f>
        <v>2.9999999999999997E-4</v>
      </c>
      <c r="GD9" s="282">
        <f>' प्रमाण निश्चिती '!M13</f>
        <v>5.0000000000000001E-4</v>
      </c>
      <c r="GE9" s="282">
        <f>' प्रमाण निश्चिती '!N13</f>
        <v>2.9999999999999997E-4</v>
      </c>
      <c r="GF9" s="282">
        <f>' प्रमाण निश्चिती '!O13</f>
        <v>0</v>
      </c>
      <c r="GG9" s="282">
        <f>' प्रमाण निश्चिती '!P13</f>
        <v>0</v>
      </c>
      <c r="GH9" s="282">
        <f>' प्रमाण निश्चिती '!Q13</f>
        <v>5.0000000000000001E-3</v>
      </c>
      <c r="GI9" s="282">
        <f>' प्रमाण निश्चिती '!R13</f>
        <v>2E-3</v>
      </c>
      <c r="GJ9" s="282">
        <f>' प्रमाण निश्चिती '!S13</f>
        <v>1.1999999999999999E-3</v>
      </c>
      <c r="GK9" s="282">
        <f>' प्रमाण निश्चिती '!T13</f>
        <v>0</v>
      </c>
      <c r="GL9" s="283">
        <f>' प्रमाण निश्चिती '!U13</f>
        <v>0.72</v>
      </c>
      <c r="GM9" s="283">
        <f>' प्रमाण निश्चिती '!V13</f>
        <v>0.64</v>
      </c>
      <c r="GN9" s="283">
        <f>' प्रमाण निश्चिती '!W13</f>
        <v>0.53</v>
      </c>
      <c r="GO9" s="283">
        <f>' प्रमाण निश्चिती '!Y13</f>
        <v>2.68</v>
      </c>
      <c r="GP9" s="1016"/>
      <c r="GQ9" s="1016"/>
      <c r="GR9" s="295"/>
      <c r="GS9" s="2032" t="s">
        <v>216</v>
      </c>
      <c r="GT9" s="2032"/>
      <c r="GU9" s="2032"/>
      <c r="GV9" s="2032"/>
      <c r="GW9" s="282">
        <f>' प्रमाण निश्चिती '!C14</f>
        <v>0.1</v>
      </c>
      <c r="GX9" s="282">
        <f>' प्रमाण निश्चिती '!D14</f>
        <v>0.02</v>
      </c>
      <c r="GY9" s="282">
        <f>' प्रमाण निश्चिती '!E14</f>
        <v>0.02</v>
      </c>
      <c r="GZ9" s="282">
        <f>' प्रमाण निश्चिती '!F14</f>
        <v>0.02</v>
      </c>
      <c r="HA9" s="282">
        <f>' प्रमाण निश्चिती '!G14</f>
        <v>0.02</v>
      </c>
      <c r="HB9" s="282">
        <f>' प्रमाण निश्चिती '!H14</f>
        <v>0.02</v>
      </c>
      <c r="HC9" s="282">
        <f>' प्रमाण निश्चिती '!I14</f>
        <v>0.02</v>
      </c>
      <c r="HD9" s="282">
        <f>' प्रमाण निश्चिती '!J14</f>
        <v>0.02</v>
      </c>
      <c r="HE9" s="282">
        <f>' प्रमाण निश्चिती '!K14</f>
        <v>0.02</v>
      </c>
      <c r="HF9" s="282">
        <f>' प्रमाण निश्चिती '!L14</f>
        <v>2.9999999999999997E-4</v>
      </c>
      <c r="HG9" s="282">
        <f>' प्रमाण निश्चिती '!M14</f>
        <v>5.0000000000000001E-4</v>
      </c>
      <c r="HH9" s="282">
        <f>' प्रमाण निश्चिती '!N14</f>
        <v>2.9999999999999997E-4</v>
      </c>
      <c r="HI9" s="282">
        <f>' प्रमाण निश्चिती '!O14</f>
        <v>0</v>
      </c>
      <c r="HJ9" s="282">
        <f>' प्रमाण निश्चिती '!P14</f>
        <v>0</v>
      </c>
      <c r="HK9" s="282">
        <f>' प्रमाण निश्चिती '!Q14</f>
        <v>5.0000000000000001E-3</v>
      </c>
      <c r="HL9" s="282">
        <f>' प्रमाण निश्चिती '!R14</f>
        <v>2E-3</v>
      </c>
      <c r="HM9" s="282">
        <f>' प्रमाण निश्चिती '!S14</f>
        <v>1.1999999999999999E-3</v>
      </c>
      <c r="HN9" s="282">
        <f>' प्रमाण निश्चिती '!T14</f>
        <v>0</v>
      </c>
      <c r="HO9" s="283">
        <f>' प्रमाण निश्चिती '!U14</f>
        <v>0.72</v>
      </c>
      <c r="HP9" s="283">
        <f>' प्रमाण निश्चिती '!V14</f>
        <v>0.64</v>
      </c>
      <c r="HQ9" s="283">
        <f>' प्रमाण निश्चिती '!W14</f>
        <v>0.53</v>
      </c>
      <c r="HR9" s="283">
        <f>' प्रमाण निश्चिती '!Y14</f>
        <v>2.68</v>
      </c>
      <c r="HS9" s="1016"/>
      <c r="HT9" s="1016"/>
      <c r="HU9" s="295"/>
      <c r="HV9" s="2032" t="s">
        <v>216</v>
      </c>
      <c r="HW9" s="2032"/>
      <c r="HX9" s="2032"/>
      <c r="HY9" s="2032"/>
      <c r="HZ9" s="282">
        <f>' प्रमाण निश्चिती '!C15</f>
        <v>0.1</v>
      </c>
      <c r="IA9" s="282">
        <f>' प्रमाण निश्चिती '!D15</f>
        <v>0.02</v>
      </c>
      <c r="IB9" s="282">
        <f>' प्रमाण निश्चिती '!E15</f>
        <v>0.02</v>
      </c>
      <c r="IC9" s="282">
        <f>' प्रमाण निश्चिती '!F15</f>
        <v>0.02</v>
      </c>
      <c r="ID9" s="282">
        <f>' प्रमाण निश्चिती '!G15</f>
        <v>0.02</v>
      </c>
      <c r="IE9" s="282">
        <f>' प्रमाण निश्चिती '!H15</f>
        <v>0.02</v>
      </c>
      <c r="IF9" s="282">
        <f>' प्रमाण निश्चिती '!I15</f>
        <v>0.02</v>
      </c>
      <c r="IG9" s="282">
        <f>' प्रमाण निश्चिती '!J15</f>
        <v>0.02</v>
      </c>
      <c r="IH9" s="282">
        <f>' प्रमाण निश्चिती '!K15</f>
        <v>0.02</v>
      </c>
      <c r="II9" s="282">
        <f>' प्रमाण निश्चिती '!L15</f>
        <v>2.9999999999999997E-4</v>
      </c>
      <c r="IJ9" s="282">
        <f>' प्रमाण निश्चिती '!M15</f>
        <v>5.0000000000000001E-4</v>
      </c>
      <c r="IK9" s="282">
        <f>' प्रमाण निश्चिती '!N15</f>
        <v>2.9999999999999997E-4</v>
      </c>
      <c r="IL9" s="282">
        <f>' प्रमाण निश्चिती '!O15</f>
        <v>0</v>
      </c>
      <c r="IM9" s="282">
        <f>' प्रमाण निश्चिती '!P15</f>
        <v>0</v>
      </c>
      <c r="IN9" s="282">
        <f>' प्रमाण निश्चिती '!Q15</f>
        <v>5.0000000000000001E-3</v>
      </c>
      <c r="IO9" s="282">
        <f>' प्रमाण निश्चिती '!R15</f>
        <v>2E-3</v>
      </c>
      <c r="IP9" s="282">
        <f>' प्रमाण निश्चिती '!S15</f>
        <v>1.1999999999999999E-3</v>
      </c>
      <c r="IQ9" s="282">
        <f>' प्रमाण निश्चिती '!T15</f>
        <v>0</v>
      </c>
      <c r="IR9" s="283">
        <f>' प्रमाण निश्चिती '!U15</f>
        <v>0.71</v>
      </c>
      <c r="IS9" s="283">
        <f>' प्रमाण निश्चिती '!V15</f>
        <v>0.79</v>
      </c>
      <c r="IT9" s="283">
        <f>' प्रमाण निश्चिती '!W15</f>
        <v>0.57999999999999996</v>
      </c>
      <c r="IU9" s="283">
        <f>' प्रमाण निश्चिती '!Y15</f>
        <v>2.87</v>
      </c>
      <c r="IV9" s="1016"/>
      <c r="IW9" s="1016"/>
      <c r="IX9" s="295"/>
      <c r="IY9" s="2032" t="s">
        <v>216</v>
      </c>
      <c r="IZ9" s="2032"/>
      <c r="JA9" s="2032"/>
      <c r="JB9" s="2032"/>
      <c r="JC9" s="282">
        <f>' प्रमाण निश्चिती '!C16</f>
        <v>0.1</v>
      </c>
      <c r="JD9" s="282">
        <f>' प्रमाण निश्चिती '!D16</f>
        <v>0.02</v>
      </c>
      <c r="JE9" s="282">
        <f>' प्रमाण निश्चिती '!E16</f>
        <v>0.02</v>
      </c>
      <c r="JF9" s="282">
        <f>' प्रमाण निश्चिती '!F16</f>
        <v>0.02</v>
      </c>
      <c r="JG9" s="282">
        <f>' प्रमाण निश्चिती '!G16</f>
        <v>0.02</v>
      </c>
      <c r="JH9" s="282">
        <f>' प्रमाण निश्चिती '!H16</f>
        <v>0.02</v>
      </c>
      <c r="JI9" s="282">
        <f>' प्रमाण निश्चिती '!I16</f>
        <v>0.02</v>
      </c>
      <c r="JJ9" s="282">
        <f>' प्रमाण निश्चिती '!J16</f>
        <v>0.02</v>
      </c>
      <c r="JK9" s="282">
        <f>' प्रमाण निश्चिती '!K16</f>
        <v>0.02</v>
      </c>
      <c r="JL9" s="282">
        <f>' प्रमाण निश्चिती '!L16</f>
        <v>2.9999999999999997E-4</v>
      </c>
      <c r="JM9" s="282">
        <f>' प्रमाण निश्चिती '!M16</f>
        <v>5.0000000000000001E-4</v>
      </c>
      <c r="JN9" s="282">
        <f>' प्रमाण निश्चिती '!N16</f>
        <v>2.9999999999999997E-4</v>
      </c>
      <c r="JO9" s="282">
        <f>' प्रमाण निश्चिती '!O16</f>
        <v>0</v>
      </c>
      <c r="JP9" s="282">
        <f>' प्रमाण निश्चिती '!P16</f>
        <v>0</v>
      </c>
      <c r="JQ9" s="282">
        <f>' प्रमाण निश्चिती '!Q16</f>
        <v>5.0000000000000001E-3</v>
      </c>
      <c r="JR9" s="282">
        <f>' प्रमाण निश्चिती '!R16</f>
        <v>2E-3</v>
      </c>
      <c r="JS9" s="282">
        <f>' प्रमाण निश्चिती '!S16</f>
        <v>1.1999999999999999E-3</v>
      </c>
      <c r="JT9" s="282">
        <f>' प्रमाण निश्चिती '!T16</f>
        <v>0</v>
      </c>
      <c r="JU9" s="283">
        <f>' प्रमाण निश्चिती '!U16</f>
        <v>0.71</v>
      </c>
      <c r="JV9" s="283">
        <f>' प्रमाण निश्चिती '!V16</f>
        <v>0.79</v>
      </c>
      <c r="JW9" s="283">
        <f>' प्रमाण निश्चिती '!W16</f>
        <v>0.57999999999999996</v>
      </c>
      <c r="JX9" s="283">
        <f>' प्रमाण निश्चिती '!Y16</f>
        <v>2.87</v>
      </c>
      <c r="JY9" s="1016"/>
      <c r="JZ9" s="1016"/>
      <c r="KA9" s="295"/>
      <c r="KB9" s="2032" t="s">
        <v>216</v>
      </c>
      <c r="KC9" s="2032"/>
      <c r="KD9" s="2032"/>
      <c r="KE9" s="2032"/>
      <c r="KF9" s="282">
        <f>' प्रमाण निश्चिती '!C17</f>
        <v>0.1</v>
      </c>
      <c r="KG9" s="282">
        <f>' प्रमाण निश्चिती '!D17</f>
        <v>0.02</v>
      </c>
      <c r="KH9" s="282">
        <f>' प्रमाण निश्चिती '!E17</f>
        <v>0.02</v>
      </c>
      <c r="KI9" s="282">
        <f>' प्रमाण निश्चिती '!F17</f>
        <v>0.02</v>
      </c>
      <c r="KJ9" s="282">
        <f>' प्रमाण निश्चिती '!G17</f>
        <v>0.02</v>
      </c>
      <c r="KK9" s="282">
        <f>' प्रमाण निश्चिती '!H17</f>
        <v>0.02</v>
      </c>
      <c r="KL9" s="282">
        <f>' प्रमाण निश्चिती '!I17</f>
        <v>0.02</v>
      </c>
      <c r="KM9" s="282">
        <f>' प्रमाण निश्चिती '!J17</f>
        <v>0.02</v>
      </c>
      <c r="KN9" s="282">
        <f>' प्रमाण निश्चिती '!K17</f>
        <v>0.02</v>
      </c>
      <c r="KO9" s="282">
        <f>' प्रमाण निश्चिती '!L17</f>
        <v>2.9999999999999997E-4</v>
      </c>
      <c r="KP9" s="282">
        <f>' प्रमाण निश्चिती '!M17</f>
        <v>5.0000000000000001E-4</v>
      </c>
      <c r="KQ9" s="282">
        <f>' प्रमाण निश्चिती '!N17</f>
        <v>2.9999999999999997E-4</v>
      </c>
      <c r="KR9" s="282">
        <f>' प्रमाण निश्चिती '!O17</f>
        <v>0</v>
      </c>
      <c r="KS9" s="282">
        <f>' प्रमाण निश्चिती '!P17</f>
        <v>0</v>
      </c>
      <c r="KT9" s="282">
        <f>' प्रमाण निश्चिती '!Q17</f>
        <v>5.0000000000000001E-3</v>
      </c>
      <c r="KU9" s="282">
        <f>' प्रमाण निश्चिती '!R17</f>
        <v>2E-3</v>
      </c>
      <c r="KV9" s="282">
        <f>' प्रमाण निश्चिती '!S17</f>
        <v>1.1999999999999999E-3</v>
      </c>
      <c r="KW9" s="282">
        <f>' प्रमाण निश्चिती '!T17</f>
        <v>0</v>
      </c>
      <c r="KX9" s="283">
        <f>' प्रमाण निश्चिती '!U17</f>
        <v>0.71</v>
      </c>
      <c r="KY9" s="283">
        <f>' प्रमाण निश्चिती '!V17</f>
        <v>0.79</v>
      </c>
      <c r="KZ9" s="283">
        <f>' प्रमाण निश्चिती '!W17</f>
        <v>0.57999999999999996</v>
      </c>
      <c r="LA9" s="283">
        <f>' प्रमाण निश्चिती '!Y17</f>
        <v>2.87</v>
      </c>
      <c r="LB9" s="1016"/>
      <c r="LC9" s="1016"/>
      <c r="LD9" s="295"/>
      <c r="LE9" s="2032" t="s">
        <v>216</v>
      </c>
      <c r="LF9" s="2032"/>
      <c r="LG9" s="2032"/>
      <c r="LH9" s="2032"/>
      <c r="LI9" s="282">
        <f>' प्रमाण निश्चिती '!C18</f>
        <v>0.1</v>
      </c>
      <c r="LJ9" s="282">
        <f>' प्रमाण निश्चिती '!D18</f>
        <v>0.02</v>
      </c>
      <c r="LK9" s="282">
        <f>' प्रमाण निश्चिती '!E18</f>
        <v>0.02</v>
      </c>
      <c r="LL9" s="282">
        <f>' प्रमाण निश्चिती '!F18</f>
        <v>0.02</v>
      </c>
      <c r="LM9" s="282">
        <f>' प्रमाण निश्चिती '!G18</f>
        <v>0.02</v>
      </c>
      <c r="LN9" s="282">
        <f>' प्रमाण निश्चिती '!H18</f>
        <v>0.02</v>
      </c>
      <c r="LO9" s="282">
        <f>' प्रमाण निश्चिती '!I18</f>
        <v>0.02</v>
      </c>
      <c r="LP9" s="282">
        <f>' प्रमाण निश्चिती '!J18</f>
        <v>0.02</v>
      </c>
      <c r="LQ9" s="282">
        <f>' प्रमाण निश्चिती '!K18</f>
        <v>0.02</v>
      </c>
      <c r="LR9" s="282">
        <f>' प्रमाण निश्चिती '!L18</f>
        <v>2.9999999999999997E-4</v>
      </c>
      <c r="LS9" s="282">
        <f>' प्रमाण निश्चिती '!M18</f>
        <v>5.0000000000000001E-4</v>
      </c>
      <c r="LT9" s="282">
        <f>' प्रमाण निश्चिती '!N18</f>
        <v>2.9999999999999997E-4</v>
      </c>
      <c r="LU9" s="282">
        <f>' प्रमाण निश्चिती '!O18</f>
        <v>0</v>
      </c>
      <c r="LV9" s="282">
        <f>' प्रमाण निश्चिती '!P18</f>
        <v>0</v>
      </c>
      <c r="LW9" s="282">
        <f>' प्रमाण निश्चिती '!Q18</f>
        <v>5.0000000000000001E-3</v>
      </c>
      <c r="LX9" s="282">
        <f>' प्रमाण निश्चिती '!R18</f>
        <v>2E-3</v>
      </c>
      <c r="LY9" s="282">
        <f>' प्रमाण निश्चिती '!S18</f>
        <v>1.1999999999999999E-3</v>
      </c>
      <c r="LZ9" s="282">
        <f>' प्रमाण निश्चिती '!T18</f>
        <v>0</v>
      </c>
      <c r="MA9" s="283">
        <f>' प्रमाण निश्चिती '!U18</f>
        <v>0.71</v>
      </c>
      <c r="MB9" s="283">
        <f>' प्रमाण निश्चिती '!V18</f>
        <v>0.79</v>
      </c>
      <c r="MC9" s="283">
        <f>' प्रमाण निश्चिती '!W18</f>
        <v>0.57999999999999996</v>
      </c>
      <c r="MD9" s="283">
        <f>' प्रमाण निश्चिती '!Y18</f>
        <v>2.87</v>
      </c>
      <c r="ME9" s="1016"/>
      <c r="MF9" s="1016"/>
      <c r="MG9" s="295"/>
      <c r="MH9" s="2032" t="s">
        <v>216</v>
      </c>
      <c r="MI9" s="2032"/>
      <c r="MJ9" s="2032"/>
      <c r="MK9" s="2032"/>
      <c r="ML9" s="282">
        <f>' प्रमाण निश्चिती '!C19</f>
        <v>0.1</v>
      </c>
      <c r="MM9" s="282">
        <f>' प्रमाण निश्चिती '!D19</f>
        <v>0.02</v>
      </c>
      <c r="MN9" s="282">
        <f>' प्रमाण निश्चिती '!E19</f>
        <v>0.02</v>
      </c>
      <c r="MO9" s="282">
        <f>' प्रमाण निश्चिती '!F19</f>
        <v>0.02</v>
      </c>
      <c r="MP9" s="282">
        <f>' प्रमाण निश्चिती '!G19</f>
        <v>0.02</v>
      </c>
      <c r="MQ9" s="282">
        <f>' प्रमाण निश्चिती '!H19</f>
        <v>0.02</v>
      </c>
      <c r="MR9" s="282">
        <f>' प्रमाण निश्चिती '!I19</f>
        <v>0.02</v>
      </c>
      <c r="MS9" s="282">
        <f>' प्रमाण निश्चिती '!J19</f>
        <v>0.02</v>
      </c>
      <c r="MT9" s="282">
        <f>' प्रमाण निश्चिती '!K19</f>
        <v>0.02</v>
      </c>
      <c r="MU9" s="282">
        <f>' प्रमाण निश्चिती '!L19</f>
        <v>2.9999999999999997E-4</v>
      </c>
      <c r="MV9" s="282">
        <f>' प्रमाण निश्चिती '!M19</f>
        <v>5.0000000000000001E-4</v>
      </c>
      <c r="MW9" s="282">
        <f>' प्रमाण निश्चिती '!N19</f>
        <v>2.9999999999999997E-4</v>
      </c>
      <c r="MX9" s="282">
        <f>' प्रमाण निश्चिती '!O19</f>
        <v>0</v>
      </c>
      <c r="MY9" s="282">
        <f>' प्रमाण निश्चिती '!P19</f>
        <v>0</v>
      </c>
      <c r="MZ9" s="282">
        <f>' प्रमाण निश्चिती '!Q19</f>
        <v>5.0000000000000001E-3</v>
      </c>
      <c r="NA9" s="282">
        <f>' प्रमाण निश्चिती '!R19</f>
        <v>2E-3</v>
      </c>
      <c r="NB9" s="282">
        <f>' प्रमाण निश्चिती '!S19</f>
        <v>1.1999999999999999E-3</v>
      </c>
      <c r="NC9" s="282">
        <f>' प्रमाण निश्चिती '!T19</f>
        <v>0</v>
      </c>
      <c r="ND9" s="283">
        <f>' प्रमाण निश्चिती '!U19</f>
        <v>0.71</v>
      </c>
      <c r="NE9" s="283">
        <f>' प्रमाण निश्चिती '!V19</f>
        <v>0.79</v>
      </c>
      <c r="NF9" s="283">
        <f>' प्रमाण निश्चिती '!W19</f>
        <v>0.57999999999999996</v>
      </c>
      <c r="NG9" s="284">
        <f>' प्रमाण निश्चिती '!Y19</f>
        <v>2.87</v>
      </c>
      <c r="NH9" s="1016"/>
      <c r="NI9" s="1016"/>
      <c r="NJ9" s="295"/>
      <c r="NK9" s="2032" t="s">
        <v>216</v>
      </c>
      <c r="NL9" s="2032"/>
      <c r="NM9" s="2032"/>
      <c r="NN9" s="2032"/>
      <c r="NO9" s="282">
        <f>' प्रमाण निश्चिती '!C20</f>
        <v>0.1</v>
      </c>
      <c r="NP9" s="282">
        <f>' प्रमाण निश्चिती '!D20</f>
        <v>0.02</v>
      </c>
      <c r="NQ9" s="282">
        <f>' प्रमाण निश्चिती '!E20</f>
        <v>0.02</v>
      </c>
      <c r="NR9" s="282">
        <f>' प्रमाण निश्चिती '!F20</f>
        <v>0.02</v>
      </c>
      <c r="NS9" s="282">
        <f>' प्रमाण निश्चिती '!G20</f>
        <v>0.02</v>
      </c>
      <c r="NT9" s="282">
        <f>' प्रमाण निश्चिती '!H20</f>
        <v>0.02</v>
      </c>
      <c r="NU9" s="282">
        <f>' प्रमाण निश्चिती '!I20</f>
        <v>0.02</v>
      </c>
      <c r="NV9" s="282">
        <f>' प्रमाण निश्चिती '!J20</f>
        <v>0.02</v>
      </c>
      <c r="NW9" s="282">
        <f>' प्रमाण निश्चिती '!K20</f>
        <v>0.02</v>
      </c>
      <c r="NX9" s="282">
        <f>' प्रमाण निश्चिती '!L20</f>
        <v>2.9999999999999997E-4</v>
      </c>
      <c r="NY9" s="282">
        <f>' प्रमाण निश्चिती '!M20</f>
        <v>5.0000000000000001E-4</v>
      </c>
      <c r="NZ9" s="282">
        <f>' प्रमाण निश्चिती '!N20</f>
        <v>2.9999999999999997E-4</v>
      </c>
      <c r="OA9" s="282">
        <f>' प्रमाण निश्चिती '!O20</f>
        <v>0</v>
      </c>
      <c r="OB9" s="282">
        <f>' प्रमाण निश्चिती '!P20</f>
        <v>0</v>
      </c>
      <c r="OC9" s="282">
        <f>' प्रमाण निश्चिती '!Q20</f>
        <v>5.0000000000000001E-3</v>
      </c>
      <c r="OD9" s="282">
        <f>' प्रमाण निश्चिती '!R20</f>
        <v>2E-3</v>
      </c>
      <c r="OE9" s="282">
        <f>' प्रमाण निश्चिती '!S20</f>
        <v>1.1999999999999999E-3</v>
      </c>
      <c r="OF9" s="282">
        <f>' प्रमाण निश्चिती '!T20</f>
        <v>0</v>
      </c>
      <c r="OG9" s="283">
        <f>' प्रमाण निश्चिती '!U20</f>
        <v>0.71</v>
      </c>
      <c r="OH9" s="283">
        <f>' प्रमाण निश्चिती '!V20</f>
        <v>0.79</v>
      </c>
      <c r="OI9" s="283">
        <f>' प्रमाण निश्चिती '!W20</f>
        <v>0.57999999999999996</v>
      </c>
      <c r="OJ9" s="284">
        <f>' प्रमाण निश्चिती '!Y20</f>
        <v>2.87</v>
      </c>
    </row>
    <row r="10" spans="1:461" ht="29.25" customHeight="1" x14ac:dyDescent="0.45">
      <c r="B10" s="1014"/>
      <c r="C10" s="1015"/>
      <c r="D10" s="1015"/>
      <c r="E10" s="1015"/>
      <c r="F10" s="1015"/>
      <c r="G10" s="1015"/>
      <c r="H10" s="1015"/>
      <c r="I10" s="328"/>
      <c r="J10" s="328"/>
      <c r="K10" s="2037" t="s">
        <v>199</v>
      </c>
      <c r="L10" s="2037"/>
      <c r="M10" s="328"/>
      <c r="N10" s="328"/>
      <c r="O10" s="1012"/>
      <c r="BA10" s="1017"/>
      <c r="BB10" s="1017"/>
      <c r="BC10" s="1017"/>
      <c r="BD10" s="2019" t="s">
        <v>101</v>
      </c>
      <c r="BE10" s="2019"/>
      <c r="BF10" s="2019"/>
      <c r="BG10" s="2019"/>
      <c r="BH10" s="285">
        <f>'साठा नोंदवही'!E7</f>
        <v>30.2</v>
      </c>
      <c r="BI10" s="285">
        <f>'साठा नोंदवही'!F7</f>
        <v>1.68</v>
      </c>
      <c r="BJ10" s="285">
        <f>'साठा नोंदवही'!G7</f>
        <v>0</v>
      </c>
      <c r="BK10" s="285">
        <f>'साठा नोंदवही'!H7</f>
        <v>0</v>
      </c>
      <c r="BL10" s="285">
        <f>'साठा नोंदवही'!I7</f>
        <v>0</v>
      </c>
      <c r="BM10" s="285">
        <f>'साठा नोंदवही'!J7</f>
        <v>0</v>
      </c>
      <c r="BN10" s="285">
        <f>'साठा नोंदवही'!K7</f>
        <v>0</v>
      </c>
      <c r="BO10" s="285">
        <f>'साठा नोंदवही'!L7</f>
        <v>3.24</v>
      </c>
      <c r="BP10" s="285">
        <f>'साठा नोंदवही'!M7</f>
        <v>2.12</v>
      </c>
      <c r="BQ10" s="285">
        <f>'साठा नोंदवही'!N7</f>
        <v>0.1406</v>
      </c>
      <c r="BR10" s="285">
        <f>'साठा नोंदवही'!O7</f>
        <v>0.20100000000000001</v>
      </c>
      <c r="BS10" s="285">
        <f>'साठा नोंदवही'!P7</f>
        <v>0.1406</v>
      </c>
      <c r="BT10" s="285">
        <f>'साठा नोंदवही'!Q7</f>
        <v>0</v>
      </c>
      <c r="BU10" s="285">
        <f>'साठा नोंदवही'!R7</f>
        <v>0</v>
      </c>
      <c r="BV10" s="285">
        <f>'साठा नोंदवही'!S7</f>
        <v>1.01</v>
      </c>
      <c r="BW10" s="285">
        <f>'साठा नोंदवही'!T7</f>
        <v>2</v>
      </c>
      <c r="BX10" s="285">
        <f>'साठा नोंदवही'!U7</f>
        <v>0.3624</v>
      </c>
      <c r="BY10" s="285">
        <f>'साठा नोंदवही'!V7</f>
        <v>0</v>
      </c>
      <c r="BZ10" s="2021"/>
      <c r="CA10" s="2021"/>
      <c r="CB10" s="2021"/>
      <c r="CC10" s="2021"/>
      <c r="CD10" s="1017"/>
      <c r="CE10" s="1017"/>
      <c r="CF10" s="1017"/>
      <c r="CG10" s="2019" t="s">
        <v>101</v>
      </c>
      <c r="CH10" s="2019"/>
      <c r="CI10" s="2019"/>
      <c r="CJ10" s="2019"/>
      <c r="CK10" s="285">
        <f>BH46</f>
        <v>-1.4210854715202004E-14</v>
      </c>
      <c r="CL10" s="285">
        <f t="shared" ref="CL10:DB10" si="0">BI46</f>
        <v>-4.4408920985006262E-16</v>
      </c>
      <c r="CM10" s="285">
        <f t="shared" si="0"/>
        <v>0</v>
      </c>
      <c r="CN10" s="285">
        <f t="shared" si="0"/>
        <v>0</v>
      </c>
      <c r="CO10" s="285">
        <f t="shared" si="0"/>
        <v>0</v>
      </c>
      <c r="CP10" s="285">
        <f t="shared" si="0"/>
        <v>0</v>
      </c>
      <c r="CQ10" s="285">
        <f t="shared" si="0"/>
        <v>0</v>
      </c>
      <c r="CR10" s="285">
        <f t="shared" si="0"/>
        <v>0</v>
      </c>
      <c r="CS10" s="285">
        <f t="shared" si="0"/>
        <v>0</v>
      </c>
      <c r="CT10" s="285">
        <f t="shared" si="0"/>
        <v>8.0000000000007843E-4</v>
      </c>
      <c r="CU10" s="285">
        <f t="shared" si="0"/>
        <v>0</v>
      </c>
      <c r="CV10" s="285">
        <f t="shared" si="0"/>
        <v>8.0000000000002292E-4</v>
      </c>
      <c r="CW10" s="285">
        <f t="shared" si="0"/>
        <v>0</v>
      </c>
      <c r="CX10" s="285">
        <f t="shared" si="0"/>
        <v>0</v>
      </c>
      <c r="CY10" s="285">
        <f t="shared" si="0"/>
        <v>1.9999999999999991</v>
      </c>
      <c r="CZ10" s="285">
        <f t="shared" si="0"/>
        <v>1.3959999999999997</v>
      </c>
      <c r="DA10" s="285">
        <f t="shared" si="0"/>
        <v>3.3306690738754696E-16</v>
      </c>
      <c r="DB10" s="285">
        <f t="shared" si="0"/>
        <v>0</v>
      </c>
      <c r="DC10" s="2021"/>
      <c r="DD10" s="2021"/>
      <c r="DE10" s="2021"/>
      <c r="DF10" s="2021"/>
      <c r="DG10" s="1017"/>
      <c r="DH10" s="1017"/>
      <c r="DI10" s="1017"/>
      <c r="DJ10" s="2019" t="s">
        <v>101</v>
      </c>
      <c r="DK10" s="2019"/>
      <c r="DL10" s="2019"/>
      <c r="DM10" s="2019"/>
      <c r="DN10" s="285">
        <f>CK46</f>
        <v>99.999999999999986</v>
      </c>
      <c r="DO10" s="285">
        <f t="shared" ref="DO10:EE10" si="1">CL46</f>
        <v>5</v>
      </c>
      <c r="DP10" s="285">
        <f t="shared" si="1"/>
        <v>0</v>
      </c>
      <c r="DQ10" s="285">
        <f t="shared" si="1"/>
        <v>0</v>
      </c>
      <c r="DR10" s="285">
        <f t="shared" si="1"/>
        <v>0</v>
      </c>
      <c r="DS10" s="285">
        <f t="shared" si="1"/>
        <v>0</v>
      </c>
      <c r="DT10" s="285">
        <f t="shared" si="1"/>
        <v>0</v>
      </c>
      <c r="DU10" s="285">
        <f t="shared" si="1"/>
        <v>5</v>
      </c>
      <c r="DV10" s="285">
        <f t="shared" si="1"/>
        <v>5</v>
      </c>
      <c r="DW10" s="285">
        <f t="shared" si="1"/>
        <v>0.30080000000000007</v>
      </c>
      <c r="DX10" s="285">
        <f t="shared" si="1"/>
        <v>0.5</v>
      </c>
      <c r="DY10" s="285">
        <f t="shared" si="1"/>
        <v>0.40080000000000005</v>
      </c>
      <c r="DZ10" s="285">
        <f t="shared" si="1"/>
        <v>0</v>
      </c>
      <c r="EA10" s="285">
        <f t="shared" si="1"/>
        <v>0</v>
      </c>
      <c r="EB10" s="285">
        <f t="shared" si="1"/>
        <v>5.9999999999999991</v>
      </c>
      <c r="EC10" s="285">
        <f t="shared" si="1"/>
        <v>3.3959999999999999</v>
      </c>
      <c r="ED10" s="285">
        <f t="shared" si="1"/>
        <v>1.0000000000000004</v>
      </c>
      <c r="EE10" s="285">
        <f t="shared" si="1"/>
        <v>0</v>
      </c>
      <c r="EF10" s="2021"/>
      <c r="EG10" s="2021"/>
      <c r="EH10" s="2021"/>
      <c r="EI10" s="2021"/>
      <c r="EJ10" s="1017"/>
      <c r="EK10" s="1017"/>
      <c r="EL10" s="1017"/>
      <c r="EM10" s="2019" t="s">
        <v>101</v>
      </c>
      <c r="EN10" s="2019"/>
      <c r="EO10" s="2019"/>
      <c r="EP10" s="2019"/>
      <c r="EQ10" s="285">
        <f>DN46</f>
        <v>76.599999999999994</v>
      </c>
      <c r="ER10" s="285">
        <f t="shared" ref="ER10:FH10" si="2">DO46</f>
        <v>3.66</v>
      </c>
      <c r="ES10" s="285">
        <f t="shared" si="2"/>
        <v>0</v>
      </c>
      <c r="ET10" s="285">
        <f t="shared" si="2"/>
        <v>0</v>
      </c>
      <c r="EU10" s="285">
        <f t="shared" si="2"/>
        <v>0</v>
      </c>
      <c r="EV10" s="285">
        <f t="shared" si="2"/>
        <v>0</v>
      </c>
      <c r="EW10" s="285">
        <f t="shared" si="2"/>
        <v>0</v>
      </c>
      <c r="EX10" s="285">
        <f t="shared" si="2"/>
        <v>3.32</v>
      </c>
      <c r="EY10" s="285">
        <f t="shared" si="2"/>
        <v>3.34</v>
      </c>
      <c r="EZ10" s="285">
        <f t="shared" si="2"/>
        <v>0.23060000000000008</v>
      </c>
      <c r="FA10" s="285">
        <f t="shared" si="2"/>
        <v>0.38299999999999995</v>
      </c>
      <c r="FB10" s="285">
        <f t="shared" si="2"/>
        <v>0.33060000000000006</v>
      </c>
      <c r="FC10" s="285">
        <f t="shared" si="2"/>
        <v>0</v>
      </c>
      <c r="FD10" s="285">
        <f t="shared" si="2"/>
        <v>0</v>
      </c>
      <c r="FE10" s="285">
        <f t="shared" si="2"/>
        <v>4.8299999999999992</v>
      </c>
      <c r="FF10" s="285">
        <f t="shared" si="2"/>
        <v>2.9279999999999999</v>
      </c>
      <c r="FG10" s="285">
        <f t="shared" si="2"/>
        <v>0.71920000000000051</v>
      </c>
      <c r="FH10" s="285">
        <f t="shared" si="2"/>
        <v>0</v>
      </c>
      <c r="FI10" s="2021"/>
      <c r="FJ10" s="2021"/>
      <c r="FK10" s="2021"/>
      <c r="FL10" s="2021"/>
      <c r="FM10" s="1017"/>
      <c r="FN10" s="1017"/>
      <c r="FO10" s="1017"/>
      <c r="FP10" s="2019" t="s">
        <v>101</v>
      </c>
      <c r="FQ10" s="2019"/>
      <c r="FR10" s="2019"/>
      <c r="FS10" s="2019"/>
      <c r="FT10" s="285">
        <f>EQ46</f>
        <v>32.399999999999984</v>
      </c>
      <c r="FU10" s="285">
        <f t="shared" ref="FU10:GK10" si="3">ER46</f>
        <v>0.60000000000000053</v>
      </c>
      <c r="FV10" s="285">
        <f t="shared" si="3"/>
        <v>0</v>
      </c>
      <c r="FW10" s="285">
        <f t="shared" si="3"/>
        <v>0</v>
      </c>
      <c r="FX10" s="285">
        <f t="shared" si="3"/>
        <v>0</v>
      </c>
      <c r="FY10" s="285">
        <f t="shared" si="3"/>
        <v>0</v>
      </c>
      <c r="FZ10" s="285">
        <f t="shared" si="3"/>
        <v>0</v>
      </c>
      <c r="GA10" s="285">
        <f t="shared" si="3"/>
        <v>0.60000000000000009</v>
      </c>
      <c r="GB10" s="285">
        <f t="shared" si="3"/>
        <v>0.28000000000000025</v>
      </c>
      <c r="GC10" s="285">
        <f t="shared" si="3"/>
        <v>9.800000000000017E-2</v>
      </c>
      <c r="GD10" s="285">
        <f t="shared" si="3"/>
        <v>0.16199999999999981</v>
      </c>
      <c r="GE10" s="285">
        <f t="shared" si="3"/>
        <v>0.19800000000000015</v>
      </c>
      <c r="GF10" s="285">
        <f t="shared" si="3"/>
        <v>0</v>
      </c>
      <c r="GG10" s="285">
        <f t="shared" si="3"/>
        <v>0</v>
      </c>
      <c r="GH10" s="285">
        <f t="shared" si="3"/>
        <v>6.6199999999999992</v>
      </c>
      <c r="GI10" s="285">
        <f t="shared" si="3"/>
        <v>2.0439999999999996</v>
      </c>
      <c r="GJ10" s="285">
        <f t="shared" si="3"/>
        <v>0.18880000000000086</v>
      </c>
      <c r="GK10" s="285">
        <f t="shared" si="3"/>
        <v>0</v>
      </c>
      <c r="GL10" s="2021"/>
      <c r="GM10" s="2021"/>
      <c r="GN10" s="2021"/>
      <c r="GO10" s="2021"/>
      <c r="GP10" s="1017"/>
      <c r="GQ10" s="1017"/>
      <c r="GR10" s="1017"/>
      <c r="GS10" s="2019" t="s">
        <v>101</v>
      </c>
      <c r="GT10" s="2019"/>
      <c r="GU10" s="2019"/>
      <c r="GV10" s="2019"/>
      <c r="GW10" s="285">
        <f>FT46</f>
        <v>99.399999999999977</v>
      </c>
      <c r="GX10" s="285">
        <f>FU46</f>
        <v>5.2000000000000011</v>
      </c>
      <c r="GY10" s="285">
        <f t="shared" ref="GY10:HN10" si="4">FV46</f>
        <v>0</v>
      </c>
      <c r="GZ10" s="285">
        <f t="shared" si="4"/>
        <v>0</v>
      </c>
      <c r="HA10" s="285">
        <f t="shared" si="4"/>
        <v>0</v>
      </c>
      <c r="HB10" s="285">
        <f t="shared" si="4"/>
        <v>0</v>
      </c>
      <c r="HC10" s="285">
        <f t="shared" si="4"/>
        <v>0</v>
      </c>
      <c r="HD10" s="285">
        <f t="shared" si="4"/>
        <v>5.5</v>
      </c>
      <c r="HE10" s="285">
        <f t="shared" si="4"/>
        <v>5.18</v>
      </c>
      <c r="HF10" s="285">
        <f t="shared" si="4"/>
        <v>0.2990000000000001</v>
      </c>
      <c r="HG10" s="285">
        <f t="shared" si="4"/>
        <v>0.49699999999999972</v>
      </c>
      <c r="HH10" s="285">
        <f t="shared" si="4"/>
        <v>0.49900000000000017</v>
      </c>
      <c r="HI10" s="285">
        <f t="shared" si="4"/>
        <v>0</v>
      </c>
      <c r="HJ10" s="285">
        <f t="shared" si="4"/>
        <v>0</v>
      </c>
      <c r="HK10" s="285">
        <f t="shared" si="4"/>
        <v>9.9699999999999989</v>
      </c>
      <c r="HL10" s="285">
        <f t="shared" si="4"/>
        <v>3.3839999999999995</v>
      </c>
      <c r="HM10" s="285">
        <f t="shared" si="4"/>
        <v>0.79280000000000084</v>
      </c>
      <c r="HN10" s="285">
        <f t="shared" si="4"/>
        <v>0</v>
      </c>
      <c r="HO10" s="2021"/>
      <c r="HP10" s="2021"/>
      <c r="HQ10" s="2021"/>
      <c r="HR10" s="2021"/>
      <c r="HS10" s="1017"/>
      <c r="HT10" s="1017"/>
      <c r="HU10" s="1017"/>
      <c r="HV10" s="2019" t="s">
        <v>101</v>
      </c>
      <c r="HW10" s="2019"/>
      <c r="HX10" s="2019"/>
      <c r="HY10" s="2019"/>
      <c r="HZ10" s="285">
        <f>GW46</f>
        <v>60.999999999999957</v>
      </c>
      <c r="IA10" s="285">
        <f t="shared" ref="IA10:IQ10" si="5">GX46</f>
        <v>3.3400000000000007</v>
      </c>
      <c r="IB10" s="285">
        <f t="shared" si="5"/>
        <v>0</v>
      </c>
      <c r="IC10" s="285">
        <f t="shared" si="5"/>
        <v>0</v>
      </c>
      <c r="ID10" s="285">
        <f t="shared" si="5"/>
        <v>0</v>
      </c>
      <c r="IE10" s="285">
        <f t="shared" si="5"/>
        <v>0</v>
      </c>
      <c r="IF10" s="285">
        <f t="shared" si="5"/>
        <v>0</v>
      </c>
      <c r="IG10" s="285">
        <f t="shared" si="5"/>
        <v>2.44</v>
      </c>
      <c r="IH10" s="285">
        <f t="shared" si="5"/>
        <v>2.4199999999999995</v>
      </c>
      <c r="II10" s="285">
        <f t="shared" si="5"/>
        <v>0.18380000000000013</v>
      </c>
      <c r="IJ10" s="285">
        <f t="shared" si="5"/>
        <v>0.3049999999999996</v>
      </c>
      <c r="IK10" s="285">
        <f t="shared" si="5"/>
        <v>0.3838000000000002</v>
      </c>
      <c r="IL10" s="285">
        <f t="shared" si="5"/>
        <v>0</v>
      </c>
      <c r="IM10" s="285">
        <f t="shared" si="5"/>
        <v>0</v>
      </c>
      <c r="IN10" s="285">
        <f t="shared" si="5"/>
        <v>9.0499999999999989</v>
      </c>
      <c r="IO10" s="285">
        <f t="shared" si="5"/>
        <v>2.6159999999999988</v>
      </c>
      <c r="IP10" s="285">
        <f t="shared" si="5"/>
        <v>0.33200000000000096</v>
      </c>
      <c r="IQ10" s="285">
        <f t="shared" si="5"/>
        <v>0</v>
      </c>
      <c r="IR10" s="2021"/>
      <c r="IS10" s="2021"/>
      <c r="IT10" s="2021"/>
      <c r="IU10" s="2021"/>
      <c r="IV10" s="1017"/>
      <c r="IW10" s="1017"/>
      <c r="IX10" s="1017"/>
      <c r="IY10" s="2019" t="s">
        <v>101</v>
      </c>
      <c r="IZ10" s="2019"/>
      <c r="JA10" s="2019"/>
      <c r="JB10" s="2019"/>
      <c r="JC10" s="285">
        <f>HZ46</f>
        <v>37.399999999999963</v>
      </c>
      <c r="JD10" s="285">
        <f t="shared" ref="JD10:JT10" si="6">IA46</f>
        <v>1.1400000000000006</v>
      </c>
      <c r="JE10" s="285">
        <f t="shared" si="6"/>
        <v>0</v>
      </c>
      <c r="JF10" s="285">
        <f t="shared" si="6"/>
        <v>0</v>
      </c>
      <c r="JG10" s="285">
        <f t="shared" si="6"/>
        <v>0</v>
      </c>
      <c r="JH10" s="285">
        <f t="shared" si="6"/>
        <v>0</v>
      </c>
      <c r="JI10" s="285">
        <f t="shared" si="6"/>
        <v>0</v>
      </c>
      <c r="JJ10" s="285">
        <f t="shared" si="6"/>
        <v>1.24</v>
      </c>
      <c r="JK10" s="285">
        <f t="shared" si="6"/>
        <v>1.0999999999999994</v>
      </c>
      <c r="JL10" s="285">
        <f t="shared" si="6"/>
        <v>0.11300000000000014</v>
      </c>
      <c r="JM10" s="285">
        <f t="shared" si="6"/>
        <v>0.18699999999999964</v>
      </c>
      <c r="JN10" s="285">
        <f t="shared" si="6"/>
        <v>0.31300000000000022</v>
      </c>
      <c r="JO10" s="285">
        <f t="shared" si="6"/>
        <v>0</v>
      </c>
      <c r="JP10" s="285">
        <f t="shared" si="6"/>
        <v>0</v>
      </c>
      <c r="JQ10" s="285">
        <f t="shared" si="6"/>
        <v>10.87</v>
      </c>
      <c r="JR10" s="285">
        <f t="shared" si="6"/>
        <v>2.1439999999999988</v>
      </c>
      <c r="JS10" s="285">
        <f t="shared" si="6"/>
        <v>4.8800000000001009E-2</v>
      </c>
      <c r="JT10" s="285">
        <f t="shared" si="6"/>
        <v>0</v>
      </c>
      <c r="JU10" s="2021"/>
      <c r="JV10" s="2021"/>
      <c r="JW10" s="2021"/>
      <c r="JX10" s="2021"/>
      <c r="JY10" s="1017"/>
      <c r="JZ10" s="1017"/>
      <c r="KA10" s="1017"/>
      <c r="KB10" s="2019" t="s">
        <v>101</v>
      </c>
      <c r="KC10" s="2019"/>
      <c r="KD10" s="2019"/>
      <c r="KE10" s="2019"/>
      <c r="KF10" s="285">
        <f>JC46</f>
        <v>45.599999999999959</v>
      </c>
      <c r="KG10" s="285">
        <f t="shared" ref="KG10:KW10" si="7">JD46</f>
        <v>3.5000000000000004</v>
      </c>
      <c r="KH10" s="285">
        <f t="shared" si="7"/>
        <v>0</v>
      </c>
      <c r="KI10" s="285">
        <f t="shared" si="7"/>
        <v>0</v>
      </c>
      <c r="KJ10" s="285">
        <f t="shared" si="7"/>
        <v>0</v>
      </c>
      <c r="KK10" s="285">
        <f t="shared" si="7"/>
        <v>0</v>
      </c>
      <c r="KL10" s="285">
        <f t="shared" si="7"/>
        <v>0</v>
      </c>
      <c r="KM10" s="285">
        <f t="shared" si="7"/>
        <v>3.6</v>
      </c>
      <c r="KN10" s="285">
        <f t="shared" si="7"/>
        <v>3.0199999999999996</v>
      </c>
      <c r="KO10" s="285">
        <f t="shared" si="7"/>
        <v>0.38760000000000017</v>
      </c>
      <c r="KP10" s="285">
        <f t="shared" si="7"/>
        <v>0.27799999999999958</v>
      </c>
      <c r="KQ10" s="285">
        <f t="shared" si="7"/>
        <v>0.48760000000000026</v>
      </c>
      <c r="KR10" s="285">
        <f t="shared" si="7"/>
        <v>0</v>
      </c>
      <c r="KS10" s="285">
        <f t="shared" si="7"/>
        <v>0</v>
      </c>
      <c r="KT10" s="285">
        <f t="shared" si="7"/>
        <v>13.779999999999998</v>
      </c>
      <c r="KU10" s="285">
        <f t="shared" si="7"/>
        <v>3.3079999999999981</v>
      </c>
      <c r="KV10" s="285">
        <f t="shared" si="7"/>
        <v>0.54720000000000124</v>
      </c>
      <c r="KW10" s="285">
        <f t="shared" si="7"/>
        <v>0</v>
      </c>
      <c r="KX10" s="2021"/>
      <c r="KY10" s="2021"/>
      <c r="KZ10" s="2021"/>
      <c r="LA10" s="2021"/>
      <c r="LB10" s="1017"/>
      <c r="LC10" s="1017"/>
      <c r="LD10" s="1017"/>
      <c r="LE10" s="2019" t="s">
        <v>101</v>
      </c>
      <c r="LF10" s="2019"/>
      <c r="LG10" s="2019"/>
      <c r="LH10" s="2019"/>
      <c r="LI10" s="285">
        <f>KF46</f>
        <v>20.899999999999942</v>
      </c>
      <c r="LJ10" s="285">
        <f t="shared" ref="LJ10:LZ10" si="8">KG46</f>
        <v>1.7200000000000002</v>
      </c>
      <c r="LK10" s="285">
        <f t="shared" si="8"/>
        <v>0</v>
      </c>
      <c r="LL10" s="285">
        <f t="shared" si="8"/>
        <v>0</v>
      </c>
      <c r="LM10" s="285">
        <f t="shared" si="8"/>
        <v>0</v>
      </c>
      <c r="LN10" s="285">
        <f t="shared" si="8"/>
        <v>0</v>
      </c>
      <c r="LO10" s="285">
        <f t="shared" si="8"/>
        <v>0</v>
      </c>
      <c r="LP10" s="285">
        <f t="shared" si="8"/>
        <v>0.2200000000000002</v>
      </c>
      <c r="LQ10" s="285">
        <f t="shared" si="8"/>
        <v>-0.76000000000000023</v>
      </c>
      <c r="LR10" s="285">
        <f t="shared" si="8"/>
        <v>0.22350000000000017</v>
      </c>
      <c r="LS10" s="285">
        <f t="shared" si="8"/>
        <v>4.4999999999995044E-3</v>
      </c>
      <c r="LT10" s="285">
        <f t="shared" si="8"/>
        <v>0.32350000000000023</v>
      </c>
      <c r="LU10" s="285">
        <f t="shared" si="8"/>
        <v>0</v>
      </c>
      <c r="LV10" s="285">
        <f t="shared" si="8"/>
        <v>0</v>
      </c>
      <c r="LW10" s="285">
        <f t="shared" si="8"/>
        <v>14.044999999999998</v>
      </c>
      <c r="LX10" s="285">
        <f t="shared" si="8"/>
        <v>2.2139999999999977</v>
      </c>
      <c r="LY10" s="285">
        <f t="shared" si="8"/>
        <v>0.39080000000000126</v>
      </c>
      <c r="LZ10" s="285">
        <f t="shared" si="8"/>
        <v>0</v>
      </c>
      <c r="MA10" s="2021"/>
      <c r="MB10" s="2021"/>
      <c r="MC10" s="2021"/>
      <c r="MD10" s="2021"/>
      <c r="ME10" s="1017"/>
      <c r="MF10" s="1017"/>
      <c r="MG10" s="1017"/>
      <c r="MH10" s="2019" t="s">
        <v>101</v>
      </c>
      <c r="MI10" s="2019"/>
      <c r="MJ10" s="2019"/>
      <c r="MK10" s="2019"/>
      <c r="ML10" s="285">
        <f>LI46</f>
        <v>20.899999999999942</v>
      </c>
      <c r="MM10" s="285">
        <f t="shared" ref="MM10:NC10" si="9">LJ46</f>
        <v>1.7200000000000002</v>
      </c>
      <c r="MN10" s="285">
        <f t="shared" si="9"/>
        <v>0</v>
      </c>
      <c r="MO10" s="285">
        <f t="shared" si="9"/>
        <v>0</v>
      </c>
      <c r="MP10" s="285">
        <f t="shared" si="9"/>
        <v>0</v>
      </c>
      <c r="MQ10" s="285">
        <f t="shared" si="9"/>
        <v>0</v>
      </c>
      <c r="MR10" s="285">
        <f t="shared" si="9"/>
        <v>0</v>
      </c>
      <c r="MS10" s="285">
        <f t="shared" si="9"/>
        <v>0.2200000000000002</v>
      </c>
      <c r="MT10" s="285">
        <f t="shared" si="9"/>
        <v>-0.76000000000000023</v>
      </c>
      <c r="MU10" s="285">
        <f t="shared" si="9"/>
        <v>0.22350000000000017</v>
      </c>
      <c r="MV10" s="285">
        <f t="shared" si="9"/>
        <v>4.4999999999995044E-3</v>
      </c>
      <c r="MW10" s="285">
        <f t="shared" si="9"/>
        <v>0.32350000000000023</v>
      </c>
      <c r="MX10" s="285">
        <f t="shared" si="9"/>
        <v>0</v>
      </c>
      <c r="MY10" s="285">
        <f t="shared" si="9"/>
        <v>0</v>
      </c>
      <c r="MZ10" s="285">
        <f t="shared" si="9"/>
        <v>14.044999999999998</v>
      </c>
      <c r="NA10" s="285">
        <f t="shared" si="9"/>
        <v>2.2139999999999977</v>
      </c>
      <c r="NB10" s="285">
        <f t="shared" si="9"/>
        <v>0.39080000000000126</v>
      </c>
      <c r="NC10" s="285">
        <f t="shared" si="9"/>
        <v>0</v>
      </c>
      <c r="ND10" s="2021"/>
      <c r="NE10" s="2021"/>
      <c r="NF10" s="2021"/>
      <c r="NG10" s="2021"/>
      <c r="NH10" s="1017"/>
      <c r="NI10" s="1017"/>
      <c r="NJ10" s="1017"/>
      <c r="NK10" s="2019" t="s">
        <v>101</v>
      </c>
      <c r="NL10" s="2019"/>
      <c r="NM10" s="2019"/>
      <c r="NN10" s="2019"/>
      <c r="NO10" s="285">
        <f>ML46</f>
        <v>20.899999999999942</v>
      </c>
      <c r="NP10" s="285">
        <f t="shared" ref="NP10:OF10" si="10">MM46</f>
        <v>1.7200000000000002</v>
      </c>
      <c r="NQ10" s="285">
        <f t="shared" si="10"/>
        <v>0</v>
      </c>
      <c r="NR10" s="285">
        <f t="shared" si="10"/>
        <v>0</v>
      </c>
      <c r="NS10" s="285">
        <f t="shared" si="10"/>
        <v>0</v>
      </c>
      <c r="NT10" s="285">
        <f t="shared" si="10"/>
        <v>0</v>
      </c>
      <c r="NU10" s="285">
        <f t="shared" si="10"/>
        <v>0</v>
      </c>
      <c r="NV10" s="285">
        <f t="shared" si="10"/>
        <v>0.2200000000000002</v>
      </c>
      <c r="NW10" s="285">
        <f t="shared" si="10"/>
        <v>-0.76000000000000023</v>
      </c>
      <c r="NX10" s="285">
        <f t="shared" si="10"/>
        <v>0.22350000000000017</v>
      </c>
      <c r="NY10" s="285">
        <f t="shared" si="10"/>
        <v>4.4999999999995044E-3</v>
      </c>
      <c r="NZ10" s="285">
        <f t="shared" si="10"/>
        <v>0.32350000000000023</v>
      </c>
      <c r="OA10" s="285">
        <f t="shared" si="10"/>
        <v>0</v>
      </c>
      <c r="OB10" s="285">
        <f t="shared" si="10"/>
        <v>0</v>
      </c>
      <c r="OC10" s="285">
        <f t="shared" si="10"/>
        <v>14.044999999999998</v>
      </c>
      <c r="OD10" s="285">
        <f t="shared" si="10"/>
        <v>2.2139999999999977</v>
      </c>
      <c r="OE10" s="285">
        <f t="shared" si="10"/>
        <v>0.39080000000000126</v>
      </c>
      <c r="OF10" s="285">
        <f t="shared" si="10"/>
        <v>0</v>
      </c>
      <c r="OG10" s="2021"/>
      <c r="OH10" s="2021"/>
      <c r="OI10" s="2021"/>
      <c r="OJ10" s="2021"/>
    </row>
    <row r="11" spans="1:461" ht="29.25" customHeight="1" x14ac:dyDescent="0.45">
      <c r="B11" s="1014"/>
      <c r="C11" s="1015"/>
      <c r="D11" s="1015"/>
      <c r="E11" s="1015"/>
      <c r="F11" s="1015"/>
      <c r="G11" s="1015"/>
      <c r="H11" s="1015"/>
      <c r="I11" s="2037" t="str">
        <f>C5</f>
        <v>जि.प.प्रा.शा.बोरजाई वस्ती</v>
      </c>
      <c r="J11" s="2037"/>
      <c r="K11" s="2037"/>
      <c r="L11" s="2037"/>
      <c r="M11" s="2037"/>
      <c r="N11" s="2037"/>
      <c r="O11" s="1012"/>
      <c r="BA11" s="1017"/>
      <c r="BB11" s="1017"/>
      <c r="BC11" s="1017"/>
      <c r="BD11" s="2019" t="s">
        <v>102</v>
      </c>
      <c r="BE11" s="2019"/>
      <c r="BF11" s="2019"/>
      <c r="BG11" s="2019"/>
      <c r="BH11" s="285">
        <f>'साठा नोंदवही'!BA31</f>
        <v>50</v>
      </c>
      <c r="BI11" s="285">
        <f>'साठा नोंदवही'!BB31</f>
        <v>5</v>
      </c>
      <c r="BJ11" s="285">
        <f>'साठा नोंदवही'!BC31</f>
        <v>0</v>
      </c>
      <c r="BK11" s="285">
        <f>'साठा नोंदवही'!BD31</f>
        <v>0</v>
      </c>
      <c r="BL11" s="285">
        <f>'साठा नोंदवही'!BE31</f>
        <v>0</v>
      </c>
      <c r="BM11" s="285">
        <f>'साठा नोंदवही'!BF31</f>
        <v>0</v>
      </c>
      <c r="BN11" s="285">
        <f>'साठा नोंदवही'!BG31</f>
        <v>0</v>
      </c>
      <c r="BO11" s="285">
        <f>'साठा नोंदवही'!BH31</f>
        <v>10</v>
      </c>
      <c r="BP11" s="285">
        <f>'साठा नोंदवही'!BI31</f>
        <v>5</v>
      </c>
      <c r="BQ11" s="285">
        <f>'साठा नोंदवही'!BJ31</f>
        <v>0.3</v>
      </c>
      <c r="BR11" s="285">
        <f>'साठा नोंदवही'!BK31</f>
        <v>0.5</v>
      </c>
      <c r="BS11" s="285">
        <f>'साठा नोंदवही'!BL31</f>
        <v>0.4</v>
      </c>
      <c r="BT11" s="285">
        <f>'साठा नोंदवही'!BM31</f>
        <v>0</v>
      </c>
      <c r="BU11" s="285">
        <f>'साठा नोंदवही'!BN31</f>
        <v>0</v>
      </c>
      <c r="BV11" s="285">
        <f>'साठा नोंदवही'!BO31</f>
        <v>4</v>
      </c>
      <c r="BW11" s="285">
        <f>'साठा नोंदवही'!BP31</f>
        <v>2</v>
      </c>
      <c r="BX11" s="285">
        <f>'साठा नोंदवही'!BQ31</f>
        <v>1</v>
      </c>
      <c r="BY11" s="285">
        <f>'साठा नोंदवही'!BR31</f>
        <v>0</v>
      </c>
      <c r="BZ11" s="2021"/>
      <c r="CA11" s="2021"/>
      <c r="CB11" s="2021"/>
      <c r="CC11" s="2021"/>
      <c r="CD11" s="1017"/>
      <c r="CE11" s="1017"/>
      <c r="CF11" s="1017"/>
      <c r="CG11" s="2019" t="s">
        <v>102</v>
      </c>
      <c r="CH11" s="2019"/>
      <c r="CI11" s="2019"/>
      <c r="CJ11" s="2019"/>
      <c r="CK11" s="285">
        <f>'साठा नोंदवही'!BA34</f>
        <v>100</v>
      </c>
      <c r="CL11" s="285">
        <f>'साठा नोंदवही'!BB34</f>
        <v>5</v>
      </c>
      <c r="CM11" s="285">
        <f>'साठा नोंदवही'!BC34</f>
        <v>0</v>
      </c>
      <c r="CN11" s="285">
        <f>'साठा नोंदवही'!BD34</f>
        <v>0</v>
      </c>
      <c r="CO11" s="285">
        <f>'साठा नोंदवही'!BE34</f>
        <v>0</v>
      </c>
      <c r="CP11" s="285">
        <f>'साठा नोंदवही'!BF34</f>
        <v>0</v>
      </c>
      <c r="CQ11" s="285">
        <f>'साठा नोंदवही'!BG34</f>
        <v>0</v>
      </c>
      <c r="CR11" s="285">
        <f>'साठा नोंदवही'!BH34</f>
        <v>5</v>
      </c>
      <c r="CS11" s="285">
        <f>'साठा नोंदवही'!BI34</f>
        <v>5</v>
      </c>
      <c r="CT11" s="285">
        <f>'साठा नोंदवही'!BJ34</f>
        <v>0.3</v>
      </c>
      <c r="CU11" s="285">
        <f>'साठा नोंदवही'!BK34</f>
        <v>0.5</v>
      </c>
      <c r="CV11" s="285">
        <f>'साठा नोंदवही'!BL34</f>
        <v>0.4</v>
      </c>
      <c r="CW11" s="285">
        <f>'साठा नोंदवही'!BM34</f>
        <v>0</v>
      </c>
      <c r="CX11" s="285">
        <f>'साठा नोंदवही'!BN34</f>
        <v>0</v>
      </c>
      <c r="CY11" s="285">
        <f>'साठा नोंदवही'!BO34</f>
        <v>4</v>
      </c>
      <c r="CZ11" s="285">
        <f>'साठा नोंदवही'!BP34</f>
        <v>2</v>
      </c>
      <c r="DA11" s="285">
        <f>'साठा नोंदवही'!BQ34</f>
        <v>1</v>
      </c>
      <c r="DB11" s="285">
        <f>'साठा नोंदवही'!BR34</f>
        <v>0</v>
      </c>
      <c r="DC11" s="2021"/>
      <c r="DD11" s="2021"/>
      <c r="DE11" s="2021"/>
      <c r="DF11" s="2021"/>
      <c r="DG11" s="1017"/>
      <c r="DH11" s="1017"/>
      <c r="DI11" s="1017"/>
      <c r="DJ11" s="2019" t="s">
        <v>102</v>
      </c>
      <c r="DK11" s="2019"/>
      <c r="DL11" s="2019"/>
      <c r="DM11" s="2019"/>
      <c r="DN11" s="285">
        <f>'साठा नोंदवही'!BA37</f>
        <v>0</v>
      </c>
      <c r="DO11" s="285">
        <f>'साठा नोंदवही'!BB37</f>
        <v>0</v>
      </c>
      <c r="DP11" s="285">
        <f>'साठा नोंदवही'!BC37</f>
        <v>0</v>
      </c>
      <c r="DQ11" s="285">
        <f>'साठा नोंदवही'!BD37</f>
        <v>0</v>
      </c>
      <c r="DR11" s="285">
        <f>'साठा नोंदवही'!BE37</f>
        <v>0</v>
      </c>
      <c r="DS11" s="285">
        <f>'साठा नोंदवही'!BF37</f>
        <v>0</v>
      </c>
      <c r="DT11" s="285">
        <f>'साठा नोंदवही'!BG37</f>
        <v>0</v>
      </c>
      <c r="DU11" s="285">
        <f>'साठा नोंदवही'!BH37</f>
        <v>0</v>
      </c>
      <c r="DV11" s="285">
        <f>'साठा नोंदवही'!BI37</f>
        <v>0</v>
      </c>
      <c r="DW11" s="285">
        <f>'साठा नोंदवही'!BJ37</f>
        <v>0</v>
      </c>
      <c r="DX11" s="285">
        <f>'साठा नोंदवही'!BK37</f>
        <v>0</v>
      </c>
      <c r="DY11" s="285">
        <f>'साठा नोंदवही'!BL37</f>
        <v>0</v>
      </c>
      <c r="DZ11" s="285">
        <f>'साठा नोंदवही'!BM37</f>
        <v>0</v>
      </c>
      <c r="EA11" s="285">
        <f>'साठा नोंदवही'!BN37</f>
        <v>0</v>
      </c>
      <c r="EB11" s="285">
        <f>'साठा नोंदवही'!BO37</f>
        <v>0</v>
      </c>
      <c r="EC11" s="285">
        <f>'साठा नोंदवही'!BP37</f>
        <v>0</v>
      </c>
      <c r="ED11" s="285">
        <f>'साठा नोंदवही'!BQ37</f>
        <v>0</v>
      </c>
      <c r="EE11" s="285">
        <f>'साठा नोंदवही'!BR37</f>
        <v>0</v>
      </c>
      <c r="EF11" s="2021"/>
      <c r="EG11" s="2021"/>
      <c r="EH11" s="2021"/>
      <c r="EI11" s="2021"/>
      <c r="EJ11" s="1017"/>
      <c r="EK11" s="1017"/>
      <c r="EL11" s="1017"/>
      <c r="EM11" s="2019" t="s">
        <v>102</v>
      </c>
      <c r="EN11" s="2019"/>
      <c r="EO11" s="2019"/>
      <c r="EP11" s="2019"/>
      <c r="EQ11" s="285">
        <f>'साठा नोंदवही'!BA40</f>
        <v>0</v>
      </c>
      <c r="ER11" s="285">
        <f>'साठा नोंदवही'!BB40</f>
        <v>0</v>
      </c>
      <c r="ES11" s="285">
        <f>'साठा नोंदवही'!BC40</f>
        <v>0</v>
      </c>
      <c r="ET11" s="285">
        <f>'साठा नोंदवही'!BD40</f>
        <v>0</v>
      </c>
      <c r="EU11" s="285">
        <f>'साठा नोंदवही'!BE40</f>
        <v>0</v>
      </c>
      <c r="EV11" s="285">
        <f>'साठा नोंदवही'!BF40</f>
        <v>0</v>
      </c>
      <c r="EW11" s="285">
        <f>'साठा नोंदवही'!BG40</f>
        <v>0</v>
      </c>
      <c r="EX11" s="285">
        <f>'साठा नोंदवही'!BH40</f>
        <v>0</v>
      </c>
      <c r="EY11" s="285">
        <f>'साठा नोंदवही'!BI40</f>
        <v>0</v>
      </c>
      <c r="EZ11" s="285">
        <f>'साठा नोंदवही'!BJ40</f>
        <v>0</v>
      </c>
      <c r="FA11" s="285">
        <f>'साठा नोंदवही'!BK40</f>
        <v>0</v>
      </c>
      <c r="FB11" s="285">
        <f>'साठा नोंदवही'!BL40</f>
        <v>0</v>
      </c>
      <c r="FC11" s="285">
        <f>'साठा नोंदवही'!BM40</f>
        <v>0</v>
      </c>
      <c r="FD11" s="285">
        <f>'साठा नोंदवही'!BN40</f>
        <v>0</v>
      </c>
      <c r="FE11" s="285">
        <f>'साठा नोंदवही'!BO40</f>
        <v>4</v>
      </c>
      <c r="FF11" s="285">
        <f>'साठा नोंदवही'!BP40</f>
        <v>0</v>
      </c>
      <c r="FG11" s="285">
        <f>'साठा नोंदवही'!BQ40</f>
        <v>0</v>
      </c>
      <c r="FH11" s="285">
        <f>'साठा नोंदवही'!BR40</f>
        <v>0</v>
      </c>
      <c r="FI11" s="2021"/>
      <c r="FJ11" s="2021"/>
      <c r="FK11" s="2021"/>
      <c r="FL11" s="2021"/>
      <c r="FM11" s="1017"/>
      <c r="FN11" s="1017"/>
      <c r="FO11" s="1017"/>
      <c r="FP11" s="2019" t="s">
        <v>102</v>
      </c>
      <c r="FQ11" s="2019"/>
      <c r="FR11" s="2019"/>
      <c r="FS11" s="2019"/>
      <c r="FT11" s="285">
        <f>'साठा नोंदवही'!BA43</f>
        <v>100</v>
      </c>
      <c r="FU11" s="285">
        <f>'साठा नोंदवही'!BB43</f>
        <v>7</v>
      </c>
      <c r="FV11" s="285">
        <f>'साठा नोंदवही'!BC43</f>
        <v>0</v>
      </c>
      <c r="FW11" s="285">
        <f>'साठा नोंदवही'!BD43</f>
        <v>0</v>
      </c>
      <c r="FX11" s="285">
        <f>'साठा नोंदवही'!BE43</f>
        <v>0</v>
      </c>
      <c r="FY11" s="285">
        <f>'साठा नोंदवही'!BF43</f>
        <v>0</v>
      </c>
      <c r="FZ11" s="285">
        <f>'साठा नोंदवही'!BG43</f>
        <v>0</v>
      </c>
      <c r="GA11" s="285">
        <f>'साठा नोंदवही'!BH43</f>
        <v>7</v>
      </c>
      <c r="GB11" s="285">
        <f>'साठा नोंदवही'!BI43</f>
        <v>7</v>
      </c>
      <c r="GC11" s="285">
        <f>'साठा नोंदवही'!BJ43</f>
        <v>0.3</v>
      </c>
      <c r="GD11" s="285">
        <f>'साठा नोंदवही'!BK43</f>
        <v>0.5</v>
      </c>
      <c r="GE11" s="285">
        <f>'साठा नोंदवही'!BL43</f>
        <v>0.4</v>
      </c>
      <c r="GF11" s="285">
        <f>'साठा नोंदवही'!BM43</f>
        <v>0</v>
      </c>
      <c r="GG11" s="285">
        <f>'साठा नोंदवही'!BN43</f>
        <v>0</v>
      </c>
      <c r="GH11" s="285">
        <f>'साठा नोंदवही'!BO43</f>
        <v>5</v>
      </c>
      <c r="GI11" s="285">
        <f>'साठा नोंदवही'!BP43</f>
        <v>2</v>
      </c>
      <c r="GJ11" s="285">
        <f>'साठा नोंदवही'!BQ43</f>
        <v>1</v>
      </c>
      <c r="GK11" s="285">
        <f>'साठा नोंदवही'!BR43</f>
        <v>0</v>
      </c>
      <c r="GL11" s="2021"/>
      <c r="GM11" s="2021"/>
      <c r="GN11" s="2021"/>
      <c r="GO11" s="2021"/>
      <c r="GP11" s="1017"/>
      <c r="GQ11" s="1017"/>
      <c r="GR11" s="1017"/>
      <c r="GS11" s="2019" t="s">
        <v>102</v>
      </c>
      <c r="GT11" s="2019"/>
      <c r="GU11" s="2019"/>
      <c r="GV11" s="2019"/>
      <c r="GW11" s="285">
        <f>'साठा नोंदवही'!BA46</f>
        <v>0</v>
      </c>
      <c r="GX11" s="285">
        <f>'साठा नोंदवही'!BB46</f>
        <v>0</v>
      </c>
      <c r="GY11" s="285">
        <f>'साठा नोंदवही'!BC46</f>
        <v>0</v>
      </c>
      <c r="GZ11" s="285">
        <f>'साठा नोंदवही'!BD46</f>
        <v>0</v>
      </c>
      <c r="HA11" s="285">
        <f>'साठा नोंदवही'!BE46</f>
        <v>0</v>
      </c>
      <c r="HB11" s="285">
        <f>'साठा नोंदवही'!BF46</f>
        <v>0</v>
      </c>
      <c r="HC11" s="285">
        <f>'साठा नोंदवही'!BG46</f>
        <v>0</v>
      </c>
      <c r="HD11" s="285">
        <f>'साठा नोंदवही'!BH46</f>
        <v>0</v>
      </c>
      <c r="HE11" s="285">
        <f>'साठा नोंदवही'!BI46</f>
        <v>0</v>
      </c>
      <c r="HF11" s="285">
        <f>'साठा नोंदवही'!BJ46</f>
        <v>0</v>
      </c>
      <c r="HG11" s="285">
        <f>'साठा नोंदवही'!BK46</f>
        <v>0</v>
      </c>
      <c r="HH11" s="285">
        <f>'साठा नोंदवही'!BL46</f>
        <v>0</v>
      </c>
      <c r="HI11" s="285">
        <f>'साठा नोंदवही'!BM46</f>
        <v>0</v>
      </c>
      <c r="HJ11" s="285">
        <f>'साठा नोंदवही'!BN46</f>
        <v>0</v>
      </c>
      <c r="HK11" s="285">
        <f>'साठा नोंदवही'!BO46</f>
        <v>1</v>
      </c>
      <c r="HL11" s="285">
        <f>'साठा नोंदवही'!BP46</f>
        <v>0</v>
      </c>
      <c r="HM11" s="285">
        <f>'साठा नोंदवही'!BQ46</f>
        <v>0</v>
      </c>
      <c r="HN11" s="285">
        <f>'साठा नोंदवही'!BR46</f>
        <v>0</v>
      </c>
      <c r="HO11" s="2021"/>
      <c r="HP11" s="2021"/>
      <c r="HQ11" s="2021"/>
      <c r="HR11" s="2021"/>
      <c r="HS11" s="1017"/>
      <c r="HT11" s="1017"/>
      <c r="HU11" s="1017"/>
      <c r="HV11" s="2019" t="s">
        <v>102</v>
      </c>
      <c r="HW11" s="2019"/>
      <c r="HX11" s="2019"/>
      <c r="HY11" s="2019"/>
      <c r="HZ11" s="285">
        <f>'साठा नोंदवही'!BA49</f>
        <v>0</v>
      </c>
      <c r="IA11" s="285">
        <f>'साठा नोंदवही'!BB49</f>
        <v>0</v>
      </c>
      <c r="IB11" s="285">
        <f>'साठा नोंदवही'!BC49</f>
        <v>0</v>
      </c>
      <c r="IC11" s="285">
        <f>'साठा नोंदवही'!BD49</f>
        <v>0</v>
      </c>
      <c r="ID11" s="285">
        <f>'साठा नोंदवही'!BE49</f>
        <v>0</v>
      </c>
      <c r="IE11" s="285">
        <f>'साठा नोंदवही'!BF49</f>
        <v>0</v>
      </c>
      <c r="IF11" s="285">
        <f>'साठा नोंदवही'!BG49</f>
        <v>0</v>
      </c>
      <c r="IG11" s="285">
        <f>'साठा नोंदवही'!BH49</f>
        <v>0</v>
      </c>
      <c r="IH11" s="285">
        <f>'साठा नोंदवही'!BI49</f>
        <v>0</v>
      </c>
      <c r="II11" s="285">
        <f>'साठा नोंदवही'!BJ49</f>
        <v>0</v>
      </c>
      <c r="IJ11" s="285">
        <f>'साठा नोंदवही'!BK49</f>
        <v>0</v>
      </c>
      <c r="IK11" s="285">
        <f>'साठा नोंदवही'!BL49</f>
        <v>0</v>
      </c>
      <c r="IL11" s="285">
        <f>'साठा नोंदवही'!BM49</f>
        <v>0</v>
      </c>
      <c r="IM11" s="285">
        <f>'साठा नोंदवही'!BN49</f>
        <v>0</v>
      </c>
      <c r="IN11" s="285">
        <f>'साठा नोंदवही'!BO49</f>
        <v>3</v>
      </c>
      <c r="IO11" s="285">
        <f>'साठा नोंदवही'!BP49</f>
        <v>0</v>
      </c>
      <c r="IP11" s="285">
        <f>'साठा नोंदवही'!BQ49</f>
        <v>0</v>
      </c>
      <c r="IQ11" s="285">
        <f>'साठा नोंदवही'!BR49</f>
        <v>0</v>
      </c>
      <c r="IR11" s="2021"/>
      <c r="IS11" s="2021"/>
      <c r="IT11" s="2021"/>
      <c r="IU11" s="2021"/>
      <c r="IV11" s="1017"/>
      <c r="IW11" s="1017"/>
      <c r="IX11" s="1017"/>
      <c r="IY11" s="2019" t="s">
        <v>102</v>
      </c>
      <c r="IZ11" s="2019"/>
      <c r="JA11" s="2019"/>
      <c r="JB11" s="2019"/>
      <c r="JC11" s="285">
        <f>'साठा नोंदवही'!BA52</f>
        <v>50</v>
      </c>
      <c r="JD11" s="285">
        <f>'साठा नोंदवही'!BB52</f>
        <v>5</v>
      </c>
      <c r="JE11" s="285">
        <f>'साठा नोंदवही'!BC52</f>
        <v>0</v>
      </c>
      <c r="JF11" s="285">
        <f>'साठा नोंदवही'!BD52</f>
        <v>0</v>
      </c>
      <c r="JG11" s="285">
        <f>'साठा नोंदवही'!BE52</f>
        <v>0</v>
      </c>
      <c r="JH11" s="285">
        <f>'साठा नोंदवही'!BF52</f>
        <v>0</v>
      </c>
      <c r="JI11" s="285">
        <f>'साठा नोंदवही'!BG52</f>
        <v>0</v>
      </c>
      <c r="JJ11" s="285">
        <f>'साठा नोंदवही'!BH52</f>
        <v>5</v>
      </c>
      <c r="JK11" s="285">
        <f>'साठा नोंदवही'!BI52</f>
        <v>5</v>
      </c>
      <c r="JL11" s="285">
        <f>'साठा नोंदवही'!BJ52</f>
        <v>0.4</v>
      </c>
      <c r="JM11" s="285">
        <f>'साठा नोंदवही'!BK52</f>
        <v>0.3</v>
      </c>
      <c r="JN11" s="285">
        <f>'साठा नोंदवही'!BL52</f>
        <v>0.3</v>
      </c>
      <c r="JO11" s="285">
        <f>'साठा नोंदवही'!BM52</f>
        <v>0</v>
      </c>
      <c r="JP11" s="285">
        <f>'साठा नोंदवही'!BN52</f>
        <v>0</v>
      </c>
      <c r="JQ11" s="285">
        <f>'साठा नोंदवही'!BO52</f>
        <v>5</v>
      </c>
      <c r="JR11" s="285">
        <f>'साठा नोंदवही'!BP52</f>
        <v>2</v>
      </c>
      <c r="JS11" s="285">
        <f>'साठा नोंदवही'!BQ52</f>
        <v>1</v>
      </c>
      <c r="JT11" s="285">
        <f>'साठा नोंदवही'!BR52</f>
        <v>0</v>
      </c>
      <c r="JU11" s="2021"/>
      <c r="JV11" s="2021"/>
      <c r="JW11" s="2021"/>
      <c r="JX11" s="2021"/>
      <c r="JY11" s="1017"/>
      <c r="JZ11" s="1017"/>
      <c r="KA11" s="1017"/>
      <c r="KB11" s="2019" t="s">
        <v>102</v>
      </c>
      <c r="KC11" s="2019"/>
      <c r="KD11" s="2019"/>
      <c r="KE11" s="2019"/>
      <c r="KF11" s="285">
        <f>'साठा नोंदवही'!BA55</f>
        <v>30</v>
      </c>
      <c r="KG11" s="285">
        <f>'साठा नोंदवही'!BB55</f>
        <v>2</v>
      </c>
      <c r="KH11" s="285">
        <f>'साठा नोंदवही'!BC55</f>
        <v>0</v>
      </c>
      <c r="KI11" s="285">
        <f>'साठा नोंदवही'!BD55</f>
        <v>0</v>
      </c>
      <c r="KJ11" s="285">
        <f>'साठा नोंदवही'!BE55</f>
        <v>0</v>
      </c>
      <c r="KK11" s="285">
        <f>'साठा नोंदवही'!BF55</f>
        <v>0</v>
      </c>
      <c r="KL11" s="285">
        <f>'साठा नोंदवही'!BG55</f>
        <v>0</v>
      </c>
      <c r="KM11" s="285">
        <f>'साठा नोंदवही'!BH55</f>
        <v>0</v>
      </c>
      <c r="KN11" s="285">
        <f>'साठा नोंदवही'!BI55</f>
        <v>0</v>
      </c>
      <c r="KO11" s="285">
        <f>'साठा नोंदवही'!BJ55</f>
        <v>0</v>
      </c>
      <c r="KP11" s="285">
        <f>'साठा नोंदवही'!BK55</f>
        <v>0</v>
      </c>
      <c r="KQ11" s="285">
        <f>'साठा नोंदवही'!BL55</f>
        <v>0</v>
      </c>
      <c r="KR11" s="285">
        <f>'साठा नोंदवही'!BM55</f>
        <v>0</v>
      </c>
      <c r="KS11" s="285">
        <f>'साठा नोंदवही'!BN55</f>
        <v>0</v>
      </c>
      <c r="KT11" s="285">
        <f>'साठा नोंदवही'!BO55</f>
        <v>3</v>
      </c>
      <c r="KU11" s="285">
        <f>'साठा नोंदवही'!BP55</f>
        <v>0</v>
      </c>
      <c r="KV11" s="285">
        <f>'साठा नोंदवही'!BQ55</f>
        <v>0.5</v>
      </c>
      <c r="KW11" s="285">
        <f>'साठा नोंदवही'!BR55</f>
        <v>0</v>
      </c>
      <c r="KX11" s="2021"/>
      <c r="KY11" s="2021"/>
      <c r="KZ11" s="2021"/>
      <c r="LA11" s="2021"/>
      <c r="LB11" s="1017"/>
      <c r="LC11" s="1017"/>
      <c r="LD11" s="1017"/>
      <c r="LE11" s="2019" t="s">
        <v>102</v>
      </c>
      <c r="LF11" s="2019"/>
      <c r="LG11" s="2019"/>
      <c r="LH11" s="2019"/>
      <c r="LI11" s="285">
        <f>'साठा नोंदवही'!BA58</f>
        <v>0</v>
      </c>
      <c r="LJ11" s="285">
        <f>'साठा नोंदवही'!BB58</f>
        <v>0</v>
      </c>
      <c r="LK11" s="285">
        <f>'साठा नोंदवही'!BC58</f>
        <v>0</v>
      </c>
      <c r="LL11" s="285">
        <f>'साठा नोंदवही'!BD58</f>
        <v>0</v>
      </c>
      <c r="LM11" s="285">
        <f>'साठा नोंदवही'!BE58</f>
        <v>0</v>
      </c>
      <c r="LN11" s="285">
        <f>'साठा नोंदवही'!BF58</f>
        <v>0</v>
      </c>
      <c r="LO11" s="285">
        <f>'साठा नोंदवही'!BG58</f>
        <v>0</v>
      </c>
      <c r="LP11" s="285">
        <f>'साठा नोंदवही'!BH58</f>
        <v>0</v>
      </c>
      <c r="LQ11" s="285">
        <f>'साठा नोंदवही'!BI58</f>
        <v>0</v>
      </c>
      <c r="LR11" s="285">
        <f>'साठा नोंदवही'!BJ58</f>
        <v>0</v>
      </c>
      <c r="LS11" s="285">
        <f>'साठा नोंदवही'!BK58</f>
        <v>0</v>
      </c>
      <c r="LT11" s="285">
        <f>'साठा नोंदवही'!BL58</f>
        <v>0</v>
      </c>
      <c r="LU11" s="285">
        <f>'साठा नोंदवही'!BM58</f>
        <v>0</v>
      </c>
      <c r="LV11" s="285">
        <f>'साठा नोंदवही'!BN58</f>
        <v>0</v>
      </c>
      <c r="LW11" s="285">
        <f>'साठा नोंदवही'!BO58</f>
        <v>0</v>
      </c>
      <c r="LX11" s="285">
        <f>'साठा नोंदवही'!BP58</f>
        <v>0</v>
      </c>
      <c r="LY11" s="285">
        <f>'साठा नोंदवही'!BQ58</f>
        <v>0</v>
      </c>
      <c r="LZ11" s="285">
        <f>'साठा नोंदवही'!BR58</f>
        <v>0</v>
      </c>
      <c r="MA11" s="2021"/>
      <c r="MB11" s="2021"/>
      <c r="MC11" s="2021"/>
      <c r="MD11" s="2021"/>
      <c r="ME11" s="1017"/>
      <c r="MF11" s="1017"/>
      <c r="MG11" s="1017"/>
      <c r="MH11" s="2019" t="s">
        <v>102</v>
      </c>
      <c r="MI11" s="2019"/>
      <c r="MJ11" s="2019"/>
      <c r="MK11" s="2019"/>
      <c r="ML11" s="285">
        <f>'साठा नोंदवही'!BA61</f>
        <v>0</v>
      </c>
      <c r="MM11" s="285">
        <f>'साठा नोंदवही'!BB61</f>
        <v>0</v>
      </c>
      <c r="MN11" s="285">
        <f>'साठा नोंदवही'!BC61</f>
        <v>0</v>
      </c>
      <c r="MO11" s="285">
        <f>'साठा नोंदवही'!BD61</f>
        <v>0</v>
      </c>
      <c r="MP11" s="285">
        <f>'साठा नोंदवही'!BE61</f>
        <v>0</v>
      </c>
      <c r="MQ11" s="285">
        <f>'साठा नोंदवही'!BF61</f>
        <v>0</v>
      </c>
      <c r="MR11" s="285">
        <f>'साठा नोंदवही'!BG61</f>
        <v>0</v>
      </c>
      <c r="MS11" s="285">
        <f>'साठा नोंदवही'!BH61</f>
        <v>0</v>
      </c>
      <c r="MT11" s="285">
        <f>'साठा नोंदवही'!BI61</f>
        <v>0</v>
      </c>
      <c r="MU11" s="285">
        <f>'साठा नोंदवही'!BJ61</f>
        <v>0</v>
      </c>
      <c r="MV11" s="285">
        <f>'साठा नोंदवही'!BK61</f>
        <v>0</v>
      </c>
      <c r="MW11" s="285">
        <f>'साठा नोंदवही'!BL61</f>
        <v>0</v>
      </c>
      <c r="MX11" s="285">
        <f>'साठा नोंदवही'!BM61</f>
        <v>0</v>
      </c>
      <c r="MY11" s="285">
        <f>'साठा नोंदवही'!BN61</f>
        <v>0</v>
      </c>
      <c r="MZ11" s="285">
        <f>'साठा नोंदवही'!BO61</f>
        <v>0</v>
      </c>
      <c r="NA11" s="285">
        <f>'साठा नोंदवही'!BP61</f>
        <v>0</v>
      </c>
      <c r="NB11" s="285">
        <f>'साठा नोंदवही'!BQ61</f>
        <v>0</v>
      </c>
      <c r="NC11" s="285">
        <f>'साठा नोंदवही'!BR61</f>
        <v>0</v>
      </c>
      <c r="ND11" s="2021"/>
      <c r="NE11" s="2021"/>
      <c r="NF11" s="2021"/>
      <c r="NG11" s="2021"/>
      <c r="NH11" s="1017"/>
      <c r="NI11" s="1017"/>
      <c r="NJ11" s="1017"/>
      <c r="NK11" s="2019" t="s">
        <v>102</v>
      </c>
      <c r="NL11" s="2019"/>
      <c r="NM11" s="2019"/>
      <c r="NN11" s="2019"/>
      <c r="NO11" s="285">
        <f>'साठा नोंदवही'!BA64</f>
        <v>0</v>
      </c>
      <c r="NP11" s="285">
        <f>'साठा नोंदवही'!BB64</f>
        <v>0</v>
      </c>
      <c r="NQ11" s="285">
        <f>'साठा नोंदवही'!BC64</f>
        <v>0</v>
      </c>
      <c r="NR11" s="285">
        <f>'साठा नोंदवही'!BD64</f>
        <v>0</v>
      </c>
      <c r="NS11" s="285">
        <f>'साठा नोंदवही'!BE64</f>
        <v>0</v>
      </c>
      <c r="NT11" s="285">
        <f>'साठा नोंदवही'!BF64</f>
        <v>0</v>
      </c>
      <c r="NU11" s="285">
        <f>'साठा नोंदवही'!BG64</f>
        <v>0</v>
      </c>
      <c r="NV11" s="285">
        <f>'साठा नोंदवही'!BH64</f>
        <v>0</v>
      </c>
      <c r="NW11" s="285">
        <f>'साठा नोंदवही'!BI64</f>
        <v>0</v>
      </c>
      <c r="NX11" s="285">
        <f>'साठा नोंदवही'!BJ64</f>
        <v>0</v>
      </c>
      <c r="NY11" s="285">
        <f>'साठा नोंदवही'!BK64</f>
        <v>0</v>
      </c>
      <c r="NZ11" s="285">
        <f>'साठा नोंदवही'!BL64</f>
        <v>0</v>
      </c>
      <c r="OA11" s="285">
        <f>'साठा नोंदवही'!BM64</f>
        <v>0</v>
      </c>
      <c r="OB11" s="285">
        <f>'साठा नोंदवही'!BN64</f>
        <v>0</v>
      </c>
      <c r="OC11" s="285">
        <f>'साठा नोंदवही'!BO64</f>
        <v>0</v>
      </c>
      <c r="OD11" s="285">
        <f>'साठा नोंदवही'!BP64</f>
        <v>0</v>
      </c>
      <c r="OE11" s="285">
        <f>'साठा नोंदवही'!BQ64</f>
        <v>0</v>
      </c>
      <c r="OF11" s="285">
        <f>'साठा नोंदवही'!BR64</f>
        <v>0</v>
      </c>
      <c r="OG11" s="2021"/>
      <c r="OH11" s="2021"/>
      <c r="OI11" s="2021"/>
      <c r="OJ11" s="2021"/>
    </row>
    <row r="12" spans="1:461" ht="29.25" customHeight="1" x14ac:dyDescent="0.4">
      <c r="B12" s="1014"/>
      <c r="C12" s="1015"/>
      <c r="D12" s="1015"/>
      <c r="E12" s="1015"/>
      <c r="F12" s="1015"/>
      <c r="G12" s="1015"/>
      <c r="H12" s="1015"/>
      <c r="I12" s="1018"/>
      <c r="J12" s="1018"/>
      <c r="K12" s="1018"/>
      <c r="L12" s="1018"/>
      <c r="M12" s="1018"/>
      <c r="N12" s="1018"/>
      <c r="O12" s="1012"/>
      <c r="BA12" s="1017"/>
      <c r="BB12" s="1017"/>
      <c r="BC12" s="1017"/>
      <c r="BD12" s="2019" t="s">
        <v>335</v>
      </c>
      <c r="BE12" s="2019"/>
      <c r="BF12" s="2019"/>
      <c r="BG12" s="2019"/>
      <c r="BH12" s="285">
        <f>'साठा नोंदवही'!E44</f>
        <v>29.6</v>
      </c>
      <c r="BI12" s="285">
        <f>'साठा नोंदवही'!F44</f>
        <v>3.16</v>
      </c>
      <c r="BJ12" s="285">
        <f>'साठा नोंदवही'!G44</f>
        <v>0</v>
      </c>
      <c r="BK12" s="285">
        <f>'साठा नोंदवही'!H44</f>
        <v>0</v>
      </c>
      <c r="BL12" s="285">
        <f>'साठा नोंदवही'!I44</f>
        <v>0</v>
      </c>
      <c r="BM12" s="285">
        <f>'साठा नोंदवही'!J44</f>
        <v>0</v>
      </c>
      <c r="BN12" s="285">
        <f>'साठा नोंदवही'!K44</f>
        <v>0</v>
      </c>
      <c r="BO12" s="285">
        <f>'साठा नोंदवही'!L44</f>
        <v>10.16</v>
      </c>
      <c r="BP12" s="285">
        <f>'साठा नोंदवही'!M44</f>
        <v>3.6</v>
      </c>
      <c r="BQ12" s="285">
        <f>'साठा नोंदवही'!N44</f>
        <v>0.28799999999999998</v>
      </c>
      <c r="BR12" s="285">
        <f>'साठा नोंदवही'!O44</f>
        <v>0.44800000000000001</v>
      </c>
      <c r="BS12" s="285">
        <f>'साठा नोंदवही'!P44</f>
        <v>0.38800000000000001</v>
      </c>
      <c r="BT12" s="285">
        <f>'साठा नोंदवही'!Q44</f>
        <v>0</v>
      </c>
      <c r="BU12" s="285">
        <f>'साठा नोंदवही'!R44</f>
        <v>0</v>
      </c>
      <c r="BV12" s="285">
        <f>'साठा नोंदवही'!S44</f>
        <v>0.48</v>
      </c>
      <c r="BW12" s="285">
        <f>'साठा नोंदवही'!T44</f>
        <v>1.5920000000000001</v>
      </c>
      <c r="BX12" s="285">
        <f>'साठा नोंदवही'!U44</f>
        <v>0.75519999999999998</v>
      </c>
      <c r="BY12" s="285">
        <f>'साठा नोंदवही'!V44</f>
        <v>0</v>
      </c>
      <c r="BZ12" s="2021"/>
      <c r="CA12" s="2021"/>
      <c r="CB12" s="2021"/>
      <c r="CC12" s="2021"/>
      <c r="CD12" s="1017"/>
      <c r="CE12" s="1017"/>
      <c r="CF12" s="1017"/>
      <c r="CG12" s="294"/>
      <c r="CH12" s="294"/>
      <c r="CI12" s="294"/>
      <c r="CJ12" s="294"/>
      <c r="CK12" s="285">
        <f>'साठा नोंदवही'!E45</f>
        <v>0</v>
      </c>
      <c r="CL12" s="285">
        <f>'साठा नोंदवही'!F45</f>
        <v>0</v>
      </c>
      <c r="CM12" s="285">
        <f>'साठा नोंदवही'!G45</f>
        <v>0</v>
      </c>
      <c r="CN12" s="285">
        <f>'साठा नोंदवही'!H45</f>
        <v>0</v>
      </c>
      <c r="CO12" s="285">
        <f>'साठा नोंदवही'!I45</f>
        <v>0</v>
      </c>
      <c r="CP12" s="285">
        <f>'साठा नोंदवही'!J45</f>
        <v>0</v>
      </c>
      <c r="CQ12" s="285">
        <f>'साठा नोंदवही'!K45</f>
        <v>0</v>
      </c>
      <c r="CR12" s="285">
        <f>'साठा नोंदवही'!L45</f>
        <v>0</v>
      </c>
      <c r="CS12" s="285">
        <f>'साठा नोंदवही'!M45</f>
        <v>0</v>
      </c>
      <c r="CT12" s="285">
        <f>'साठा नोंदवही'!N45</f>
        <v>0</v>
      </c>
      <c r="CU12" s="285">
        <f>'साठा नोंदवही'!O45</f>
        <v>0</v>
      </c>
      <c r="CV12" s="285">
        <f>'साठा नोंदवही'!P45</f>
        <v>0</v>
      </c>
      <c r="CW12" s="285">
        <f>'साठा नोंदवही'!Q45</f>
        <v>0</v>
      </c>
      <c r="CX12" s="285">
        <f>'साठा नोंदवही'!R45</f>
        <v>0</v>
      </c>
      <c r="CY12" s="285">
        <f>'साठा नोंदवही'!S45</f>
        <v>0</v>
      </c>
      <c r="CZ12" s="285">
        <f>'साठा नोंदवही'!T45</f>
        <v>0</v>
      </c>
      <c r="DA12" s="285">
        <f>'साठा नोंदवही'!U45</f>
        <v>0</v>
      </c>
      <c r="DB12" s="285">
        <f>'साठा नोंदवही'!V45</f>
        <v>0</v>
      </c>
      <c r="DC12" s="2021"/>
      <c r="DD12" s="2021"/>
      <c r="DE12" s="2021"/>
      <c r="DF12" s="2021"/>
      <c r="DG12" s="1017"/>
      <c r="DH12" s="1017"/>
      <c r="DI12" s="1017"/>
      <c r="DJ12" s="294"/>
      <c r="DK12" s="294"/>
      <c r="DL12" s="294"/>
      <c r="DM12" s="294"/>
      <c r="DN12" s="285">
        <f>'साठा नोंदवही'!E46</f>
        <v>0</v>
      </c>
      <c r="DO12" s="285">
        <f>'साठा नोंदवही'!F46</f>
        <v>0</v>
      </c>
      <c r="DP12" s="285">
        <f>'साठा नोंदवही'!G46</f>
        <v>0</v>
      </c>
      <c r="DQ12" s="285">
        <f>'साठा नोंदवही'!H46</f>
        <v>0</v>
      </c>
      <c r="DR12" s="285">
        <f>'साठा नोंदवही'!I46</f>
        <v>0</v>
      </c>
      <c r="DS12" s="285">
        <f>'साठा नोंदवही'!J46</f>
        <v>0</v>
      </c>
      <c r="DT12" s="285">
        <f>'साठा नोंदवही'!K46</f>
        <v>0</v>
      </c>
      <c r="DU12" s="285">
        <f>'साठा नोंदवही'!L46</f>
        <v>0</v>
      </c>
      <c r="DV12" s="285">
        <f>'साठा नोंदवही'!M46</f>
        <v>0</v>
      </c>
      <c r="DW12" s="285">
        <f>'साठा नोंदवही'!N46</f>
        <v>0</v>
      </c>
      <c r="DX12" s="285">
        <f>'साठा नोंदवही'!O46</f>
        <v>0</v>
      </c>
      <c r="DY12" s="285">
        <f>'साठा नोंदवही'!P46</f>
        <v>0</v>
      </c>
      <c r="DZ12" s="285">
        <f>'साठा नोंदवही'!Q46</f>
        <v>0</v>
      </c>
      <c r="EA12" s="285">
        <f>'साठा नोंदवही'!R46</f>
        <v>0</v>
      </c>
      <c r="EB12" s="285">
        <f>'साठा नोंदवही'!S46</f>
        <v>0</v>
      </c>
      <c r="EC12" s="285">
        <f>'साठा नोंदवही'!T46</f>
        <v>0</v>
      </c>
      <c r="ED12" s="285">
        <f>'साठा नोंदवही'!U46</f>
        <v>0</v>
      </c>
      <c r="EE12" s="285">
        <f>'साठा नोंदवही'!V46</f>
        <v>0</v>
      </c>
      <c r="EF12" s="2021"/>
      <c r="EG12" s="2021"/>
      <c r="EH12" s="2021"/>
      <c r="EI12" s="2021"/>
      <c r="EJ12" s="1017"/>
      <c r="EK12" s="1017"/>
      <c r="EL12" s="1017"/>
      <c r="EM12" s="294"/>
      <c r="EN12" s="294"/>
      <c r="EO12" s="294"/>
      <c r="EP12" s="294"/>
      <c r="EQ12" s="285">
        <f>'साठा नोंदवही'!E47</f>
        <v>0</v>
      </c>
      <c r="ER12" s="285">
        <f>'साठा नोंदवही'!F47</f>
        <v>0</v>
      </c>
      <c r="ES12" s="285">
        <f>'साठा नोंदवही'!G47</f>
        <v>0</v>
      </c>
      <c r="ET12" s="285">
        <f>'साठा नोंदवही'!H47</f>
        <v>0</v>
      </c>
      <c r="EU12" s="285">
        <f>'साठा नोंदवही'!I47</f>
        <v>0</v>
      </c>
      <c r="EV12" s="285">
        <f>'साठा नोंदवही'!J47</f>
        <v>0</v>
      </c>
      <c r="EW12" s="285">
        <f>'साठा नोंदवही'!K47</f>
        <v>0</v>
      </c>
      <c r="EX12" s="285">
        <f>'साठा नोंदवही'!L47</f>
        <v>0</v>
      </c>
      <c r="EY12" s="285">
        <f>'साठा नोंदवही'!M47</f>
        <v>0</v>
      </c>
      <c r="EZ12" s="285">
        <f>'साठा नोंदवही'!N47</f>
        <v>0</v>
      </c>
      <c r="FA12" s="285">
        <f>'साठा नोंदवही'!O47</f>
        <v>0</v>
      </c>
      <c r="FB12" s="285">
        <f>'साठा नोंदवही'!P47</f>
        <v>0</v>
      </c>
      <c r="FC12" s="285">
        <f>'साठा नोंदवही'!Q47</f>
        <v>0</v>
      </c>
      <c r="FD12" s="285">
        <f>'साठा नोंदवही'!R47</f>
        <v>0</v>
      </c>
      <c r="FE12" s="285">
        <f>'साठा नोंदवही'!S47</f>
        <v>0</v>
      </c>
      <c r="FF12" s="285">
        <f>'साठा नोंदवही'!T47</f>
        <v>0</v>
      </c>
      <c r="FG12" s="285">
        <f>'साठा नोंदवही'!U47</f>
        <v>0</v>
      </c>
      <c r="FH12" s="285">
        <f>'साठा नोंदवही'!V47</f>
        <v>0</v>
      </c>
      <c r="FI12" s="2021"/>
      <c r="FJ12" s="2021"/>
      <c r="FK12" s="2021"/>
      <c r="FL12" s="2021"/>
      <c r="FM12" s="1017"/>
      <c r="FN12" s="1017"/>
      <c r="FO12" s="1017"/>
      <c r="FP12" s="294"/>
      <c r="FQ12" s="294"/>
      <c r="FR12" s="294"/>
      <c r="FS12" s="294"/>
      <c r="FT12" s="285">
        <f>'साठा नोंदवही'!E48</f>
        <v>0</v>
      </c>
      <c r="FU12" s="285">
        <f>'साठा नोंदवही'!F48</f>
        <v>0</v>
      </c>
      <c r="FV12" s="285">
        <f>'साठा नोंदवही'!G48</f>
        <v>0</v>
      </c>
      <c r="FW12" s="285">
        <f>'साठा नोंदवही'!H48</f>
        <v>0</v>
      </c>
      <c r="FX12" s="285">
        <f>'साठा नोंदवही'!I48</f>
        <v>0</v>
      </c>
      <c r="FY12" s="285">
        <f>'साठा नोंदवही'!J48</f>
        <v>0</v>
      </c>
      <c r="FZ12" s="285">
        <f>'साठा नोंदवही'!K48</f>
        <v>0</v>
      </c>
      <c r="GA12" s="285">
        <f>'साठा नोंदवही'!L48</f>
        <v>0</v>
      </c>
      <c r="GB12" s="285">
        <f>'साठा नोंदवही'!M48</f>
        <v>0</v>
      </c>
      <c r="GC12" s="285">
        <f>'साठा नोंदवही'!N48</f>
        <v>0</v>
      </c>
      <c r="GD12" s="285">
        <f>'साठा नोंदवही'!O48</f>
        <v>0</v>
      </c>
      <c r="GE12" s="285">
        <f>'साठा नोंदवही'!P48</f>
        <v>0</v>
      </c>
      <c r="GF12" s="285">
        <f>'साठा नोंदवही'!Q48</f>
        <v>0</v>
      </c>
      <c r="GG12" s="285">
        <f>'साठा नोंदवही'!R48</f>
        <v>0</v>
      </c>
      <c r="GH12" s="285">
        <f>'साठा नोंदवही'!S48</f>
        <v>0</v>
      </c>
      <c r="GI12" s="285">
        <f>'साठा नोंदवही'!T48</f>
        <v>0</v>
      </c>
      <c r="GJ12" s="285">
        <f>'साठा नोंदवही'!U48</f>
        <v>0</v>
      </c>
      <c r="GK12" s="285">
        <f>'साठा नोंदवही'!V48</f>
        <v>0</v>
      </c>
      <c r="GL12" s="2021"/>
      <c r="GM12" s="2021"/>
      <c r="GN12" s="2021"/>
      <c r="GO12" s="2021"/>
      <c r="GP12" s="1017"/>
      <c r="GQ12" s="1017"/>
      <c r="GR12" s="1017"/>
      <c r="GS12" s="294"/>
      <c r="GT12" s="294"/>
      <c r="GU12" s="294"/>
      <c r="GV12" s="294"/>
      <c r="GW12" s="285">
        <f>'साठा नोंदवही'!E49</f>
        <v>0</v>
      </c>
      <c r="GX12" s="285">
        <f>'साठा नोंदवही'!F49</f>
        <v>0</v>
      </c>
      <c r="GY12" s="285">
        <f>'साठा नोंदवही'!G49</f>
        <v>0</v>
      </c>
      <c r="GZ12" s="285">
        <f>'साठा नोंदवही'!H49</f>
        <v>0</v>
      </c>
      <c r="HA12" s="285">
        <f>'साठा नोंदवही'!I49</f>
        <v>0</v>
      </c>
      <c r="HB12" s="285">
        <f>'साठा नोंदवही'!J49</f>
        <v>0</v>
      </c>
      <c r="HC12" s="285">
        <f>'साठा नोंदवही'!K49</f>
        <v>0</v>
      </c>
      <c r="HD12" s="285">
        <f>'साठा नोंदवही'!L49</f>
        <v>0</v>
      </c>
      <c r="HE12" s="285">
        <f>'साठा नोंदवही'!M49</f>
        <v>0</v>
      </c>
      <c r="HF12" s="285">
        <f>'साठा नोंदवही'!N49</f>
        <v>0</v>
      </c>
      <c r="HG12" s="285">
        <f>'साठा नोंदवही'!O49</f>
        <v>0</v>
      </c>
      <c r="HH12" s="285">
        <f>'साठा नोंदवही'!P49</f>
        <v>0</v>
      </c>
      <c r="HI12" s="285">
        <f>'साठा नोंदवही'!Q49</f>
        <v>0</v>
      </c>
      <c r="HJ12" s="285">
        <f>'साठा नोंदवही'!R49</f>
        <v>0</v>
      </c>
      <c r="HK12" s="285">
        <f>'साठा नोंदवही'!S49</f>
        <v>0</v>
      </c>
      <c r="HL12" s="285">
        <f>'साठा नोंदवही'!T49</f>
        <v>0</v>
      </c>
      <c r="HM12" s="285">
        <f>'साठा नोंदवही'!U49</f>
        <v>0</v>
      </c>
      <c r="HN12" s="285">
        <f>'साठा नोंदवही'!V49</f>
        <v>0</v>
      </c>
      <c r="HO12" s="2021"/>
      <c r="HP12" s="2021"/>
      <c r="HQ12" s="2021"/>
      <c r="HR12" s="2021"/>
      <c r="HS12" s="1017"/>
      <c r="HT12" s="1017"/>
      <c r="HU12" s="1017"/>
      <c r="HV12" s="294"/>
      <c r="HW12" s="294"/>
      <c r="HX12" s="294"/>
      <c r="HY12" s="294"/>
      <c r="HZ12" s="285">
        <f>'साठा नोंदवही'!E50</f>
        <v>0</v>
      </c>
      <c r="IA12" s="285">
        <f>'साठा नोंदवही'!F50</f>
        <v>0</v>
      </c>
      <c r="IB12" s="285">
        <f>'साठा नोंदवही'!G50</f>
        <v>0</v>
      </c>
      <c r="IC12" s="285">
        <f>'साठा नोंदवही'!H50</f>
        <v>0</v>
      </c>
      <c r="ID12" s="285">
        <f>'साठा नोंदवही'!I50</f>
        <v>0</v>
      </c>
      <c r="IE12" s="285">
        <f>'साठा नोंदवही'!J50</f>
        <v>0</v>
      </c>
      <c r="IF12" s="285">
        <f>'साठा नोंदवही'!K50</f>
        <v>0</v>
      </c>
      <c r="IG12" s="285">
        <f>'साठा नोंदवही'!L50</f>
        <v>0</v>
      </c>
      <c r="IH12" s="285">
        <f>'साठा नोंदवही'!M50</f>
        <v>0</v>
      </c>
      <c r="II12" s="285">
        <f>'साठा नोंदवही'!N50</f>
        <v>0</v>
      </c>
      <c r="IJ12" s="285">
        <f>'साठा नोंदवही'!O50</f>
        <v>0</v>
      </c>
      <c r="IK12" s="285">
        <f>'साठा नोंदवही'!P50</f>
        <v>0</v>
      </c>
      <c r="IL12" s="285">
        <f>'साठा नोंदवही'!Q50</f>
        <v>0</v>
      </c>
      <c r="IM12" s="285">
        <f>'साठा नोंदवही'!R50</f>
        <v>0</v>
      </c>
      <c r="IN12" s="285">
        <f>'साठा नोंदवही'!S50</f>
        <v>0</v>
      </c>
      <c r="IO12" s="285">
        <f>'साठा नोंदवही'!T50</f>
        <v>0</v>
      </c>
      <c r="IP12" s="285">
        <f>'साठा नोंदवही'!U50</f>
        <v>0</v>
      </c>
      <c r="IQ12" s="285">
        <f>'साठा नोंदवही'!V50</f>
        <v>0</v>
      </c>
      <c r="IR12" s="2021"/>
      <c r="IS12" s="2021"/>
      <c r="IT12" s="2021"/>
      <c r="IU12" s="2021"/>
      <c r="IV12" s="1017"/>
      <c r="IW12" s="1017"/>
      <c r="IX12" s="1017"/>
      <c r="IY12" s="294"/>
      <c r="IZ12" s="294"/>
      <c r="JA12" s="294"/>
      <c r="JB12" s="294"/>
      <c r="JC12" s="285">
        <f>'साठा नोंदवही'!E51</f>
        <v>0</v>
      </c>
      <c r="JD12" s="285">
        <f>'साठा नोंदवही'!F51</f>
        <v>0</v>
      </c>
      <c r="JE12" s="285">
        <f>'साठा नोंदवही'!G51</f>
        <v>0</v>
      </c>
      <c r="JF12" s="285">
        <f>'साठा नोंदवही'!H51</f>
        <v>0</v>
      </c>
      <c r="JG12" s="285">
        <f>'साठा नोंदवही'!I51</f>
        <v>0</v>
      </c>
      <c r="JH12" s="285">
        <f>'साठा नोंदवही'!J51</f>
        <v>0</v>
      </c>
      <c r="JI12" s="285">
        <f>'साठा नोंदवही'!K51</f>
        <v>0</v>
      </c>
      <c r="JJ12" s="285">
        <f>'साठा नोंदवही'!L51</f>
        <v>0</v>
      </c>
      <c r="JK12" s="285">
        <f>'साठा नोंदवही'!M51</f>
        <v>0</v>
      </c>
      <c r="JL12" s="285">
        <f>'साठा नोंदवही'!N51</f>
        <v>0</v>
      </c>
      <c r="JM12" s="285">
        <f>'साठा नोंदवही'!O51</f>
        <v>0</v>
      </c>
      <c r="JN12" s="285">
        <f>'साठा नोंदवही'!P51</f>
        <v>0</v>
      </c>
      <c r="JO12" s="285">
        <f>'साठा नोंदवही'!Q51</f>
        <v>0</v>
      </c>
      <c r="JP12" s="285">
        <f>'साठा नोंदवही'!R51</f>
        <v>0</v>
      </c>
      <c r="JQ12" s="285">
        <f>'साठा नोंदवही'!S51</f>
        <v>0</v>
      </c>
      <c r="JR12" s="285">
        <f>'साठा नोंदवही'!T51</f>
        <v>0</v>
      </c>
      <c r="JS12" s="285">
        <f>'साठा नोंदवही'!U51</f>
        <v>0</v>
      </c>
      <c r="JT12" s="285">
        <f>'साठा नोंदवही'!V51</f>
        <v>0</v>
      </c>
      <c r="JU12" s="2021"/>
      <c r="JV12" s="2021"/>
      <c r="JW12" s="2021"/>
      <c r="JX12" s="2021"/>
      <c r="JY12" s="1017"/>
      <c r="JZ12" s="1017"/>
      <c r="KA12" s="1017"/>
      <c r="KB12" s="294"/>
      <c r="KC12" s="294"/>
      <c r="KD12" s="294"/>
      <c r="KE12" s="294"/>
      <c r="KF12" s="285">
        <f>'साठा नोंदवही'!E52</f>
        <v>0</v>
      </c>
      <c r="KG12" s="285">
        <f>'साठा नोंदवही'!F52</f>
        <v>0</v>
      </c>
      <c r="KH12" s="285">
        <f>'साठा नोंदवही'!G52</f>
        <v>0</v>
      </c>
      <c r="KI12" s="285">
        <f>'साठा नोंदवही'!H52</f>
        <v>0</v>
      </c>
      <c r="KJ12" s="285">
        <f>'साठा नोंदवही'!I52</f>
        <v>0</v>
      </c>
      <c r="KK12" s="285">
        <f>'साठा नोंदवही'!J52</f>
        <v>0</v>
      </c>
      <c r="KL12" s="285">
        <f>'साठा नोंदवही'!K52</f>
        <v>0</v>
      </c>
      <c r="KM12" s="285">
        <f>'साठा नोंदवही'!L52</f>
        <v>0</v>
      </c>
      <c r="KN12" s="285">
        <f>'साठा नोंदवही'!M52</f>
        <v>0</v>
      </c>
      <c r="KO12" s="285">
        <f>'साठा नोंदवही'!N52</f>
        <v>0</v>
      </c>
      <c r="KP12" s="285">
        <f>'साठा नोंदवही'!O52</f>
        <v>0</v>
      </c>
      <c r="KQ12" s="285">
        <f>'साठा नोंदवही'!P52</f>
        <v>0</v>
      </c>
      <c r="KR12" s="285">
        <f>'साठा नोंदवही'!Q52</f>
        <v>0</v>
      </c>
      <c r="KS12" s="285">
        <f>'साठा नोंदवही'!R52</f>
        <v>0</v>
      </c>
      <c r="KT12" s="285">
        <f>'साठा नोंदवही'!S52</f>
        <v>0</v>
      </c>
      <c r="KU12" s="285">
        <f>'साठा नोंदवही'!T52</f>
        <v>0</v>
      </c>
      <c r="KV12" s="285">
        <f>'साठा नोंदवही'!U52</f>
        <v>0</v>
      </c>
      <c r="KW12" s="285">
        <f>'साठा नोंदवही'!V52</f>
        <v>0</v>
      </c>
      <c r="KX12" s="2021"/>
      <c r="KY12" s="2021"/>
      <c r="KZ12" s="2021"/>
      <c r="LA12" s="2021"/>
      <c r="LB12" s="1017"/>
      <c r="LC12" s="1017"/>
      <c r="LD12" s="1017"/>
      <c r="LE12" s="294"/>
      <c r="LF12" s="294"/>
      <c r="LG12" s="294"/>
      <c r="LH12" s="294"/>
      <c r="LI12" s="285">
        <f>'साठा नोंदवही'!E53</f>
        <v>0</v>
      </c>
      <c r="LJ12" s="285">
        <f>'साठा नोंदवही'!F53</f>
        <v>0</v>
      </c>
      <c r="LK12" s="285">
        <f>'साठा नोंदवही'!G53</f>
        <v>0</v>
      </c>
      <c r="LL12" s="285">
        <f>'साठा नोंदवही'!H53</f>
        <v>0</v>
      </c>
      <c r="LM12" s="285">
        <f>'साठा नोंदवही'!I53</f>
        <v>0</v>
      </c>
      <c r="LN12" s="285">
        <f>'साठा नोंदवही'!J53</f>
        <v>0</v>
      </c>
      <c r="LO12" s="285">
        <f>'साठा नोंदवही'!K53</f>
        <v>0</v>
      </c>
      <c r="LP12" s="285">
        <f>'साठा नोंदवही'!L53</f>
        <v>0</v>
      </c>
      <c r="LQ12" s="285">
        <f>'साठा नोंदवही'!M53</f>
        <v>0</v>
      </c>
      <c r="LR12" s="285">
        <f>'साठा नोंदवही'!N53</f>
        <v>0</v>
      </c>
      <c r="LS12" s="285">
        <f>'साठा नोंदवही'!O53</f>
        <v>0</v>
      </c>
      <c r="LT12" s="285">
        <f>'साठा नोंदवही'!P53</f>
        <v>0</v>
      </c>
      <c r="LU12" s="285">
        <f>'साठा नोंदवही'!Q53</f>
        <v>0</v>
      </c>
      <c r="LV12" s="285">
        <f>'साठा नोंदवही'!R53</f>
        <v>0</v>
      </c>
      <c r="LW12" s="285">
        <f>'साठा नोंदवही'!S53</f>
        <v>0</v>
      </c>
      <c r="LX12" s="285">
        <f>'साठा नोंदवही'!T53</f>
        <v>0</v>
      </c>
      <c r="LY12" s="285">
        <f>'साठा नोंदवही'!U53</f>
        <v>0</v>
      </c>
      <c r="LZ12" s="285">
        <f>'साठा नोंदवही'!V53</f>
        <v>0</v>
      </c>
      <c r="MA12" s="2021"/>
      <c r="MB12" s="2021"/>
      <c r="MC12" s="2021"/>
      <c r="MD12" s="2021"/>
      <c r="ME12" s="1017"/>
      <c r="MF12" s="1017"/>
      <c r="MG12" s="1017"/>
      <c r="MH12" s="294"/>
      <c r="MI12" s="294"/>
      <c r="MJ12" s="294"/>
      <c r="MK12" s="294"/>
      <c r="ML12" s="285">
        <f>'साठा नोंदवही'!E54</f>
        <v>0</v>
      </c>
      <c r="MM12" s="285">
        <f>'साठा नोंदवही'!F54</f>
        <v>0</v>
      </c>
      <c r="MN12" s="285">
        <f>'साठा नोंदवही'!G54</f>
        <v>0</v>
      </c>
      <c r="MO12" s="285">
        <f>'साठा नोंदवही'!H54</f>
        <v>0</v>
      </c>
      <c r="MP12" s="285">
        <f>'साठा नोंदवही'!I54</f>
        <v>0</v>
      </c>
      <c r="MQ12" s="285">
        <f>'साठा नोंदवही'!J54</f>
        <v>0</v>
      </c>
      <c r="MR12" s="285">
        <f>'साठा नोंदवही'!K54</f>
        <v>0</v>
      </c>
      <c r="MS12" s="285">
        <f>'साठा नोंदवही'!L54</f>
        <v>0</v>
      </c>
      <c r="MT12" s="285">
        <f>'साठा नोंदवही'!M54</f>
        <v>0</v>
      </c>
      <c r="MU12" s="285">
        <f>'साठा नोंदवही'!N54</f>
        <v>0</v>
      </c>
      <c r="MV12" s="285">
        <f>'साठा नोंदवही'!O54</f>
        <v>0</v>
      </c>
      <c r="MW12" s="285">
        <f>'साठा नोंदवही'!P54</f>
        <v>0</v>
      </c>
      <c r="MX12" s="285">
        <f>'साठा नोंदवही'!Q54</f>
        <v>0</v>
      </c>
      <c r="MY12" s="285">
        <f>'साठा नोंदवही'!R54</f>
        <v>0</v>
      </c>
      <c r="MZ12" s="285">
        <f>'साठा नोंदवही'!S54</f>
        <v>0</v>
      </c>
      <c r="NA12" s="285">
        <f>'साठा नोंदवही'!T54</f>
        <v>0</v>
      </c>
      <c r="NB12" s="285">
        <f>'साठा नोंदवही'!U54</f>
        <v>0</v>
      </c>
      <c r="NC12" s="285">
        <f>'साठा नोंदवही'!V54</f>
        <v>0</v>
      </c>
      <c r="ND12" s="2021"/>
      <c r="NE12" s="2021"/>
      <c r="NF12" s="2021"/>
      <c r="NG12" s="2021"/>
      <c r="NH12" s="1017"/>
      <c r="NI12" s="1017"/>
      <c r="NJ12" s="1017"/>
      <c r="NK12" s="294"/>
      <c r="NL12" s="294"/>
      <c r="NM12" s="294"/>
      <c r="NN12" s="294"/>
      <c r="NO12" s="285">
        <f>'साठा नोंदवही'!E55</f>
        <v>0</v>
      </c>
      <c r="NP12" s="285">
        <f>'साठा नोंदवही'!F55</f>
        <v>0</v>
      </c>
      <c r="NQ12" s="285">
        <f>'साठा नोंदवही'!G55</f>
        <v>0</v>
      </c>
      <c r="NR12" s="285">
        <f>'साठा नोंदवही'!H55</f>
        <v>0</v>
      </c>
      <c r="NS12" s="285">
        <f>'साठा नोंदवही'!I55</f>
        <v>0</v>
      </c>
      <c r="NT12" s="285">
        <f>'साठा नोंदवही'!J55</f>
        <v>0</v>
      </c>
      <c r="NU12" s="285">
        <f>'साठा नोंदवही'!K55</f>
        <v>0</v>
      </c>
      <c r="NV12" s="285">
        <f>'साठा नोंदवही'!L55</f>
        <v>0</v>
      </c>
      <c r="NW12" s="285">
        <f>'साठा नोंदवही'!M55</f>
        <v>0</v>
      </c>
      <c r="NX12" s="285">
        <f>'साठा नोंदवही'!N55</f>
        <v>0</v>
      </c>
      <c r="NY12" s="285">
        <f>'साठा नोंदवही'!O55</f>
        <v>0</v>
      </c>
      <c r="NZ12" s="285">
        <f>'साठा नोंदवही'!P55</f>
        <v>0</v>
      </c>
      <c r="OA12" s="285">
        <f>'साठा नोंदवही'!Q55</f>
        <v>0</v>
      </c>
      <c r="OB12" s="285">
        <f>'साठा नोंदवही'!R55</f>
        <v>0</v>
      </c>
      <c r="OC12" s="285">
        <f>'साठा नोंदवही'!S55</f>
        <v>0</v>
      </c>
      <c r="OD12" s="285">
        <f>'साठा नोंदवही'!T55</f>
        <v>0</v>
      </c>
      <c r="OE12" s="285">
        <f>'साठा नोंदवही'!U55</f>
        <v>0</v>
      </c>
      <c r="OF12" s="285">
        <f>'साठा नोंदवही'!V55</f>
        <v>0</v>
      </c>
      <c r="OG12" s="2021"/>
      <c r="OH12" s="2021"/>
      <c r="OI12" s="2021"/>
      <c r="OJ12" s="2021"/>
    </row>
    <row r="13" spans="1:461" ht="29.25" customHeight="1" x14ac:dyDescent="0.4">
      <c r="B13" s="1019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1012"/>
      <c r="BA13" s="1017"/>
      <c r="BB13" s="1017"/>
      <c r="BC13" s="1017"/>
      <c r="BD13" s="2019" t="s">
        <v>103</v>
      </c>
      <c r="BE13" s="2019"/>
      <c r="BF13" s="2019"/>
      <c r="BG13" s="2019"/>
      <c r="BH13" s="285">
        <f>(BH10+BH11-BH12)</f>
        <v>50.6</v>
      </c>
      <c r="BI13" s="285">
        <f t="shared" ref="BI13:BY13" si="11">(BI10+BI11-BI12)</f>
        <v>3.5199999999999996</v>
      </c>
      <c r="BJ13" s="285">
        <f t="shared" si="11"/>
        <v>0</v>
      </c>
      <c r="BK13" s="285">
        <f t="shared" si="11"/>
        <v>0</v>
      </c>
      <c r="BL13" s="285">
        <f t="shared" si="11"/>
        <v>0</v>
      </c>
      <c r="BM13" s="285">
        <f t="shared" si="11"/>
        <v>0</v>
      </c>
      <c r="BN13" s="285">
        <f t="shared" si="11"/>
        <v>0</v>
      </c>
      <c r="BO13" s="285">
        <f t="shared" si="11"/>
        <v>3.08</v>
      </c>
      <c r="BP13" s="285">
        <f t="shared" si="11"/>
        <v>3.52</v>
      </c>
      <c r="BQ13" s="285">
        <f t="shared" si="11"/>
        <v>0.15260000000000001</v>
      </c>
      <c r="BR13" s="285">
        <f t="shared" si="11"/>
        <v>0.25300000000000006</v>
      </c>
      <c r="BS13" s="285">
        <f t="shared" si="11"/>
        <v>0.15259999999999996</v>
      </c>
      <c r="BT13" s="285">
        <f t="shared" si="11"/>
        <v>0</v>
      </c>
      <c r="BU13" s="285">
        <f t="shared" si="11"/>
        <v>0</v>
      </c>
      <c r="BV13" s="285">
        <f t="shared" si="11"/>
        <v>4.5299999999999994</v>
      </c>
      <c r="BW13" s="285">
        <f t="shared" si="11"/>
        <v>2.4079999999999999</v>
      </c>
      <c r="BX13" s="285">
        <f t="shared" si="11"/>
        <v>0.60720000000000007</v>
      </c>
      <c r="BY13" s="285">
        <f t="shared" si="11"/>
        <v>0</v>
      </c>
      <c r="BZ13" s="2021"/>
      <c r="CA13" s="2021"/>
      <c r="CB13" s="2021"/>
      <c r="CC13" s="2021"/>
      <c r="CD13" s="1017"/>
      <c r="CE13" s="1017"/>
      <c r="CF13" s="1017"/>
      <c r="CG13" s="2019" t="s">
        <v>103</v>
      </c>
      <c r="CH13" s="2019"/>
      <c r="CI13" s="2019"/>
      <c r="CJ13" s="2019"/>
      <c r="CK13" s="285">
        <f>(CK10+CK11-CK12)</f>
        <v>99.999999999999986</v>
      </c>
      <c r="CL13" s="285">
        <f t="shared" ref="CL13:DB13" si="12">(CL10+CL11-CL12)</f>
        <v>5</v>
      </c>
      <c r="CM13" s="285">
        <f t="shared" si="12"/>
        <v>0</v>
      </c>
      <c r="CN13" s="285">
        <f t="shared" si="12"/>
        <v>0</v>
      </c>
      <c r="CO13" s="285">
        <f t="shared" si="12"/>
        <v>0</v>
      </c>
      <c r="CP13" s="285">
        <f t="shared" si="12"/>
        <v>0</v>
      </c>
      <c r="CQ13" s="285">
        <f t="shared" si="12"/>
        <v>0</v>
      </c>
      <c r="CR13" s="285">
        <f t="shared" si="12"/>
        <v>5</v>
      </c>
      <c r="CS13" s="285">
        <f t="shared" si="12"/>
        <v>5</v>
      </c>
      <c r="CT13" s="285">
        <f t="shared" si="12"/>
        <v>0.30080000000000007</v>
      </c>
      <c r="CU13" s="285">
        <f t="shared" si="12"/>
        <v>0.5</v>
      </c>
      <c r="CV13" s="285">
        <f t="shared" si="12"/>
        <v>0.40080000000000005</v>
      </c>
      <c r="CW13" s="285">
        <f t="shared" si="12"/>
        <v>0</v>
      </c>
      <c r="CX13" s="285">
        <f t="shared" si="12"/>
        <v>0</v>
      </c>
      <c r="CY13" s="285">
        <f t="shared" si="12"/>
        <v>5.9999999999999991</v>
      </c>
      <c r="CZ13" s="285">
        <f t="shared" si="12"/>
        <v>3.3959999999999999</v>
      </c>
      <c r="DA13" s="285">
        <f t="shared" si="12"/>
        <v>1.0000000000000004</v>
      </c>
      <c r="DB13" s="285">
        <f t="shared" si="12"/>
        <v>0</v>
      </c>
      <c r="DC13" s="2021"/>
      <c r="DD13" s="2021"/>
      <c r="DE13" s="2021"/>
      <c r="DF13" s="2021"/>
      <c r="DG13" s="1017"/>
      <c r="DH13" s="1017"/>
      <c r="DI13" s="1017"/>
      <c r="DJ13" s="2019" t="s">
        <v>103</v>
      </c>
      <c r="DK13" s="2019"/>
      <c r="DL13" s="2019"/>
      <c r="DM13" s="2019"/>
      <c r="DN13" s="285">
        <f>(DN10+DN11-DN12)</f>
        <v>99.999999999999986</v>
      </c>
      <c r="DO13" s="285">
        <f t="shared" ref="DO13:EE13" si="13">(DO10+DO11-DO12)</f>
        <v>5</v>
      </c>
      <c r="DP13" s="285">
        <f t="shared" si="13"/>
        <v>0</v>
      </c>
      <c r="DQ13" s="285">
        <f t="shared" si="13"/>
        <v>0</v>
      </c>
      <c r="DR13" s="285">
        <f t="shared" si="13"/>
        <v>0</v>
      </c>
      <c r="DS13" s="285">
        <f t="shared" si="13"/>
        <v>0</v>
      </c>
      <c r="DT13" s="285">
        <f t="shared" si="13"/>
        <v>0</v>
      </c>
      <c r="DU13" s="285">
        <f t="shared" si="13"/>
        <v>5</v>
      </c>
      <c r="DV13" s="285">
        <f t="shared" si="13"/>
        <v>5</v>
      </c>
      <c r="DW13" s="285">
        <f t="shared" si="13"/>
        <v>0.30080000000000007</v>
      </c>
      <c r="DX13" s="285">
        <f t="shared" si="13"/>
        <v>0.5</v>
      </c>
      <c r="DY13" s="285">
        <f t="shared" si="13"/>
        <v>0.40080000000000005</v>
      </c>
      <c r="DZ13" s="285">
        <f t="shared" si="13"/>
        <v>0</v>
      </c>
      <c r="EA13" s="285">
        <f t="shared" si="13"/>
        <v>0</v>
      </c>
      <c r="EB13" s="285">
        <f t="shared" si="13"/>
        <v>5.9999999999999991</v>
      </c>
      <c r="EC13" s="285">
        <f t="shared" si="13"/>
        <v>3.3959999999999999</v>
      </c>
      <c r="ED13" s="285">
        <f t="shared" si="13"/>
        <v>1.0000000000000004</v>
      </c>
      <c r="EE13" s="285">
        <f t="shared" si="13"/>
        <v>0</v>
      </c>
      <c r="EF13" s="2021"/>
      <c r="EG13" s="2021"/>
      <c r="EH13" s="2021"/>
      <c r="EI13" s="2021"/>
      <c r="EJ13" s="1017"/>
      <c r="EK13" s="1017"/>
      <c r="EL13" s="1017"/>
      <c r="EM13" s="2019" t="s">
        <v>103</v>
      </c>
      <c r="EN13" s="2019"/>
      <c r="EO13" s="2019"/>
      <c r="EP13" s="2019"/>
      <c r="EQ13" s="285">
        <f>(EQ10+EQ11-EQ12)</f>
        <v>76.599999999999994</v>
      </c>
      <c r="ER13" s="285">
        <f t="shared" ref="ER13:FH13" si="14">(ER10+ER11-ER12)</f>
        <v>3.66</v>
      </c>
      <c r="ES13" s="285">
        <f t="shared" si="14"/>
        <v>0</v>
      </c>
      <c r="ET13" s="285">
        <f t="shared" si="14"/>
        <v>0</v>
      </c>
      <c r="EU13" s="285">
        <f t="shared" si="14"/>
        <v>0</v>
      </c>
      <c r="EV13" s="285">
        <f t="shared" si="14"/>
        <v>0</v>
      </c>
      <c r="EW13" s="285">
        <f t="shared" si="14"/>
        <v>0</v>
      </c>
      <c r="EX13" s="285">
        <f t="shared" si="14"/>
        <v>3.32</v>
      </c>
      <c r="EY13" s="285">
        <f t="shared" si="14"/>
        <v>3.34</v>
      </c>
      <c r="EZ13" s="285">
        <f t="shared" si="14"/>
        <v>0.23060000000000008</v>
      </c>
      <c r="FA13" s="285">
        <f t="shared" si="14"/>
        <v>0.38299999999999995</v>
      </c>
      <c r="FB13" s="285">
        <f t="shared" si="14"/>
        <v>0.33060000000000006</v>
      </c>
      <c r="FC13" s="285">
        <f t="shared" si="14"/>
        <v>0</v>
      </c>
      <c r="FD13" s="285">
        <f t="shared" si="14"/>
        <v>0</v>
      </c>
      <c r="FE13" s="285">
        <f t="shared" si="14"/>
        <v>8.8299999999999983</v>
      </c>
      <c r="FF13" s="285">
        <f t="shared" si="14"/>
        <v>2.9279999999999999</v>
      </c>
      <c r="FG13" s="285">
        <f t="shared" si="14"/>
        <v>0.71920000000000051</v>
      </c>
      <c r="FH13" s="285">
        <f t="shared" si="14"/>
        <v>0</v>
      </c>
      <c r="FI13" s="2021"/>
      <c r="FJ13" s="2021"/>
      <c r="FK13" s="2021"/>
      <c r="FL13" s="2021"/>
      <c r="FM13" s="1017"/>
      <c r="FN13" s="1017"/>
      <c r="FO13" s="1017"/>
      <c r="FP13" s="2019" t="s">
        <v>103</v>
      </c>
      <c r="FQ13" s="2019"/>
      <c r="FR13" s="2019"/>
      <c r="FS13" s="2019"/>
      <c r="FT13" s="285">
        <f>(FT10+FT11-FT12)</f>
        <v>132.39999999999998</v>
      </c>
      <c r="FU13" s="285">
        <f t="shared" ref="FU13:GK13" si="15">(FU10+FU11-FU12)</f>
        <v>7.6000000000000005</v>
      </c>
      <c r="FV13" s="285">
        <f t="shared" si="15"/>
        <v>0</v>
      </c>
      <c r="FW13" s="285">
        <f t="shared" si="15"/>
        <v>0</v>
      </c>
      <c r="FX13" s="285">
        <f t="shared" si="15"/>
        <v>0</v>
      </c>
      <c r="FY13" s="285">
        <f t="shared" si="15"/>
        <v>0</v>
      </c>
      <c r="FZ13" s="285">
        <f t="shared" si="15"/>
        <v>0</v>
      </c>
      <c r="GA13" s="285">
        <f t="shared" si="15"/>
        <v>7.6</v>
      </c>
      <c r="GB13" s="285">
        <f t="shared" si="15"/>
        <v>7.28</v>
      </c>
      <c r="GC13" s="285">
        <f t="shared" si="15"/>
        <v>0.39800000000000013</v>
      </c>
      <c r="GD13" s="285">
        <f t="shared" si="15"/>
        <v>0.66199999999999981</v>
      </c>
      <c r="GE13" s="285">
        <f t="shared" si="15"/>
        <v>0.5980000000000002</v>
      </c>
      <c r="GF13" s="285">
        <f t="shared" si="15"/>
        <v>0</v>
      </c>
      <c r="GG13" s="285">
        <f t="shared" si="15"/>
        <v>0</v>
      </c>
      <c r="GH13" s="285">
        <f t="shared" si="15"/>
        <v>11.62</v>
      </c>
      <c r="GI13" s="285">
        <f t="shared" si="15"/>
        <v>4.0439999999999996</v>
      </c>
      <c r="GJ13" s="285">
        <f t="shared" si="15"/>
        <v>1.188800000000001</v>
      </c>
      <c r="GK13" s="285">
        <f t="shared" si="15"/>
        <v>0</v>
      </c>
      <c r="GL13" s="2021"/>
      <c r="GM13" s="2021"/>
      <c r="GN13" s="2021"/>
      <c r="GO13" s="2021"/>
      <c r="GP13" s="1017"/>
      <c r="GQ13" s="1017"/>
      <c r="GR13" s="1017"/>
      <c r="GS13" s="2019" t="s">
        <v>103</v>
      </c>
      <c r="GT13" s="2019"/>
      <c r="GU13" s="2019"/>
      <c r="GV13" s="2019"/>
      <c r="GW13" s="285">
        <f>(GW10+GW11-GW12)</f>
        <v>99.399999999999977</v>
      </c>
      <c r="GX13" s="285">
        <f t="shared" ref="GX13:HN13" si="16">(GX10+GX11-GX12)</f>
        <v>5.2000000000000011</v>
      </c>
      <c r="GY13" s="285">
        <f t="shared" si="16"/>
        <v>0</v>
      </c>
      <c r="GZ13" s="285">
        <f t="shared" si="16"/>
        <v>0</v>
      </c>
      <c r="HA13" s="285">
        <f t="shared" si="16"/>
        <v>0</v>
      </c>
      <c r="HB13" s="285">
        <f t="shared" si="16"/>
        <v>0</v>
      </c>
      <c r="HC13" s="285">
        <f t="shared" si="16"/>
        <v>0</v>
      </c>
      <c r="HD13" s="285">
        <f t="shared" si="16"/>
        <v>5.5</v>
      </c>
      <c r="HE13" s="285">
        <f t="shared" si="16"/>
        <v>5.18</v>
      </c>
      <c r="HF13" s="285">
        <f t="shared" si="16"/>
        <v>0.2990000000000001</v>
      </c>
      <c r="HG13" s="285">
        <f t="shared" si="16"/>
        <v>0.49699999999999972</v>
      </c>
      <c r="HH13" s="285">
        <f t="shared" si="16"/>
        <v>0.49900000000000017</v>
      </c>
      <c r="HI13" s="285">
        <f t="shared" si="16"/>
        <v>0</v>
      </c>
      <c r="HJ13" s="285">
        <f t="shared" si="16"/>
        <v>0</v>
      </c>
      <c r="HK13" s="285">
        <f t="shared" si="16"/>
        <v>10.969999999999999</v>
      </c>
      <c r="HL13" s="285">
        <f t="shared" si="16"/>
        <v>3.3839999999999995</v>
      </c>
      <c r="HM13" s="285">
        <f t="shared" si="16"/>
        <v>0.79280000000000084</v>
      </c>
      <c r="HN13" s="285">
        <f t="shared" si="16"/>
        <v>0</v>
      </c>
      <c r="HO13" s="2021"/>
      <c r="HP13" s="2021"/>
      <c r="HQ13" s="2021"/>
      <c r="HR13" s="2021"/>
      <c r="HS13" s="1017"/>
      <c r="HT13" s="1017"/>
      <c r="HU13" s="1017"/>
      <c r="HV13" s="2019" t="s">
        <v>103</v>
      </c>
      <c r="HW13" s="2019"/>
      <c r="HX13" s="2019"/>
      <c r="HY13" s="2019"/>
      <c r="HZ13" s="285">
        <f>(HZ10+HZ11-HZ12)</f>
        <v>60.999999999999957</v>
      </c>
      <c r="IA13" s="285">
        <f t="shared" ref="IA13:IQ13" si="17">(IA10+IA11-IA12)</f>
        <v>3.3400000000000007</v>
      </c>
      <c r="IB13" s="285">
        <f t="shared" si="17"/>
        <v>0</v>
      </c>
      <c r="IC13" s="285">
        <f t="shared" si="17"/>
        <v>0</v>
      </c>
      <c r="ID13" s="285">
        <f t="shared" si="17"/>
        <v>0</v>
      </c>
      <c r="IE13" s="285">
        <f t="shared" si="17"/>
        <v>0</v>
      </c>
      <c r="IF13" s="285">
        <f t="shared" si="17"/>
        <v>0</v>
      </c>
      <c r="IG13" s="285">
        <f t="shared" si="17"/>
        <v>2.44</v>
      </c>
      <c r="IH13" s="285">
        <f t="shared" si="17"/>
        <v>2.4199999999999995</v>
      </c>
      <c r="II13" s="285">
        <f t="shared" si="17"/>
        <v>0.18380000000000013</v>
      </c>
      <c r="IJ13" s="285">
        <f t="shared" si="17"/>
        <v>0.3049999999999996</v>
      </c>
      <c r="IK13" s="285">
        <f t="shared" si="17"/>
        <v>0.3838000000000002</v>
      </c>
      <c r="IL13" s="285">
        <f t="shared" si="17"/>
        <v>0</v>
      </c>
      <c r="IM13" s="285">
        <f t="shared" si="17"/>
        <v>0</v>
      </c>
      <c r="IN13" s="285">
        <f t="shared" si="17"/>
        <v>12.049999999999999</v>
      </c>
      <c r="IO13" s="285">
        <f t="shared" si="17"/>
        <v>2.6159999999999988</v>
      </c>
      <c r="IP13" s="285">
        <f t="shared" si="17"/>
        <v>0.33200000000000096</v>
      </c>
      <c r="IQ13" s="285">
        <f t="shared" si="17"/>
        <v>0</v>
      </c>
      <c r="IR13" s="2021"/>
      <c r="IS13" s="2021"/>
      <c r="IT13" s="2021"/>
      <c r="IU13" s="2021"/>
      <c r="IV13" s="1017"/>
      <c r="IW13" s="1017"/>
      <c r="IX13" s="1017"/>
      <c r="IY13" s="2019" t="s">
        <v>103</v>
      </c>
      <c r="IZ13" s="2019"/>
      <c r="JA13" s="2019"/>
      <c r="JB13" s="2019"/>
      <c r="JC13" s="285">
        <f>(JC10+JC11-JC12)</f>
        <v>87.399999999999963</v>
      </c>
      <c r="JD13" s="285">
        <f t="shared" ref="JD13:JT13" si="18">(JD10+JD11-JD12)</f>
        <v>6.1400000000000006</v>
      </c>
      <c r="JE13" s="285">
        <f t="shared" si="18"/>
        <v>0</v>
      </c>
      <c r="JF13" s="285">
        <f t="shared" si="18"/>
        <v>0</v>
      </c>
      <c r="JG13" s="285">
        <f t="shared" si="18"/>
        <v>0</v>
      </c>
      <c r="JH13" s="285">
        <f t="shared" si="18"/>
        <v>0</v>
      </c>
      <c r="JI13" s="285">
        <f t="shared" si="18"/>
        <v>0</v>
      </c>
      <c r="JJ13" s="285">
        <f t="shared" si="18"/>
        <v>6.24</v>
      </c>
      <c r="JK13" s="285">
        <f t="shared" si="18"/>
        <v>6.1</v>
      </c>
      <c r="JL13" s="285">
        <f t="shared" si="18"/>
        <v>0.51300000000000012</v>
      </c>
      <c r="JM13" s="285">
        <f t="shared" si="18"/>
        <v>0.48699999999999966</v>
      </c>
      <c r="JN13" s="285">
        <f t="shared" si="18"/>
        <v>0.61300000000000021</v>
      </c>
      <c r="JO13" s="285">
        <f t="shared" si="18"/>
        <v>0</v>
      </c>
      <c r="JP13" s="285">
        <f t="shared" si="18"/>
        <v>0</v>
      </c>
      <c r="JQ13" s="285">
        <f t="shared" si="18"/>
        <v>15.87</v>
      </c>
      <c r="JR13" s="285">
        <f t="shared" si="18"/>
        <v>4.1439999999999984</v>
      </c>
      <c r="JS13" s="285">
        <f t="shared" si="18"/>
        <v>1.0488000000000011</v>
      </c>
      <c r="JT13" s="285">
        <f t="shared" si="18"/>
        <v>0</v>
      </c>
      <c r="JU13" s="2021"/>
      <c r="JV13" s="2021"/>
      <c r="JW13" s="2021"/>
      <c r="JX13" s="2021"/>
      <c r="JY13" s="1017"/>
      <c r="JZ13" s="1017"/>
      <c r="KA13" s="1017"/>
      <c r="KB13" s="2019" t="s">
        <v>103</v>
      </c>
      <c r="KC13" s="2019"/>
      <c r="KD13" s="2019"/>
      <c r="KE13" s="2019"/>
      <c r="KF13" s="285">
        <f>(KF10+KF11-KF12)</f>
        <v>75.599999999999966</v>
      </c>
      <c r="KG13" s="285">
        <f t="shared" ref="KG13:KW13" si="19">(KG10+KG11-KG12)</f>
        <v>5.5</v>
      </c>
      <c r="KH13" s="285">
        <f t="shared" si="19"/>
        <v>0</v>
      </c>
      <c r="KI13" s="285">
        <f t="shared" si="19"/>
        <v>0</v>
      </c>
      <c r="KJ13" s="285">
        <f t="shared" si="19"/>
        <v>0</v>
      </c>
      <c r="KK13" s="285">
        <f t="shared" si="19"/>
        <v>0</v>
      </c>
      <c r="KL13" s="285">
        <f t="shared" si="19"/>
        <v>0</v>
      </c>
      <c r="KM13" s="285">
        <f t="shared" si="19"/>
        <v>3.6</v>
      </c>
      <c r="KN13" s="285">
        <f t="shared" si="19"/>
        <v>3.0199999999999996</v>
      </c>
      <c r="KO13" s="285">
        <f t="shared" si="19"/>
        <v>0.38760000000000017</v>
      </c>
      <c r="KP13" s="285">
        <f t="shared" si="19"/>
        <v>0.27799999999999958</v>
      </c>
      <c r="KQ13" s="285">
        <f t="shared" si="19"/>
        <v>0.48760000000000026</v>
      </c>
      <c r="KR13" s="285">
        <f t="shared" si="19"/>
        <v>0</v>
      </c>
      <c r="KS13" s="285">
        <f t="shared" si="19"/>
        <v>0</v>
      </c>
      <c r="KT13" s="285">
        <f t="shared" si="19"/>
        <v>16.779999999999998</v>
      </c>
      <c r="KU13" s="285">
        <f t="shared" si="19"/>
        <v>3.3079999999999981</v>
      </c>
      <c r="KV13" s="285">
        <f t="shared" si="19"/>
        <v>1.0472000000000012</v>
      </c>
      <c r="KW13" s="285">
        <f t="shared" si="19"/>
        <v>0</v>
      </c>
      <c r="KX13" s="2021"/>
      <c r="KY13" s="2021"/>
      <c r="KZ13" s="2021"/>
      <c r="LA13" s="2021"/>
      <c r="LB13" s="1017"/>
      <c r="LC13" s="1017"/>
      <c r="LD13" s="1017"/>
      <c r="LE13" s="2019" t="s">
        <v>103</v>
      </c>
      <c r="LF13" s="2019"/>
      <c r="LG13" s="2019"/>
      <c r="LH13" s="2019"/>
      <c r="LI13" s="285">
        <f>(LI10+LI11-LI12)</f>
        <v>20.899999999999942</v>
      </c>
      <c r="LJ13" s="285">
        <f t="shared" ref="LJ13:LZ13" si="20">(LJ10+LJ11-LJ12)</f>
        <v>1.7200000000000002</v>
      </c>
      <c r="LK13" s="285">
        <f t="shared" si="20"/>
        <v>0</v>
      </c>
      <c r="LL13" s="285">
        <f t="shared" si="20"/>
        <v>0</v>
      </c>
      <c r="LM13" s="285">
        <f t="shared" si="20"/>
        <v>0</v>
      </c>
      <c r="LN13" s="285">
        <f t="shared" si="20"/>
        <v>0</v>
      </c>
      <c r="LO13" s="285">
        <f t="shared" si="20"/>
        <v>0</v>
      </c>
      <c r="LP13" s="285">
        <f t="shared" si="20"/>
        <v>0.2200000000000002</v>
      </c>
      <c r="LQ13" s="285">
        <f t="shared" si="20"/>
        <v>-0.76000000000000023</v>
      </c>
      <c r="LR13" s="285">
        <f t="shared" si="20"/>
        <v>0.22350000000000017</v>
      </c>
      <c r="LS13" s="285">
        <f t="shared" si="20"/>
        <v>4.4999999999995044E-3</v>
      </c>
      <c r="LT13" s="285">
        <f t="shared" si="20"/>
        <v>0.32350000000000023</v>
      </c>
      <c r="LU13" s="285">
        <f t="shared" si="20"/>
        <v>0</v>
      </c>
      <c r="LV13" s="285">
        <f t="shared" si="20"/>
        <v>0</v>
      </c>
      <c r="LW13" s="285">
        <f t="shared" si="20"/>
        <v>14.044999999999998</v>
      </c>
      <c r="LX13" s="285">
        <f t="shared" si="20"/>
        <v>2.2139999999999977</v>
      </c>
      <c r="LY13" s="285">
        <f t="shared" si="20"/>
        <v>0.39080000000000126</v>
      </c>
      <c r="LZ13" s="285">
        <f t="shared" si="20"/>
        <v>0</v>
      </c>
      <c r="MA13" s="2021"/>
      <c r="MB13" s="2021"/>
      <c r="MC13" s="2021"/>
      <c r="MD13" s="2021"/>
      <c r="ME13" s="1017"/>
      <c r="MF13" s="1017"/>
      <c r="MG13" s="1017"/>
      <c r="MH13" s="2019" t="s">
        <v>103</v>
      </c>
      <c r="MI13" s="2019"/>
      <c r="MJ13" s="2019"/>
      <c r="MK13" s="2019"/>
      <c r="ML13" s="285">
        <f>(ML10+ML11-ML12)</f>
        <v>20.899999999999942</v>
      </c>
      <c r="MM13" s="285">
        <f t="shared" ref="MM13:NC13" si="21">(MM10+MM11-MM12)</f>
        <v>1.7200000000000002</v>
      </c>
      <c r="MN13" s="285">
        <f t="shared" si="21"/>
        <v>0</v>
      </c>
      <c r="MO13" s="285">
        <f t="shared" si="21"/>
        <v>0</v>
      </c>
      <c r="MP13" s="285">
        <f t="shared" si="21"/>
        <v>0</v>
      </c>
      <c r="MQ13" s="285">
        <f t="shared" si="21"/>
        <v>0</v>
      </c>
      <c r="MR13" s="285">
        <f t="shared" si="21"/>
        <v>0</v>
      </c>
      <c r="MS13" s="285">
        <f t="shared" si="21"/>
        <v>0.2200000000000002</v>
      </c>
      <c r="MT13" s="285">
        <f t="shared" si="21"/>
        <v>-0.76000000000000023</v>
      </c>
      <c r="MU13" s="285">
        <f t="shared" si="21"/>
        <v>0.22350000000000017</v>
      </c>
      <c r="MV13" s="285">
        <f t="shared" si="21"/>
        <v>4.4999999999995044E-3</v>
      </c>
      <c r="MW13" s="285">
        <f t="shared" si="21"/>
        <v>0.32350000000000023</v>
      </c>
      <c r="MX13" s="285">
        <f t="shared" si="21"/>
        <v>0</v>
      </c>
      <c r="MY13" s="285">
        <f t="shared" si="21"/>
        <v>0</v>
      </c>
      <c r="MZ13" s="285">
        <f t="shared" si="21"/>
        <v>14.044999999999998</v>
      </c>
      <c r="NA13" s="285">
        <f t="shared" si="21"/>
        <v>2.2139999999999977</v>
      </c>
      <c r="NB13" s="285">
        <f t="shared" si="21"/>
        <v>0.39080000000000126</v>
      </c>
      <c r="NC13" s="285">
        <f t="shared" si="21"/>
        <v>0</v>
      </c>
      <c r="ND13" s="2021"/>
      <c r="NE13" s="2021"/>
      <c r="NF13" s="2021"/>
      <c r="NG13" s="2021"/>
      <c r="NH13" s="1017"/>
      <c r="NI13" s="1017"/>
      <c r="NJ13" s="1017"/>
      <c r="NK13" s="2019" t="s">
        <v>103</v>
      </c>
      <c r="NL13" s="2019"/>
      <c r="NM13" s="2019"/>
      <c r="NN13" s="2019"/>
      <c r="NO13" s="285">
        <f>(NO10+NO11-NO12)</f>
        <v>20.899999999999942</v>
      </c>
      <c r="NP13" s="285">
        <f t="shared" ref="NP13:OF13" si="22">(NP10+NP11-NP12)</f>
        <v>1.7200000000000002</v>
      </c>
      <c r="NQ13" s="285">
        <f t="shared" si="22"/>
        <v>0</v>
      </c>
      <c r="NR13" s="285">
        <f t="shared" si="22"/>
        <v>0</v>
      </c>
      <c r="NS13" s="285">
        <f t="shared" si="22"/>
        <v>0</v>
      </c>
      <c r="NT13" s="285">
        <f t="shared" si="22"/>
        <v>0</v>
      </c>
      <c r="NU13" s="285">
        <f t="shared" si="22"/>
        <v>0</v>
      </c>
      <c r="NV13" s="285">
        <f t="shared" si="22"/>
        <v>0.2200000000000002</v>
      </c>
      <c r="NW13" s="285">
        <f t="shared" si="22"/>
        <v>-0.76000000000000023</v>
      </c>
      <c r="NX13" s="285">
        <f t="shared" si="22"/>
        <v>0.22350000000000017</v>
      </c>
      <c r="NY13" s="285">
        <f t="shared" si="22"/>
        <v>4.4999999999995044E-3</v>
      </c>
      <c r="NZ13" s="285">
        <f t="shared" si="22"/>
        <v>0.32350000000000023</v>
      </c>
      <c r="OA13" s="285">
        <f t="shared" si="22"/>
        <v>0</v>
      </c>
      <c r="OB13" s="285">
        <f t="shared" si="22"/>
        <v>0</v>
      </c>
      <c r="OC13" s="285">
        <f t="shared" si="22"/>
        <v>14.044999999999998</v>
      </c>
      <c r="OD13" s="285">
        <f t="shared" si="22"/>
        <v>2.2139999999999977</v>
      </c>
      <c r="OE13" s="285">
        <f t="shared" si="22"/>
        <v>0.39080000000000126</v>
      </c>
      <c r="OF13" s="285">
        <f t="shared" si="22"/>
        <v>0</v>
      </c>
      <c r="OG13" s="2021"/>
      <c r="OH13" s="2021"/>
      <c r="OI13" s="2021"/>
      <c r="OJ13" s="2021"/>
    </row>
    <row r="14" spans="1:461" ht="29.25" customHeight="1" x14ac:dyDescent="0.45">
      <c r="B14" s="2038" t="s">
        <v>207</v>
      </c>
      <c r="C14" s="2037"/>
      <c r="D14" s="2037"/>
      <c r="E14" s="2037"/>
      <c r="F14" s="2037"/>
      <c r="G14" s="2037"/>
      <c r="H14" s="2037"/>
      <c r="I14" s="2037"/>
      <c r="J14" s="2037"/>
      <c r="K14" s="2037"/>
      <c r="L14" s="2037"/>
      <c r="M14" s="2037"/>
      <c r="N14" s="2037"/>
      <c r="O14" s="2039"/>
      <c r="BA14" s="999">
        <v>1</v>
      </c>
      <c r="BB14" s="286">
        <f>DATE(BE6,INDEX({1,2,3,4,5,6,7,8,9,10,11,12},MATCH(BD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43922</v>
      </c>
      <c r="BC14" s="287">
        <f t="shared" ref="BC14:BC44" si="23">BB14</f>
        <v>43922</v>
      </c>
      <c r="BD14" s="288" t="str">
        <f>'दैनिक माहिती'!H9</f>
        <v>वाटाणा</v>
      </c>
      <c r="BE14" s="289">
        <f>'दैनिक माहिती'!E9</f>
        <v>22</v>
      </c>
      <c r="BF14" s="289">
        <f>'दैनिक माहिती'!F9</f>
        <v>22</v>
      </c>
      <c r="BG14" s="289">
        <f>'दैनिक माहिती'!G9</f>
        <v>22</v>
      </c>
      <c r="BH14" s="290">
        <f>$BH$9*BG14</f>
        <v>2.2000000000000002</v>
      </c>
      <c r="BI14" s="290">
        <f>IF(BD14=$BI$7,$BI$9*BG14,0)</f>
        <v>0</v>
      </c>
      <c r="BJ14" s="290">
        <f>IF(BD14=$BJ$7,$BJ$9*BG14,0)</f>
        <v>0</v>
      </c>
      <c r="BK14" s="290">
        <f>IF(BD14=$BK$7,$BK$9*BG14,0)</f>
        <v>0</v>
      </c>
      <c r="BL14" s="290">
        <f>IF(BD14=$BL$7,$BL$9*BG14,0)</f>
        <v>0</v>
      </c>
      <c r="BM14" s="290">
        <f>IF(BD14=$BM$7,$BM$9*BG14,0)</f>
        <v>0</v>
      </c>
      <c r="BN14" s="290">
        <f>IF(BD14=$BN$7,$BN$9*BG14,0)</f>
        <v>0</v>
      </c>
      <c r="BO14" s="290">
        <f>IF(BD14=$BO$7,$BO$9*BG14,0)</f>
        <v>0</v>
      </c>
      <c r="BP14" s="290">
        <f>IF(BD14=$BP$7,$BP$9*BG14,0)</f>
        <v>0.44</v>
      </c>
      <c r="BQ14" s="290">
        <f>$BQ$9*BG14</f>
        <v>6.5999999999999991E-3</v>
      </c>
      <c r="BR14" s="290">
        <f>$BR$9*BG14</f>
        <v>1.0999999999999999E-2</v>
      </c>
      <c r="BS14" s="290">
        <f>$BS$9*BG14</f>
        <v>6.5999999999999991E-3</v>
      </c>
      <c r="BT14" s="290">
        <f>$BT$9*BG14</f>
        <v>0</v>
      </c>
      <c r="BU14" s="290">
        <f>$BU$9*BG14</f>
        <v>0</v>
      </c>
      <c r="BV14" s="290">
        <f>$BV$9*BG14</f>
        <v>0.11</v>
      </c>
      <c r="BW14" s="290">
        <f>$BW$9*BG14</f>
        <v>4.3999999999999997E-2</v>
      </c>
      <c r="BX14" s="290">
        <f>$BX$9*BG14</f>
        <v>2.6399999999999996E-2</v>
      </c>
      <c r="BY14" s="290">
        <f>$BY$9*BG14</f>
        <v>0</v>
      </c>
      <c r="BZ14" s="291">
        <f>$BZ$9*BG14</f>
        <v>15.84</v>
      </c>
      <c r="CA14" s="291">
        <f>$CA$9*BG14</f>
        <v>14.08</v>
      </c>
      <c r="CB14" s="291">
        <f>$CB$9*BG14</f>
        <v>11.66</v>
      </c>
      <c r="CC14" s="292">
        <f>$CC$9*BG14</f>
        <v>58.96</v>
      </c>
      <c r="CD14" s="999">
        <v>1</v>
      </c>
      <c r="CE14" s="286">
        <f>DATE(CH6,INDEX({1,2,3,4,5,6,7,8,9,10,11,12},MATCH(CG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43952</v>
      </c>
      <c r="CF14" s="287">
        <f t="shared" ref="CF14:CF44" si="24">CE14</f>
        <v>43952</v>
      </c>
      <c r="CG14" s="288">
        <f>'दैनिक माहिती'!H40</f>
        <v>0</v>
      </c>
      <c r="CH14" s="289">
        <f>'दैनिक माहिती'!E40</f>
        <v>0</v>
      </c>
      <c r="CI14" s="289">
        <f>'दैनिक माहिती'!F40</f>
        <v>0</v>
      </c>
      <c r="CJ14" s="289">
        <f>'दैनिक माहिती'!G40</f>
        <v>0</v>
      </c>
      <c r="CK14" s="290">
        <f>$CK$9*CJ14</f>
        <v>0</v>
      </c>
      <c r="CL14" s="290">
        <f>IF(CG14=$CL$7,$CL$9*CJ14,0)</f>
        <v>0</v>
      </c>
      <c r="CM14" s="290">
        <f>IF(CG14=$CM$7,$CM$9*CJ14,0)</f>
        <v>0</v>
      </c>
      <c r="CN14" s="290">
        <f>IF(CG14=$CN$7,$CN$9*CJ14,0)</f>
        <v>0</v>
      </c>
      <c r="CO14" s="290">
        <f>IF(CG14=$CO$7,$CO$9*CJ14,0)</f>
        <v>0</v>
      </c>
      <c r="CP14" s="290">
        <f>IF(CG14=$CP$7,$CP$9*CJ14,0)</f>
        <v>0</v>
      </c>
      <c r="CQ14" s="290">
        <f>IF(CG14=$CQ$7,$CQ$9*CJ14,0)</f>
        <v>0</v>
      </c>
      <c r="CR14" s="290">
        <f>IF(CG14=$CR$7,$CR$9*CJ14,0)</f>
        <v>0</v>
      </c>
      <c r="CS14" s="290">
        <f>IF(CG14=$CS$7,$CS$9*CJ14,0)</f>
        <v>0</v>
      </c>
      <c r="CT14" s="290">
        <f>$CT$9*CJ14</f>
        <v>0</v>
      </c>
      <c r="CU14" s="290">
        <f>$CU$9*CJ14</f>
        <v>0</v>
      </c>
      <c r="CV14" s="290">
        <f>$CV$9*CJ14</f>
        <v>0</v>
      </c>
      <c r="CW14" s="290">
        <f>$CW$9*CJ14</f>
        <v>0</v>
      </c>
      <c r="CX14" s="290">
        <f>$CX$9*CJ14</f>
        <v>0</v>
      </c>
      <c r="CY14" s="290">
        <f>$CY$9*CJ14</f>
        <v>0</v>
      </c>
      <c r="CZ14" s="290">
        <f>$CZ$9*CJ14</f>
        <v>0</v>
      </c>
      <c r="DA14" s="290">
        <f>$DA$9*CJ14</f>
        <v>0</v>
      </c>
      <c r="DB14" s="290">
        <f>$DB$9*CJ14</f>
        <v>0</v>
      </c>
      <c r="DC14" s="291">
        <f>$DC$9*CJ14</f>
        <v>0</v>
      </c>
      <c r="DD14" s="291">
        <f>$DD$9*CJ14</f>
        <v>0</v>
      </c>
      <c r="DE14" s="291">
        <f>$DE$9*CJ14</f>
        <v>0</v>
      </c>
      <c r="DF14" s="292">
        <f>$DF$9*CJ14</f>
        <v>0</v>
      </c>
      <c r="DG14" s="999">
        <v>1</v>
      </c>
      <c r="DH14" s="286">
        <f>DATE(DK6,INDEX({1,2,3,4,5,6,7,8,9,10,11,12},MATCH(DJ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43983</v>
      </c>
      <c r="DI14" s="287">
        <f t="shared" ref="DI14:DI44" si="25">DH14</f>
        <v>43983</v>
      </c>
      <c r="DJ14" s="288">
        <f>'दैनिक माहिती'!H72</f>
        <v>0</v>
      </c>
      <c r="DK14" s="289">
        <f>'दैनिक माहिती'!E72</f>
        <v>0</v>
      </c>
      <c r="DL14" s="289">
        <f>'दैनिक माहिती'!F72</f>
        <v>0</v>
      </c>
      <c r="DM14" s="289">
        <f>'दैनिक माहिती'!G72</f>
        <v>0</v>
      </c>
      <c r="DN14" s="290">
        <f>$DN$9*DM14</f>
        <v>0</v>
      </c>
      <c r="DO14" s="290">
        <f>IF(DJ14=$DO$7,$DO$9*DM14,0)</f>
        <v>0</v>
      </c>
      <c r="DP14" s="290">
        <f>IF(DJ14=$DP$7,$DP$9*DM14,0)</f>
        <v>0</v>
      </c>
      <c r="DQ14" s="290">
        <f>IF(DJ14=$DQ$7,$DQ$9*DM14,0)</f>
        <v>0</v>
      </c>
      <c r="DR14" s="290">
        <f>IF(DJ14=$DR$7,$DR$9*DM14,0)</f>
        <v>0</v>
      </c>
      <c r="DS14" s="290">
        <f>IF(DJ14=$DS$7,$DS$9*DM14,0)</f>
        <v>0</v>
      </c>
      <c r="DT14" s="290">
        <f>IF(DJ14=$DT$7,$DT$9*DM14,0)</f>
        <v>0</v>
      </c>
      <c r="DU14" s="290">
        <f>IF(DJ14=$DU$7,$DU$9*DM14,0)</f>
        <v>0</v>
      </c>
      <c r="DV14" s="290">
        <f>IF(DJ14=$DV$7,$DV$9*DM14,0)</f>
        <v>0</v>
      </c>
      <c r="DW14" s="290">
        <f>$DW$9*DM14</f>
        <v>0</v>
      </c>
      <c r="DX14" s="290">
        <f>$DX$9*DM14</f>
        <v>0</v>
      </c>
      <c r="DY14" s="290">
        <f>$DY$9*DM14</f>
        <v>0</v>
      </c>
      <c r="DZ14" s="290">
        <f>$DZ$9*DM14</f>
        <v>0</v>
      </c>
      <c r="EA14" s="290">
        <f>$EA$9*DM14</f>
        <v>0</v>
      </c>
      <c r="EB14" s="290">
        <f>$EB$9*DM14</f>
        <v>0</v>
      </c>
      <c r="EC14" s="290">
        <f>$EC$9*DM14</f>
        <v>0</v>
      </c>
      <c r="ED14" s="290">
        <f>$ED$9*DM14</f>
        <v>0</v>
      </c>
      <c r="EE14" s="290">
        <f>$EE$9*DM14</f>
        <v>0</v>
      </c>
      <c r="EF14" s="291">
        <f>$EF$9*DM14</f>
        <v>0</v>
      </c>
      <c r="EG14" s="291">
        <f>$EG$9*DM14</f>
        <v>0</v>
      </c>
      <c r="EH14" s="291">
        <f>$EH$9*DM14</f>
        <v>0</v>
      </c>
      <c r="EI14" s="292">
        <f>$EI$9*DM14</f>
        <v>0</v>
      </c>
      <c r="EJ14" s="999">
        <v>1</v>
      </c>
      <c r="EK14" s="286">
        <f>DATE(EN6,INDEX({1,2,3,4,5,6,7,8,9,10,11,12},MATCH(EM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44013</v>
      </c>
      <c r="EL14" s="287">
        <f t="shared" ref="EL14:EL44" si="26">EK14</f>
        <v>44013</v>
      </c>
      <c r="EM14" s="288" t="str">
        <f>'दैनिक माहिती'!H103</f>
        <v>वाटाणा</v>
      </c>
      <c r="EN14" s="289">
        <f>'दैनिक माहिती'!E103</f>
        <v>17</v>
      </c>
      <c r="EO14" s="289">
        <f>'दैनिक माहिती'!F103</f>
        <v>17</v>
      </c>
      <c r="EP14" s="289">
        <f>'दैनिक माहिती'!G103</f>
        <v>17</v>
      </c>
      <c r="EQ14" s="290">
        <f>$EQ$9*EP14</f>
        <v>1.7000000000000002</v>
      </c>
      <c r="ER14" s="290">
        <f>IF(EM14=$ER$7,$ER$9*EP14,0)</f>
        <v>0</v>
      </c>
      <c r="ES14" s="290">
        <f>IF(EM14=$ES$7,$ES$9*EP14,0)</f>
        <v>0</v>
      </c>
      <c r="ET14" s="290">
        <f>IF(EM14=$ET$7,$ET$9*EP14,0)</f>
        <v>0</v>
      </c>
      <c r="EU14" s="290">
        <f>IF(EM14=$EU$7,$EU$9*EP14,0)</f>
        <v>0</v>
      </c>
      <c r="EV14" s="290">
        <f>IF(EM14=$EV$7,$EV$9*EP14,0)</f>
        <v>0</v>
      </c>
      <c r="EW14" s="290">
        <f>IF(EM14=$EW$7,$EW$9*EP14,0)</f>
        <v>0</v>
      </c>
      <c r="EX14" s="290">
        <f>IF(EM14=$EX$7,$EX$9*EP14,0)</f>
        <v>0</v>
      </c>
      <c r="EY14" s="290">
        <f>IF(EM14=$EY$7,$EY$9*EP14,0)</f>
        <v>0.34</v>
      </c>
      <c r="EZ14" s="290">
        <f>$EZ$9*EP14</f>
        <v>5.0999999999999995E-3</v>
      </c>
      <c r="FA14" s="290">
        <f>$FA$9*EP14</f>
        <v>8.5000000000000006E-3</v>
      </c>
      <c r="FB14" s="290">
        <f>$FB$9*EP14</f>
        <v>5.0999999999999995E-3</v>
      </c>
      <c r="FC14" s="290">
        <f>$FC$9*EP14</f>
        <v>0</v>
      </c>
      <c r="FD14" s="290">
        <f>$FD$9*EP14</f>
        <v>0</v>
      </c>
      <c r="FE14" s="290">
        <f>$FE$9*EP14</f>
        <v>8.5000000000000006E-2</v>
      </c>
      <c r="FF14" s="290">
        <f>$FF$9*EP14</f>
        <v>3.4000000000000002E-2</v>
      </c>
      <c r="FG14" s="290">
        <f>$FG$9*EP14</f>
        <v>2.0399999999999998E-2</v>
      </c>
      <c r="FH14" s="290">
        <f>$FH$9*EP14</f>
        <v>0</v>
      </c>
      <c r="FI14" s="291">
        <f>$FI$9*EP14</f>
        <v>12.24</v>
      </c>
      <c r="FJ14" s="291">
        <f>$FJ$9*EP14</f>
        <v>10.88</v>
      </c>
      <c r="FK14" s="291">
        <f>$FK$9*EP14</f>
        <v>9.01</v>
      </c>
      <c r="FL14" s="292">
        <f>$FL$9*EP14</f>
        <v>45.56</v>
      </c>
      <c r="FM14" s="999">
        <v>1</v>
      </c>
      <c r="FN14" s="286">
        <f>DATE(FQ6,INDEX({1,2,3,4,5,6,7,8,9,10,11,12},MATCH(FP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44044</v>
      </c>
      <c r="FO14" s="287">
        <f t="shared" ref="FO14:FO44" si="27">FN14</f>
        <v>44044</v>
      </c>
      <c r="FP14" s="288" t="str">
        <f>'दैनिक माहिती'!H135</f>
        <v>मुगडाळ</v>
      </c>
      <c r="FQ14" s="289">
        <f>'दैनिक माहिती'!E135</f>
        <v>15</v>
      </c>
      <c r="FR14" s="289">
        <f>'दैनिक माहिती'!F135</f>
        <v>15</v>
      </c>
      <c r="FS14" s="289">
        <f>'दैनिक माहिती'!G135</f>
        <v>15</v>
      </c>
      <c r="FT14" s="290">
        <f>$FT$9*FS14</f>
        <v>1.5</v>
      </c>
      <c r="FU14" s="290">
        <f>IF(FP14=$FU$7,$FU$9*FS14,0)</f>
        <v>0.3</v>
      </c>
      <c r="FV14" s="290">
        <f>IF(FP14=$FV$7,$FV$9*FS14,0)</f>
        <v>0</v>
      </c>
      <c r="FW14" s="290">
        <f>IF(FP14=$FW$7,$FW$9*FS14,0)</f>
        <v>0</v>
      </c>
      <c r="FX14" s="290">
        <f>IF(FP14=$FX$7,$FX$9*FS14,0)</f>
        <v>0</v>
      </c>
      <c r="FY14" s="290">
        <f>IF(FP14=$FY$7,$FY$9*FS14,0)</f>
        <v>0</v>
      </c>
      <c r="FZ14" s="290">
        <f>IF(FP14=$FZ$7,$FZ$9*FS14,0)</f>
        <v>0</v>
      </c>
      <c r="GA14" s="290">
        <f>IF(FP14=$GA$7,$GA$9*FS14,0)</f>
        <v>0</v>
      </c>
      <c r="GB14" s="290">
        <f>IF(FP14=$GB$7,$GB$9*FS14,0)</f>
        <v>0</v>
      </c>
      <c r="GC14" s="290">
        <f>$GC$9*FS14</f>
        <v>4.4999999999999997E-3</v>
      </c>
      <c r="GD14" s="290">
        <f>$GD$9*FS14</f>
        <v>7.4999999999999997E-3</v>
      </c>
      <c r="GE14" s="290">
        <f>$GE$9*FS14</f>
        <v>4.4999999999999997E-3</v>
      </c>
      <c r="GF14" s="290">
        <f>$GF$9*FS14</f>
        <v>0</v>
      </c>
      <c r="GG14" s="290">
        <f>$GG$9*FS14</f>
        <v>0</v>
      </c>
      <c r="GH14" s="290">
        <f>$GH$9*FS14</f>
        <v>7.4999999999999997E-2</v>
      </c>
      <c r="GI14" s="290">
        <f>$GI$9*FS14</f>
        <v>0.03</v>
      </c>
      <c r="GJ14" s="290">
        <f>$GJ$9*FS14</f>
        <v>1.7999999999999999E-2</v>
      </c>
      <c r="GK14" s="290">
        <f>$GK$9*FS14</f>
        <v>0</v>
      </c>
      <c r="GL14" s="291">
        <f>$GL$9*FS14</f>
        <v>10.799999999999999</v>
      </c>
      <c r="GM14" s="291">
        <f>$GM$9*FS14</f>
        <v>9.6</v>
      </c>
      <c r="GN14" s="291">
        <f>$GN$9*FS14</f>
        <v>7.95</v>
      </c>
      <c r="GO14" s="292">
        <f>$GO$9*FS14</f>
        <v>40.200000000000003</v>
      </c>
      <c r="GP14" s="999">
        <v>1</v>
      </c>
      <c r="GQ14" s="286">
        <f>DATE(GT6,INDEX({1,2,3,4,5,6,7,8,9,10,11,12},MATCH(GS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44075</v>
      </c>
      <c r="GR14" s="287">
        <f t="shared" ref="GR14:GR44" si="28">GQ14</f>
        <v>44075</v>
      </c>
      <c r="GS14" s="288" t="str">
        <f>'दैनिक माहिती'!H167</f>
        <v>हरभरा</v>
      </c>
      <c r="GT14" s="289">
        <f>'दैनिक माहिती'!E167</f>
        <v>15</v>
      </c>
      <c r="GU14" s="289">
        <f>'दैनिक माहिती'!F167</f>
        <v>15</v>
      </c>
      <c r="GV14" s="289">
        <f>'दैनिक माहिती'!G167</f>
        <v>15</v>
      </c>
      <c r="GW14" s="290">
        <f>$GW$9*GV14</f>
        <v>1.5</v>
      </c>
      <c r="GX14" s="290">
        <f>IF(GS14=$GX$7,$GX$9*GV14,0)</f>
        <v>0</v>
      </c>
      <c r="GY14" s="290">
        <f>IF(GS14=$GY$7,$GY$9*GV14,0)</f>
        <v>0</v>
      </c>
      <c r="GZ14" s="290">
        <f>IF(GS14=$GZ$7,$GZ$9*GV14,0)</f>
        <v>0</v>
      </c>
      <c r="HA14" s="290">
        <f>IF(GS14=$HA$7,$HA$9*GV14,0)</f>
        <v>0</v>
      </c>
      <c r="HB14" s="290">
        <f>IF(GS14=$HB$7,$HB$9*GV14,0)</f>
        <v>0</v>
      </c>
      <c r="HC14" s="290">
        <f>IF(GS14=$HC$7,$HC$9*GV14,0)</f>
        <v>0</v>
      </c>
      <c r="HD14" s="290">
        <f>IF(GS14=$HD$7,$HD$9*GV14,0)</f>
        <v>0.3</v>
      </c>
      <c r="HE14" s="290">
        <f>IF(GS14=$HE$7,$HE$9*GV14,0)</f>
        <v>0</v>
      </c>
      <c r="HF14" s="290">
        <f>$HF$9*GV14</f>
        <v>4.4999999999999997E-3</v>
      </c>
      <c r="HG14" s="290">
        <f>$HG$9*GV14</f>
        <v>7.4999999999999997E-3</v>
      </c>
      <c r="HH14" s="290">
        <f>$HH$9*GV14</f>
        <v>4.4999999999999997E-3</v>
      </c>
      <c r="HI14" s="290">
        <f>$HI$9*GV14</f>
        <v>0</v>
      </c>
      <c r="HJ14" s="290">
        <f>$HJ$9*GV14</f>
        <v>0</v>
      </c>
      <c r="HK14" s="290">
        <f>$HK$9*GV14</f>
        <v>7.4999999999999997E-2</v>
      </c>
      <c r="HL14" s="290">
        <f>$HL$9*GV14</f>
        <v>0.03</v>
      </c>
      <c r="HM14" s="290">
        <f>$HM$9*GV14</f>
        <v>1.7999999999999999E-2</v>
      </c>
      <c r="HN14" s="290">
        <f>$HN$9*GV14</f>
        <v>0</v>
      </c>
      <c r="HO14" s="291">
        <f>$HO$9*GV14</f>
        <v>10.799999999999999</v>
      </c>
      <c r="HP14" s="291">
        <f>$HP$9*GV14</f>
        <v>9.6</v>
      </c>
      <c r="HQ14" s="291">
        <f>$HQ$9*GV14</f>
        <v>7.95</v>
      </c>
      <c r="HR14" s="292">
        <f>$HR$9*GV14</f>
        <v>40.200000000000003</v>
      </c>
      <c r="HS14" s="999">
        <v>1</v>
      </c>
      <c r="HT14" s="286">
        <f>DATE(HW6,INDEX({1,2,3,4,5,6,7,8,9,10,11,12},MATCH(HV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44105</v>
      </c>
      <c r="HU14" s="287">
        <f t="shared" ref="HU14:HU44" si="29">HT14</f>
        <v>44105</v>
      </c>
      <c r="HV14" s="288" t="str">
        <f>'दैनिक माहिती'!H198</f>
        <v>मुगडाळ</v>
      </c>
      <c r="HW14" s="289">
        <f>'दैनिक माहिती'!E198</f>
        <v>22</v>
      </c>
      <c r="HX14" s="289">
        <f>'दैनिक माहिती'!F198</f>
        <v>22</v>
      </c>
      <c r="HY14" s="289">
        <f>'दैनिक माहिती'!G198</f>
        <v>22</v>
      </c>
      <c r="HZ14" s="290">
        <f>$HZ$9*HY14</f>
        <v>2.2000000000000002</v>
      </c>
      <c r="IA14" s="290">
        <f>IF(HV14=$IA$7,$IA$9*HY14,0)</f>
        <v>0.44</v>
      </c>
      <c r="IB14" s="290">
        <f>IF(HV14=$IB$7,$IB$9*HY14,0)</f>
        <v>0</v>
      </c>
      <c r="IC14" s="290">
        <f>IF(HV14=$IC$7,$IC$9*HY14,0)</f>
        <v>0</v>
      </c>
      <c r="ID14" s="290">
        <f>IF(HV14=$ID$7,$ID$9*HY14,0)</f>
        <v>0</v>
      </c>
      <c r="IE14" s="290">
        <f>IF(HV14=$IE$7,$IE$9*HY14,0)</f>
        <v>0</v>
      </c>
      <c r="IF14" s="290">
        <f>IF(HV14=$IF$7,$IF$9*HY14,0)</f>
        <v>0</v>
      </c>
      <c r="IG14" s="290">
        <f>IF(HV14=$IG$7,$IG$9*HY14,0)</f>
        <v>0</v>
      </c>
      <c r="IH14" s="290">
        <f>IF(HV14=$IH$7,$IH$9*HY14,0)</f>
        <v>0</v>
      </c>
      <c r="II14" s="290">
        <f>$II$9*HY14</f>
        <v>6.5999999999999991E-3</v>
      </c>
      <c r="IJ14" s="290">
        <f>$IJ$9*HY14</f>
        <v>1.0999999999999999E-2</v>
      </c>
      <c r="IK14" s="290">
        <f>$IK$9*HY14</f>
        <v>6.5999999999999991E-3</v>
      </c>
      <c r="IL14" s="290">
        <f>$IL$9*HY14</f>
        <v>0</v>
      </c>
      <c r="IM14" s="290">
        <f>$IM$9*HY14</f>
        <v>0</v>
      </c>
      <c r="IN14" s="290">
        <f>$IN$9*HY14</f>
        <v>0.11</v>
      </c>
      <c r="IO14" s="290">
        <f>$IO$9*HY14</f>
        <v>4.3999999999999997E-2</v>
      </c>
      <c r="IP14" s="290">
        <f>$IP$9*HY14</f>
        <v>2.6399999999999996E-2</v>
      </c>
      <c r="IQ14" s="290">
        <f>$IQ$9*HY14</f>
        <v>0</v>
      </c>
      <c r="IR14" s="291">
        <f>$IR$9*HY14</f>
        <v>15.62</v>
      </c>
      <c r="IS14" s="291">
        <f>$IS$9*HY14</f>
        <v>17.380000000000003</v>
      </c>
      <c r="IT14" s="291">
        <f>$IT$9*HY14</f>
        <v>12.76</v>
      </c>
      <c r="IU14" s="292">
        <f>$IU$9*HY14</f>
        <v>63.14</v>
      </c>
      <c r="IV14" s="999">
        <v>1</v>
      </c>
      <c r="IW14" s="286">
        <f>DATE(IZ6,INDEX({1,2,3,4,5,6,7,8,9,10,11,12},MATCH(IY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44136</v>
      </c>
      <c r="IX14" s="287">
        <f t="shared" ref="IX14:IX44" si="30">IW14</f>
        <v>44136</v>
      </c>
      <c r="IY14" s="288">
        <f>'दैनिक माहिती'!H230</f>
        <v>0</v>
      </c>
      <c r="IZ14" s="289">
        <f>'दैनिक माहिती'!E230</f>
        <v>0</v>
      </c>
      <c r="JA14" s="289">
        <f>'दैनिक माहिती'!F230</f>
        <v>0</v>
      </c>
      <c r="JB14" s="289">
        <f>'दैनिक माहिती'!G230</f>
        <v>0</v>
      </c>
      <c r="JC14" s="290">
        <f>$JC$9*JB14</f>
        <v>0</v>
      </c>
      <c r="JD14" s="290">
        <f>IF(IY14=$JD$7,$JD$9*JB14,0)</f>
        <v>0</v>
      </c>
      <c r="JE14" s="290">
        <f>IF(IY14=$JE$7,$JE$9*JB14,0)</f>
        <v>0</v>
      </c>
      <c r="JF14" s="290">
        <f>IF(IY14=$JF$7,$JF$9*JB14,0)</f>
        <v>0</v>
      </c>
      <c r="JG14" s="290">
        <f>IF(IY14=$JG$7,$JG$9*JB14,0)</f>
        <v>0</v>
      </c>
      <c r="JH14" s="290">
        <f>IF(IY14=$JH$7,$JH$9*JB14,0)</f>
        <v>0</v>
      </c>
      <c r="JI14" s="290">
        <f>IF(IY14=$JI$7,$JI$9*JB14,0)</f>
        <v>0</v>
      </c>
      <c r="JJ14" s="290">
        <f>IF(IY14=$JJ$7,$JJ$9*JB14,0)</f>
        <v>0</v>
      </c>
      <c r="JK14" s="290">
        <f>IF(IY14=$JK$7,$JK$9*JB14,0)</f>
        <v>0</v>
      </c>
      <c r="JL14" s="290">
        <f>$JL$9*JB14</f>
        <v>0</v>
      </c>
      <c r="JM14" s="290">
        <f>$JM$9*JB14</f>
        <v>0</v>
      </c>
      <c r="JN14" s="290">
        <f>$JN$9*JB14</f>
        <v>0</v>
      </c>
      <c r="JO14" s="290">
        <f>$JO$9*JB14</f>
        <v>0</v>
      </c>
      <c r="JP14" s="290">
        <f>$JP$9*JB14</f>
        <v>0</v>
      </c>
      <c r="JQ14" s="290">
        <f>$JQ$9*JB14</f>
        <v>0</v>
      </c>
      <c r="JR14" s="290">
        <f>$JR$9*JB14</f>
        <v>0</v>
      </c>
      <c r="JS14" s="290">
        <f>$JS$9*JB14</f>
        <v>0</v>
      </c>
      <c r="JT14" s="290">
        <f>$JT$9*JB14</f>
        <v>0</v>
      </c>
      <c r="JU14" s="291">
        <f>$JU$9*JB14</f>
        <v>0</v>
      </c>
      <c r="JV14" s="291">
        <f>$JV$9*JB14</f>
        <v>0</v>
      </c>
      <c r="JW14" s="291">
        <f>$JW$9*JB14</f>
        <v>0</v>
      </c>
      <c r="JX14" s="292">
        <f>$JX$9*JB14</f>
        <v>0</v>
      </c>
      <c r="JY14" s="999">
        <v>1</v>
      </c>
      <c r="JZ14" s="286">
        <f>DATE(KC6,INDEX({1,2,3,4,5,6,7,8,9,10,11,12},MATCH(KB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44166</v>
      </c>
      <c r="KA14" s="287">
        <f t="shared" ref="KA14:KA44" si="31">JZ14</f>
        <v>44166</v>
      </c>
      <c r="KB14" s="288" t="str">
        <f>'दैनिक माहिती'!H261</f>
        <v>हरभरा</v>
      </c>
      <c r="KC14" s="289">
        <f>'दैनिक माहिती'!E261</f>
        <v>22</v>
      </c>
      <c r="KD14" s="289">
        <f>'दैनिक माहिती'!F261</f>
        <v>22</v>
      </c>
      <c r="KE14" s="289">
        <f>'दैनिक माहिती'!G261</f>
        <v>22</v>
      </c>
      <c r="KF14" s="290">
        <f>$KF$9*KE14</f>
        <v>2.2000000000000002</v>
      </c>
      <c r="KG14" s="290">
        <f>IF(KB14=$KG$7,$KG$9*KE14,0)</f>
        <v>0</v>
      </c>
      <c r="KH14" s="290">
        <f>IF(KB14=$KH$7,$KH$9*KE14,0)</f>
        <v>0</v>
      </c>
      <c r="KI14" s="290">
        <f>IF(KB14=$KI$7,$KI$9*KE14,0)</f>
        <v>0</v>
      </c>
      <c r="KJ14" s="290">
        <f>IF(KB14=$KJ$7,$KJ$9*KE14,0)</f>
        <v>0</v>
      </c>
      <c r="KK14" s="290">
        <f>IF(KB14=$KK$7,$KK$9*KE14,0)</f>
        <v>0</v>
      </c>
      <c r="KL14" s="290">
        <f>IF(KB14=$KL$7,$KL$9*KE14,0)</f>
        <v>0</v>
      </c>
      <c r="KM14" s="290">
        <f>IF(KB14=$KM$7,$KM$9*KE14,0)</f>
        <v>0.44</v>
      </c>
      <c r="KN14" s="290">
        <f>IF(KB14=$KN$7,$KN$9*KE14,0)</f>
        <v>0</v>
      </c>
      <c r="KO14" s="290">
        <f>$KO$9*KE14</f>
        <v>6.5999999999999991E-3</v>
      </c>
      <c r="KP14" s="290">
        <f>$KP$9*KE14</f>
        <v>1.0999999999999999E-2</v>
      </c>
      <c r="KQ14" s="290">
        <f>$KQ$9*KE14</f>
        <v>6.5999999999999991E-3</v>
      </c>
      <c r="KR14" s="290">
        <f>$KR$9*KE14</f>
        <v>0</v>
      </c>
      <c r="KS14" s="290">
        <f>$KS$9*KE14</f>
        <v>0</v>
      </c>
      <c r="KT14" s="290">
        <f>$KT$9*KE14</f>
        <v>0.11</v>
      </c>
      <c r="KU14" s="290">
        <f>$KU$9*KE14</f>
        <v>4.3999999999999997E-2</v>
      </c>
      <c r="KV14" s="290">
        <f>$KV$9*KE14</f>
        <v>2.6399999999999996E-2</v>
      </c>
      <c r="KW14" s="290">
        <f>$KW$9*KE14</f>
        <v>0</v>
      </c>
      <c r="KX14" s="291">
        <f>$KX$9*KE14</f>
        <v>15.62</v>
      </c>
      <c r="KY14" s="291">
        <f>$KY$9*KE14</f>
        <v>17.380000000000003</v>
      </c>
      <c r="KZ14" s="291">
        <f>$KZ$9*KE14</f>
        <v>12.76</v>
      </c>
      <c r="LA14" s="292">
        <f>$LA$9*KE14</f>
        <v>63.14</v>
      </c>
      <c r="LB14" s="999">
        <v>1</v>
      </c>
      <c r="LC14" s="286">
        <f>DATE(LF6,INDEX({1,2,3,4,5,6,7,8,9,10,11,12},MATCH(LE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44197</v>
      </c>
      <c r="LD14" s="287">
        <f t="shared" ref="LD14:LD44" si="32">LC14</f>
        <v>44197</v>
      </c>
      <c r="LE14" s="288">
        <f>'दैनिक माहिती'!H293</f>
        <v>0</v>
      </c>
      <c r="LF14" s="289">
        <f>'दैनिक माहिती'!E293</f>
        <v>0</v>
      </c>
      <c r="LG14" s="289">
        <f>'दैनिक माहिती'!F293</f>
        <v>0</v>
      </c>
      <c r="LH14" s="289">
        <f>'दैनिक माहिती'!G293</f>
        <v>0</v>
      </c>
      <c r="LI14" s="290">
        <f>$LI$9*LH14</f>
        <v>0</v>
      </c>
      <c r="LJ14" s="290">
        <f>IF(LE14=$LJ$7,$LJ$9*LH14,0)</f>
        <v>0</v>
      </c>
      <c r="LK14" s="290">
        <f>IF(LE14=$LK$7,$LK$9*LH14,0)</f>
        <v>0</v>
      </c>
      <c r="LL14" s="290">
        <f>IF(LE14=$LL$7,$LL$9*LH14,0)</f>
        <v>0</v>
      </c>
      <c r="LM14" s="290">
        <f>IF(LE14=$LM$7,$LM$9*LH14,0)</f>
        <v>0</v>
      </c>
      <c r="LN14" s="290">
        <f>IF(LE14=$LN$7,$LN$9*LH14,0)</f>
        <v>0</v>
      </c>
      <c r="LO14" s="290">
        <f>IF(LE14=$LO$7,$LO$9*LH14,0)</f>
        <v>0</v>
      </c>
      <c r="LP14" s="290">
        <f>IF(LE14=$LP$7,$LP$9*LH14,0)</f>
        <v>0</v>
      </c>
      <c r="LQ14" s="290">
        <f>IF(LE14=$LQ$7,$LQ$9*LH14,0)</f>
        <v>0</v>
      </c>
      <c r="LR14" s="290">
        <f>$LR$9*LH14</f>
        <v>0</v>
      </c>
      <c r="LS14" s="290">
        <f>$LS$9*LH14</f>
        <v>0</v>
      </c>
      <c r="LT14" s="290">
        <f>$LT$9*LH14</f>
        <v>0</v>
      </c>
      <c r="LU14" s="290">
        <f>$LU$9*LH14</f>
        <v>0</v>
      </c>
      <c r="LV14" s="290">
        <f>$LV$9*LH14</f>
        <v>0</v>
      </c>
      <c r="LW14" s="290">
        <f>$LW$9*LH14</f>
        <v>0</v>
      </c>
      <c r="LX14" s="290">
        <f>$LX$9*LH14</f>
        <v>0</v>
      </c>
      <c r="LY14" s="290">
        <f>$LY$9*LH14</f>
        <v>0</v>
      </c>
      <c r="LZ14" s="290">
        <f>$LZ$9*LH14</f>
        <v>0</v>
      </c>
      <c r="MA14" s="291">
        <f>$MA$9*LH14</f>
        <v>0</v>
      </c>
      <c r="MB14" s="291">
        <f>$MB$9*LH14</f>
        <v>0</v>
      </c>
      <c r="MC14" s="291">
        <f>$MC$9*LH14</f>
        <v>0</v>
      </c>
      <c r="MD14" s="292">
        <f>$MD$9*LH14</f>
        <v>0</v>
      </c>
      <c r="ME14" s="999">
        <v>1</v>
      </c>
      <c r="MF14" s="286">
        <f>DATE(MI6,INDEX({1,2,3,4,5,6,7,8,9,10,11,12},MATCH(MH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44228</v>
      </c>
      <c r="MG14" s="287">
        <f t="shared" ref="MG14:MG44" si="33">MF14</f>
        <v>44228</v>
      </c>
      <c r="MH14" s="288">
        <f>'दैनिक माहिती'!H325</f>
        <v>0</v>
      </c>
      <c r="MI14" s="289">
        <f>'दैनिक माहिती'!E325</f>
        <v>0</v>
      </c>
      <c r="MJ14" s="289">
        <f>'दैनिक माहिती'!F325</f>
        <v>0</v>
      </c>
      <c r="MK14" s="289">
        <f>'दैनिक माहिती'!G325</f>
        <v>0</v>
      </c>
      <c r="ML14" s="290">
        <f>$ML$9*MK14</f>
        <v>0</v>
      </c>
      <c r="MM14" s="290">
        <f>IF(MH14=$MM$7,$MM$9*MK14,0)</f>
        <v>0</v>
      </c>
      <c r="MN14" s="290">
        <f>IF(MH14=$MN$7,$MN$9*MK14,0)</f>
        <v>0</v>
      </c>
      <c r="MO14" s="290">
        <f>IF(MH14=$MO$7,$MO$9*MK14,0)</f>
        <v>0</v>
      </c>
      <c r="MP14" s="290">
        <f>IF(MH14=$MP$7,$MP$9*MK14,0)</f>
        <v>0</v>
      </c>
      <c r="MQ14" s="290">
        <f>IF(MH14=$MQ$7,$MQ$9*MK14,0)</f>
        <v>0</v>
      </c>
      <c r="MR14" s="290">
        <f>IF(MH14=$MR$7,$MR$9*MK14,0)</f>
        <v>0</v>
      </c>
      <c r="MS14" s="290">
        <f>IF(MH14=$MS$7,$MS$9*MK14,0)</f>
        <v>0</v>
      </c>
      <c r="MT14" s="290">
        <f>IF(MH14=$MT$7,$MT$9*MK14,0)</f>
        <v>0</v>
      </c>
      <c r="MU14" s="290">
        <f>$MU$9*MK14</f>
        <v>0</v>
      </c>
      <c r="MV14" s="290">
        <f>$MV$9*MK14</f>
        <v>0</v>
      </c>
      <c r="MW14" s="290">
        <f>$MW$9*MK14</f>
        <v>0</v>
      </c>
      <c r="MX14" s="290">
        <f>$MX$9*MK14</f>
        <v>0</v>
      </c>
      <c r="MY14" s="290">
        <f>$MY$9*MK14</f>
        <v>0</v>
      </c>
      <c r="MZ14" s="290">
        <f>$MZ$9*MK14</f>
        <v>0</v>
      </c>
      <c r="NA14" s="290">
        <f>$NA$9*MK14</f>
        <v>0</v>
      </c>
      <c r="NB14" s="290">
        <f>$NB$9*MK14</f>
        <v>0</v>
      </c>
      <c r="NC14" s="290">
        <f>$NC$9*MK14</f>
        <v>0</v>
      </c>
      <c r="ND14" s="291">
        <f>$ND$9*MK14</f>
        <v>0</v>
      </c>
      <c r="NE14" s="291">
        <f>$NE$9*MK14</f>
        <v>0</v>
      </c>
      <c r="NF14" s="291">
        <f>$NF$9*MK14</f>
        <v>0</v>
      </c>
      <c r="NG14" s="292">
        <f>$NG$9*MK14</f>
        <v>0</v>
      </c>
      <c r="NH14" s="999">
        <v>1</v>
      </c>
      <c r="NI14" s="286">
        <f>DATE(NL6,INDEX({1,2,3,4,5,6,7,8,9,10,11,12},MATCH(NK6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44256</v>
      </c>
      <c r="NJ14" s="287">
        <f t="shared" ref="NJ14:NJ44" si="34">NI14</f>
        <v>44256</v>
      </c>
      <c r="NK14" s="288">
        <f>'दैनिक माहिती'!H355</f>
        <v>0</v>
      </c>
      <c r="NL14" s="289">
        <f>'दैनिक माहिती'!E355</f>
        <v>0</v>
      </c>
      <c r="NM14" s="289">
        <f>'दैनिक माहिती'!F355</f>
        <v>0</v>
      </c>
      <c r="NN14" s="289">
        <f>'दैनिक माहिती'!G355</f>
        <v>0</v>
      </c>
      <c r="NO14" s="290">
        <f>$NO$9*NN14</f>
        <v>0</v>
      </c>
      <c r="NP14" s="290">
        <f>IF(NK14=$NP$7,$NP$9*NN14,0)</f>
        <v>0</v>
      </c>
      <c r="NQ14" s="290">
        <f>IF(NK14=$NQ$7,$NQ$9*NN14,0)</f>
        <v>0</v>
      </c>
      <c r="NR14" s="290">
        <f>IF(NK14=$NR$7,$NR$9*NN14,0)</f>
        <v>0</v>
      </c>
      <c r="NS14" s="290">
        <f>IF(NK14=$NS$7,$NS$9*NN14,0)</f>
        <v>0</v>
      </c>
      <c r="NT14" s="290">
        <f>IF(NK14=$NT$7,$NT$9*NN14,0)</f>
        <v>0</v>
      </c>
      <c r="NU14" s="290">
        <f>IF(NK14=$NU$7,$NU$9*NN14,0)</f>
        <v>0</v>
      </c>
      <c r="NV14" s="290">
        <f>IF(NK14=$NV$7,$NV$9*NN14,0)</f>
        <v>0</v>
      </c>
      <c r="NW14" s="290">
        <f>IF(NK14=$NW$7,$NW$9*NN14,0)</f>
        <v>0</v>
      </c>
      <c r="NX14" s="290">
        <f>$NX$9*NN14</f>
        <v>0</v>
      </c>
      <c r="NY14" s="290">
        <f>$NY$9*NN14</f>
        <v>0</v>
      </c>
      <c r="NZ14" s="290">
        <f>$NZ$9*NN14</f>
        <v>0</v>
      </c>
      <c r="OA14" s="290">
        <f>$OA$9*NN14</f>
        <v>0</v>
      </c>
      <c r="OB14" s="290">
        <f>$OB$9*NN14</f>
        <v>0</v>
      </c>
      <c r="OC14" s="290">
        <f>$OC$9*NN14</f>
        <v>0</v>
      </c>
      <c r="OD14" s="290">
        <f>$OD$9*NN14</f>
        <v>0</v>
      </c>
      <c r="OE14" s="290">
        <f>$OE$9*NN14</f>
        <v>0</v>
      </c>
      <c r="OF14" s="290">
        <f>$OF$9*NN14</f>
        <v>0</v>
      </c>
      <c r="OG14" s="291">
        <f>$OG$9*NN14</f>
        <v>0</v>
      </c>
      <c r="OH14" s="291">
        <f>$OH$9*NN14</f>
        <v>0</v>
      </c>
      <c r="OI14" s="291">
        <f>$OI$9*NN14</f>
        <v>0</v>
      </c>
      <c r="OJ14" s="292">
        <f>$OJ$9*NN14</f>
        <v>0</v>
      </c>
    </row>
    <row r="15" spans="1:461" ht="29.25" customHeight="1" x14ac:dyDescent="0.3">
      <c r="B15" s="2040" t="s">
        <v>86</v>
      </c>
      <c r="C15" s="2041" t="s">
        <v>208</v>
      </c>
      <c r="D15" s="2041"/>
      <c r="E15" s="2041"/>
      <c r="F15" s="2042" t="s">
        <v>209</v>
      </c>
      <c r="G15" s="2042"/>
      <c r="H15" s="2042" t="s">
        <v>210</v>
      </c>
      <c r="I15" s="2042"/>
      <c r="J15" s="2047" t="s">
        <v>112</v>
      </c>
      <c r="K15" s="2049" t="s">
        <v>294</v>
      </c>
      <c r="L15" s="2042" t="s">
        <v>181</v>
      </c>
      <c r="M15" s="2042"/>
      <c r="N15" s="2042" t="s">
        <v>162</v>
      </c>
      <c r="O15" s="2043"/>
      <c r="BA15" s="999">
        <v>2</v>
      </c>
      <c r="BB15" s="286">
        <f>BB14+1</f>
        <v>43923</v>
      </c>
      <c r="BC15" s="293">
        <f t="shared" si="23"/>
        <v>43923</v>
      </c>
      <c r="BD15" s="288">
        <f>'दैनिक माहिती'!H10</f>
        <v>0</v>
      </c>
      <c r="BE15" s="289">
        <f>'दैनिक माहिती'!E10</f>
        <v>0</v>
      </c>
      <c r="BF15" s="289">
        <f>'दैनिक माहिती'!F10</f>
        <v>0</v>
      </c>
      <c r="BG15" s="289">
        <f>'दैनिक माहिती'!G10</f>
        <v>0</v>
      </c>
      <c r="BH15" s="290">
        <f t="shared" ref="BH15:BH44" si="35">$BH$9*BG15</f>
        <v>0</v>
      </c>
      <c r="BI15" s="290">
        <f t="shared" ref="BI15:BI44" si="36">IF(BD15=$BI$7,$BI$9*BG15,0)</f>
        <v>0</v>
      </c>
      <c r="BJ15" s="290">
        <f t="shared" ref="BJ15:BJ44" si="37">IF(BD15=$BJ$7,$BJ$9*BG15,0)</f>
        <v>0</v>
      </c>
      <c r="BK15" s="290">
        <f t="shared" ref="BK15:BK44" si="38">IF(BD15=$BK$7,$BK$9*BG15,0)</f>
        <v>0</v>
      </c>
      <c r="BL15" s="290">
        <f t="shared" ref="BL15:BL44" si="39">IF(BD15=$BL$7,$BL$9*BG15,0)</f>
        <v>0</v>
      </c>
      <c r="BM15" s="290">
        <f t="shared" ref="BM15:BM44" si="40">IF(BD15=$BM$7,$BM$9*BG15,0)</f>
        <v>0</v>
      </c>
      <c r="BN15" s="290">
        <f t="shared" ref="BN15:BN44" si="41">IF(BD15=$BN$7,$BN$9*BG15,0)</f>
        <v>0</v>
      </c>
      <c r="BO15" s="290">
        <f t="shared" ref="BO15:BO44" si="42">IF(BD15=$BO$7,$BO$9*BG15,0)</f>
        <v>0</v>
      </c>
      <c r="BP15" s="290">
        <f t="shared" ref="BP15:BP44" si="43">IF(BD15=$BP$7,$BP$9*BG15,0)</f>
        <v>0</v>
      </c>
      <c r="BQ15" s="290">
        <f t="shared" ref="BQ15:BQ44" si="44">$BQ$9*BG15</f>
        <v>0</v>
      </c>
      <c r="BR15" s="290">
        <f t="shared" ref="BR15:BR44" si="45">$BR$9*BG15</f>
        <v>0</v>
      </c>
      <c r="BS15" s="290">
        <f t="shared" ref="BS15:BS44" si="46">$BS$9*BG15</f>
        <v>0</v>
      </c>
      <c r="BT15" s="290">
        <f t="shared" ref="BT15:BT44" si="47">$BT$9*BG15</f>
        <v>0</v>
      </c>
      <c r="BU15" s="290">
        <f t="shared" ref="BU15:BU44" si="48">$BU$9*BG15</f>
        <v>0</v>
      </c>
      <c r="BV15" s="290">
        <f t="shared" ref="BV15:BV44" si="49">$BV$9*BG15</f>
        <v>0</v>
      </c>
      <c r="BW15" s="290">
        <f t="shared" ref="BW15:BW44" si="50">$BW$9*BG15</f>
        <v>0</v>
      </c>
      <c r="BX15" s="290">
        <f t="shared" ref="BX15:BX44" si="51">$BX$9*BG15</f>
        <v>0</v>
      </c>
      <c r="BY15" s="290">
        <f t="shared" ref="BY15:BY44" si="52">$BY$9*BG15</f>
        <v>0</v>
      </c>
      <c r="BZ15" s="291">
        <f t="shared" ref="BZ15:BZ44" si="53">$BZ$9*BG15</f>
        <v>0</v>
      </c>
      <c r="CA15" s="291">
        <f t="shared" ref="CA15:CA44" si="54">$CA$9*BG15</f>
        <v>0</v>
      </c>
      <c r="CB15" s="291">
        <f t="shared" ref="CB15:CB44" si="55">$CB$9*BG15</f>
        <v>0</v>
      </c>
      <c r="CC15" s="292">
        <f t="shared" ref="CC15:CC44" si="56">$CC$9*BG15</f>
        <v>0</v>
      </c>
      <c r="CD15" s="999">
        <v>2</v>
      </c>
      <c r="CE15" s="286">
        <f>CE14+1</f>
        <v>43953</v>
      </c>
      <c r="CF15" s="293">
        <f t="shared" si="24"/>
        <v>43953</v>
      </c>
      <c r="CG15" s="288">
        <f>'दैनिक माहिती'!H41</f>
        <v>0</v>
      </c>
      <c r="CH15" s="289">
        <f>'दैनिक माहिती'!E41</f>
        <v>0</v>
      </c>
      <c r="CI15" s="289">
        <f>'दैनिक माहिती'!F41</f>
        <v>0</v>
      </c>
      <c r="CJ15" s="289">
        <f>'दैनिक माहिती'!G41</f>
        <v>0</v>
      </c>
      <c r="CK15" s="290">
        <f t="shared" ref="CK15:CK44" si="57">$CK$9*CJ15</f>
        <v>0</v>
      </c>
      <c r="CL15" s="290">
        <f t="shared" ref="CL15:CL44" si="58">IF(CG15=$CL$7,$CL$9*CJ15,0)</f>
        <v>0</v>
      </c>
      <c r="CM15" s="290">
        <f t="shared" ref="CM15:CM44" si="59">IF(CG15=$CM$7,$CM$9*CJ15,0)</f>
        <v>0</v>
      </c>
      <c r="CN15" s="290">
        <f t="shared" ref="CN15:CN44" si="60">IF(CG15=$CN$7,$CN$9*CJ15,0)</f>
        <v>0</v>
      </c>
      <c r="CO15" s="290">
        <f t="shared" ref="CO15:CO44" si="61">IF(CG15=$CO$7,$CO$9*CJ15,0)</f>
        <v>0</v>
      </c>
      <c r="CP15" s="290">
        <f t="shared" ref="CP15:CP44" si="62">IF(CG15=$CP$7,$CP$9*CJ15,0)</f>
        <v>0</v>
      </c>
      <c r="CQ15" s="290">
        <f t="shared" ref="CQ15:CQ44" si="63">IF(CG15=$CQ$7,$CQ$9*CJ15,0)</f>
        <v>0</v>
      </c>
      <c r="CR15" s="290">
        <f t="shared" ref="CR15:CR44" si="64">IF(CG15=$CR$7,$CR$9*CJ15,0)</f>
        <v>0</v>
      </c>
      <c r="CS15" s="290">
        <f t="shared" ref="CS15:CS44" si="65">IF(CG15=$CS$7,$CS$9*CJ15,0)</f>
        <v>0</v>
      </c>
      <c r="CT15" s="290">
        <f t="shared" ref="CT15:CT44" si="66">$CT$9*CJ15</f>
        <v>0</v>
      </c>
      <c r="CU15" s="290">
        <f t="shared" ref="CU15:CU44" si="67">$CU$9*CJ15</f>
        <v>0</v>
      </c>
      <c r="CV15" s="290">
        <f t="shared" ref="CV15:CV44" si="68">$CV$9*CJ15</f>
        <v>0</v>
      </c>
      <c r="CW15" s="290">
        <f t="shared" ref="CW15:CW44" si="69">$CW$9*CJ15</f>
        <v>0</v>
      </c>
      <c r="CX15" s="290">
        <f t="shared" ref="CX15:CX44" si="70">$CX$9*CJ15</f>
        <v>0</v>
      </c>
      <c r="CY15" s="290">
        <f t="shared" ref="CY15:CY44" si="71">$CY$9*CJ15</f>
        <v>0</v>
      </c>
      <c r="CZ15" s="290">
        <f t="shared" ref="CZ15:CZ44" si="72">$CZ$9*CJ15</f>
        <v>0</v>
      </c>
      <c r="DA15" s="290">
        <f t="shared" ref="DA15:DA44" si="73">$DA$9*CJ15</f>
        <v>0</v>
      </c>
      <c r="DB15" s="290">
        <f t="shared" ref="DB15:DB44" si="74">$DB$9*CJ15</f>
        <v>0</v>
      </c>
      <c r="DC15" s="291">
        <f t="shared" ref="DC15:DC44" si="75">$DC$9*CJ15</f>
        <v>0</v>
      </c>
      <c r="DD15" s="291">
        <f t="shared" ref="DD15:DD44" si="76">$DD$9*CJ15</f>
        <v>0</v>
      </c>
      <c r="DE15" s="291">
        <f t="shared" ref="DE15:DE44" si="77">$DE$9*CJ15</f>
        <v>0</v>
      </c>
      <c r="DF15" s="292">
        <f t="shared" ref="DF15:DF44" si="78">$DF$9*CJ15</f>
        <v>0</v>
      </c>
      <c r="DG15" s="999">
        <v>2</v>
      </c>
      <c r="DH15" s="286">
        <f>DH14+1</f>
        <v>43984</v>
      </c>
      <c r="DI15" s="293">
        <f t="shared" si="25"/>
        <v>43984</v>
      </c>
      <c r="DJ15" s="288">
        <f>'दैनिक माहिती'!H73</f>
        <v>0</v>
      </c>
      <c r="DK15" s="289">
        <f>'दैनिक माहिती'!E73</f>
        <v>0</v>
      </c>
      <c r="DL15" s="289">
        <f>'दैनिक माहिती'!F73</f>
        <v>0</v>
      </c>
      <c r="DM15" s="289">
        <f>'दैनिक माहिती'!G73</f>
        <v>0</v>
      </c>
      <c r="DN15" s="290">
        <f t="shared" ref="DN15:DN44" si="79">$DN$9*DM15</f>
        <v>0</v>
      </c>
      <c r="DO15" s="290">
        <f t="shared" ref="DO15:DO44" si="80">IF(DJ15=$DO$7,$DO$9*DM15,0)</f>
        <v>0</v>
      </c>
      <c r="DP15" s="290">
        <f t="shared" ref="DP15:DP44" si="81">IF(DJ15=$DP$7,$DP$9*DM15,0)</f>
        <v>0</v>
      </c>
      <c r="DQ15" s="290">
        <f t="shared" ref="DQ15:DQ44" si="82">IF(DJ15=$DQ$7,$DQ$9*DM15,0)</f>
        <v>0</v>
      </c>
      <c r="DR15" s="290">
        <f t="shared" ref="DR15:DR44" si="83">IF(DJ15=$DR$7,$DR$9*DM15,0)</f>
        <v>0</v>
      </c>
      <c r="DS15" s="290">
        <f t="shared" ref="DS15:DS44" si="84">IF(DJ15=$DS$7,$DS$9*DM15,0)</f>
        <v>0</v>
      </c>
      <c r="DT15" s="290">
        <f t="shared" ref="DT15:DT44" si="85">IF(DJ15=$DT$7,$DT$9*DM15,0)</f>
        <v>0</v>
      </c>
      <c r="DU15" s="290">
        <f t="shared" ref="DU15:DU44" si="86">IF(DJ15=$DU$7,$DU$9*DM15,0)</f>
        <v>0</v>
      </c>
      <c r="DV15" s="290">
        <f t="shared" ref="DV15:DV44" si="87">IF(DJ15=$DV$7,$DV$9*DM15,0)</f>
        <v>0</v>
      </c>
      <c r="DW15" s="290">
        <f t="shared" ref="DW15:DW44" si="88">$DW$9*DM15</f>
        <v>0</v>
      </c>
      <c r="DX15" s="290">
        <f t="shared" ref="DX15:DX44" si="89">$DX$9*DM15</f>
        <v>0</v>
      </c>
      <c r="DY15" s="290">
        <f t="shared" ref="DY15:DY44" si="90">$DY$9*DM15</f>
        <v>0</v>
      </c>
      <c r="DZ15" s="290">
        <f t="shared" ref="DZ15:DZ44" si="91">$DZ$9*DM15</f>
        <v>0</v>
      </c>
      <c r="EA15" s="290">
        <f t="shared" ref="EA15:EA44" si="92">$EA$9*DM15</f>
        <v>0</v>
      </c>
      <c r="EB15" s="290">
        <f t="shared" ref="EB15:EB44" si="93">$EB$9*DM15</f>
        <v>0</v>
      </c>
      <c r="EC15" s="290">
        <f t="shared" ref="EC15:EC44" si="94">$EC$9*DM15</f>
        <v>0</v>
      </c>
      <c r="ED15" s="290">
        <f t="shared" ref="ED15:ED44" si="95">$ED$9*DM15</f>
        <v>0</v>
      </c>
      <c r="EE15" s="290">
        <f t="shared" ref="EE15:EE44" si="96">$EE$9*DM15</f>
        <v>0</v>
      </c>
      <c r="EF15" s="291">
        <f t="shared" ref="EF15:EF44" si="97">$EF$9*DM15</f>
        <v>0</v>
      </c>
      <c r="EG15" s="291">
        <f t="shared" ref="EG15:EG44" si="98">$EG$9*DM15</f>
        <v>0</v>
      </c>
      <c r="EH15" s="291">
        <f t="shared" ref="EH15:EH44" si="99">$EH$9*DM15</f>
        <v>0</v>
      </c>
      <c r="EI15" s="292">
        <f t="shared" ref="EI15:EI44" si="100">$EI$9*DM15</f>
        <v>0</v>
      </c>
      <c r="EJ15" s="999">
        <v>2</v>
      </c>
      <c r="EK15" s="286">
        <f>EK14+1</f>
        <v>44014</v>
      </c>
      <c r="EL15" s="293">
        <f t="shared" si="26"/>
        <v>44014</v>
      </c>
      <c r="EM15" s="288" t="str">
        <f>'दैनिक माहिती'!H104</f>
        <v>मुगडाळ</v>
      </c>
      <c r="EN15" s="289">
        <f>'दैनिक माहिती'!E104</f>
        <v>17</v>
      </c>
      <c r="EO15" s="289">
        <f>'दैनिक माहिती'!F104</f>
        <v>17</v>
      </c>
      <c r="EP15" s="289">
        <f>'दैनिक माहिती'!G104</f>
        <v>17</v>
      </c>
      <c r="EQ15" s="290">
        <f t="shared" ref="EQ15:EQ44" si="101">$EQ$9*EP15</f>
        <v>1.7000000000000002</v>
      </c>
      <c r="ER15" s="290">
        <f t="shared" ref="ER15:ER44" si="102">IF(EM15=$ER$7,$ER$9*EP15,0)</f>
        <v>0.34</v>
      </c>
      <c r="ES15" s="290">
        <f t="shared" ref="ES15:ES44" si="103">IF(EM15=$ES$7,$ES$9*EP15,0)</f>
        <v>0</v>
      </c>
      <c r="ET15" s="290">
        <f t="shared" ref="ET15:ET44" si="104">IF(EM15=$ET$7,$ET$9*EP15,0)</f>
        <v>0</v>
      </c>
      <c r="EU15" s="290">
        <f t="shared" ref="EU15:EU44" si="105">IF(EM15=$EU$7,$EU$9*EP15,0)</f>
        <v>0</v>
      </c>
      <c r="EV15" s="290">
        <f t="shared" ref="EV15:EV44" si="106">IF(EM15=$EV$7,$EV$9*EP15,0)</f>
        <v>0</v>
      </c>
      <c r="EW15" s="290">
        <f t="shared" ref="EW15:EW44" si="107">IF(EM15=$EW$7,$EW$9*EP15,0)</f>
        <v>0</v>
      </c>
      <c r="EX15" s="290">
        <f t="shared" ref="EX15:EX44" si="108">IF(EM15=$EX$7,$EX$9*EP15,0)</f>
        <v>0</v>
      </c>
      <c r="EY15" s="290">
        <f t="shared" ref="EY15:EY44" si="109">IF(EM15=$EY$7,$EY$9*EP15,0)</f>
        <v>0</v>
      </c>
      <c r="EZ15" s="290">
        <f t="shared" ref="EZ15:EZ44" si="110">$EZ$9*EP15</f>
        <v>5.0999999999999995E-3</v>
      </c>
      <c r="FA15" s="290">
        <f t="shared" ref="FA15:FA44" si="111">$FA$9*EP15</f>
        <v>8.5000000000000006E-3</v>
      </c>
      <c r="FB15" s="290">
        <f t="shared" ref="FB15:FB44" si="112">$FB$9*EP15</f>
        <v>5.0999999999999995E-3</v>
      </c>
      <c r="FC15" s="290">
        <f t="shared" ref="FC15:FC44" si="113">$FC$9*EP15</f>
        <v>0</v>
      </c>
      <c r="FD15" s="290">
        <f t="shared" ref="FD15:FD44" si="114">$FD$9*EP15</f>
        <v>0</v>
      </c>
      <c r="FE15" s="290">
        <f t="shared" ref="FE15:FE44" si="115">$FE$9*EP15</f>
        <v>8.5000000000000006E-2</v>
      </c>
      <c r="FF15" s="290">
        <f t="shared" ref="FF15:FF44" si="116">$FF$9*EP15</f>
        <v>3.4000000000000002E-2</v>
      </c>
      <c r="FG15" s="290">
        <f t="shared" ref="FG15:FG44" si="117">$FG$9*EP15</f>
        <v>2.0399999999999998E-2</v>
      </c>
      <c r="FH15" s="290">
        <f t="shared" ref="FH15:FH44" si="118">$FH$9*EP15</f>
        <v>0</v>
      </c>
      <c r="FI15" s="291">
        <f t="shared" ref="FI15:FI44" si="119">$FI$9*EP15</f>
        <v>12.24</v>
      </c>
      <c r="FJ15" s="291">
        <f t="shared" ref="FJ15:FJ44" si="120">$FJ$9*EP15</f>
        <v>10.88</v>
      </c>
      <c r="FK15" s="291">
        <f t="shared" ref="FK15:FK44" si="121">$FK$9*EP15</f>
        <v>9.01</v>
      </c>
      <c r="FL15" s="292">
        <f t="shared" ref="FL15:FL44" si="122">$FL$9*EP15</f>
        <v>45.56</v>
      </c>
      <c r="FM15" s="999">
        <v>2</v>
      </c>
      <c r="FN15" s="286">
        <f>FN14+1</f>
        <v>44045</v>
      </c>
      <c r="FO15" s="293">
        <f t="shared" si="27"/>
        <v>44045</v>
      </c>
      <c r="FP15" s="288" t="str">
        <f>'दैनिक माहिती'!H136</f>
        <v>हरभरा</v>
      </c>
      <c r="FQ15" s="289">
        <f>'दैनिक माहिती'!E136</f>
        <v>15</v>
      </c>
      <c r="FR15" s="289">
        <f>'दैनिक माहिती'!F136</f>
        <v>15</v>
      </c>
      <c r="FS15" s="289">
        <f>'दैनिक माहिती'!G136</f>
        <v>15</v>
      </c>
      <c r="FT15" s="290">
        <f t="shared" ref="FT15:FT44" si="123">$FT$9*FS15</f>
        <v>1.5</v>
      </c>
      <c r="FU15" s="290">
        <f t="shared" ref="FU15:FU44" si="124">IF(FP15=$FU$7,$FU$9*FS15,0)</f>
        <v>0</v>
      </c>
      <c r="FV15" s="290">
        <f t="shared" ref="FV15:FV44" si="125">IF(FP15=$FV$7,$FV$9*FS15,0)</f>
        <v>0</v>
      </c>
      <c r="FW15" s="290">
        <f t="shared" ref="FW15:FW44" si="126">IF(FP15=$FW$7,$FW$9*FS15,0)</f>
        <v>0</v>
      </c>
      <c r="FX15" s="290">
        <f t="shared" ref="FX15:FX44" si="127">IF(FP15=$FX$7,$FX$9*FS15,0)</f>
        <v>0</v>
      </c>
      <c r="FY15" s="290">
        <f t="shared" ref="FY15:FY44" si="128">IF(FP15=$FY$7,$FY$9*FS15,0)</f>
        <v>0</v>
      </c>
      <c r="FZ15" s="290">
        <f t="shared" ref="FZ15:FZ44" si="129">IF(FP15=$FZ$7,$FZ$9*FS15,0)</f>
        <v>0</v>
      </c>
      <c r="GA15" s="290">
        <f t="shared" ref="GA15:GA44" si="130">IF(FP15=$GA$7,$GA$9*FS15,0)</f>
        <v>0.3</v>
      </c>
      <c r="GB15" s="290">
        <f t="shared" ref="GB15:GB44" si="131">IF(FP15=$GB$7,$GB$9*FS15,0)</f>
        <v>0</v>
      </c>
      <c r="GC15" s="290">
        <f t="shared" ref="GC15:GC44" si="132">$GC$9*FS15</f>
        <v>4.4999999999999997E-3</v>
      </c>
      <c r="GD15" s="290">
        <f t="shared" ref="GD15:GD44" si="133">$GD$9*FS15</f>
        <v>7.4999999999999997E-3</v>
      </c>
      <c r="GE15" s="290">
        <f t="shared" ref="GE15:GE44" si="134">$GE$9*FS15</f>
        <v>4.4999999999999997E-3</v>
      </c>
      <c r="GF15" s="290">
        <f t="shared" ref="GF15:GF44" si="135">$GF$9*FS15</f>
        <v>0</v>
      </c>
      <c r="GG15" s="290">
        <f t="shared" ref="GG15:GG44" si="136">$GG$9*FS15</f>
        <v>0</v>
      </c>
      <c r="GH15" s="290">
        <f t="shared" ref="GH15:GH44" si="137">$GH$9*FS15</f>
        <v>7.4999999999999997E-2</v>
      </c>
      <c r="GI15" s="290">
        <f t="shared" ref="GI15:GI44" si="138">$GI$9*FS15</f>
        <v>0.03</v>
      </c>
      <c r="GJ15" s="290">
        <f t="shared" ref="GJ15:GJ44" si="139">$GJ$9*FS15</f>
        <v>1.7999999999999999E-2</v>
      </c>
      <c r="GK15" s="290">
        <f t="shared" ref="GK15:GK44" si="140">$GK$9*FS15</f>
        <v>0</v>
      </c>
      <c r="GL15" s="291">
        <f t="shared" ref="GL15:GL44" si="141">$GL$9*FS15</f>
        <v>10.799999999999999</v>
      </c>
      <c r="GM15" s="291">
        <f t="shared" ref="GM15:GM44" si="142">$GM$9*FS15</f>
        <v>9.6</v>
      </c>
      <c r="GN15" s="291">
        <f t="shared" ref="GN15:GN44" si="143">$GN$9*FS15</f>
        <v>7.95</v>
      </c>
      <c r="GO15" s="292">
        <f t="shared" ref="GO15:GO44" si="144">$GO$9*FS15</f>
        <v>40.200000000000003</v>
      </c>
      <c r="GP15" s="999">
        <v>2</v>
      </c>
      <c r="GQ15" s="286">
        <f>GQ14+1</f>
        <v>44076</v>
      </c>
      <c r="GR15" s="293">
        <f t="shared" si="28"/>
        <v>44076</v>
      </c>
      <c r="GS15" s="288" t="str">
        <f>'दैनिक माहिती'!H168</f>
        <v>वाटाणा</v>
      </c>
      <c r="GT15" s="289">
        <f>'दैनिक माहिती'!E168</f>
        <v>15</v>
      </c>
      <c r="GU15" s="289">
        <f>'दैनिक माहिती'!F168</f>
        <v>15</v>
      </c>
      <c r="GV15" s="289">
        <f>'दैनिक माहिती'!G168</f>
        <v>15</v>
      </c>
      <c r="GW15" s="290">
        <f t="shared" ref="GW15:GW44" si="145">$GW$9*GV15</f>
        <v>1.5</v>
      </c>
      <c r="GX15" s="290">
        <f t="shared" ref="GX15:GX44" si="146">IF(GS15=$GX$7,$GX$9*GV15,0)</f>
        <v>0</v>
      </c>
      <c r="GY15" s="290">
        <f t="shared" ref="GY15:GY44" si="147">IF(GS15=$GY$7,$GY$9*GV15,0)</f>
        <v>0</v>
      </c>
      <c r="GZ15" s="290">
        <f t="shared" ref="GZ15:GZ44" si="148">IF(GS15=$GZ$7,$GZ$9*GV15,0)</f>
        <v>0</v>
      </c>
      <c r="HA15" s="290">
        <f t="shared" ref="HA15:HA44" si="149">IF(GS15=$HA$7,$HA$9*GV15,0)</f>
        <v>0</v>
      </c>
      <c r="HB15" s="290">
        <f t="shared" ref="HB15:HB44" si="150">IF(GS15=$HB$7,$HB$9*GV15,0)</f>
        <v>0</v>
      </c>
      <c r="HC15" s="290">
        <f t="shared" ref="HC15:HC44" si="151">IF(GS15=$HC$7,$HC$9*GV15,0)</f>
        <v>0</v>
      </c>
      <c r="HD15" s="290">
        <f t="shared" ref="HD15:HD44" si="152">IF(GS15=$HD$7,$HD$9*GV15,0)</f>
        <v>0</v>
      </c>
      <c r="HE15" s="290">
        <f t="shared" ref="HE15:HE44" si="153">IF(GS15=$HE$7,$HE$9*GV15,0)</f>
        <v>0.3</v>
      </c>
      <c r="HF15" s="290">
        <f t="shared" ref="HF15:HF44" si="154">$HF$9*GV15</f>
        <v>4.4999999999999997E-3</v>
      </c>
      <c r="HG15" s="290">
        <f t="shared" ref="HG15:HG44" si="155">$HG$9*GV15</f>
        <v>7.4999999999999997E-3</v>
      </c>
      <c r="HH15" s="290">
        <f t="shared" ref="HH15:HH44" si="156">$HH$9*GV15</f>
        <v>4.4999999999999997E-3</v>
      </c>
      <c r="HI15" s="290">
        <f t="shared" ref="HI15:HI44" si="157">$HI$9*GV15</f>
        <v>0</v>
      </c>
      <c r="HJ15" s="290">
        <f t="shared" ref="HJ15:HJ44" si="158">$HJ$9*GV15</f>
        <v>0</v>
      </c>
      <c r="HK15" s="290">
        <f t="shared" ref="HK15:HK44" si="159">$HK$9*GV15</f>
        <v>7.4999999999999997E-2</v>
      </c>
      <c r="HL15" s="290">
        <f t="shared" ref="HL15:HL44" si="160">$HL$9*GV15</f>
        <v>0.03</v>
      </c>
      <c r="HM15" s="290">
        <f t="shared" ref="HM15:HM44" si="161">$HM$9*GV15</f>
        <v>1.7999999999999999E-2</v>
      </c>
      <c r="HN15" s="290">
        <f t="shared" ref="HN15:HN44" si="162">$HN$9*GV15</f>
        <v>0</v>
      </c>
      <c r="HO15" s="291">
        <f t="shared" ref="HO15:HO44" si="163">$HO$9*GV15</f>
        <v>10.799999999999999</v>
      </c>
      <c r="HP15" s="291">
        <f t="shared" ref="HP15:HP44" si="164">$HP$9*GV15</f>
        <v>9.6</v>
      </c>
      <c r="HQ15" s="291">
        <f t="shared" ref="HQ15:HQ44" si="165">$HQ$9*GV15</f>
        <v>7.95</v>
      </c>
      <c r="HR15" s="292">
        <f t="shared" ref="HR15:HR44" si="166">$HR$9*GV15</f>
        <v>40.200000000000003</v>
      </c>
      <c r="HS15" s="999">
        <v>2</v>
      </c>
      <c r="HT15" s="286">
        <f>HT14+1</f>
        <v>44106</v>
      </c>
      <c r="HU15" s="293">
        <f t="shared" si="29"/>
        <v>44106</v>
      </c>
      <c r="HV15" s="288">
        <f>'दैनिक माहिती'!H199</f>
        <v>0</v>
      </c>
      <c r="HW15" s="289">
        <f>'दैनिक माहिती'!E199</f>
        <v>0</v>
      </c>
      <c r="HX15" s="289">
        <f>'दैनिक माहिती'!F199</f>
        <v>0</v>
      </c>
      <c r="HY15" s="289">
        <f>'दैनिक माहिती'!G199</f>
        <v>0</v>
      </c>
      <c r="HZ15" s="290">
        <f t="shared" ref="HZ15:HZ44" si="167">$HZ$9*HY15</f>
        <v>0</v>
      </c>
      <c r="IA15" s="290">
        <f t="shared" ref="IA15:IA44" si="168">IF(HV15=$IA$7,$IA$9*HY15,0)</f>
        <v>0</v>
      </c>
      <c r="IB15" s="290">
        <f t="shared" ref="IB15:IB44" si="169">IF(HV15=$IB$7,$IB$9*HY15,0)</f>
        <v>0</v>
      </c>
      <c r="IC15" s="290">
        <f t="shared" ref="IC15:IC44" si="170">IF(HV15=$IC$7,$IC$9*HY15,0)</f>
        <v>0</v>
      </c>
      <c r="ID15" s="290">
        <f t="shared" ref="ID15:ID44" si="171">IF(HV15=$ID$7,$ID$9*HY15,0)</f>
        <v>0</v>
      </c>
      <c r="IE15" s="290">
        <f t="shared" ref="IE15:IE44" si="172">IF(HV15=$IE$7,$IE$9*HY15,0)</f>
        <v>0</v>
      </c>
      <c r="IF15" s="290">
        <f t="shared" ref="IF15:IF44" si="173">IF(HV15=$IF$7,$IF$9*HY15,0)</f>
        <v>0</v>
      </c>
      <c r="IG15" s="290">
        <f t="shared" ref="IG15:IG44" si="174">IF(HV15=$IG$7,$IG$9*HY15,0)</f>
        <v>0</v>
      </c>
      <c r="IH15" s="290">
        <f t="shared" ref="IH15:IH44" si="175">IF(HV15=$IH$7,$IH$9*HY15,0)</f>
        <v>0</v>
      </c>
      <c r="II15" s="290">
        <f t="shared" ref="II15:II44" si="176">$II$9*HY15</f>
        <v>0</v>
      </c>
      <c r="IJ15" s="290">
        <f t="shared" ref="IJ15:IJ44" si="177">$IJ$9*HY15</f>
        <v>0</v>
      </c>
      <c r="IK15" s="290">
        <f t="shared" ref="IK15:IK44" si="178">$IK$9*HY15</f>
        <v>0</v>
      </c>
      <c r="IL15" s="290">
        <f t="shared" ref="IL15:IL44" si="179">$IL$9*HY15</f>
        <v>0</v>
      </c>
      <c r="IM15" s="290">
        <f t="shared" ref="IM15:IM44" si="180">$IM$9*HY15</f>
        <v>0</v>
      </c>
      <c r="IN15" s="290">
        <f t="shared" ref="IN15:IN44" si="181">$IN$9*HY15</f>
        <v>0</v>
      </c>
      <c r="IO15" s="290">
        <f t="shared" ref="IO15:IO44" si="182">$IO$9*HY15</f>
        <v>0</v>
      </c>
      <c r="IP15" s="290">
        <f t="shared" ref="IP15:IP44" si="183">$IP$9*HY15</f>
        <v>0</v>
      </c>
      <c r="IQ15" s="290">
        <f t="shared" ref="IQ15:IQ44" si="184">$IQ$9*HY15</f>
        <v>0</v>
      </c>
      <c r="IR15" s="291">
        <f t="shared" ref="IR15:IR44" si="185">$IR$9*HY15</f>
        <v>0</v>
      </c>
      <c r="IS15" s="291">
        <f t="shared" ref="IS15:IS44" si="186">$IS$9*HY15</f>
        <v>0</v>
      </c>
      <c r="IT15" s="291">
        <f t="shared" ref="IT15:IT44" si="187">$IT$9*HY15</f>
        <v>0</v>
      </c>
      <c r="IU15" s="292">
        <f t="shared" ref="IU15:IU44" si="188">$IU$9*HY15</f>
        <v>0</v>
      </c>
      <c r="IV15" s="999">
        <v>2</v>
      </c>
      <c r="IW15" s="286">
        <f>IW14+1</f>
        <v>44137</v>
      </c>
      <c r="IX15" s="293">
        <f t="shared" si="30"/>
        <v>44137</v>
      </c>
      <c r="IY15" s="288">
        <f>'दैनिक माहिती'!H231</f>
        <v>0</v>
      </c>
      <c r="IZ15" s="289">
        <f>'दैनिक माहिती'!E231</f>
        <v>0</v>
      </c>
      <c r="JA15" s="289">
        <f>'दैनिक माहिती'!F231</f>
        <v>0</v>
      </c>
      <c r="JB15" s="289">
        <f>'दैनिक माहिती'!G231</f>
        <v>0</v>
      </c>
      <c r="JC15" s="290">
        <f t="shared" ref="JC15:JC44" si="189">$JC$9*JB15</f>
        <v>0</v>
      </c>
      <c r="JD15" s="290">
        <f t="shared" ref="JD15:JD44" si="190">IF(IY15=$JD$7,$JD$9*JB15,0)</f>
        <v>0</v>
      </c>
      <c r="JE15" s="290">
        <f t="shared" ref="JE15:JE44" si="191">IF(IY15=$JE$7,$JE$9*JB15,0)</f>
        <v>0</v>
      </c>
      <c r="JF15" s="290">
        <f t="shared" ref="JF15:JF44" si="192">IF(IY15=$JF$7,$JF$9*JB15,0)</f>
        <v>0</v>
      </c>
      <c r="JG15" s="290">
        <f t="shared" ref="JG15:JG44" si="193">IF(IY15=$JG$7,$JG$9*JB15,0)</f>
        <v>0</v>
      </c>
      <c r="JH15" s="290">
        <f t="shared" ref="JH15:JH44" si="194">IF(IY15=$JH$7,$JH$9*JB15,0)</f>
        <v>0</v>
      </c>
      <c r="JI15" s="290">
        <f t="shared" ref="JI15:JI44" si="195">IF(IY15=$JI$7,$JI$9*JB15,0)</f>
        <v>0</v>
      </c>
      <c r="JJ15" s="290">
        <f t="shared" ref="JJ15:JJ44" si="196">IF(IY15=$JJ$7,$JJ$9*JB15,0)</f>
        <v>0</v>
      </c>
      <c r="JK15" s="290">
        <f t="shared" ref="JK15:JK44" si="197">IF(IY15=$JK$7,$JK$9*JB15,0)</f>
        <v>0</v>
      </c>
      <c r="JL15" s="290">
        <f t="shared" ref="JL15:JL44" si="198">$JL$9*JB15</f>
        <v>0</v>
      </c>
      <c r="JM15" s="290">
        <f t="shared" ref="JM15:JM44" si="199">$JM$9*JB15</f>
        <v>0</v>
      </c>
      <c r="JN15" s="290">
        <f t="shared" ref="JN15:JN44" si="200">$JN$9*JB15</f>
        <v>0</v>
      </c>
      <c r="JO15" s="290">
        <f t="shared" ref="JO15:JO44" si="201">$JO$9*JB15</f>
        <v>0</v>
      </c>
      <c r="JP15" s="290">
        <f t="shared" ref="JP15:JP44" si="202">$JP$9*JB15</f>
        <v>0</v>
      </c>
      <c r="JQ15" s="290">
        <f t="shared" ref="JQ15:JQ44" si="203">$JQ$9*JB15</f>
        <v>0</v>
      </c>
      <c r="JR15" s="290">
        <f t="shared" ref="JR15:JR44" si="204">$JR$9*JB15</f>
        <v>0</v>
      </c>
      <c r="JS15" s="290">
        <f t="shared" ref="JS15:JS44" si="205">$JS$9*JB15</f>
        <v>0</v>
      </c>
      <c r="JT15" s="290">
        <f t="shared" ref="JT15:JT44" si="206">$JT$9*JB15</f>
        <v>0</v>
      </c>
      <c r="JU15" s="291">
        <f t="shared" ref="JU15:JU44" si="207">$JU$9*JB15</f>
        <v>0</v>
      </c>
      <c r="JV15" s="291">
        <f t="shared" ref="JV15:JV44" si="208">$JV$9*JB15</f>
        <v>0</v>
      </c>
      <c r="JW15" s="291">
        <f t="shared" ref="JW15:JW44" si="209">$JW$9*JB15</f>
        <v>0</v>
      </c>
      <c r="JX15" s="292">
        <f t="shared" ref="JX15:JX44" si="210">$JX$9*JB15</f>
        <v>0</v>
      </c>
      <c r="JY15" s="999">
        <v>2</v>
      </c>
      <c r="JZ15" s="286">
        <f>JZ14+1</f>
        <v>44167</v>
      </c>
      <c r="KA15" s="293">
        <f t="shared" si="31"/>
        <v>44167</v>
      </c>
      <c r="KB15" s="288" t="str">
        <f>'दैनिक माहिती'!H262</f>
        <v>वाटाणा</v>
      </c>
      <c r="KC15" s="289">
        <f>'दैनिक माहिती'!E262</f>
        <v>21</v>
      </c>
      <c r="KD15" s="289">
        <f>'दैनिक माहिती'!F262</f>
        <v>21</v>
      </c>
      <c r="KE15" s="289">
        <f>'दैनिक माहिती'!G262</f>
        <v>21</v>
      </c>
      <c r="KF15" s="290">
        <f t="shared" ref="KF15:KF44" si="211">$KF$9*KE15</f>
        <v>2.1</v>
      </c>
      <c r="KG15" s="290">
        <f t="shared" ref="KG15:KG44" si="212">IF(KB15=$KG$7,$KG$9*KE15,0)</f>
        <v>0</v>
      </c>
      <c r="KH15" s="290">
        <f t="shared" ref="KH15:KH44" si="213">IF(KB15=$KH$7,$KH$9*KE15,0)</f>
        <v>0</v>
      </c>
      <c r="KI15" s="290">
        <f t="shared" ref="KI15:KI44" si="214">IF(KB15=$KI$7,$KI$9*KE15,0)</f>
        <v>0</v>
      </c>
      <c r="KJ15" s="290">
        <f t="shared" ref="KJ15:KJ44" si="215">IF(KB15=$KJ$7,$KJ$9*KE15,0)</f>
        <v>0</v>
      </c>
      <c r="KK15" s="290">
        <f t="shared" ref="KK15:KK44" si="216">IF(KB15=$KK$7,$KK$9*KE15,0)</f>
        <v>0</v>
      </c>
      <c r="KL15" s="290">
        <f t="shared" ref="KL15:KL44" si="217">IF(KB15=$KL$7,$KL$9*KE15,0)</f>
        <v>0</v>
      </c>
      <c r="KM15" s="290">
        <f t="shared" ref="KM15:KM44" si="218">IF(KB15=$KM$7,$KM$9*KE15,0)</f>
        <v>0</v>
      </c>
      <c r="KN15" s="290">
        <f t="shared" ref="KN15:KN44" si="219">IF(KB15=$KN$7,$KN$9*KE15,0)</f>
        <v>0.42</v>
      </c>
      <c r="KO15" s="290">
        <f t="shared" ref="KO15:KO44" si="220">$KO$9*KE15</f>
        <v>6.2999999999999992E-3</v>
      </c>
      <c r="KP15" s="290">
        <f t="shared" ref="KP15:KP44" si="221">$KP$9*KE15</f>
        <v>1.0500000000000001E-2</v>
      </c>
      <c r="KQ15" s="290">
        <f t="shared" ref="KQ15:KQ44" si="222">$KQ$9*KE15</f>
        <v>6.2999999999999992E-3</v>
      </c>
      <c r="KR15" s="290">
        <f t="shared" ref="KR15:KR44" si="223">$KR$9*KE15</f>
        <v>0</v>
      </c>
      <c r="KS15" s="290">
        <f t="shared" ref="KS15:KS44" si="224">$KS$9*KE15</f>
        <v>0</v>
      </c>
      <c r="KT15" s="290">
        <f t="shared" ref="KT15:KT44" si="225">$KT$9*KE15</f>
        <v>0.105</v>
      </c>
      <c r="KU15" s="290">
        <f t="shared" ref="KU15:KU44" si="226">$KU$9*KE15</f>
        <v>4.2000000000000003E-2</v>
      </c>
      <c r="KV15" s="290">
        <f t="shared" ref="KV15:KV44" si="227">$KV$9*KE15</f>
        <v>2.5199999999999997E-2</v>
      </c>
      <c r="KW15" s="290">
        <f t="shared" ref="KW15:KW44" si="228">$KW$9*KE15</f>
        <v>0</v>
      </c>
      <c r="KX15" s="291">
        <f t="shared" ref="KX15:KX44" si="229">$KX$9*KE15</f>
        <v>14.91</v>
      </c>
      <c r="KY15" s="291">
        <f t="shared" ref="KY15:KY44" si="230">$KY$9*KE15</f>
        <v>16.59</v>
      </c>
      <c r="KZ15" s="291">
        <f t="shared" ref="KZ15:KZ44" si="231">$KZ$9*KE15</f>
        <v>12.18</v>
      </c>
      <c r="LA15" s="292">
        <f t="shared" ref="LA15:LA44" si="232">$LA$9*KE15</f>
        <v>60.27</v>
      </c>
      <c r="LB15" s="999">
        <v>2</v>
      </c>
      <c r="LC15" s="286">
        <f>LC14+1</f>
        <v>44198</v>
      </c>
      <c r="LD15" s="293">
        <f t="shared" si="32"/>
        <v>44198</v>
      </c>
      <c r="LE15" s="288">
        <f>'दैनिक माहिती'!H294</f>
        <v>0</v>
      </c>
      <c r="LF15" s="289">
        <f>'दैनिक माहिती'!E294</f>
        <v>0</v>
      </c>
      <c r="LG15" s="289">
        <f>'दैनिक माहिती'!F294</f>
        <v>0</v>
      </c>
      <c r="LH15" s="289">
        <f>'दैनिक माहिती'!G294</f>
        <v>0</v>
      </c>
      <c r="LI15" s="290">
        <f t="shared" ref="LI15:LI44" si="233">$LI$9*LH15</f>
        <v>0</v>
      </c>
      <c r="LJ15" s="290">
        <f t="shared" ref="LJ15:LJ44" si="234">IF(LE15=$LJ$7,$LJ$9*LH15,0)</f>
        <v>0</v>
      </c>
      <c r="LK15" s="290">
        <f t="shared" ref="LK15:LK44" si="235">IF(LE15=$LK$7,$LK$9*LH15,0)</f>
        <v>0</v>
      </c>
      <c r="LL15" s="290">
        <f t="shared" ref="LL15:LL44" si="236">IF(LE15=$LL$7,$LL$9*LH15,0)</f>
        <v>0</v>
      </c>
      <c r="LM15" s="290">
        <f t="shared" ref="LM15:LM44" si="237">IF(LE15=$LM$7,$LM$9*LH15,0)</f>
        <v>0</v>
      </c>
      <c r="LN15" s="290">
        <f t="shared" ref="LN15:LN44" si="238">IF(LE15=$LN$7,$LN$9*LH15,0)</f>
        <v>0</v>
      </c>
      <c r="LO15" s="290">
        <f t="shared" ref="LO15:LO44" si="239">IF(LE15=$LO$7,$LO$9*LH15,0)</f>
        <v>0</v>
      </c>
      <c r="LP15" s="290">
        <f t="shared" ref="LP15:LP44" si="240">IF(LE15=$LP$7,$LP$9*LH15,0)</f>
        <v>0</v>
      </c>
      <c r="LQ15" s="290">
        <f t="shared" ref="LQ15:LQ44" si="241">IF(LE15=$LQ$7,$LQ$9*LH15,0)</f>
        <v>0</v>
      </c>
      <c r="LR15" s="290">
        <f t="shared" ref="LR15:LR44" si="242">$LR$9*LH15</f>
        <v>0</v>
      </c>
      <c r="LS15" s="290">
        <f t="shared" ref="LS15:LS44" si="243">$LS$9*LH15</f>
        <v>0</v>
      </c>
      <c r="LT15" s="290">
        <f t="shared" ref="LT15:LT44" si="244">$LT$9*LH15</f>
        <v>0</v>
      </c>
      <c r="LU15" s="290">
        <f t="shared" ref="LU15:LU44" si="245">$LU$9*LH15</f>
        <v>0</v>
      </c>
      <c r="LV15" s="290">
        <f t="shared" ref="LV15:LV44" si="246">$LV$9*LH15</f>
        <v>0</v>
      </c>
      <c r="LW15" s="290">
        <f t="shared" ref="LW15:LW44" si="247">$LW$9*LH15</f>
        <v>0</v>
      </c>
      <c r="LX15" s="290">
        <f t="shared" ref="LX15:LX44" si="248">$LX$9*LH15</f>
        <v>0</v>
      </c>
      <c r="LY15" s="290">
        <f t="shared" ref="LY15:LY44" si="249">$LY$9*LH15</f>
        <v>0</v>
      </c>
      <c r="LZ15" s="290">
        <f t="shared" ref="LZ15:LZ44" si="250">$LZ$9*LH15</f>
        <v>0</v>
      </c>
      <c r="MA15" s="291">
        <f t="shared" ref="MA15:MA44" si="251">$MA$9*LH15</f>
        <v>0</v>
      </c>
      <c r="MB15" s="291">
        <f t="shared" ref="MB15:MB44" si="252">$MB$9*LH15</f>
        <v>0</v>
      </c>
      <c r="MC15" s="291">
        <f t="shared" ref="MC15:MC44" si="253">$MC$9*LH15</f>
        <v>0</v>
      </c>
      <c r="MD15" s="292">
        <f t="shared" ref="MD15:MD44" si="254">$MD$9*LH15</f>
        <v>0</v>
      </c>
      <c r="ME15" s="999">
        <v>2</v>
      </c>
      <c r="MF15" s="286">
        <f>MF14+1</f>
        <v>44229</v>
      </c>
      <c r="MG15" s="293">
        <f t="shared" si="33"/>
        <v>44229</v>
      </c>
      <c r="MH15" s="288">
        <f>'दैनिक माहिती'!H326</f>
        <v>0</v>
      </c>
      <c r="MI15" s="289">
        <f>'दैनिक माहिती'!E326</f>
        <v>0</v>
      </c>
      <c r="MJ15" s="289">
        <f>'दैनिक माहिती'!F326</f>
        <v>0</v>
      </c>
      <c r="MK15" s="289">
        <f>'दैनिक माहिती'!G326</f>
        <v>0</v>
      </c>
      <c r="ML15" s="290">
        <f t="shared" ref="ML15:ML44" si="255">$ML$9*MK15</f>
        <v>0</v>
      </c>
      <c r="MM15" s="290">
        <f t="shared" ref="MM15:MM44" si="256">IF(MH15=$MM$7,$MM$9*MK15,0)</f>
        <v>0</v>
      </c>
      <c r="MN15" s="290">
        <f t="shared" ref="MN15:MN44" si="257">IF(MH15=$MN$7,$MN$9*MK15,0)</f>
        <v>0</v>
      </c>
      <c r="MO15" s="290">
        <f t="shared" ref="MO15:MO44" si="258">IF(MH15=$MO$7,$MO$9*MK15,0)</f>
        <v>0</v>
      </c>
      <c r="MP15" s="290">
        <f t="shared" ref="MP15:MP44" si="259">IF(MH15=$MP$7,$MP$9*MK15,0)</f>
        <v>0</v>
      </c>
      <c r="MQ15" s="290">
        <f t="shared" ref="MQ15:MQ44" si="260">IF(MH15=$MQ$7,$MQ$9*MK15,0)</f>
        <v>0</v>
      </c>
      <c r="MR15" s="290">
        <f t="shared" ref="MR15:MR44" si="261">IF(MH15=$MR$7,$MR$9*MK15,0)</f>
        <v>0</v>
      </c>
      <c r="MS15" s="290">
        <f t="shared" ref="MS15:MS44" si="262">IF(MH15=$MS$7,$MS$9*MK15,0)</f>
        <v>0</v>
      </c>
      <c r="MT15" s="290">
        <f t="shared" ref="MT15:MT44" si="263">IF(MH15=$MT$7,$MT$9*MK15,0)</f>
        <v>0</v>
      </c>
      <c r="MU15" s="290">
        <f t="shared" ref="MU15:MU44" si="264">$MU$9*MK15</f>
        <v>0</v>
      </c>
      <c r="MV15" s="290">
        <f t="shared" ref="MV15:MV44" si="265">$MV$9*MK15</f>
        <v>0</v>
      </c>
      <c r="MW15" s="290">
        <f t="shared" ref="MW15:MW44" si="266">$MW$9*MK15</f>
        <v>0</v>
      </c>
      <c r="MX15" s="290">
        <f t="shared" ref="MX15:MX44" si="267">$MX$9*MK15</f>
        <v>0</v>
      </c>
      <c r="MY15" s="290">
        <f t="shared" ref="MY15:MY44" si="268">$MY$9*MK15</f>
        <v>0</v>
      </c>
      <c r="MZ15" s="290">
        <f t="shared" ref="MZ15:MZ44" si="269">$MZ$9*MK15</f>
        <v>0</v>
      </c>
      <c r="NA15" s="290">
        <f t="shared" ref="NA15:NA44" si="270">$NA$9*MK15</f>
        <v>0</v>
      </c>
      <c r="NB15" s="290">
        <f t="shared" ref="NB15:NB44" si="271">$NB$9*MK15</f>
        <v>0</v>
      </c>
      <c r="NC15" s="290">
        <f t="shared" ref="NC15:NC44" si="272">$NC$9*MK15</f>
        <v>0</v>
      </c>
      <c r="ND15" s="291">
        <f t="shared" ref="ND15:ND44" si="273">$ND$9*MK15</f>
        <v>0</v>
      </c>
      <c r="NE15" s="291">
        <f t="shared" ref="NE15:NE44" si="274">$NE$9*MK15</f>
        <v>0</v>
      </c>
      <c r="NF15" s="291">
        <f t="shared" ref="NF15:NF44" si="275">$NF$9*MK15</f>
        <v>0</v>
      </c>
      <c r="NG15" s="292">
        <f t="shared" ref="NG15:NG44" si="276">$NG$9*MK15</f>
        <v>0</v>
      </c>
      <c r="NH15" s="999">
        <v>2</v>
      </c>
      <c r="NI15" s="286">
        <f>NI14+1</f>
        <v>44257</v>
      </c>
      <c r="NJ15" s="293">
        <f t="shared" si="34"/>
        <v>44257</v>
      </c>
      <c r="NK15" s="288">
        <f>'दैनिक माहिती'!H356</f>
        <v>0</v>
      </c>
      <c r="NL15" s="289">
        <f>'दैनिक माहिती'!E356</f>
        <v>0</v>
      </c>
      <c r="NM15" s="289">
        <f>'दैनिक माहिती'!F356</f>
        <v>0</v>
      </c>
      <c r="NN15" s="289">
        <f>'दैनिक माहिती'!G356</f>
        <v>0</v>
      </c>
      <c r="NO15" s="290">
        <f t="shared" ref="NO15:NO44" si="277">$NO$9*NN15</f>
        <v>0</v>
      </c>
      <c r="NP15" s="290">
        <f t="shared" ref="NP15:NP44" si="278">IF(NK15=$NP$7,$NP$9*NN15,0)</f>
        <v>0</v>
      </c>
      <c r="NQ15" s="290">
        <f t="shared" ref="NQ15:NQ44" si="279">IF(NK15=$NQ$7,$NQ$9*NN15,0)</f>
        <v>0</v>
      </c>
      <c r="NR15" s="290">
        <f t="shared" ref="NR15:NR44" si="280">IF(NK15=$NR$7,$NR$9*NN15,0)</f>
        <v>0</v>
      </c>
      <c r="NS15" s="290">
        <f t="shared" ref="NS15:NS44" si="281">IF(NK15=$NS$7,$NS$9*NN15,0)</f>
        <v>0</v>
      </c>
      <c r="NT15" s="290">
        <f t="shared" ref="NT15:NT44" si="282">IF(NK15=$NT$7,$NT$9*NN15,0)</f>
        <v>0</v>
      </c>
      <c r="NU15" s="290">
        <f t="shared" ref="NU15:NU44" si="283">IF(NK15=$NU$7,$NU$9*NN15,0)</f>
        <v>0</v>
      </c>
      <c r="NV15" s="290">
        <f t="shared" ref="NV15:NV44" si="284">IF(NK15=$NV$7,$NV$9*NN15,0)</f>
        <v>0</v>
      </c>
      <c r="NW15" s="290">
        <f t="shared" ref="NW15:NW44" si="285">IF(NK15=$NW$7,$NW$9*NN15,0)</f>
        <v>0</v>
      </c>
      <c r="NX15" s="290">
        <f t="shared" ref="NX15:NX44" si="286">$NX$9*NN15</f>
        <v>0</v>
      </c>
      <c r="NY15" s="290">
        <f t="shared" ref="NY15:NY44" si="287">$NY$9*NN15</f>
        <v>0</v>
      </c>
      <c r="NZ15" s="290">
        <f t="shared" ref="NZ15:NZ44" si="288">$NZ$9*NN15</f>
        <v>0</v>
      </c>
      <c r="OA15" s="290">
        <f t="shared" ref="OA15:OA44" si="289">$OA$9*NN15</f>
        <v>0</v>
      </c>
      <c r="OB15" s="290">
        <f t="shared" ref="OB15:OB44" si="290">$OB$9*NN15</f>
        <v>0</v>
      </c>
      <c r="OC15" s="290">
        <f t="shared" ref="OC15:OC44" si="291">$OC$9*NN15</f>
        <v>0</v>
      </c>
      <c r="OD15" s="290">
        <f t="shared" ref="OD15:OD44" si="292">$OD$9*NN15</f>
        <v>0</v>
      </c>
      <c r="OE15" s="290">
        <f t="shared" ref="OE15:OE44" si="293">$OE$9*NN15</f>
        <v>0</v>
      </c>
      <c r="OF15" s="290">
        <f t="shared" ref="OF15:OF44" si="294">$OF$9*NN15</f>
        <v>0</v>
      </c>
      <c r="OG15" s="291">
        <f t="shared" ref="OG15:OG44" si="295">$OG$9*NN15</f>
        <v>0</v>
      </c>
      <c r="OH15" s="291">
        <f t="shared" ref="OH15:OH44" si="296">$OH$9*NN15</f>
        <v>0</v>
      </c>
      <c r="OI15" s="291">
        <f t="shared" ref="OI15:OI44" si="297">$OI$9*NN15</f>
        <v>0</v>
      </c>
      <c r="OJ15" s="292">
        <f t="shared" ref="OJ15:OJ44" si="298">$OJ$9*NN15</f>
        <v>0</v>
      </c>
    </row>
    <row r="16" spans="1:461" ht="29.25" customHeight="1" x14ac:dyDescent="0.3">
      <c r="B16" s="2040"/>
      <c r="C16" s="2041"/>
      <c r="D16" s="2041"/>
      <c r="E16" s="2041"/>
      <c r="F16" s="2042"/>
      <c r="G16" s="2042"/>
      <c r="H16" s="2042"/>
      <c r="I16" s="2042"/>
      <c r="J16" s="2048"/>
      <c r="K16" s="2050"/>
      <c r="L16" s="2042"/>
      <c r="M16" s="2042"/>
      <c r="N16" s="2042"/>
      <c r="O16" s="2043"/>
      <c r="BA16" s="999">
        <v>3</v>
      </c>
      <c r="BB16" s="286">
        <f t="shared" ref="BB16:BB44" si="299">BB15+1</f>
        <v>43924</v>
      </c>
      <c r="BC16" s="287">
        <f t="shared" si="23"/>
        <v>43924</v>
      </c>
      <c r="BD16" s="288">
        <f>'दैनिक माहिती'!H11</f>
        <v>0</v>
      </c>
      <c r="BE16" s="289">
        <f>'दैनिक माहिती'!E11</f>
        <v>0</v>
      </c>
      <c r="BF16" s="289">
        <f>'दैनिक माहिती'!F11</f>
        <v>0</v>
      </c>
      <c r="BG16" s="289">
        <f>'दैनिक माहिती'!G11</f>
        <v>0</v>
      </c>
      <c r="BH16" s="290">
        <f t="shared" si="35"/>
        <v>0</v>
      </c>
      <c r="BI16" s="290">
        <f t="shared" si="36"/>
        <v>0</v>
      </c>
      <c r="BJ16" s="290">
        <f t="shared" si="37"/>
        <v>0</v>
      </c>
      <c r="BK16" s="290">
        <f t="shared" si="38"/>
        <v>0</v>
      </c>
      <c r="BL16" s="290">
        <f t="shared" si="39"/>
        <v>0</v>
      </c>
      <c r="BM16" s="290">
        <f t="shared" si="40"/>
        <v>0</v>
      </c>
      <c r="BN16" s="290">
        <f t="shared" si="41"/>
        <v>0</v>
      </c>
      <c r="BO16" s="290">
        <f t="shared" si="42"/>
        <v>0</v>
      </c>
      <c r="BP16" s="290">
        <f t="shared" si="43"/>
        <v>0</v>
      </c>
      <c r="BQ16" s="290">
        <f t="shared" si="44"/>
        <v>0</v>
      </c>
      <c r="BR16" s="290">
        <f t="shared" si="45"/>
        <v>0</v>
      </c>
      <c r="BS16" s="290">
        <f t="shared" si="46"/>
        <v>0</v>
      </c>
      <c r="BT16" s="290">
        <f t="shared" si="47"/>
        <v>0</v>
      </c>
      <c r="BU16" s="290">
        <f t="shared" si="48"/>
        <v>0</v>
      </c>
      <c r="BV16" s="290">
        <f t="shared" si="49"/>
        <v>0</v>
      </c>
      <c r="BW16" s="290">
        <f t="shared" si="50"/>
        <v>0</v>
      </c>
      <c r="BX16" s="290">
        <f t="shared" si="51"/>
        <v>0</v>
      </c>
      <c r="BY16" s="290">
        <f t="shared" si="52"/>
        <v>0</v>
      </c>
      <c r="BZ16" s="291">
        <f t="shared" si="53"/>
        <v>0</v>
      </c>
      <c r="CA16" s="291">
        <f t="shared" si="54"/>
        <v>0</v>
      </c>
      <c r="CB16" s="291">
        <f t="shared" si="55"/>
        <v>0</v>
      </c>
      <c r="CC16" s="292">
        <f t="shared" si="56"/>
        <v>0</v>
      </c>
      <c r="CD16" s="999">
        <v>3</v>
      </c>
      <c r="CE16" s="286">
        <f t="shared" ref="CE16:CE44" si="300">CE15+1</f>
        <v>43954</v>
      </c>
      <c r="CF16" s="287">
        <f t="shared" si="24"/>
        <v>43954</v>
      </c>
      <c r="CG16" s="288">
        <f>'दैनिक माहिती'!H42</f>
        <v>0</v>
      </c>
      <c r="CH16" s="289">
        <f>'दैनिक माहिती'!E42</f>
        <v>0</v>
      </c>
      <c r="CI16" s="289">
        <f>'दैनिक माहिती'!F42</f>
        <v>0</v>
      </c>
      <c r="CJ16" s="289">
        <f>'दैनिक माहिती'!G42</f>
        <v>0</v>
      </c>
      <c r="CK16" s="290">
        <f t="shared" si="57"/>
        <v>0</v>
      </c>
      <c r="CL16" s="290">
        <f t="shared" si="58"/>
        <v>0</v>
      </c>
      <c r="CM16" s="290">
        <f t="shared" si="59"/>
        <v>0</v>
      </c>
      <c r="CN16" s="290">
        <f t="shared" si="60"/>
        <v>0</v>
      </c>
      <c r="CO16" s="290">
        <f t="shared" si="61"/>
        <v>0</v>
      </c>
      <c r="CP16" s="290">
        <f t="shared" si="62"/>
        <v>0</v>
      </c>
      <c r="CQ16" s="290">
        <f t="shared" si="63"/>
        <v>0</v>
      </c>
      <c r="CR16" s="290">
        <f t="shared" si="64"/>
        <v>0</v>
      </c>
      <c r="CS16" s="290">
        <f t="shared" si="65"/>
        <v>0</v>
      </c>
      <c r="CT16" s="290">
        <f t="shared" si="66"/>
        <v>0</v>
      </c>
      <c r="CU16" s="290">
        <f t="shared" si="67"/>
        <v>0</v>
      </c>
      <c r="CV16" s="290">
        <f t="shared" si="68"/>
        <v>0</v>
      </c>
      <c r="CW16" s="290">
        <f t="shared" si="69"/>
        <v>0</v>
      </c>
      <c r="CX16" s="290">
        <f t="shared" si="70"/>
        <v>0</v>
      </c>
      <c r="CY16" s="290">
        <f t="shared" si="71"/>
        <v>0</v>
      </c>
      <c r="CZ16" s="290">
        <f t="shared" si="72"/>
        <v>0</v>
      </c>
      <c r="DA16" s="290">
        <f t="shared" si="73"/>
        <v>0</v>
      </c>
      <c r="DB16" s="290">
        <f t="shared" si="74"/>
        <v>0</v>
      </c>
      <c r="DC16" s="291">
        <f t="shared" si="75"/>
        <v>0</v>
      </c>
      <c r="DD16" s="291">
        <f t="shared" si="76"/>
        <v>0</v>
      </c>
      <c r="DE16" s="291">
        <f t="shared" si="77"/>
        <v>0</v>
      </c>
      <c r="DF16" s="292">
        <f t="shared" si="78"/>
        <v>0</v>
      </c>
      <c r="DG16" s="999">
        <v>3</v>
      </c>
      <c r="DH16" s="286">
        <f t="shared" ref="DH16:DH44" si="301">DH15+1</f>
        <v>43985</v>
      </c>
      <c r="DI16" s="287">
        <f t="shared" si="25"/>
        <v>43985</v>
      </c>
      <c r="DJ16" s="288">
        <f>'दैनिक माहिती'!H74</f>
        <v>0</v>
      </c>
      <c r="DK16" s="289">
        <f>'दैनिक माहिती'!E74</f>
        <v>0</v>
      </c>
      <c r="DL16" s="289">
        <f>'दैनिक माहिती'!F74</f>
        <v>0</v>
      </c>
      <c r="DM16" s="289">
        <f>'दैनिक माहिती'!G74</f>
        <v>0</v>
      </c>
      <c r="DN16" s="290">
        <f t="shared" si="79"/>
        <v>0</v>
      </c>
      <c r="DO16" s="290">
        <f t="shared" si="80"/>
        <v>0</v>
      </c>
      <c r="DP16" s="290">
        <f t="shared" si="81"/>
        <v>0</v>
      </c>
      <c r="DQ16" s="290">
        <f t="shared" si="82"/>
        <v>0</v>
      </c>
      <c r="DR16" s="290">
        <f t="shared" si="83"/>
        <v>0</v>
      </c>
      <c r="DS16" s="290">
        <f t="shared" si="84"/>
        <v>0</v>
      </c>
      <c r="DT16" s="290">
        <f t="shared" si="85"/>
        <v>0</v>
      </c>
      <c r="DU16" s="290">
        <f t="shared" si="86"/>
        <v>0</v>
      </c>
      <c r="DV16" s="290">
        <f t="shared" si="87"/>
        <v>0</v>
      </c>
      <c r="DW16" s="290">
        <f t="shared" si="88"/>
        <v>0</v>
      </c>
      <c r="DX16" s="290">
        <f t="shared" si="89"/>
        <v>0</v>
      </c>
      <c r="DY16" s="290">
        <f t="shared" si="90"/>
        <v>0</v>
      </c>
      <c r="DZ16" s="290">
        <f t="shared" si="91"/>
        <v>0</v>
      </c>
      <c r="EA16" s="290">
        <f t="shared" si="92"/>
        <v>0</v>
      </c>
      <c r="EB16" s="290">
        <f t="shared" si="93"/>
        <v>0</v>
      </c>
      <c r="EC16" s="290">
        <f t="shared" si="94"/>
        <v>0</v>
      </c>
      <c r="ED16" s="290">
        <f t="shared" si="95"/>
        <v>0</v>
      </c>
      <c r="EE16" s="290">
        <f t="shared" si="96"/>
        <v>0</v>
      </c>
      <c r="EF16" s="291">
        <f t="shared" si="97"/>
        <v>0</v>
      </c>
      <c r="EG16" s="291">
        <f t="shared" si="98"/>
        <v>0</v>
      </c>
      <c r="EH16" s="291">
        <f t="shared" si="99"/>
        <v>0</v>
      </c>
      <c r="EI16" s="292">
        <f t="shared" si="100"/>
        <v>0</v>
      </c>
      <c r="EJ16" s="999">
        <v>3</v>
      </c>
      <c r="EK16" s="286">
        <f t="shared" ref="EK16:EK44" si="302">EK15+1</f>
        <v>44015</v>
      </c>
      <c r="EL16" s="287">
        <f t="shared" si="26"/>
        <v>44015</v>
      </c>
      <c r="EM16" s="288">
        <f>'दैनिक माहिती'!H105</f>
        <v>0</v>
      </c>
      <c r="EN16" s="289">
        <f>'दैनिक माहिती'!E105</f>
        <v>0</v>
      </c>
      <c r="EO16" s="289">
        <f>'दैनिक माहिती'!F105</f>
        <v>0</v>
      </c>
      <c r="EP16" s="289">
        <f>'दैनिक माहिती'!G105</f>
        <v>0</v>
      </c>
      <c r="EQ16" s="290">
        <f t="shared" si="101"/>
        <v>0</v>
      </c>
      <c r="ER16" s="290">
        <f t="shared" si="102"/>
        <v>0</v>
      </c>
      <c r="ES16" s="290">
        <f t="shared" si="103"/>
        <v>0</v>
      </c>
      <c r="ET16" s="290">
        <f t="shared" si="104"/>
        <v>0</v>
      </c>
      <c r="EU16" s="290">
        <f t="shared" si="105"/>
        <v>0</v>
      </c>
      <c r="EV16" s="290">
        <f t="shared" si="106"/>
        <v>0</v>
      </c>
      <c r="EW16" s="290">
        <f t="shared" si="107"/>
        <v>0</v>
      </c>
      <c r="EX16" s="290">
        <f t="shared" si="108"/>
        <v>0</v>
      </c>
      <c r="EY16" s="290">
        <f t="shared" si="109"/>
        <v>0</v>
      </c>
      <c r="EZ16" s="290">
        <f t="shared" si="110"/>
        <v>0</v>
      </c>
      <c r="FA16" s="290">
        <f t="shared" si="111"/>
        <v>0</v>
      </c>
      <c r="FB16" s="290">
        <f t="shared" si="112"/>
        <v>0</v>
      </c>
      <c r="FC16" s="290">
        <f t="shared" si="113"/>
        <v>0</v>
      </c>
      <c r="FD16" s="290">
        <f t="shared" si="114"/>
        <v>0</v>
      </c>
      <c r="FE16" s="290">
        <f t="shared" si="115"/>
        <v>0</v>
      </c>
      <c r="FF16" s="290">
        <f t="shared" si="116"/>
        <v>0</v>
      </c>
      <c r="FG16" s="290">
        <f t="shared" si="117"/>
        <v>0</v>
      </c>
      <c r="FH16" s="290">
        <f t="shared" si="118"/>
        <v>0</v>
      </c>
      <c r="FI16" s="291">
        <f t="shared" si="119"/>
        <v>0</v>
      </c>
      <c r="FJ16" s="291">
        <f t="shared" si="120"/>
        <v>0</v>
      </c>
      <c r="FK16" s="291">
        <f t="shared" si="121"/>
        <v>0</v>
      </c>
      <c r="FL16" s="292">
        <f t="shared" si="122"/>
        <v>0</v>
      </c>
      <c r="FM16" s="999">
        <v>3</v>
      </c>
      <c r="FN16" s="286">
        <f t="shared" ref="FN16:FN44" si="303">FN15+1</f>
        <v>44046</v>
      </c>
      <c r="FO16" s="287">
        <f t="shared" si="27"/>
        <v>44046</v>
      </c>
      <c r="FP16" s="288" t="str">
        <f>'दैनिक माहिती'!H137</f>
        <v>वाटाणा</v>
      </c>
      <c r="FQ16" s="289">
        <f>'दैनिक माहिती'!E137</f>
        <v>15</v>
      </c>
      <c r="FR16" s="289">
        <f>'दैनिक माहिती'!F137</f>
        <v>15</v>
      </c>
      <c r="FS16" s="289">
        <f>'दैनिक माहिती'!G137</f>
        <v>15</v>
      </c>
      <c r="FT16" s="290">
        <f t="shared" si="123"/>
        <v>1.5</v>
      </c>
      <c r="FU16" s="290">
        <f t="shared" si="124"/>
        <v>0</v>
      </c>
      <c r="FV16" s="290">
        <f t="shared" si="125"/>
        <v>0</v>
      </c>
      <c r="FW16" s="290">
        <f t="shared" si="126"/>
        <v>0</v>
      </c>
      <c r="FX16" s="290">
        <f t="shared" si="127"/>
        <v>0</v>
      </c>
      <c r="FY16" s="290">
        <f t="shared" si="128"/>
        <v>0</v>
      </c>
      <c r="FZ16" s="290">
        <f t="shared" si="129"/>
        <v>0</v>
      </c>
      <c r="GA16" s="290">
        <f t="shared" si="130"/>
        <v>0</v>
      </c>
      <c r="GB16" s="290">
        <f t="shared" si="131"/>
        <v>0.3</v>
      </c>
      <c r="GC16" s="290">
        <f t="shared" si="132"/>
        <v>4.4999999999999997E-3</v>
      </c>
      <c r="GD16" s="290">
        <f t="shared" si="133"/>
        <v>7.4999999999999997E-3</v>
      </c>
      <c r="GE16" s="290">
        <f t="shared" si="134"/>
        <v>4.4999999999999997E-3</v>
      </c>
      <c r="GF16" s="290">
        <f t="shared" si="135"/>
        <v>0</v>
      </c>
      <c r="GG16" s="290">
        <f t="shared" si="136"/>
        <v>0</v>
      </c>
      <c r="GH16" s="290">
        <f t="shared" si="137"/>
        <v>7.4999999999999997E-2</v>
      </c>
      <c r="GI16" s="290">
        <f t="shared" si="138"/>
        <v>0.03</v>
      </c>
      <c r="GJ16" s="290">
        <f t="shared" si="139"/>
        <v>1.7999999999999999E-2</v>
      </c>
      <c r="GK16" s="290">
        <f t="shared" si="140"/>
        <v>0</v>
      </c>
      <c r="GL16" s="291">
        <f t="shared" si="141"/>
        <v>10.799999999999999</v>
      </c>
      <c r="GM16" s="291">
        <f t="shared" si="142"/>
        <v>9.6</v>
      </c>
      <c r="GN16" s="291">
        <f t="shared" si="143"/>
        <v>7.95</v>
      </c>
      <c r="GO16" s="292">
        <f t="shared" si="144"/>
        <v>40.200000000000003</v>
      </c>
      <c r="GP16" s="999">
        <v>3</v>
      </c>
      <c r="GQ16" s="286">
        <f t="shared" ref="GQ16:GQ44" si="304">GQ15+1</f>
        <v>44077</v>
      </c>
      <c r="GR16" s="287">
        <f t="shared" si="28"/>
        <v>44077</v>
      </c>
      <c r="GS16" s="288" t="str">
        <f>'दैनिक माहिती'!H169</f>
        <v>मुगडाळ</v>
      </c>
      <c r="GT16" s="289">
        <f>'दैनिक माहिती'!E169</f>
        <v>15</v>
      </c>
      <c r="GU16" s="289">
        <f>'दैनिक माहिती'!F169</f>
        <v>15</v>
      </c>
      <c r="GV16" s="289">
        <f>'दैनिक माहिती'!G169</f>
        <v>15</v>
      </c>
      <c r="GW16" s="290">
        <f t="shared" si="145"/>
        <v>1.5</v>
      </c>
      <c r="GX16" s="290">
        <f t="shared" si="146"/>
        <v>0.3</v>
      </c>
      <c r="GY16" s="290">
        <f t="shared" si="147"/>
        <v>0</v>
      </c>
      <c r="GZ16" s="290">
        <f t="shared" si="148"/>
        <v>0</v>
      </c>
      <c r="HA16" s="290">
        <f t="shared" si="149"/>
        <v>0</v>
      </c>
      <c r="HB16" s="290">
        <f t="shared" si="150"/>
        <v>0</v>
      </c>
      <c r="HC16" s="290">
        <f t="shared" si="151"/>
        <v>0</v>
      </c>
      <c r="HD16" s="290">
        <f t="shared" si="152"/>
        <v>0</v>
      </c>
      <c r="HE16" s="290">
        <f t="shared" si="153"/>
        <v>0</v>
      </c>
      <c r="HF16" s="290">
        <f t="shared" si="154"/>
        <v>4.4999999999999997E-3</v>
      </c>
      <c r="HG16" s="290">
        <f t="shared" si="155"/>
        <v>7.4999999999999997E-3</v>
      </c>
      <c r="HH16" s="290">
        <f t="shared" si="156"/>
        <v>4.4999999999999997E-3</v>
      </c>
      <c r="HI16" s="290">
        <f t="shared" si="157"/>
        <v>0</v>
      </c>
      <c r="HJ16" s="290">
        <f t="shared" si="158"/>
        <v>0</v>
      </c>
      <c r="HK16" s="290">
        <f t="shared" si="159"/>
        <v>7.4999999999999997E-2</v>
      </c>
      <c r="HL16" s="290">
        <f t="shared" si="160"/>
        <v>0.03</v>
      </c>
      <c r="HM16" s="290">
        <f t="shared" si="161"/>
        <v>1.7999999999999999E-2</v>
      </c>
      <c r="HN16" s="290">
        <f t="shared" si="162"/>
        <v>0</v>
      </c>
      <c r="HO16" s="291">
        <f t="shared" si="163"/>
        <v>10.799999999999999</v>
      </c>
      <c r="HP16" s="291">
        <f t="shared" si="164"/>
        <v>9.6</v>
      </c>
      <c r="HQ16" s="291">
        <f t="shared" si="165"/>
        <v>7.95</v>
      </c>
      <c r="HR16" s="292">
        <f t="shared" si="166"/>
        <v>40.200000000000003</v>
      </c>
      <c r="HS16" s="999">
        <v>3</v>
      </c>
      <c r="HT16" s="286">
        <f t="shared" ref="HT16:HT44" si="305">HT15+1</f>
        <v>44107</v>
      </c>
      <c r="HU16" s="287">
        <f t="shared" si="29"/>
        <v>44107</v>
      </c>
      <c r="HV16" s="288" t="str">
        <f>'दैनिक माहिती'!H200</f>
        <v>मुगडाळ</v>
      </c>
      <c r="HW16" s="289">
        <f>'दैनिक माहिती'!E200</f>
        <v>22</v>
      </c>
      <c r="HX16" s="289">
        <f>'दैनिक माहिती'!F200</f>
        <v>22</v>
      </c>
      <c r="HY16" s="289">
        <f>'दैनिक माहिती'!G200</f>
        <v>22</v>
      </c>
      <c r="HZ16" s="290">
        <f t="shared" si="167"/>
        <v>2.2000000000000002</v>
      </c>
      <c r="IA16" s="290">
        <f t="shared" si="168"/>
        <v>0.44</v>
      </c>
      <c r="IB16" s="290">
        <f t="shared" si="169"/>
        <v>0</v>
      </c>
      <c r="IC16" s="290">
        <f t="shared" si="170"/>
        <v>0</v>
      </c>
      <c r="ID16" s="290">
        <f t="shared" si="171"/>
        <v>0</v>
      </c>
      <c r="IE16" s="290">
        <f t="shared" si="172"/>
        <v>0</v>
      </c>
      <c r="IF16" s="290">
        <f t="shared" si="173"/>
        <v>0</v>
      </c>
      <c r="IG16" s="290">
        <f t="shared" si="174"/>
        <v>0</v>
      </c>
      <c r="IH16" s="290">
        <f t="shared" si="175"/>
        <v>0</v>
      </c>
      <c r="II16" s="290">
        <f t="shared" si="176"/>
        <v>6.5999999999999991E-3</v>
      </c>
      <c r="IJ16" s="290">
        <f t="shared" si="177"/>
        <v>1.0999999999999999E-2</v>
      </c>
      <c r="IK16" s="290">
        <f t="shared" si="178"/>
        <v>6.5999999999999991E-3</v>
      </c>
      <c r="IL16" s="290">
        <f t="shared" si="179"/>
        <v>0</v>
      </c>
      <c r="IM16" s="290">
        <f t="shared" si="180"/>
        <v>0</v>
      </c>
      <c r="IN16" s="290">
        <f t="shared" si="181"/>
        <v>0.11</v>
      </c>
      <c r="IO16" s="290">
        <f t="shared" si="182"/>
        <v>4.3999999999999997E-2</v>
      </c>
      <c r="IP16" s="290">
        <f t="shared" si="183"/>
        <v>2.6399999999999996E-2</v>
      </c>
      <c r="IQ16" s="290">
        <f t="shared" si="184"/>
        <v>0</v>
      </c>
      <c r="IR16" s="291">
        <f t="shared" si="185"/>
        <v>15.62</v>
      </c>
      <c r="IS16" s="291">
        <f t="shared" si="186"/>
        <v>17.380000000000003</v>
      </c>
      <c r="IT16" s="291">
        <f t="shared" si="187"/>
        <v>12.76</v>
      </c>
      <c r="IU16" s="292">
        <f t="shared" si="188"/>
        <v>63.14</v>
      </c>
      <c r="IV16" s="999">
        <v>3</v>
      </c>
      <c r="IW16" s="286">
        <f t="shared" ref="IW16:IW44" si="306">IW15+1</f>
        <v>44138</v>
      </c>
      <c r="IX16" s="287">
        <f t="shared" si="30"/>
        <v>44138</v>
      </c>
      <c r="IY16" s="288">
        <f>'दैनिक माहिती'!H232</f>
        <v>0</v>
      </c>
      <c r="IZ16" s="289">
        <f>'दैनिक माहिती'!E232</f>
        <v>0</v>
      </c>
      <c r="JA16" s="289">
        <f>'दैनिक माहिती'!F232</f>
        <v>0</v>
      </c>
      <c r="JB16" s="289">
        <f>'दैनिक माहिती'!G232</f>
        <v>0</v>
      </c>
      <c r="JC16" s="290">
        <f t="shared" si="189"/>
        <v>0</v>
      </c>
      <c r="JD16" s="290">
        <f t="shared" si="190"/>
        <v>0</v>
      </c>
      <c r="JE16" s="290">
        <f t="shared" si="191"/>
        <v>0</v>
      </c>
      <c r="JF16" s="290">
        <f t="shared" si="192"/>
        <v>0</v>
      </c>
      <c r="JG16" s="290">
        <f t="shared" si="193"/>
        <v>0</v>
      </c>
      <c r="JH16" s="290">
        <f t="shared" si="194"/>
        <v>0</v>
      </c>
      <c r="JI16" s="290">
        <f t="shared" si="195"/>
        <v>0</v>
      </c>
      <c r="JJ16" s="290">
        <f t="shared" si="196"/>
        <v>0</v>
      </c>
      <c r="JK16" s="290">
        <f t="shared" si="197"/>
        <v>0</v>
      </c>
      <c r="JL16" s="290">
        <f t="shared" si="198"/>
        <v>0</v>
      </c>
      <c r="JM16" s="290">
        <f t="shared" si="199"/>
        <v>0</v>
      </c>
      <c r="JN16" s="290">
        <f t="shared" si="200"/>
        <v>0</v>
      </c>
      <c r="JO16" s="290">
        <f t="shared" si="201"/>
        <v>0</v>
      </c>
      <c r="JP16" s="290">
        <f t="shared" si="202"/>
        <v>0</v>
      </c>
      <c r="JQ16" s="290">
        <f t="shared" si="203"/>
        <v>0</v>
      </c>
      <c r="JR16" s="290">
        <f t="shared" si="204"/>
        <v>0</v>
      </c>
      <c r="JS16" s="290">
        <f t="shared" si="205"/>
        <v>0</v>
      </c>
      <c r="JT16" s="290">
        <f t="shared" si="206"/>
        <v>0</v>
      </c>
      <c r="JU16" s="291">
        <f t="shared" si="207"/>
        <v>0</v>
      </c>
      <c r="JV16" s="291">
        <f t="shared" si="208"/>
        <v>0</v>
      </c>
      <c r="JW16" s="291">
        <f t="shared" si="209"/>
        <v>0</v>
      </c>
      <c r="JX16" s="292">
        <f t="shared" si="210"/>
        <v>0</v>
      </c>
      <c r="JY16" s="999">
        <v>3</v>
      </c>
      <c r="JZ16" s="286">
        <f t="shared" ref="JZ16:JZ44" si="307">JZ15+1</f>
        <v>44168</v>
      </c>
      <c r="KA16" s="287">
        <f t="shared" si="31"/>
        <v>44168</v>
      </c>
      <c r="KB16" s="288" t="str">
        <f>'दैनिक माहिती'!H263</f>
        <v>मुगडाळ</v>
      </c>
      <c r="KC16" s="289">
        <f>'दैनिक माहिती'!E263</f>
        <v>21</v>
      </c>
      <c r="KD16" s="289">
        <f>'दैनिक माहिती'!F263</f>
        <v>21</v>
      </c>
      <c r="KE16" s="289">
        <f>'दैनिक माहिती'!G263</f>
        <v>21</v>
      </c>
      <c r="KF16" s="290">
        <f t="shared" si="211"/>
        <v>2.1</v>
      </c>
      <c r="KG16" s="290">
        <f t="shared" si="212"/>
        <v>0.42</v>
      </c>
      <c r="KH16" s="290">
        <f t="shared" si="213"/>
        <v>0</v>
      </c>
      <c r="KI16" s="290">
        <f t="shared" si="214"/>
        <v>0</v>
      </c>
      <c r="KJ16" s="290">
        <f t="shared" si="215"/>
        <v>0</v>
      </c>
      <c r="KK16" s="290">
        <f t="shared" si="216"/>
        <v>0</v>
      </c>
      <c r="KL16" s="290">
        <f t="shared" si="217"/>
        <v>0</v>
      </c>
      <c r="KM16" s="290">
        <f t="shared" si="218"/>
        <v>0</v>
      </c>
      <c r="KN16" s="290">
        <f t="shared" si="219"/>
        <v>0</v>
      </c>
      <c r="KO16" s="290">
        <f t="shared" si="220"/>
        <v>6.2999999999999992E-3</v>
      </c>
      <c r="KP16" s="290">
        <f t="shared" si="221"/>
        <v>1.0500000000000001E-2</v>
      </c>
      <c r="KQ16" s="290">
        <f t="shared" si="222"/>
        <v>6.2999999999999992E-3</v>
      </c>
      <c r="KR16" s="290">
        <f t="shared" si="223"/>
        <v>0</v>
      </c>
      <c r="KS16" s="290">
        <f t="shared" si="224"/>
        <v>0</v>
      </c>
      <c r="KT16" s="290">
        <f t="shared" si="225"/>
        <v>0.105</v>
      </c>
      <c r="KU16" s="290">
        <f t="shared" si="226"/>
        <v>4.2000000000000003E-2</v>
      </c>
      <c r="KV16" s="290">
        <f t="shared" si="227"/>
        <v>2.5199999999999997E-2</v>
      </c>
      <c r="KW16" s="290">
        <f t="shared" si="228"/>
        <v>0</v>
      </c>
      <c r="KX16" s="291">
        <f t="shared" si="229"/>
        <v>14.91</v>
      </c>
      <c r="KY16" s="291">
        <f t="shared" si="230"/>
        <v>16.59</v>
      </c>
      <c r="KZ16" s="291">
        <f t="shared" si="231"/>
        <v>12.18</v>
      </c>
      <c r="LA16" s="292">
        <f t="shared" si="232"/>
        <v>60.27</v>
      </c>
      <c r="LB16" s="999">
        <v>3</v>
      </c>
      <c r="LC16" s="286">
        <f t="shared" ref="LC16:LC44" si="308">LC15+1</f>
        <v>44199</v>
      </c>
      <c r="LD16" s="287">
        <f t="shared" si="32"/>
        <v>44199</v>
      </c>
      <c r="LE16" s="288">
        <f>'दैनिक माहिती'!H295</f>
        <v>0</v>
      </c>
      <c r="LF16" s="289">
        <f>'दैनिक माहिती'!E295</f>
        <v>0</v>
      </c>
      <c r="LG16" s="289">
        <f>'दैनिक माहिती'!F295</f>
        <v>0</v>
      </c>
      <c r="LH16" s="289">
        <f>'दैनिक माहिती'!G295</f>
        <v>0</v>
      </c>
      <c r="LI16" s="290">
        <f t="shared" si="233"/>
        <v>0</v>
      </c>
      <c r="LJ16" s="290">
        <f t="shared" si="234"/>
        <v>0</v>
      </c>
      <c r="LK16" s="290">
        <f t="shared" si="235"/>
        <v>0</v>
      </c>
      <c r="LL16" s="290">
        <f t="shared" si="236"/>
        <v>0</v>
      </c>
      <c r="LM16" s="290">
        <f t="shared" si="237"/>
        <v>0</v>
      </c>
      <c r="LN16" s="290">
        <f t="shared" si="238"/>
        <v>0</v>
      </c>
      <c r="LO16" s="290">
        <f t="shared" si="239"/>
        <v>0</v>
      </c>
      <c r="LP16" s="290">
        <f t="shared" si="240"/>
        <v>0</v>
      </c>
      <c r="LQ16" s="290">
        <f t="shared" si="241"/>
        <v>0</v>
      </c>
      <c r="LR16" s="290">
        <f t="shared" si="242"/>
        <v>0</v>
      </c>
      <c r="LS16" s="290">
        <f t="shared" si="243"/>
        <v>0</v>
      </c>
      <c r="LT16" s="290">
        <f t="shared" si="244"/>
        <v>0</v>
      </c>
      <c r="LU16" s="290">
        <f t="shared" si="245"/>
        <v>0</v>
      </c>
      <c r="LV16" s="290">
        <f t="shared" si="246"/>
        <v>0</v>
      </c>
      <c r="LW16" s="290">
        <f t="shared" si="247"/>
        <v>0</v>
      </c>
      <c r="LX16" s="290">
        <f t="shared" si="248"/>
        <v>0</v>
      </c>
      <c r="LY16" s="290">
        <f t="shared" si="249"/>
        <v>0</v>
      </c>
      <c r="LZ16" s="290">
        <f t="shared" si="250"/>
        <v>0</v>
      </c>
      <c r="MA16" s="291">
        <f t="shared" si="251"/>
        <v>0</v>
      </c>
      <c r="MB16" s="291">
        <f t="shared" si="252"/>
        <v>0</v>
      </c>
      <c r="MC16" s="291">
        <f t="shared" si="253"/>
        <v>0</v>
      </c>
      <c r="MD16" s="292">
        <f t="shared" si="254"/>
        <v>0</v>
      </c>
      <c r="ME16" s="999">
        <v>3</v>
      </c>
      <c r="MF16" s="286">
        <f t="shared" ref="MF16:MF44" si="309">MF15+1</f>
        <v>44230</v>
      </c>
      <c r="MG16" s="287">
        <f t="shared" si="33"/>
        <v>44230</v>
      </c>
      <c r="MH16" s="288">
        <f>'दैनिक माहिती'!H327</f>
        <v>0</v>
      </c>
      <c r="MI16" s="289">
        <f>'दैनिक माहिती'!E327</f>
        <v>0</v>
      </c>
      <c r="MJ16" s="289">
        <f>'दैनिक माहिती'!F327</f>
        <v>0</v>
      </c>
      <c r="MK16" s="289">
        <f>'दैनिक माहिती'!G327</f>
        <v>0</v>
      </c>
      <c r="ML16" s="290">
        <f t="shared" si="255"/>
        <v>0</v>
      </c>
      <c r="MM16" s="290">
        <f t="shared" si="256"/>
        <v>0</v>
      </c>
      <c r="MN16" s="290">
        <f t="shared" si="257"/>
        <v>0</v>
      </c>
      <c r="MO16" s="290">
        <f t="shared" si="258"/>
        <v>0</v>
      </c>
      <c r="MP16" s="290">
        <f t="shared" si="259"/>
        <v>0</v>
      </c>
      <c r="MQ16" s="290">
        <f t="shared" si="260"/>
        <v>0</v>
      </c>
      <c r="MR16" s="290">
        <f t="shared" si="261"/>
        <v>0</v>
      </c>
      <c r="MS16" s="290">
        <f t="shared" si="262"/>
        <v>0</v>
      </c>
      <c r="MT16" s="290">
        <f t="shared" si="263"/>
        <v>0</v>
      </c>
      <c r="MU16" s="290">
        <f t="shared" si="264"/>
        <v>0</v>
      </c>
      <c r="MV16" s="290">
        <f t="shared" si="265"/>
        <v>0</v>
      </c>
      <c r="MW16" s="290">
        <f t="shared" si="266"/>
        <v>0</v>
      </c>
      <c r="MX16" s="290">
        <f t="shared" si="267"/>
        <v>0</v>
      </c>
      <c r="MY16" s="290">
        <f t="shared" si="268"/>
        <v>0</v>
      </c>
      <c r="MZ16" s="290">
        <f t="shared" si="269"/>
        <v>0</v>
      </c>
      <c r="NA16" s="290">
        <f t="shared" si="270"/>
        <v>0</v>
      </c>
      <c r="NB16" s="290">
        <f t="shared" si="271"/>
        <v>0</v>
      </c>
      <c r="NC16" s="290">
        <f t="shared" si="272"/>
        <v>0</v>
      </c>
      <c r="ND16" s="291">
        <f t="shared" si="273"/>
        <v>0</v>
      </c>
      <c r="NE16" s="291">
        <f t="shared" si="274"/>
        <v>0</v>
      </c>
      <c r="NF16" s="291">
        <f t="shared" si="275"/>
        <v>0</v>
      </c>
      <c r="NG16" s="292">
        <f t="shared" si="276"/>
        <v>0</v>
      </c>
      <c r="NH16" s="999">
        <v>3</v>
      </c>
      <c r="NI16" s="286">
        <f t="shared" ref="NI16:NI44" si="310">NI15+1</f>
        <v>44258</v>
      </c>
      <c r="NJ16" s="287">
        <f t="shared" si="34"/>
        <v>44258</v>
      </c>
      <c r="NK16" s="288">
        <f>'दैनिक माहिती'!H357</f>
        <v>0</v>
      </c>
      <c r="NL16" s="289">
        <f>'दैनिक माहिती'!E357</f>
        <v>0</v>
      </c>
      <c r="NM16" s="289">
        <f>'दैनिक माहिती'!F357</f>
        <v>0</v>
      </c>
      <c r="NN16" s="289">
        <f>'दैनिक माहिती'!G357</f>
        <v>0</v>
      </c>
      <c r="NO16" s="290">
        <f t="shared" si="277"/>
        <v>0</v>
      </c>
      <c r="NP16" s="290">
        <f t="shared" si="278"/>
        <v>0</v>
      </c>
      <c r="NQ16" s="290">
        <f t="shared" si="279"/>
        <v>0</v>
      </c>
      <c r="NR16" s="290">
        <f t="shared" si="280"/>
        <v>0</v>
      </c>
      <c r="NS16" s="290">
        <f t="shared" si="281"/>
        <v>0</v>
      </c>
      <c r="NT16" s="290">
        <f t="shared" si="282"/>
        <v>0</v>
      </c>
      <c r="NU16" s="290">
        <f t="shared" si="283"/>
        <v>0</v>
      </c>
      <c r="NV16" s="290">
        <f t="shared" si="284"/>
        <v>0</v>
      </c>
      <c r="NW16" s="290">
        <f t="shared" si="285"/>
        <v>0</v>
      </c>
      <c r="NX16" s="290">
        <f t="shared" si="286"/>
        <v>0</v>
      </c>
      <c r="NY16" s="290">
        <f t="shared" si="287"/>
        <v>0</v>
      </c>
      <c r="NZ16" s="290">
        <f t="shared" si="288"/>
        <v>0</v>
      </c>
      <c r="OA16" s="290">
        <f t="shared" si="289"/>
        <v>0</v>
      </c>
      <c r="OB16" s="290">
        <f t="shared" si="290"/>
        <v>0</v>
      </c>
      <c r="OC16" s="290">
        <f t="shared" si="291"/>
        <v>0</v>
      </c>
      <c r="OD16" s="290">
        <f t="shared" si="292"/>
        <v>0</v>
      </c>
      <c r="OE16" s="290">
        <f t="shared" si="293"/>
        <v>0</v>
      </c>
      <c r="OF16" s="290">
        <f t="shared" si="294"/>
        <v>0</v>
      </c>
      <c r="OG16" s="291">
        <f t="shared" si="295"/>
        <v>0</v>
      </c>
      <c r="OH16" s="291">
        <f t="shared" si="296"/>
        <v>0</v>
      </c>
      <c r="OI16" s="291">
        <f t="shared" si="297"/>
        <v>0</v>
      </c>
      <c r="OJ16" s="292">
        <f t="shared" si="298"/>
        <v>0</v>
      </c>
    </row>
    <row r="17" spans="2:400" ht="35.25" customHeight="1" x14ac:dyDescent="0.3">
      <c r="B17" s="2036">
        <v>1</v>
      </c>
      <c r="C17" s="2033" t="str">
        <f>IF('शाळा माहिती'!D17="","",'शाळा माहिती'!D17)</f>
        <v>श्री प्रवीण ज्ञानदेव कोल्हे</v>
      </c>
      <c r="D17" s="2033"/>
      <c r="E17" s="2033"/>
      <c r="F17" s="2033" t="s">
        <v>293</v>
      </c>
      <c r="G17" s="2033"/>
      <c r="H17" s="1020" t="s">
        <v>132</v>
      </c>
      <c r="I17" s="305">
        <f>HOME!E2</f>
        <v>2022</v>
      </c>
      <c r="J17" s="306" t="str">
        <f>'शाळा माहिती'!C17</f>
        <v>1 ते 5</v>
      </c>
      <c r="K17" s="2051" t="s">
        <v>211</v>
      </c>
      <c r="L17" s="2033"/>
      <c r="M17" s="2033"/>
      <c r="N17" s="2033"/>
      <c r="O17" s="2034"/>
      <c r="BA17" s="999">
        <v>4</v>
      </c>
      <c r="BB17" s="286">
        <f t="shared" si="299"/>
        <v>43925</v>
      </c>
      <c r="BC17" s="293">
        <f t="shared" si="23"/>
        <v>43925</v>
      </c>
      <c r="BD17" s="288" t="str">
        <f>'दैनिक माहिती'!H12</f>
        <v>मुगडाळ</v>
      </c>
      <c r="BE17" s="289">
        <f>'दैनिक माहिती'!E12</f>
        <v>22</v>
      </c>
      <c r="BF17" s="289">
        <f>'दैनिक माहिती'!F12</f>
        <v>22</v>
      </c>
      <c r="BG17" s="289">
        <f>'दैनिक माहिती'!G12</f>
        <v>22</v>
      </c>
      <c r="BH17" s="290">
        <f t="shared" si="35"/>
        <v>2.2000000000000002</v>
      </c>
      <c r="BI17" s="290">
        <f t="shared" si="36"/>
        <v>0.44</v>
      </c>
      <c r="BJ17" s="290">
        <f t="shared" si="37"/>
        <v>0</v>
      </c>
      <c r="BK17" s="290">
        <f t="shared" si="38"/>
        <v>0</v>
      </c>
      <c r="BL17" s="290">
        <f t="shared" si="39"/>
        <v>0</v>
      </c>
      <c r="BM17" s="290">
        <f t="shared" si="40"/>
        <v>0</v>
      </c>
      <c r="BN17" s="290">
        <f t="shared" si="41"/>
        <v>0</v>
      </c>
      <c r="BO17" s="290">
        <f t="shared" si="42"/>
        <v>0</v>
      </c>
      <c r="BP17" s="290">
        <f t="shared" si="43"/>
        <v>0</v>
      </c>
      <c r="BQ17" s="290">
        <f t="shared" si="44"/>
        <v>6.5999999999999991E-3</v>
      </c>
      <c r="BR17" s="290">
        <f t="shared" si="45"/>
        <v>1.0999999999999999E-2</v>
      </c>
      <c r="BS17" s="290">
        <f t="shared" si="46"/>
        <v>6.5999999999999991E-3</v>
      </c>
      <c r="BT17" s="290">
        <f t="shared" si="47"/>
        <v>0</v>
      </c>
      <c r="BU17" s="290">
        <f t="shared" si="48"/>
        <v>0</v>
      </c>
      <c r="BV17" s="290">
        <f t="shared" si="49"/>
        <v>0.11</v>
      </c>
      <c r="BW17" s="290">
        <f t="shared" si="50"/>
        <v>4.3999999999999997E-2</v>
      </c>
      <c r="BX17" s="290">
        <f t="shared" si="51"/>
        <v>2.6399999999999996E-2</v>
      </c>
      <c r="BY17" s="290">
        <f t="shared" si="52"/>
        <v>0</v>
      </c>
      <c r="BZ17" s="291">
        <f t="shared" si="53"/>
        <v>15.84</v>
      </c>
      <c r="CA17" s="291">
        <f t="shared" si="54"/>
        <v>14.08</v>
      </c>
      <c r="CB17" s="291">
        <f t="shared" si="55"/>
        <v>11.66</v>
      </c>
      <c r="CC17" s="292">
        <f t="shared" si="56"/>
        <v>58.96</v>
      </c>
      <c r="CD17" s="999">
        <v>4</v>
      </c>
      <c r="CE17" s="286">
        <f t="shared" si="300"/>
        <v>43955</v>
      </c>
      <c r="CF17" s="293">
        <f t="shared" si="24"/>
        <v>43955</v>
      </c>
      <c r="CG17" s="288">
        <f>'दैनिक माहिती'!H43</f>
        <v>0</v>
      </c>
      <c r="CH17" s="289">
        <f>'दैनिक माहिती'!E43</f>
        <v>0</v>
      </c>
      <c r="CI17" s="289">
        <f>'दैनिक माहिती'!F43</f>
        <v>0</v>
      </c>
      <c r="CJ17" s="289">
        <f>'दैनिक माहिती'!G43</f>
        <v>0</v>
      </c>
      <c r="CK17" s="290">
        <f t="shared" si="57"/>
        <v>0</v>
      </c>
      <c r="CL17" s="290">
        <f t="shared" si="58"/>
        <v>0</v>
      </c>
      <c r="CM17" s="290">
        <f t="shared" si="59"/>
        <v>0</v>
      </c>
      <c r="CN17" s="290">
        <f t="shared" si="60"/>
        <v>0</v>
      </c>
      <c r="CO17" s="290">
        <f t="shared" si="61"/>
        <v>0</v>
      </c>
      <c r="CP17" s="290">
        <f t="shared" si="62"/>
        <v>0</v>
      </c>
      <c r="CQ17" s="290">
        <f t="shared" si="63"/>
        <v>0</v>
      </c>
      <c r="CR17" s="290">
        <f t="shared" si="64"/>
        <v>0</v>
      </c>
      <c r="CS17" s="290">
        <f t="shared" si="65"/>
        <v>0</v>
      </c>
      <c r="CT17" s="290">
        <f t="shared" si="66"/>
        <v>0</v>
      </c>
      <c r="CU17" s="290">
        <f t="shared" si="67"/>
        <v>0</v>
      </c>
      <c r="CV17" s="290">
        <f t="shared" si="68"/>
        <v>0</v>
      </c>
      <c r="CW17" s="290">
        <f t="shared" si="69"/>
        <v>0</v>
      </c>
      <c r="CX17" s="290">
        <f t="shared" si="70"/>
        <v>0</v>
      </c>
      <c r="CY17" s="290">
        <f t="shared" si="71"/>
        <v>0</v>
      </c>
      <c r="CZ17" s="290">
        <f t="shared" si="72"/>
        <v>0</v>
      </c>
      <c r="DA17" s="290">
        <f t="shared" si="73"/>
        <v>0</v>
      </c>
      <c r="DB17" s="290">
        <f t="shared" si="74"/>
        <v>0</v>
      </c>
      <c r="DC17" s="291">
        <f t="shared" si="75"/>
        <v>0</v>
      </c>
      <c r="DD17" s="291">
        <f t="shared" si="76"/>
        <v>0</v>
      </c>
      <c r="DE17" s="291">
        <f t="shared" si="77"/>
        <v>0</v>
      </c>
      <c r="DF17" s="292">
        <f t="shared" si="78"/>
        <v>0</v>
      </c>
      <c r="DG17" s="999">
        <v>4</v>
      </c>
      <c r="DH17" s="286">
        <f t="shared" si="301"/>
        <v>43986</v>
      </c>
      <c r="DI17" s="293">
        <f t="shared" si="25"/>
        <v>43986</v>
      </c>
      <c r="DJ17" s="288">
        <f>'दैनिक माहिती'!H75</f>
        <v>0</v>
      </c>
      <c r="DK17" s="289">
        <f>'दैनिक माहिती'!E75</f>
        <v>0</v>
      </c>
      <c r="DL17" s="289">
        <f>'दैनिक माहिती'!F75</f>
        <v>0</v>
      </c>
      <c r="DM17" s="289">
        <f>'दैनिक माहिती'!G75</f>
        <v>0</v>
      </c>
      <c r="DN17" s="290">
        <f t="shared" si="79"/>
        <v>0</v>
      </c>
      <c r="DO17" s="290">
        <f t="shared" si="80"/>
        <v>0</v>
      </c>
      <c r="DP17" s="290">
        <f t="shared" si="81"/>
        <v>0</v>
      </c>
      <c r="DQ17" s="290">
        <f t="shared" si="82"/>
        <v>0</v>
      </c>
      <c r="DR17" s="290">
        <f t="shared" si="83"/>
        <v>0</v>
      </c>
      <c r="DS17" s="290">
        <f t="shared" si="84"/>
        <v>0</v>
      </c>
      <c r="DT17" s="290">
        <f t="shared" si="85"/>
        <v>0</v>
      </c>
      <c r="DU17" s="290">
        <f t="shared" si="86"/>
        <v>0</v>
      </c>
      <c r="DV17" s="290">
        <f t="shared" si="87"/>
        <v>0</v>
      </c>
      <c r="DW17" s="290">
        <f t="shared" si="88"/>
        <v>0</v>
      </c>
      <c r="DX17" s="290">
        <f t="shared" si="89"/>
        <v>0</v>
      </c>
      <c r="DY17" s="290">
        <f t="shared" si="90"/>
        <v>0</v>
      </c>
      <c r="DZ17" s="290">
        <f t="shared" si="91"/>
        <v>0</v>
      </c>
      <c r="EA17" s="290">
        <f t="shared" si="92"/>
        <v>0</v>
      </c>
      <c r="EB17" s="290">
        <f t="shared" si="93"/>
        <v>0</v>
      </c>
      <c r="EC17" s="290">
        <f t="shared" si="94"/>
        <v>0</v>
      </c>
      <c r="ED17" s="290">
        <f t="shared" si="95"/>
        <v>0</v>
      </c>
      <c r="EE17" s="290">
        <f t="shared" si="96"/>
        <v>0</v>
      </c>
      <c r="EF17" s="291">
        <f t="shared" si="97"/>
        <v>0</v>
      </c>
      <c r="EG17" s="291">
        <f t="shared" si="98"/>
        <v>0</v>
      </c>
      <c r="EH17" s="291">
        <f t="shared" si="99"/>
        <v>0</v>
      </c>
      <c r="EI17" s="292">
        <f t="shared" si="100"/>
        <v>0</v>
      </c>
      <c r="EJ17" s="999">
        <v>4</v>
      </c>
      <c r="EK17" s="286">
        <f t="shared" si="302"/>
        <v>44016</v>
      </c>
      <c r="EL17" s="293">
        <f t="shared" si="26"/>
        <v>44016</v>
      </c>
      <c r="EM17" s="288" t="str">
        <f>'दैनिक माहिती'!H106</f>
        <v>मुगडाळ</v>
      </c>
      <c r="EN17" s="289">
        <f>'दैनिक माहिती'!E106</f>
        <v>17</v>
      </c>
      <c r="EO17" s="289">
        <f>'दैनिक माहिती'!F106</f>
        <v>17</v>
      </c>
      <c r="EP17" s="289">
        <f>'दैनिक माहिती'!G106</f>
        <v>17</v>
      </c>
      <c r="EQ17" s="290">
        <f t="shared" si="101"/>
        <v>1.7000000000000002</v>
      </c>
      <c r="ER17" s="290">
        <f t="shared" si="102"/>
        <v>0.34</v>
      </c>
      <c r="ES17" s="290">
        <f t="shared" si="103"/>
        <v>0</v>
      </c>
      <c r="ET17" s="290">
        <f t="shared" si="104"/>
        <v>0</v>
      </c>
      <c r="EU17" s="290">
        <f t="shared" si="105"/>
        <v>0</v>
      </c>
      <c r="EV17" s="290">
        <f t="shared" si="106"/>
        <v>0</v>
      </c>
      <c r="EW17" s="290">
        <f t="shared" si="107"/>
        <v>0</v>
      </c>
      <c r="EX17" s="290">
        <f t="shared" si="108"/>
        <v>0</v>
      </c>
      <c r="EY17" s="290">
        <f t="shared" si="109"/>
        <v>0</v>
      </c>
      <c r="EZ17" s="290">
        <f t="shared" si="110"/>
        <v>5.0999999999999995E-3</v>
      </c>
      <c r="FA17" s="290">
        <f t="shared" si="111"/>
        <v>8.5000000000000006E-3</v>
      </c>
      <c r="FB17" s="290">
        <f t="shared" si="112"/>
        <v>5.0999999999999995E-3</v>
      </c>
      <c r="FC17" s="290">
        <f t="shared" si="113"/>
        <v>0</v>
      </c>
      <c r="FD17" s="290">
        <f t="shared" si="114"/>
        <v>0</v>
      </c>
      <c r="FE17" s="290">
        <f t="shared" si="115"/>
        <v>8.5000000000000006E-2</v>
      </c>
      <c r="FF17" s="290">
        <f t="shared" si="116"/>
        <v>3.4000000000000002E-2</v>
      </c>
      <c r="FG17" s="290">
        <f t="shared" si="117"/>
        <v>2.0399999999999998E-2</v>
      </c>
      <c r="FH17" s="290">
        <f t="shared" si="118"/>
        <v>0</v>
      </c>
      <c r="FI17" s="291">
        <f t="shared" si="119"/>
        <v>12.24</v>
      </c>
      <c r="FJ17" s="291">
        <f t="shared" si="120"/>
        <v>10.88</v>
      </c>
      <c r="FK17" s="291">
        <f t="shared" si="121"/>
        <v>9.01</v>
      </c>
      <c r="FL17" s="292">
        <f t="shared" si="122"/>
        <v>45.56</v>
      </c>
      <c r="FM17" s="999">
        <v>4</v>
      </c>
      <c r="FN17" s="286">
        <f t="shared" si="303"/>
        <v>44047</v>
      </c>
      <c r="FO17" s="293">
        <f t="shared" si="27"/>
        <v>44047</v>
      </c>
      <c r="FP17" s="288" t="str">
        <f>'दैनिक माहिती'!H138</f>
        <v>हरभरा</v>
      </c>
      <c r="FQ17" s="289">
        <f>'दैनिक माहिती'!E138</f>
        <v>15</v>
      </c>
      <c r="FR17" s="289">
        <f>'दैनिक माहिती'!F138</f>
        <v>15</v>
      </c>
      <c r="FS17" s="289">
        <f>'दैनिक माहिती'!G138</f>
        <v>15</v>
      </c>
      <c r="FT17" s="290">
        <f t="shared" si="123"/>
        <v>1.5</v>
      </c>
      <c r="FU17" s="290">
        <f t="shared" si="124"/>
        <v>0</v>
      </c>
      <c r="FV17" s="290">
        <f t="shared" si="125"/>
        <v>0</v>
      </c>
      <c r="FW17" s="290">
        <f t="shared" si="126"/>
        <v>0</v>
      </c>
      <c r="FX17" s="290">
        <f t="shared" si="127"/>
        <v>0</v>
      </c>
      <c r="FY17" s="290">
        <f t="shared" si="128"/>
        <v>0</v>
      </c>
      <c r="FZ17" s="290">
        <f t="shared" si="129"/>
        <v>0</v>
      </c>
      <c r="GA17" s="290">
        <f t="shared" si="130"/>
        <v>0.3</v>
      </c>
      <c r="GB17" s="290">
        <f t="shared" si="131"/>
        <v>0</v>
      </c>
      <c r="GC17" s="290">
        <f t="shared" si="132"/>
        <v>4.4999999999999997E-3</v>
      </c>
      <c r="GD17" s="290">
        <f t="shared" si="133"/>
        <v>7.4999999999999997E-3</v>
      </c>
      <c r="GE17" s="290">
        <f t="shared" si="134"/>
        <v>4.4999999999999997E-3</v>
      </c>
      <c r="GF17" s="290">
        <f t="shared" si="135"/>
        <v>0</v>
      </c>
      <c r="GG17" s="290">
        <f t="shared" si="136"/>
        <v>0</v>
      </c>
      <c r="GH17" s="290">
        <f t="shared" si="137"/>
        <v>7.4999999999999997E-2</v>
      </c>
      <c r="GI17" s="290">
        <f t="shared" si="138"/>
        <v>0.03</v>
      </c>
      <c r="GJ17" s="290">
        <f t="shared" si="139"/>
        <v>1.7999999999999999E-2</v>
      </c>
      <c r="GK17" s="290">
        <f t="shared" si="140"/>
        <v>0</v>
      </c>
      <c r="GL17" s="291">
        <f t="shared" si="141"/>
        <v>10.799999999999999</v>
      </c>
      <c r="GM17" s="291">
        <f t="shared" si="142"/>
        <v>9.6</v>
      </c>
      <c r="GN17" s="291">
        <f t="shared" si="143"/>
        <v>7.95</v>
      </c>
      <c r="GO17" s="292">
        <f t="shared" si="144"/>
        <v>40.200000000000003</v>
      </c>
      <c r="GP17" s="999">
        <v>4</v>
      </c>
      <c r="GQ17" s="286">
        <f t="shared" si="304"/>
        <v>44078</v>
      </c>
      <c r="GR17" s="293">
        <f t="shared" si="28"/>
        <v>44078</v>
      </c>
      <c r="GS17" s="288">
        <f>'दैनिक माहिती'!H170</f>
        <v>0</v>
      </c>
      <c r="GT17" s="289">
        <f>'दैनिक माहिती'!E170</f>
        <v>0</v>
      </c>
      <c r="GU17" s="289">
        <f>'दैनिक माहिती'!F170</f>
        <v>0</v>
      </c>
      <c r="GV17" s="289">
        <f>'दैनिक माहिती'!G170</f>
        <v>0</v>
      </c>
      <c r="GW17" s="290">
        <f t="shared" si="145"/>
        <v>0</v>
      </c>
      <c r="GX17" s="290">
        <f t="shared" si="146"/>
        <v>0</v>
      </c>
      <c r="GY17" s="290">
        <f t="shared" si="147"/>
        <v>0</v>
      </c>
      <c r="GZ17" s="290">
        <f t="shared" si="148"/>
        <v>0</v>
      </c>
      <c r="HA17" s="290">
        <f t="shared" si="149"/>
        <v>0</v>
      </c>
      <c r="HB17" s="290">
        <f t="shared" si="150"/>
        <v>0</v>
      </c>
      <c r="HC17" s="290">
        <f t="shared" si="151"/>
        <v>0</v>
      </c>
      <c r="HD17" s="290">
        <f t="shared" si="152"/>
        <v>0</v>
      </c>
      <c r="HE17" s="290">
        <f t="shared" si="153"/>
        <v>0</v>
      </c>
      <c r="HF17" s="290">
        <f t="shared" si="154"/>
        <v>0</v>
      </c>
      <c r="HG17" s="290">
        <f t="shared" si="155"/>
        <v>0</v>
      </c>
      <c r="HH17" s="290">
        <f t="shared" si="156"/>
        <v>0</v>
      </c>
      <c r="HI17" s="290">
        <f t="shared" si="157"/>
        <v>0</v>
      </c>
      <c r="HJ17" s="290">
        <f t="shared" si="158"/>
        <v>0</v>
      </c>
      <c r="HK17" s="290">
        <f t="shared" si="159"/>
        <v>0</v>
      </c>
      <c r="HL17" s="290">
        <f t="shared" si="160"/>
        <v>0</v>
      </c>
      <c r="HM17" s="290">
        <f t="shared" si="161"/>
        <v>0</v>
      </c>
      <c r="HN17" s="290">
        <f t="shared" si="162"/>
        <v>0</v>
      </c>
      <c r="HO17" s="291">
        <f t="shared" si="163"/>
        <v>0</v>
      </c>
      <c r="HP17" s="291">
        <f t="shared" si="164"/>
        <v>0</v>
      </c>
      <c r="HQ17" s="291">
        <f t="shared" si="165"/>
        <v>0</v>
      </c>
      <c r="HR17" s="292">
        <f t="shared" si="166"/>
        <v>0</v>
      </c>
      <c r="HS17" s="999">
        <v>4</v>
      </c>
      <c r="HT17" s="286">
        <f t="shared" si="305"/>
        <v>44108</v>
      </c>
      <c r="HU17" s="293">
        <f t="shared" si="29"/>
        <v>44108</v>
      </c>
      <c r="HV17" s="288">
        <f>'दैनिक माहिती'!H201</f>
        <v>0</v>
      </c>
      <c r="HW17" s="289">
        <f>'दैनिक माहिती'!E201</f>
        <v>0</v>
      </c>
      <c r="HX17" s="289">
        <f>'दैनिक माहिती'!F201</f>
        <v>0</v>
      </c>
      <c r="HY17" s="289">
        <f>'दैनिक माहिती'!G201</f>
        <v>0</v>
      </c>
      <c r="HZ17" s="290">
        <f t="shared" si="167"/>
        <v>0</v>
      </c>
      <c r="IA17" s="290">
        <f t="shared" si="168"/>
        <v>0</v>
      </c>
      <c r="IB17" s="290">
        <f t="shared" si="169"/>
        <v>0</v>
      </c>
      <c r="IC17" s="290">
        <f t="shared" si="170"/>
        <v>0</v>
      </c>
      <c r="ID17" s="290">
        <f t="shared" si="171"/>
        <v>0</v>
      </c>
      <c r="IE17" s="290">
        <f t="shared" si="172"/>
        <v>0</v>
      </c>
      <c r="IF17" s="290">
        <f t="shared" si="173"/>
        <v>0</v>
      </c>
      <c r="IG17" s="290">
        <f t="shared" si="174"/>
        <v>0</v>
      </c>
      <c r="IH17" s="290">
        <f t="shared" si="175"/>
        <v>0</v>
      </c>
      <c r="II17" s="290">
        <f t="shared" si="176"/>
        <v>0</v>
      </c>
      <c r="IJ17" s="290">
        <f t="shared" si="177"/>
        <v>0</v>
      </c>
      <c r="IK17" s="290">
        <f t="shared" si="178"/>
        <v>0</v>
      </c>
      <c r="IL17" s="290">
        <f t="shared" si="179"/>
        <v>0</v>
      </c>
      <c r="IM17" s="290">
        <f t="shared" si="180"/>
        <v>0</v>
      </c>
      <c r="IN17" s="290">
        <f t="shared" si="181"/>
        <v>0</v>
      </c>
      <c r="IO17" s="290">
        <f t="shared" si="182"/>
        <v>0</v>
      </c>
      <c r="IP17" s="290">
        <f t="shared" si="183"/>
        <v>0</v>
      </c>
      <c r="IQ17" s="290">
        <f t="shared" si="184"/>
        <v>0</v>
      </c>
      <c r="IR17" s="291">
        <f t="shared" si="185"/>
        <v>0</v>
      </c>
      <c r="IS17" s="291">
        <f t="shared" si="186"/>
        <v>0</v>
      </c>
      <c r="IT17" s="291">
        <f t="shared" si="187"/>
        <v>0</v>
      </c>
      <c r="IU17" s="292">
        <f t="shared" si="188"/>
        <v>0</v>
      </c>
      <c r="IV17" s="999">
        <v>4</v>
      </c>
      <c r="IW17" s="286">
        <f t="shared" si="306"/>
        <v>44139</v>
      </c>
      <c r="IX17" s="293">
        <f t="shared" si="30"/>
        <v>44139</v>
      </c>
      <c r="IY17" s="288">
        <f>'दैनिक माहिती'!H233</f>
        <v>0</v>
      </c>
      <c r="IZ17" s="289">
        <f>'दैनिक माहिती'!E233</f>
        <v>0</v>
      </c>
      <c r="JA17" s="289">
        <f>'दैनिक माहिती'!F233</f>
        <v>0</v>
      </c>
      <c r="JB17" s="289">
        <f>'दैनिक माहिती'!G233</f>
        <v>0</v>
      </c>
      <c r="JC17" s="290">
        <f t="shared" si="189"/>
        <v>0</v>
      </c>
      <c r="JD17" s="290">
        <f t="shared" si="190"/>
        <v>0</v>
      </c>
      <c r="JE17" s="290">
        <f t="shared" si="191"/>
        <v>0</v>
      </c>
      <c r="JF17" s="290">
        <f t="shared" si="192"/>
        <v>0</v>
      </c>
      <c r="JG17" s="290">
        <f t="shared" si="193"/>
        <v>0</v>
      </c>
      <c r="JH17" s="290">
        <f t="shared" si="194"/>
        <v>0</v>
      </c>
      <c r="JI17" s="290">
        <f t="shared" si="195"/>
        <v>0</v>
      </c>
      <c r="JJ17" s="290">
        <f t="shared" si="196"/>
        <v>0</v>
      </c>
      <c r="JK17" s="290">
        <f t="shared" si="197"/>
        <v>0</v>
      </c>
      <c r="JL17" s="290">
        <f t="shared" si="198"/>
        <v>0</v>
      </c>
      <c r="JM17" s="290">
        <f t="shared" si="199"/>
        <v>0</v>
      </c>
      <c r="JN17" s="290">
        <f t="shared" si="200"/>
        <v>0</v>
      </c>
      <c r="JO17" s="290">
        <f t="shared" si="201"/>
        <v>0</v>
      </c>
      <c r="JP17" s="290">
        <f t="shared" si="202"/>
        <v>0</v>
      </c>
      <c r="JQ17" s="290">
        <f t="shared" si="203"/>
        <v>0</v>
      </c>
      <c r="JR17" s="290">
        <f t="shared" si="204"/>
        <v>0</v>
      </c>
      <c r="JS17" s="290">
        <f t="shared" si="205"/>
        <v>0</v>
      </c>
      <c r="JT17" s="290">
        <f t="shared" si="206"/>
        <v>0</v>
      </c>
      <c r="JU17" s="291">
        <f t="shared" si="207"/>
        <v>0</v>
      </c>
      <c r="JV17" s="291">
        <f t="shared" si="208"/>
        <v>0</v>
      </c>
      <c r="JW17" s="291">
        <f t="shared" si="209"/>
        <v>0</v>
      </c>
      <c r="JX17" s="292">
        <f t="shared" si="210"/>
        <v>0</v>
      </c>
      <c r="JY17" s="999">
        <v>4</v>
      </c>
      <c r="JZ17" s="286">
        <f t="shared" si="307"/>
        <v>44169</v>
      </c>
      <c r="KA17" s="293">
        <f t="shared" si="31"/>
        <v>44169</v>
      </c>
      <c r="KB17" s="288">
        <f>'दैनिक माहिती'!H264</f>
        <v>0</v>
      </c>
      <c r="KC17" s="289">
        <f>'दैनिक माहिती'!E264</f>
        <v>0</v>
      </c>
      <c r="KD17" s="289">
        <f>'दैनिक माहिती'!F264</f>
        <v>0</v>
      </c>
      <c r="KE17" s="289">
        <f>'दैनिक माहिती'!G264</f>
        <v>0</v>
      </c>
      <c r="KF17" s="290">
        <f t="shared" si="211"/>
        <v>0</v>
      </c>
      <c r="KG17" s="290">
        <f t="shared" si="212"/>
        <v>0</v>
      </c>
      <c r="KH17" s="290">
        <f t="shared" si="213"/>
        <v>0</v>
      </c>
      <c r="KI17" s="290">
        <f t="shared" si="214"/>
        <v>0</v>
      </c>
      <c r="KJ17" s="290">
        <f t="shared" si="215"/>
        <v>0</v>
      </c>
      <c r="KK17" s="290">
        <f t="shared" si="216"/>
        <v>0</v>
      </c>
      <c r="KL17" s="290">
        <f t="shared" si="217"/>
        <v>0</v>
      </c>
      <c r="KM17" s="290">
        <f t="shared" si="218"/>
        <v>0</v>
      </c>
      <c r="KN17" s="290">
        <f t="shared" si="219"/>
        <v>0</v>
      </c>
      <c r="KO17" s="290">
        <f t="shared" si="220"/>
        <v>0</v>
      </c>
      <c r="KP17" s="290">
        <f t="shared" si="221"/>
        <v>0</v>
      </c>
      <c r="KQ17" s="290">
        <f t="shared" si="222"/>
        <v>0</v>
      </c>
      <c r="KR17" s="290">
        <f t="shared" si="223"/>
        <v>0</v>
      </c>
      <c r="KS17" s="290">
        <f t="shared" si="224"/>
        <v>0</v>
      </c>
      <c r="KT17" s="290">
        <f t="shared" si="225"/>
        <v>0</v>
      </c>
      <c r="KU17" s="290">
        <f t="shared" si="226"/>
        <v>0</v>
      </c>
      <c r="KV17" s="290">
        <f t="shared" si="227"/>
        <v>0</v>
      </c>
      <c r="KW17" s="290">
        <f t="shared" si="228"/>
        <v>0</v>
      </c>
      <c r="KX17" s="291">
        <f t="shared" si="229"/>
        <v>0</v>
      </c>
      <c r="KY17" s="291">
        <f t="shared" si="230"/>
        <v>0</v>
      </c>
      <c r="KZ17" s="291">
        <f t="shared" si="231"/>
        <v>0</v>
      </c>
      <c r="LA17" s="292">
        <f t="shared" si="232"/>
        <v>0</v>
      </c>
      <c r="LB17" s="999">
        <v>4</v>
      </c>
      <c r="LC17" s="286">
        <f t="shared" si="308"/>
        <v>44200</v>
      </c>
      <c r="LD17" s="293">
        <f t="shared" si="32"/>
        <v>44200</v>
      </c>
      <c r="LE17" s="288">
        <f>'दैनिक माहिती'!H296</f>
        <v>0</v>
      </c>
      <c r="LF17" s="289">
        <f>'दैनिक माहिती'!E296</f>
        <v>0</v>
      </c>
      <c r="LG17" s="289">
        <f>'दैनिक माहिती'!F296</f>
        <v>0</v>
      </c>
      <c r="LH17" s="289">
        <f>'दैनिक माहिती'!G296</f>
        <v>0</v>
      </c>
      <c r="LI17" s="290">
        <f t="shared" si="233"/>
        <v>0</v>
      </c>
      <c r="LJ17" s="290">
        <f t="shared" si="234"/>
        <v>0</v>
      </c>
      <c r="LK17" s="290">
        <f t="shared" si="235"/>
        <v>0</v>
      </c>
      <c r="LL17" s="290">
        <f t="shared" si="236"/>
        <v>0</v>
      </c>
      <c r="LM17" s="290">
        <f t="shared" si="237"/>
        <v>0</v>
      </c>
      <c r="LN17" s="290">
        <f t="shared" si="238"/>
        <v>0</v>
      </c>
      <c r="LO17" s="290">
        <f t="shared" si="239"/>
        <v>0</v>
      </c>
      <c r="LP17" s="290">
        <f t="shared" si="240"/>
        <v>0</v>
      </c>
      <c r="LQ17" s="290">
        <f t="shared" si="241"/>
        <v>0</v>
      </c>
      <c r="LR17" s="290">
        <f t="shared" si="242"/>
        <v>0</v>
      </c>
      <c r="LS17" s="290">
        <f t="shared" si="243"/>
        <v>0</v>
      </c>
      <c r="LT17" s="290">
        <f t="shared" si="244"/>
        <v>0</v>
      </c>
      <c r="LU17" s="290">
        <f t="shared" si="245"/>
        <v>0</v>
      </c>
      <c r="LV17" s="290">
        <f t="shared" si="246"/>
        <v>0</v>
      </c>
      <c r="LW17" s="290">
        <f t="shared" si="247"/>
        <v>0</v>
      </c>
      <c r="LX17" s="290">
        <f t="shared" si="248"/>
        <v>0</v>
      </c>
      <c r="LY17" s="290">
        <f t="shared" si="249"/>
        <v>0</v>
      </c>
      <c r="LZ17" s="290">
        <f t="shared" si="250"/>
        <v>0</v>
      </c>
      <c r="MA17" s="291">
        <f t="shared" si="251"/>
        <v>0</v>
      </c>
      <c r="MB17" s="291">
        <f t="shared" si="252"/>
        <v>0</v>
      </c>
      <c r="MC17" s="291">
        <f t="shared" si="253"/>
        <v>0</v>
      </c>
      <c r="MD17" s="292">
        <f t="shared" si="254"/>
        <v>0</v>
      </c>
      <c r="ME17" s="999">
        <v>4</v>
      </c>
      <c r="MF17" s="286">
        <f t="shared" si="309"/>
        <v>44231</v>
      </c>
      <c r="MG17" s="293">
        <f t="shared" si="33"/>
        <v>44231</v>
      </c>
      <c r="MH17" s="288">
        <f>'दैनिक माहिती'!H328</f>
        <v>0</v>
      </c>
      <c r="MI17" s="289">
        <f>'दैनिक माहिती'!E328</f>
        <v>0</v>
      </c>
      <c r="MJ17" s="289">
        <f>'दैनिक माहिती'!F328</f>
        <v>0</v>
      </c>
      <c r="MK17" s="289">
        <f>'दैनिक माहिती'!G328</f>
        <v>0</v>
      </c>
      <c r="ML17" s="290">
        <f t="shared" si="255"/>
        <v>0</v>
      </c>
      <c r="MM17" s="290">
        <f t="shared" si="256"/>
        <v>0</v>
      </c>
      <c r="MN17" s="290">
        <f t="shared" si="257"/>
        <v>0</v>
      </c>
      <c r="MO17" s="290">
        <f t="shared" si="258"/>
        <v>0</v>
      </c>
      <c r="MP17" s="290">
        <f t="shared" si="259"/>
        <v>0</v>
      </c>
      <c r="MQ17" s="290">
        <f t="shared" si="260"/>
        <v>0</v>
      </c>
      <c r="MR17" s="290">
        <f t="shared" si="261"/>
        <v>0</v>
      </c>
      <c r="MS17" s="290">
        <f t="shared" si="262"/>
        <v>0</v>
      </c>
      <c r="MT17" s="290">
        <f t="shared" si="263"/>
        <v>0</v>
      </c>
      <c r="MU17" s="290">
        <f t="shared" si="264"/>
        <v>0</v>
      </c>
      <c r="MV17" s="290">
        <f t="shared" si="265"/>
        <v>0</v>
      </c>
      <c r="MW17" s="290">
        <f t="shared" si="266"/>
        <v>0</v>
      </c>
      <c r="MX17" s="290">
        <f t="shared" si="267"/>
        <v>0</v>
      </c>
      <c r="MY17" s="290">
        <f t="shared" si="268"/>
        <v>0</v>
      </c>
      <c r="MZ17" s="290">
        <f t="shared" si="269"/>
        <v>0</v>
      </c>
      <c r="NA17" s="290">
        <f t="shared" si="270"/>
        <v>0</v>
      </c>
      <c r="NB17" s="290">
        <f t="shared" si="271"/>
        <v>0</v>
      </c>
      <c r="NC17" s="290">
        <f t="shared" si="272"/>
        <v>0</v>
      </c>
      <c r="ND17" s="291">
        <f t="shared" si="273"/>
        <v>0</v>
      </c>
      <c r="NE17" s="291">
        <f t="shared" si="274"/>
        <v>0</v>
      </c>
      <c r="NF17" s="291">
        <f t="shared" si="275"/>
        <v>0</v>
      </c>
      <c r="NG17" s="292">
        <f t="shared" si="276"/>
        <v>0</v>
      </c>
      <c r="NH17" s="999">
        <v>4</v>
      </c>
      <c r="NI17" s="286">
        <f t="shared" si="310"/>
        <v>44259</v>
      </c>
      <c r="NJ17" s="293">
        <f t="shared" si="34"/>
        <v>44259</v>
      </c>
      <c r="NK17" s="288">
        <f>'दैनिक माहिती'!H358</f>
        <v>0</v>
      </c>
      <c r="NL17" s="289">
        <f>'दैनिक माहिती'!E358</f>
        <v>0</v>
      </c>
      <c r="NM17" s="289">
        <f>'दैनिक माहिती'!F358</f>
        <v>0</v>
      </c>
      <c r="NN17" s="289">
        <f>'दैनिक माहिती'!G358</f>
        <v>0</v>
      </c>
      <c r="NO17" s="290">
        <f t="shared" si="277"/>
        <v>0</v>
      </c>
      <c r="NP17" s="290">
        <f t="shared" si="278"/>
        <v>0</v>
      </c>
      <c r="NQ17" s="290">
        <f t="shared" si="279"/>
        <v>0</v>
      </c>
      <c r="NR17" s="290">
        <f t="shared" si="280"/>
        <v>0</v>
      </c>
      <c r="NS17" s="290">
        <f t="shared" si="281"/>
        <v>0</v>
      </c>
      <c r="NT17" s="290">
        <f t="shared" si="282"/>
        <v>0</v>
      </c>
      <c r="NU17" s="290">
        <f t="shared" si="283"/>
        <v>0</v>
      </c>
      <c r="NV17" s="290">
        <f t="shared" si="284"/>
        <v>0</v>
      </c>
      <c r="NW17" s="290">
        <f t="shared" si="285"/>
        <v>0</v>
      </c>
      <c r="NX17" s="290">
        <f t="shared" si="286"/>
        <v>0</v>
      </c>
      <c r="NY17" s="290">
        <f t="shared" si="287"/>
        <v>0</v>
      </c>
      <c r="NZ17" s="290">
        <f t="shared" si="288"/>
        <v>0</v>
      </c>
      <c r="OA17" s="290">
        <f t="shared" si="289"/>
        <v>0</v>
      </c>
      <c r="OB17" s="290">
        <f t="shared" si="290"/>
        <v>0</v>
      </c>
      <c r="OC17" s="290">
        <f t="shared" si="291"/>
        <v>0</v>
      </c>
      <c r="OD17" s="290">
        <f t="shared" si="292"/>
        <v>0</v>
      </c>
      <c r="OE17" s="290">
        <f t="shared" si="293"/>
        <v>0</v>
      </c>
      <c r="OF17" s="290">
        <f t="shared" si="294"/>
        <v>0</v>
      </c>
      <c r="OG17" s="291">
        <f t="shared" si="295"/>
        <v>0</v>
      </c>
      <c r="OH17" s="291">
        <f t="shared" si="296"/>
        <v>0</v>
      </c>
      <c r="OI17" s="291">
        <f t="shared" si="297"/>
        <v>0</v>
      </c>
      <c r="OJ17" s="292">
        <f t="shared" si="298"/>
        <v>0</v>
      </c>
    </row>
    <row r="18" spans="2:400" ht="35.25" customHeight="1" x14ac:dyDescent="0.3">
      <c r="B18" s="2036"/>
      <c r="C18" s="2033"/>
      <c r="D18" s="2033"/>
      <c r="E18" s="2033"/>
      <c r="F18" s="2033"/>
      <c r="G18" s="2033"/>
      <c r="H18" s="1021" t="s">
        <v>212</v>
      </c>
      <c r="I18" s="307">
        <f>HOME!F2</f>
        <v>2023</v>
      </c>
      <c r="J18" s="1022" t="s">
        <v>295</v>
      </c>
      <c r="K18" s="2052"/>
      <c r="L18" s="2033"/>
      <c r="M18" s="2033"/>
      <c r="N18" s="2033"/>
      <c r="O18" s="2034"/>
      <c r="BA18" s="999">
        <v>5</v>
      </c>
      <c r="BB18" s="286">
        <f t="shared" si="299"/>
        <v>43926</v>
      </c>
      <c r="BC18" s="287">
        <f t="shared" si="23"/>
        <v>43926</v>
      </c>
      <c r="BD18" s="288" t="str">
        <f>'दैनिक माहिती'!H13</f>
        <v>हरभरा</v>
      </c>
      <c r="BE18" s="289">
        <f>'दैनिक माहिती'!E13</f>
        <v>22</v>
      </c>
      <c r="BF18" s="289">
        <f>'दैनिक माहिती'!F13</f>
        <v>22</v>
      </c>
      <c r="BG18" s="289">
        <f>'दैनिक माहिती'!G13</f>
        <v>22</v>
      </c>
      <c r="BH18" s="290">
        <f t="shared" si="35"/>
        <v>2.2000000000000002</v>
      </c>
      <c r="BI18" s="290">
        <f t="shared" si="36"/>
        <v>0</v>
      </c>
      <c r="BJ18" s="290">
        <f t="shared" si="37"/>
        <v>0</v>
      </c>
      <c r="BK18" s="290">
        <f t="shared" si="38"/>
        <v>0</v>
      </c>
      <c r="BL18" s="290">
        <f t="shared" si="39"/>
        <v>0</v>
      </c>
      <c r="BM18" s="290">
        <f t="shared" si="40"/>
        <v>0</v>
      </c>
      <c r="BN18" s="290">
        <f t="shared" si="41"/>
        <v>0</v>
      </c>
      <c r="BO18" s="290">
        <f t="shared" si="42"/>
        <v>0.44</v>
      </c>
      <c r="BP18" s="290">
        <f t="shared" si="43"/>
        <v>0</v>
      </c>
      <c r="BQ18" s="290">
        <f t="shared" si="44"/>
        <v>6.5999999999999991E-3</v>
      </c>
      <c r="BR18" s="290">
        <f t="shared" si="45"/>
        <v>1.0999999999999999E-2</v>
      </c>
      <c r="BS18" s="290">
        <f t="shared" si="46"/>
        <v>6.5999999999999991E-3</v>
      </c>
      <c r="BT18" s="290">
        <f t="shared" si="47"/>
        <v>0</v>
      </c>
      <c r="BU18" s="290">
        <f t="shared" si="48"/>
        <v>0</v>
      </c>
      <c r="BV18" s="290">
        <f t="shared" si="49"/>
        <v>0.11</v>
      </c>
      <c r="BW18" s="290">
        <f t="shared" si="50"/>
        <v>4.3999999999999997E-2</v>
      </c>
      <c r="BX18" s="290">
        <f t="shared" si="51"/>
        <v>2.6399999999999996E-2</v>
      </c>
      <c r="BY18" s="290">
        <f t="shared" si="52"/>
        <v>0</v>
      </c>
      <c r="BZ18" s="291">
        <f t="shared" si="53"/>
        <v>15.84</v>
      </c>
      <c r="CA18" s="291">
        <f t="shared" si="54"/>
        <v>14.08</v>
      </c>
      <c r="CB18" s="291">
        <f t="shared" si="55"/>
        <v>11.66</v>
      </c>
      <c r="CC18" s="292">
        <f t="shared" si="56"/>
        <v>58.96</v>
      </c>
      <c r="CD18" s="999">
        <v>5</v>
      </c>
      <c r="CE18" s="286">
        <f t="shared" si="300"/>
        <v>43956</v>
      </c>
      <c r="CF18" s="287">
        <f t="shared" si="24"/>
        <v>43956</v>
      </c>
      <c r="CG18" s="288">
        <f>'दैनिक माहिती'!H44</f>
        <v>0</v>
      </c>
      <c r="CH18" s="289">
        <f>'दैनिक माहिती'!E44</f>
        <v>0</v>
      </c>
      <c r="CI18" s="289">
        <f>'दैनिक माहिती'!F44</f>
        <v>0</v>
      </c>
      <c r="CJ18" s="289">
        <f>'दैनिक माहिती'!G44</f>
        <v>0</v>
      </c>
      <c r="CK18" s="290">
        <f t="shared" si="57"/>
        <v>0</v>
      </c>
      <c r="CL18" s="290">
        <f t="shared" si="58"/>
        <v>0</v>
      </c>
      <c r="CM18" s="290">
        <f t="shared" si="59"/>
        <v>0</v>
      </c>
      <c r="CN18" s="290">
        <f t="shared" si="60"/>
        <v>0</v>
      </c>
      <c r="CO18" s="290">
        <f t="shared" si="61"/>
        <v>0</v>
      </c>
      <c r="CP18" s="290">
        <f t="shared" si="62"/>
        <v>0</v>
      </c>
      <c r="CQ18" s="290">
        <f t="shared" si="63"/>
        <v>0</v>
      </c>
      <c r="CR18" s="290">
        <f t="shared" si="64"/>
        <v>0</v>
      </c>
      <c r="CS18" s="290">
        <f t="shared" si="65"/>
        <v>0</v>
      </c>
      <c r="CT18" s="290">
        <f t="shared" si="66"/>
        <v>0</v>
      </c>
      <c r="CU18" s="290">
        <f t="shared" si="67"/>
        <v>0</v>
      </c>
      <c r="CV18" s="290">
        <f t="shared" si="68"/>
        <v>0</v>
      </c>
      <c r="CW18" s="290">
        <f t="shared" si="69"/>
        <v>0</v>
      </c>
      <c r="CX18" s="290">
        <f t="shared" si="70"/>
        <v>0</v>
      </c>
      <c r="CY18" s="290">
        <f t="shared" si="71"/>
        <v>0</v>
      </c>
      <c r="CZ18" s="290">
        <f t="shared" si="72"/>
        <v>0</v>
      </c>
      <c r="DA18" s="290">
        <f t="shared" si="73"/>
        <v>0</v>
      </c>
      <c r="DB18" s="290">
        <f t="shared" si="74"/>
        <v>0</v>
      </c>
      <c r="DC18" s="291">
        <f t="shared" si="75"/>
        <v>0</v>
      </c>
      <c r="DD18" s="291">
        <f t="shared" si="76"/>
        <v>0</v>
      </c>
      <c r="DE18" s="291">
        <f t="shared" si="77"/>
        <v>0</v>
      </c>
      <c r="DF18" s="292">
        <f t="shared" si="78"/>
        <v>0</v>
      </c>
      <c r="DG18" s="999">
        <v>5</v>
      </c>
      <c r="DH18" s="286">
        <f t="shared" si="301"/>
        <v>43987</v>
      </c>
      <c r="DI18" s="287">
        <f t="shared" si="25"/>
        <v>43987</v>
      </c>
      <c r="DJ18" s="288">
        <f>'दैनिक माहिती'!H76</f>
        <v>0</v>
      </c>
      <c r="DK18" s="289">
        <f>'दैनिक माहिती'!E76</f>
        <v>0</v>
      </c>
      <c r="DL18" s="289">
        <f>'दैनिक माहिती'!F76</f>
        <v>0</v>
      </c>
      <c r="DM18" s="289">
        <f>'दैनिक माहिती'!G76</f>
        <v>0</v>
      </c>
      <c r="DN18" s="290">
        <f t="shared" si="79"/>
        <v>0</v>
      </c>
      <c r="DO18" s="290">
        <f t="shared" si="80"/>
        <v>0</v>
      </c>
      <c r="DP18" s="290">
        <f t="shared" si="81"/>
        <v>0</v>
      </c>
      <c r="DQ18" s="290">
        <f t="shared" si="82"/>
        <v>0</v>
      </c>
      <c r="DR18" s="290">
        <f t="shared" si="83"/>
        <v>0</v>
      </c>
      <c r="DS18" s="290">
        <f t="shared" si="84"/>
        <v>0</v>
      </c>
      <c r="DT18" s="290">
        <f t="shared" si="85"/>
        <v>0</v>
      </c>
      <c r="DU18" s="290">
        <f t="shared" si="86"/>
        <v>0</v>
      </c>
      <c r="DV18" s="290">
        <f t="shared" si="87"/>
        <v>0</v>
      </c>
      <c r="DW18" s="290">
        <f t="shared" si="88"/>
        <v>0</v>
      </c>
      <c r="DX18" s="290">
        <f t="shared" si="89"/>
        <v>0</v>
      </c>
      <c r="DY18" s="290">
        <f t="shared" si="90"/>
        <v>0</v>
      </c>
      <c r="DZ18" s="290">
        <f t="shared" si="91"/>
        <v>0</v>
      </c>
      <c r="EA18" s="290">
        <f t="shared" si="92"/>
        <v>0</v>
      </c>
      <c r="EB18" s="290">
        <f t="shared" si="93"/>
        <v>0</v>
      </c>
      <c r="EC18" s="290">
        <f t="shared" si="94"/>
        <v>0</v>
      </c>
      <c r="ED18" s="290">
        <f t="shared" si="95"/>
        <v>0</v>
      </c>
      <c r="EE18" s="290">
        <f t="shared" si="96"/>
        <v>0</v>
      </c>
      <c r="EF18" s="291">
        <f t="shared" si="97"/>
        <v>0</v>
      </c>
      <c r="EG18" s="291">
        <f t="shared" si="98"/>
        <v>0</v>
      </c>
      <c r="EH18" s="291">
        <f t="shared" si="99"/>
        <v>0</v>
      </c>
      <c r="EI18" s="292">
        <f t="shared" si="100"/>
        <v>0</v>
      </c>
      <c r="EJ18" s="999">
        <v>5</v>
      </c>
      <c r="EK18" s="286">
        <f t="shared" si="302"/>
        <v>44017</v>
      </c>
      <c r="EL18" s="287">
        <f t="shared" si="26"/>
        <v>44017</v>
      </c>
      <c r="EM18" s="288" t="str">
        <f>'दैनिक माहिती'!H107</f>
        <v>हरभरा</v>
      </c>
      <c r="EN18" s="289">
        <f>'दैनिक माहिती'!E107</f>
        <v>17</v>
      </c>
      <c r="EO18" s="289">
        <f>'दैनिक माहिती'!F107</f>
        <v>17</v>
      </c>
      <c r="EP18" s="289">
        <f>'दैनिक माहिती'!G107</f>
        <v>17</v>
      </c>
      <c r="EQ18" s="290">
        <f t="shared" si="101"/>
        <v>1.7000000000000002</v>
      </c>
      <c r="ER18" s="290">
        <f t="shared" si="102"/>
        <v>0</v>
      </c>
      <c r="ES18" s="290">
        <f t="shared" si="103"/>
        <v>0</v>
      </c>
      <c r="ET18" s="290">
        <f t="shared" si="104"/>
        <v>0</v>
      </c>
      <c r="EU18" s="290">
        <f t="shared" si="105"/>
        <v>0</v>
      </c>
      <c r="EV18" s="290">
        <f t="shared" si="106"/>
        <v>0</v>
      </c>
      <c r="EW18" s="290">
        <f t="shared" si="107"/>
        <v>0</v>
      </c>
      <c r="EX18" s="290">
        <f t="shared" si="108"/>
        <v>0.34</v>
      </c>
      <c r="EY18" s="290">
        <f t="shared" si="109"/>
        <v>0</v>
      </c>
      <c r="EZ18" s="290">
        <f t="shared" si="110"/>
        <v>5.0999999999999995E-3</v>
      </c>
      <c r="FA18" s="290">
        <f t="shared" si="111"/>
        <v>8.5000000000000006E-3</v>
      </c>
      <c r="FB18" s="290">
        <f t="shared" si="112"/>
        <v>5.0999999999999995E-3</v>
      </c>
      <c r="FC18" s="290">
        <f t="shared" si="113"/>
        <v>0</v>
      </c>
      <c r="FD18" s="290">
        <f t="shared" si="114"/>
        <v>0</v>
      </c>
      <c r="FE18" s="290">
        <f t="shared" si="115"/>
        <v>8.5000000000000006E-2</v>
      </c>
      <c r="FF18" s="290">
        <f t="shared" si="116"/>
        <v>3.4000000000000002E-2</v>
      </c>
      <c r="FG18" s="290">
        <f t="shared" si="117"/>
        <v>2.0399999999999998E-2</v>
      </c>
      <c r="FH18" s="290">
        <f t="shared" si="118"/>
        <v>0</v>
      </c>
      <c r="FI18" s="291">
        <f t="shared" si="119"/>
        <v>12.24</v>
      </c>
      <c r="FJ18" s="291">
        <f t="shared" si="120"/>
        <v>10.88</v>
      </c>
      <c r="FK18" s="291">
        <f t="shared" si="121"/>
        <v>9.01</v>
      </c>
      <c r="FL18" s="292">
        <f t="shared" si="122"/>
        <v>45.56</v>
      </c>
      <c r="FM18" s="999">
        <v>5</v>
      </c>
      <c r="FN18" s="286">
        <f t="shared" si="303"/>
        <v>44048</v>
      </c>
      <c r="FO18" s="287">
        <f t="shared" si="27"/>
        <v>44048</v>
      </c>
      <c r="FP18" s="288" t="str">
        <f>'दैनिक माहिती'!H139</f>
        <v>वाटाणा</v>
      </c>
      <c r="FQ18" s="289">
        <f>'दैनिक माहिती'!E139</f>
        <v>15</v>
      </c>
      <c r="FR18" s="289">
        <f>'दैनिक माहिती'!F139</f>
        <v>15</v>
      </c>
      <c r="FS18" s="289">
        <f>'दैनिक माहिती'!G139</f>
        <v>15</v>
      </c>
      <c r="FT18" s="290">
        <f t="shared" si="123"/>
        <v>1.5</v>
      </c>
      <c r="FU18" s="290">
        <f t="shared" si="124"/>
        <v>0</v>
      </c>
      <c r="FV18" s="290">
        <f t="shared" si="125"/>
        <v>0</v>
      </c>
      <c r="FW18" s="290">
        <f t="shared" si="126"/>
        <v>0</v>
      </c>
      <c r="FX18" s="290">
        <f t="shared" si="127"/>
        <v>0</v>
      </c>
      <c r="FY18" s="290">
        <f t="shared" si="128"/>
        <v>0</v>
      </c>
      <c r="FZ18" s="290">
        <f t="shared" si="129"/>
        <v>0</v>
      </c>
      <c r="GA18" s="290">
        <f t="shared" si="130"/>
        <v>0</v>
      </c>
      <c r="GB18" s="290">
        <f t="shared" si="131"/>
        <v>0.3</v>
      </c>
      <c r="GC18" s="290">
        <f t="shared" si="132"/>
        <v>4.4999999999999997E-3</v>
      </c>
      <c r="GD18" s="290">
        <f t="shared" si="133"/>
        <v>7.4999999999999997E-3</v>
      </c>
      <c r="GE18" s="290">
        <f t="shared" si="134"/>
        <v>4.4999999999999997E-3</v>
      </c>
      <c r="GF18" s="290">
        <f t="shared" si="135"/>
        <v>0</v>
      </c>
      <c r="GG18" s="290">
        <f t="shared" si="136"/>
        <v>0</v>
      </c>
      <c r="GH18" s="290">
        <f t="shared" si="137"/>
        <v>7.4999999999999997E-2</v>
      </c>
      <c r="GI18" s="290">
        <f t="shared" si="138"/>
        <v>0.03</v>
      </c>
      <c r="GJ18" s="290">
        <f t="shared" si="139"/>
        <v>1.7999999999999999E-2</v>
      </c>
      <c r="GK18" s="290">
        <f t="shared" si="140"/>
        <v>0</v>
      </c>
      <c r="GL18" s="291">
        <f t="shared" si="141"/>
        <v>10.799999999999999</v>
      </c>
      <c r="GM18" s="291">
        <f t="shared" si="142"/>
        <v>9.6</v>
      </c>
      <c r="GN18" s="291">
        <f t="shared" si="143"/>
        <v>7.95</v>
      </c>
      <c r="GO18" s="292">
        <f t="shared" si="144"/>
        <v>40.200000000000003</v>
      </c>
      <c r="GP18" s="999">
        <v>5</v>
      </c>
      <c r="GQ18" s="286">
        <f t="shared" si="304"/>
        <v>44079</v>
      </c>
      <c r="GR18" s="287">
        <f t="shared" si="28"/>
        <v>44079</v>
      </c>
      <c r="GS18" s="288" t="str">
        <f>'दैनिक माहिती'!H171</f>
        <v>मुगडाळ</v>
      </c>
      <c r="GT18" s="289">
        <f>'दैनिक माहिती'!E171</f>
        <v>15</v>
      </c>
      <c r="GU18" s="289">
        <f>'दैनिक माहिती'!F171</f>
        <v>15</v>
      </c>
      <c r="GV18" s="289">
        <f>'दैनिक माहिती'!G171</f>
        <v>15</v>
      </c>
      <c r="GW18" s="290">
        <f t="shared" si="145"/>
        <v>1.5</v>
      </c>
      <c r="GX18" s="290">
        <f t="shared" si="146"/>
        <v>0.3</v>
      </c>
      <c r="GY18" s="290">
        <f t="shared" si="147"/>
        <v>0</v>
      </c>
      <c r="GZ18" s="290">
        <f t="shared" si="148"/>
        <v>0</v>
      </c>
      <c r="HA18" s="290">
        <f t="shared" si="149"/>
        <v>0</v>
      </c>
      <c r="HB18" s="290">
        <f t="shared" si="150"/>
        <v>0</v>
      </c>
      <c r="HC18" s="290">
        <f t="shared" si="151"/>
        <v>0</v>
      </c>
      <c r="HD18" s="290">
        <f t="shared" si="152"/>
        <v>0</v>
      </c>
      <c r="HE18" s="290">
        <f t="shared" si="153"/>
        <v>0</v>
      </c>
      <c r="HF18" s="290">
        <f t="shared" si="154"/>
        <v>4.4999999999999997E-3</v>
      </c>
      <c r="HG18" s="290">
        <f t="shared" si="155"/>
        <v>7.4999999999999997E-3</v>
      </c>
      <c r="HH18" s="290">
        <f t="shared" si="156"/>
        <v>4.4999999999999997E-3</v>
      </c>
      <c r="HI18" s="290">
        <f t="shared" si="157"/>
        <v>0</v>
      </c>
      <c r="HJ18" s="290">
        <f t="shared" si="158"/>
        <v>0</v>
      </c>
      <c r="HK18" s="290">
        <f t="shared" si="159"/>
        <v>7.4999999999999997E-2</v>
      </c>
      <c r="HL18" s="290">
        <f t="shared" si="160"/>
        <v>0.03</v>
      </c>
      <c r="HM18" s="290">
        <f t="shared" si="161"/>
        <v>1.7999999999999999E-2</v>
      </c>
      <c r="HN18" s="290">
        <f t="shared" si="162"/>
        <v>0</v>
      </c>
      <c r="HO18" s="291">
        <f t="shared" si="163"/>
        <v>10.799999999999999</v>
      </c>
      <c r="HP18" s="291">
        <f t="shared" si="164"/>
        <v>9.6</v>
      </c>
      <c r="HQ18" s="291">
        <f t="shared" si="165"/>
        <v>7.95</v>
      </c>
      <c r="HR18" s="292">
        <f t="shared" si="166"/>
        <v>40.200000000000003</v>
      </c>
      <c r="HS18" s="999">
        <v>5</v>
      </c>
      <c r="HT18" s="286">
        <f t="shared" si="305"/>
        <v>44109</v>
      </c>
      <c r="HU18" s="287">
        <f t="shared" si="29"/>
        <v>44109</v>
      </c>
      <c r="HV18" s="288">
        <f>'दैनिक माहिती'!H202</f>
        <v>0</v>
      </c>
      <c r="HW18" s="289">
        <f>'दैनिक माहिती'!E202</f>
        <v>0</v>
      </c>
      <c r="HX18" s="289">
        <f>'दैनिक माहिती'!F202</f>
        <v>0</v>
      </c>
      <c r="HY18" s="289">
        <f>'दैनिक माहिती'!G202</f>
        <v>0</v>
      </c>
      <c r="HZ18" s="290">
        <f t="shared" si="167"/>
        <v>0</v>
      </c>
      <c r="IA18" s="290">
        <f t="shared" si="168"/>
        <v>0</v>
      </c>
      <c r="IB18" s="290">
        <f t="shared" si="169"/>
        <v>0</v>
      </c>
      <c r="IC18" s="290">
        <f t="shared" si="170"/>
        <v>0</v>
      </c>
      <c r="ID18" s="290">
        <f t="shared" si="171"/>
        <v>0</v>
      </c>
      <c r="IE18" s="290">
        <f t="shared" si="172"/>
        <v>0</v>
      </c>
      <c r="IF18" s="290">
        <f t="shared" si="173"/>
        <v>0</v>
      </c>
      <c r="IG18" s="290">
        <f t="shared" si="174"/>
        <v>0</v>
      </c>
      <c r="IH18" s="290">
        <f t="shared" si="175"/>
        <v>0</v>
      </c>
      <c r="II18" s="290">
        <f t="shared" si="176"/>
        <v>0</v>
      </c>
      <c r="IJ18" s="290">
        <f t="shared" si="177"/>
        <v>0</v>
      </c>
      <c r="IK18" s="290">
        <f t="shared" si="178"/>
        <v>0</v>
      </c>
      <c r="IL18" s="290">
        <f t="shared" si="179"/>
        <v>0</v>
      </c>
      <c r="IM18" s="290">
        <f t="shared" si="180"/>
        <v>0</v>
      </c>
      <c r="IN18" s="290">
        <f t="shared" si="181"/>
        <v>0</v>
      </c>
      <c r="IO18" s="290">
        <f t="shared" si="182"/>
        <v>0</v>
      </c>
      <c r="IP18" s="290">
        <f t="shared" si="183"/>
        <v>0</v>
      </c>
      <c r="IQ18" s="290">
        <f t="shared" si="184"/>
        <v>0</v>
      </c>
      <c r="IR18" s="291">
        <f t="shared" si="185"/>
        <v>0</v>
      </c>
      <c r="IS18" s="291">
        <f t="shared" si="186"/>
        <v>0</v>
      </c>
      <c r="IT18" s="291">
        <f t="shared" si="187"/>
        <v>0</v>
      </c>
      <c r="IU18" s="292">
        <f t="shared" si="188"/>
        <v>0</v>
      </c>
      <c r="IV18" s="999">
        <v>5</v>
      </c>
      <c r="IW18" s="286">
        <f t="shared" si="306"/>
        <v>44140</v>
      </c>
      <c r="IX18" s="287">
        <f t="shared" si="30"/>
        <v>44140</v>
      </c>
      <c r="IY18" s="288">
        <f>'दैनिक माहिती'!H234</f>
        <v>0</v>
      </c>
      <c r="IZ18" s="289">
        <f>'दैनिक माहिती'!E234</f>
        <v>0</v>
      </c>
      <c r="JA18" s="289">
        <f>'दैनिक माहिती'!F234</f>
        <v>0</v>
      </c>
      <c r="JB18" s="289">
        <f>'दैनिक माहिती'!G234</f>
        <v>0</v>
      </c>
      <c r="JC18" s="290">
        <f t="shared" si="189"/>
        <v>0</v>
      </c>
      <c r="JD18" s="290">
        <f t="shared" si="190"/>
        <v>0</v>
      </c>
      <c r="JE18" s="290">
        <f t="shared" si="191"/>
        <v>0</v>
      </c>
      <c r="JF18" s="290">
        <f t="shared" si="192"/>
        <v>0</v>
      </c>
      <c r="JG18" s="290">
        <f t="shared" si="193"/>
        <v>0</v>
      </c>
      <c r="JH18" s="290">
        <f t="shared" si="194"/>
        <v>0</v>
      </c>
      <c r="JI18" s="290">
        <f t="shared" si="195"/>
        <v>0</v>
      </c>
      <c r="JJ18" s="290">
        <f t="shared" si="196"/>
        <v>0</v>
      </c>
      <c r="JK18" s="290">
        <f t="shared" si="197"/>
        <v>0</v>
      </c>
      <c r="JL18" s="290">
        <f t="shared" si="198"/>
        <v>0</v>
      </c>
      <c r="JM18" s="290">
        <f t="shared" si="199"/>
        <v>0</v>
      </c>
      <c r="JN18" s="290">
        <f t="shared" si="200"/>
        <v>0</v>
      </c>
      <c r="JO18" s="290">
        <f t="shared" si="201"/>
        <v>0</v>
      </c>
      <c r="JP18" s="290">
        <f t="shared" si="202"/>
        <v>0</v>
      </c>
      <c r="JQ18" s="290">
        <f t="shared" si="203"/>
        <v>0</v>
      </c>
      <c r="JR18" s="290">
        <f t="shared" si="204"/>
        <v>0</v>
      </c>
      <c r="JS18" s="290">
        <f t="shared" si="205"/>
        <v>0</v>
      </c>
      <c r="JT18" s="290">
        <f t="shared" si="206"/>
        <v>0</v>
      </c>
      <c r="JU18" s="291">
        <f t="shared" si="207"/>
        <v>0</v>
      </c>
      <c r="JV18" s="291">
        <f t="shared" si="208"/>
        <v>0</v>
      </c>
      <c r="JW18" s="291">
        <f t="shared" si="209"/>
        <v>0</v>
      </c>
      <c r="JX18" s="292">
        <f t="shared" si="210"/>
        <v>0</v>
      </c>
      <c r="JY18" s="999">
        <v>5</v>
      </c>
      <c r="JZ18" s="286">
        <f t="shared" si="307"/>
        <v>44170</v>
      </c>
      <c r="KA18" s="287">
        <f t="shared" si="31"/>
        <v>44170</v>
      </c>
      <c r="KB18" s="288" t="str">
        <f>'दैनिक माहिती'!H265</f>
        <v>मुगडाळ</v>
      </c>
      <c r="KC18" s="289">
        <f>'दैनिक माहिती'!E265</f>
        <v>21</v>
      </c>
      <c r="KD18" s="289">
        <f>'दैनिक माहिती'!F265</f>
        <v>21</v>
      </c>
      <c r="KE18" s="289">
        <f>'दैनिक माहिती'!G265</f>
        <v>21</v>
      </c>
      <c r="KF18" s="290">
        <f t="shared" si="211"/>
        <v>2.1</v>
      </c>
      <c r="KG18" s="290">
        <f t="shared" si="212"/>
        <v>0.42</v>
      </c>
      <c r="KH18" s="290">
        <f t="shared" si="213"/>
        <v>0</v>
      </c>
      <c r="KI18" s="290">
        <f t="shared" si="214"/>
        <v>0</v>
      </c>
      <c r="KJ18" s="290">
        <f t="shared" si="215"/>
        <v>0</v>
      </c>
      <c r="KK18" s="290">
        <f t="shared" si="216"/>
        <v>0</v>
      </c>
      <c r="KL18" s="290">
        <f t="shared" si="217"/>
        <v>0</v>
      </c>
      <c r="KM18" s="290">
        <f t="shared" si="218"/>
        <v>0</v>
      </c>
      <c r="KN18" s="290">
        <f t="shared" si="219"/>
        <v>0</v>
      </c>
      <c r="KO18" s="290">
        <f t="shared" si="220"/>
        <v>6.2999999999999992E-3</v>
      </c>
      <c r="KP18" s="290">
        <f t="shared" si="221"/>
        <v>1.0500000000000001E-2</v>
      </c>
      <c r="KQ18" s="290">
        <f t="shared" si="222"/>
        <v>6.2999999999999992E-3</v>
      </c>
      <c r="KR18" s="290">
        <f t="shared" si="223"/>
        <v>0</v>
      </c>
      <c r="KS18" s="290">
        <f t="shared" si="224"/>
        <v>0</v>
      </c>
      <c r="KT18" s="290">
        <f t="shared" si="225"/>
        <v>0.105</v>
      </c>
      <c r="KU18" s="290">
        <f t="shared" si="226"/>
        <v>4.2000000000000003E-2</v>
      </c>
      <c r="KV18" s="290">
        <f t="shared" si="227"/>
        <v>2.5199999999999997E-2</v>
      </c>
      <c r="KW18" s="290">
        <f t="shared" si="228"/>
        <v>0</v>
      </c>
      <c r="KX18" s="291">
        <f t="shared" si="229"/>
        <v>14.91</v>
      </c>
      <c r="KY18" s="291">
        <f t="shared" si="230"/>
        <v>16.59</v>
      </c>
      <c r="KZ18" s="291">
        <f t="shared" si="231"/>
        <v>12.18</v>
      </c>
      <c r="LA18" s="292">
        <f t="shared" si="232"/>
        <v>60.27</v>
      </c>
      <c r="LB18" s="999">
        <v>5</v>
      </c>
      <c r="LC18" s="286">
        <f t="shared" si="308"/>
        <v>44201</v>
      </c>
      <c r="LD18" s="287">
        <f t="shared" si="32"/>
        <v>44201</v>
      </c>
      <c r="LE18" s="288">
        <f>'दैनिक माहिती'!H297</f>
        <v>0</v>
      </c>
      <c r="LF18" s="289">
        <f>'दैनिक माहिती'!E297</f>
        <v>0</v>
      </c>
      <c r="LG18" s="289">
        <f>'दैनिक माहिती'!F297</f>
        <v>0</v>
      </c>
      <c r="LH18" s="289">
        <f>'दैनिक माहिती'!G297</f>
        <v>0</v>
      </c>
      <c r="LI18" s="290">
        <f t="shared" si="233"/>
        <v>0</v>
      </c>
      <c r="LJ18" s="290">
        <f t="shared" si="234"/>
        <v>0</v>
      </c>
      <c r="LK18" s="290">
        <f t="shared" si="235"/>
        <v>0</v>
      </c>
      <c r="LL18" s="290">
        <f t="shared" si="236"/>
        <v>0</v>
      </c>
      <c r="LM18" s="290">
        <f t="shared" si="237"/>
        <v>0</v>
      </c>
      <c r="LN18" s="290">
        <f t="shared" si="238"/>
        <v>0</v>
      </c>
      <c r="LO18" s="290">
        <f t="shared" si="239"/>
        <v>0</v>
      </c>
      <c r="LP18" s="290">
        <f t="shared" si="240"/>
        <v>0</v>
      </c>
      <c r="LQ18" s="290">
        <f t="shared" si="241"/>
        <v>0</v>
      </c>
      <c r="LR18" s="290">
        <f t="shared" si="242"/>
        <v>0</v>
      </c>
      <c r="LS18" s="290">
        <f t="shared" si="243"/>
        <v>0</v>
      </c>
      <c r="LT18" s="290">
        <f t="shared" si="244"/>
        <v>0</v>
      </c>
      <c r="LU18" s="290">
        <f t="shared" si="245"/>
        <v>0</v>
      </c>
      <c r="LV18" s="290">
        <f t="shared" si="246"/>
        <v>0</v>
      </c>
      <c r="LW18" s="290">
        <f t="shared" si="247"/>
        <v>0</v>
      </c>
      <c r="LX18" s="290">
        <f t="shared" si="248"/>
        <v>0</v>
      </c>
      <c r="LY18" s="290">
        <f t="shared" si="249"/>
        <v>0</v>
      </c>
      <c r="LZ18" s="290">
        <f t="shared" si="250"/>
        <v>0</v>
      </c>
      <c r="MA18" s="291">
        <f t="shared" si="251"/>
        <v>0</v>
      </c>
      <c r="MB18" s="291">
        <f t="shared" si="252"/>
        <v>0</v>
      </c>
      <c r="MC18" s="291">
        <f t="shared" si="253"/>
        <v>0</v>
      </c>
      <c r="MD18" s="292">
        <f t="shared" si="254"/>
        <v>0</v>
      </c>
      <c r="ME18" s="999">
        <v>5</v>
      </c>
      <c r="MF18" s="286">
        <f t="shared" si="309"/>
        <v>44232</v>
      </c>
      <c r="MG18" s="287">
        <f t="shared" si="33"/>
        <v>44232</v>
      </c>
      <c r="MH18" s="288">
        <f>'दैनिक माहिती'!H329</f>
        <v>0</v>
      </c>
      <c r="MI18" s="289">
        <f>'दैनिक माहिती'!E329</f>
        <v>0</v>
      </c>
      <c r="MJ18" s="289">
        <f>'दैनिक माहिती'!F329</f>
        <v>0</v>
      </c>
      <c r="MK18" s="289">
        <f>'दैनिक माहिती'!G329</f>
        <v>0</v>
      </c>
      <c r="ML18" s="290">
        <f t="shared" si="255"/>
        <v>0</v>
      </c>
      <c r="MM18" s="290">
        <f t="shared" si="256"/>
        <v>0</v>
      </c>
      <c r="MN18" s="290">
        <f t="shared" si="257"/>
        <v>0</v>
      </c>
      <c r="MO18" s="290">
        <f t="shared" si="258"/>
        <v>0</v>
      </c>
      <c r="MP18" s="290">
        <f t="shared" si="259"/>
        <v>0</v>
      </c>
      <c r="MQ18" s="290">
        <f t="shared" si="260"/>
        <v>0</v>
      </c>
      <c r="MR18" s="290">
        <f t="shared" si="261"/>
        <v>0</v>
      </c>
      <c r="MS18" s="290">
        <f t="shared" si="262"/>
        <v>0</v>
      </c>
      <c r="MT18" s="290">
        <f t="shared" si="263"/>
        <v>0</v>
      </c>
      <c r="MU18" s="290">
        <f t="shared" si="264"/>
        <v>0</v>
      </c>
      <c r="MV18" s="290">
        <f t="shared" si="265"/>
        <v>0</v>
      </c>
      <c r="MW18" s="290">
        <f t="shared" si="266"/>
        <v>0</v>
      </c>
      <c r="MX18" s="290">
        <f t="shared" si="267"/>
        <v>0</v>
      </c>
      <c r="MY18" s="290">
        <f t="shared" si="268"/>
        <v>0</v>
      </c>
      <c r="MZ18" s="290">
        <f t="shared" si="269"/>
        <v>0</v>
      </c>
      <c r="NA18" s="290">
        <f t="shared" si="270"/>
        <v>0</v>
      </c>
      <c r="NB18" s="290">
        <f t="shared" si="271"/>
        <v>0</v>
      </c>
      <c r="NC18" s="290">
        <f t="shared" si="272"/>
        <v>0</v>
      </c>
      <c r="ND18" s="291">
        <f t="shared" si="273"/>
        <v>0</v>
      </c>
      <c r="NE18" s="291">
        <f t="shared" si="274"/>
        <v>0</v>
      </c>
      <c r="NF18" s="291">
        <f t="shared" si="275"/>
        <v>0</v>
      </c>
      <c r="NG18" s="292">
        <f t="shared" si="276"/>
        <v>0</v>
      </c>
      <c r="NH18" s="999">
        <v>5</v>
      </c>
      <c r="NI18" s="286">
        <f t="shared" si="310"/>
        <v>44260</v>
      </c>
      <c r="NJ18" s="287">
        <f t="shared" si="34"/>
        <v>44260</v>
      </c>
      <c r="NK18" s="288">
        <f>'दैनिक माहिती'!H359</f>
        <v>0</v>
      </c>
      <c r="NL18" s="289">
        <f>'दैनिक माहिती'!E359</f>
        <v>0</v>
      </c>
      <c r="NM18" s="289">
        <f>'दैनिक माहिती'!F359</f>
        <v>0</v>
      </c>
      <c r="NN18" s="289">
        <f>'दैनिक माहिती'!G359</f>
        <v>0</v>
      </c>
      <c r="NO18" s="290">
        <f t="shared" si="277"/>
        <v>0</v>
      </c>
      <c r="NP18" s="290">
        <f t="shared" si="278"/>
        <v>0</v>
      </c>
      <c r="NQ18" s="290">
        <f t="shared" si="279"/>
        <v>0</v>
      </c>
      <c r="NR18" s="290">
        <f t="shared" si="280"/>
        <v>0</v>
      </c>
      <c r="NS18" s="290">
        <f t="shared" si="281"/>
        <v>0</v>
      </c>
      <c r="NT18" s="290">
        <f t="shared" si="282"/>
        <v>0</v>
      </c>
      <c r="NU18" s="290">
        <f t="shared" si="283"/>
        <v>0</v>
      </c>
      <c r="NV18" s="290">
        <f t="shared" si="284"/>
        <v>0</v>
      </c>
      <c r="NW18" s="290">
        <f t="shared" si="285"/>
        <v>0</v>
      </c>
      <c r="NX18" s="290">
        <f t="shared" si="286"/>
        <v>0</v>
      </c>
      <c r="NY18" s="290">
        <f t="shared" si="287"/>
        <v>0</v>
      </c>
      <c r="NZ18" s="290">
        <f t="shared" si="288"/>
        <v>0</v>
      </c>
      <c r="OA18" s="290">
        <f t="shared" si="289"/>
        <v>0</v>
      </c>
      <c r="OB18" s="290">
        <f t="shared" si="290"/>
        <v>0</v>
      </c>
      <c r="OC18" s="290">
        <f t="shared" si="291"/>
        <v>0</v>
      </c>
      <c r="OD18" s="290">
        <f t="shared" si="292"/>
        <v>0</v>
      </c>
      <c r="OE18" s="290">
        <f t="shared" si="293"/>
        <v>0</v>
      </c>
      <c r="OF18" s="290">
        <f t="shared" si="294"/>
        <v>0</v>
      </c>
      <c r="OG18" s="291">
        <f t="shared" si="295"/>
        <v>0</v>
      </c>
      <c r="OH18" s="291">
        <f t="shared" si="296"/>
        <v>0</v>
      </c>
      <c r="OI18" s="291">
        <f t="shared" si="297"/>
        <v>0</v>
      </c>
      <c r="OJ18" s="292">
        <f t="shared" si="298"/>
        <v>0</v>
      </c>
    </row>
    <row r="19" spans="2:400" ht="37.5" customHeight="1" x14ac:dyDescent="0.3">
      <c r="B19" s="2036">
        <v>2</v>
      </c>
      <c r="C19" s="2033" t="str">
        <f>IF('शाळा माहिती'!D18="","",'शाळा माहिती'!D18)</f>
        <v>-</v>
      </c>
      <c r="D19" s="2033"/>
      <c r="E19" s="2033"/>
      <c r="F19" s="2033" t="s">
        <v>293</v>
      </c>
      <c r="G19" s="2033"/>
      <c r="H19" s="1020" t="s">
        <v>132</v>
      </c>
      <c r="I19" s="305">
        <f>HOME!E2</f>
        <v>2022</v>
      </c>
      <c r="J19" s="306" t="str">
        <f>'शाळा माहिती'!C18</f>
        <v>6 ते 8</v>
      </c>
      <c r="K19" s="2051" t="s">
        <v>211</v>
      </c>
      <c r="L19" s="2033"/>
      <c r="M19" s="2033"/>
      <c r="N19" s="2033"/>
      <c r="O19" s="2034"/>
      <c r="BA19" s="999">
        <v>6</v>
      </c>
      <c r="BB19" s="286">
        <f t="shared" si="299"/>
        <v>43927</v>
      </c>
      <c r="BC19" s="287">
        <f t="shared" si="23"/>
        <v>43927</v>
      </c>
      <c r="BD19" s="288" t="str">
        <f>'दैनिक माहिती'!H14</f>
        <v>वाटाणा</v>
      </c>
      <c r="BE19" s="289">
        <f>'दैनिक माहिती'!E14</f>
        <v>22</v>
      </c>
      <c r="BF19" s="289">
        <f>'दैनिक माहिती'!F14</f>
        <v>22</v>
      </c>
      <c r="BG19" s="289">
        <f>'दैनिक माहिती'!G14</f>
        <v>22</v>
      </c>
      <c r="BH19" s="290">
        <f t="shared" si="35"/>
        <v>2.2000000000000002</v>
      </c>
      <c r="BI19" s="290">
        <f t="shared" si="36"/>
        <v>0</v>
      </c>
      <c r="BJ19" s="290">
        <f t="shared" si="37"/>
        <v>0</v>
      </c>
      <c r="BK19" s="290">
        <f t="shared" si="38"/>
        <v>0</v>
      </c>
      <c r="BL19" s="290">
        <f t="shared" si="39"/>
        <v>0</v>
      </c>
      <c r="BM19" s="290">
        <f t="shared" si="40"/>
        <v>0</v>
      </c>
      <c r="BN19" s="290">
        <f t="shared" si="41"/>
        <v>0</v>
      </c>
      <c r="BO19" s="290">
        <f t="shared" si="42"/>
        <v>0</v>
      </c>
      <c r="BP19" s="290">
        <f t="shared" si="43"/>
        <v>0.44</v>
      </c>
      <c r="BQ19" s="290">
        <f t="shared" si="44"/>
        <v>6.5999999999999991E-3</v>
      </c>
      <c r="BR19" s="290">
        <f t="shared" si="45"/>
        <v>1.0999999999999999E-2</v>
      </c>
      <c r="BS19" s="290">
        <f t="shared" si="46"/>
        <v>6.5999999999999991E-3</v>
      </c>
      <c r="BT19" s="290">
        <f t="shared" si="47"/>
        <v>0</v>
      </c>
      <c r="BU19" s="290">
        <f t="shared" si="48"/>
        <v>0</v>
      </c>
      <c r="BV19" s="290">
        <f t="shared" si="49"/>
        <v>0.11</v>
      </c>
      <c r="BW19" s="290">
        <f t="shared" si="50"/>
        <v>4.3999999999999997E-2</v>
      </c>
      <c r="BX19" s="290">
        <f t="shared" si="51"/>
        <v>2.6399999999999996E-2</v>
      </c>
      <c r="BY19" s="290">
        <f t="shared" si="52"/>
        <v>0</v>
      </c>
      <c r="BZ19" s="291">
        <f t="shared" si="53"/>
        <v>15.84</v>
      </c>
      <c r="CA19" s="291">
        <f t="shared" si="54"/>
        <v>14.08</v>
      </c>
      <c r="CB19" s="291">
        <f t="shared" si="55"/>
        <v>11.66</v>
      </c>
      <c r="CC19" s="292">
        <f t="shared" si="56"/>
        <v>58.96</v>
      </c>
      <c r="CD19" s="999">
        <v>6</v>
      </c>
      <c r="CE19" s="286">
        <f t="shared" si="300"/>
        <v>43957</v>
      </c>
      <c r="CF19" s="287">
        <f t="shared" si="24"/>
        <v>43957</v>
      </c>
      <c r="CG19" s="288">
        <f>'दैनिक माहिती'!H45</f>
        <v>0</v>
      </c>
      <c r="CH19" s="289">
        <f>'दैनिक माहिती'!E45</f>
        <v>0</v>
      </c>
      <c r="CI19" s="289">
        <f>'दैनिक माहिती'!F45</f>
        <v>0</v>
      </c>
      <c r="CJ19" s="289">
        <f>'दैनिक माहिती'!G45</f>
        <v>0</v>
      </c>
      <c r="CK19" s="290">
        <f t="shared" si="57"/>
        <v>0</v>
      </c>
      <c r="CL19" s="290">
        <f t="shared" si="58"/>
        <v>0</v>
      </c>
      <c r="CM19" s="290">
        <f t="shared" si="59"/>
        <v>0</v>
      </c>
      <c r="CN19" s="290">
        <f t="shared" si="60"/>
        <v>0</v>
      </c>
      <c r="CO19" s="290">
        <f t="shared" si="61"/>
        <v>0</v>
      </c>
      <c r="CP19" s="290">
        <f t="shared" si="62"/>
        <v>0</v>
      </c>
      <c r="CQ19" s="290">
        <f t="shared" si="63"/>
        <v>0</v>
      </c>
      <c r="CR19" s="290">
        <f t="shared" si="64"/>
        <v>0</v>
      </c>
      <c r="CS19" s="290">
        <f t="shared" si="65"/>
        <v>0</v>
      </c>
      <c r="CT19" s="290">
        <f t="shared" si="66"/>
        <v>0</v>
      </c>
      <c r="CU19" s="290">
        <f t="shared" si="67"/>
        <v>0</v>
      </c>
      <c r="CV19" s="290">
        <f t="shared" si="68"/>
        <v>0</v>
      </c>
      <c r="CW19" s="290">
        <f t="shared" si="69"/>
        <v>0</v>
      </c>
      <c r="CX19" s="290">
        <f t="shared" si="70"/>
        <v>0</v>
      </c>
      <c r="CY19" s="290">
        <f t="shared" si="71"/>
        <v>0</v>
      </c>
      <c r="CZ19" s="290">
        <f t="shared" si="72"/>
        <v>0</v>
      </c>
      <c r="DA19" s="290">
        <f t="shared" si="73"/>
        <v>0</v>
      </c>
      <c r="DB19" s="290">
        <f t="shared" si="74"/>
        <v>0</v>
      </c>
      <c r="DC19" s="291">
        <f t="shared" si="75"/>
        <v>0</v>
      </c>
      <c r="DD19" s="291">
        <f t="shared" si="76"/>
        <v>0</v>
      </c>
      <c r="DE19" s="291">
        <f t="shared" si="77"/>
        <v>0</v>
      </c>
      <c r="DF19" s="292">
        <f t="shared" si="78"/>
        <v>0</v>
      </c>
      <c r="DG19" s="999">
        <v>6</v>
      </c>
      <c r="DH19" s="286">
        <f t="shared" si="301"/>
        <v>43988</v>
      </c>
      <c r="DI19" s="287">
        <f t="shared" si="25"/>
        <v>43988</v>
      </c>
      <c r="DJ19" s="288">
        <f>'दैनिक माहिती'!H77</f>
        <v>0</v>
      </c>
      <c r="DK19" s="289">
        <f>'दैनिक माहिती'!E77</f>
        <v>0</v>
      </c>
      <c r="DL19" s="289">
        <f>'दैनिक माहिती'!F77</f>
        <v>0</v>
      </c>
      <c r="DM19" s="289">
        <f>'दैनिक माहिती'!G77</f>
        <v>0</v>
      </c>
      <c r="DN19" s="290">
        <f t="shared" si="79"/>
        <v>0</v>
      </c>
      <c r="DO19" s="290">
        <f t="shared" si="80"/>
        <v>0</v>
      </c>
      <c r="DP19" s="290">
        <f t="shared" si="81"/>
        <v>0</v>
      </c>
      <c r="DQ19" s="290">
        <f t="shared" si="82"/>
        <v>0</v>
      </c>
      <c r="DR19" s="290">
        <f t="shared" si="83"/>
        <v>0</v>
      </c>
      <c r="DS19" s="290">
        <f t="shared" si="84"/>
        <v>0</v>
      </c>
      <c r="DT19" s="290">
        <f t="shared" si="85"/>
        <v>0</v>
      </c>
      <c r="DU19" s="290">
        <f t="shared" si="86"/>
        <v>0</v>
      </c>
      <c r="DV19" s="290">
        <f t="shared" si="87"/>
        <v>0</v>
      </c>
      <c r="DW19" s="290">
        <f t="shared" si="88"/>
        <v>0</v>
      </c>
      <c r="DX19" s="290">
        <f t="shared" si="89"/>
        <v>0</v>
      </c>
      <c r="DY19" s="290">
        <f t="shared" si="90"/>
        <v>0</v>
      </c>
      <c r="DZ19" s="290">
        <f t="shared" si="91"/>
        <v>0</v>
      </c>
      <c r="EA19" s="290">
        <f t="shared" si="92"/>
        <v>0</v>
      </c>
      <c r="EB19" s="290">
        <f t="shared" si="93"/>
        <v>0</v>
      </c>
      <c r="EC19" s="290">
        <f t="shared" si="94"/>
        <v>0</v>
      </c>
      <c r="ED19" s="290">
        <f t="shared" si="95"/>
        <v>0</v>
      </c>
      <c r="EE19" s="290">
        <f t="shared" si="96"/>
        <v>0</v>
      </c>
      <c r="EF19" s="291">
        <f t="shared" si="97"/>
        <v>0</v>
      </c>
      <c r="EG19" s="291">
        <f t="shared" si="98"/>
        <v>0</v>
      </c>
      <c r="EH19" s="291">
        <f t="shared" si="99"/>
        <v>0</v>
      </c>
      <c r="EI19" s="292">
        <f t="shared" si="100"/>
        <v>0</v>
      </c>
      <c r="EJ19" s="999">
        <v>6</v>
      </c>
      <c r="EK19" s="286">
        <f t="shared" si="302"/>
        <v>44018</v>
      </c>
      <c r="EL19" s="287">
        <f t="shared" si="26"/>
        <v>44018</v>
      </c>
      <c r="EM19" s="288" t="str">
        <f>'दैनिक माहिती'!H108</f>
        <v>वाटाणा</v>
      </c>
      <c r="EN19" s="289">
        <f>'दैनिक माहिती'!E108</f>
        <v>17</v>
      </c>
      <c r="EO19" s="289">
        <f>'दैनिक माहिती'!F108</f>
        <v>17</v>
      </c>
      <c r="EP19" s="289">
        <f>'दैनिक माहिती'!G108</f>
        <v>17</v>
      </c>
      <c r="EQ19" s="290">
        <f t="shared" si="101"/>
        <v>1.7000000000000002</v>
      </c>
      <c r="ER19" s="290">
        <f t="shared" si="102"/>
        <v>0</v>
      </c>
      <c r="ES19" s="290">
        <f t="shared" si="103"/>
        <v>0</v>
      </c>
      <c r="ET19" s="290">
        <f t="shared" si="104"/>
        <v>0</v>
      </c>
      <c r="EU19" s="290">
        <f t="shared" si="105"/>
        <v>0</v>
      </c>
      <c r="EV19" s="290">
        <f t="shared" si="106"/>
        <v>0</v>
      </c>
      <c r="EW19" s="290">
        <f t="shared" si="107"/>
        <v>0</v>
      </c>
      <c r="EX19" s="290">
        <f t="shared" si="108"/>
        <v>0</v>
      </c>
      <c r="EY19" s="290">
        <f t="shared" si="109"/>
        <v>0.34</v>
      </c>
      <c r="EZ19" s="290">
        <f t="shared" si="110"/>
        <v>5.0999999999999995E-3</v>
      </c>
      <c r="FA19" s="290">
        <f t="shared" si="111"/>
        <v>8.5000000000000006E-3</v>
      </c>
      <c r="FB19" s="290">
        <f t="shared" si="112"/>
        <v>5.0999999999999995E-3</v>
      </c>
      <c r="FC19" s="290">
        <f t="shared" si="113"/>
        <v>0</v>
      </c>
      <c r="FD19" s="290">
        <f t="shared" si="114"/>
        <v>0</v>
      </c>
      <c r="FE19" s="290">
        <f t="shared" si="115"/>
        <v>8.5000000000000006E-2</v>
      </c>
      <c r="FF19" s="290">
        <f t="shared" si="116"/>
        <v>3.4000000000000002E-2</v>
      </c>
      <c r="FG19" s="290">
        <f t="shared" si="117"/>
        <v>2.0399999999999998E-2</v>
      </c>
      <c r="FH19" s="290">
        <f t="shared" si="118"/>
        <v>0</v>
      </c>
      <c r="FI19" s="291">
        <f t="shared" si="119"/>
        <v>12.24</v>
      </c>
      <c r="FJ19" s="291">
        <f t="shared" si="120"/>
        <v>10.88</v>
      </c>
      <c r="FK19" s="291">
        <f t="shared" si="121"/>
        <v>9.01</v>
      </c>
      <c r="FL19" s="292">
        <f t="shared" si="122"/>
        <v>45.56</v>
      </c>
      <c r="FM19" s="999">
        <v>6</v>
      </c>
      <c r="FN19" s="286">
        <f t="shared" si="303"/>
        <v>44049</v>
      </c>
      <c r="FO19" s="287">
        <f t="shared" si="27"/>
        <v>44049</v>
      </c>
      <c r="FP19" s="288" t="str">
        <f>'दैनिक माहिती'!H140</f>
        <v>मुगडाळ</v>
      </c>
      <c r="FQ19" s="289">
        <f>'दैनिक माहिती'!E140</f>
        <v>15</v>
      </c>
      <c r="FR19" s="289">
        <f>'दैनिक माहिती'!F140</f>
        <v>15</v>
      </c>
      <c r="FS19" s="289">
        <f>'दैनिक माहिती'!G140</f>
        <v>15</v>
      </c>
      <c r="FT19" s="290">
        <f t="shared" si="123"/>
        <v>1.5</v>
      </c>
      <c r="FU19" s="290">
        <f t="shared" si="124"/>
        <v>0.3</v>
      </c>
      <c r="FV19" s="290">
        <f t="shared" si="125"/>
        <v>0</v>
      </c>
      <c r="FW19" s="290">
        <f t="shared" si="126"/>
        <v>0</v>
      </c>
      <c r="FX19" s="290">
        <f t="shared" si="127"/>
        <v>0</v>
      </c>
      <c r="FY19" s="290">
        <f t="shared" si="128"/>
        <v>0</v>
      </c>
      <c r="FZ19" s="290">
        <f t="shared" si="129"/>
        <v>0</v>
      </c>
      <c r="GA19" s="290">
        <f t="shared" si="130"/>
        <v>0</v>
      </c>
      <c r="GB19" s="290">
        <f t="shared" si="131"/>
        <v>0</v>
      </c>
      <c r="GC19" s="290">
        <f t="shared" si="132"/>
        <v>4.4999999999999997E-3</v>
      </c>
      <c r="GD19" s="290">
        <f t="shared" si="133"/>
        <v>7.4999999999999997E-3</v>
      </c>
      <c r="GE19" s="290">
        <f t="shared" si="134"/>
        <v>4.4999999999999997E-3</v>
      </c>
      <c r="GF19" s="290">
        <f t="shared" si="135"/>
        <v>0</v>
      </c>
      <c r="GG19" s="290">
        <f t="shared" si="136"/>
        <v>0</v>
      </c>
      <c r="GH19" s="290">
        <f t="shared" si="137"/>
        <v>7.4999999999999997E-2</v>
      </c>
      <c r="GI19" s="290">
        <f t="shared" si="138"/>
        <v>0.03</v>
      </c>
      <c r="GJ19" s="290">
        <f t="shared" si="139"/>
        <v>1.7999999999999999E-2</v>
      </c>
      <c r="GK19" s="290">
        <f t="shared" si="140"/>
        <v>0</v>
      </c>
      <c r="GL19" s="291">
        <f t="shared" si="141"/>
        <v>10.799999999999999</v>
      </c>
      <c r="GM19" s="291">
        <f t="shared" si="142"/>
        <v>9.6</v>
      </c>
      <c r="GN19" s="291">
        <f t="shared" si="143"/>
        <v>7.95</v>
      </c>
      <c r="GO19" s="292">
        <f t="shared" si="144"/>
        <v>40.200000000000003</v>
      </c>
      <c r="GP19" s="999">
        <v>6</v>
      </c>
      <c r="GQ19" s="286">
        <f t="shared" si="304"/>
        <v>44080</v>
      </c>
      <c r="GR19" s="287">
        <f t="shared" si="28"/>
        <v>44080</v>
      </c>
      <c r="GS19" s="288" t="str">
        <f>'दैनिक माहिती'!H172</f>
        <v>हरभरा</v>
      </c>
      <c r="GT19" s="289">
        <f>'दैनिक माहिती'!E172</f>
        <v>15</v>
      </c>
      <c r="GU19" s="289">
        <f>'दैनिक माहिती'!F172</f>
        <v>15</v>
      </c>
      <c r="GV19" s="289">
        <f>'दैनिक माहिती'!G172</f>
        <v>15</v>
      </c>
      <c r="GW19" s="290">
        <f t="shared" si="145"/>
        <v>1.5</v>
      </c>
      <c r="GX19" s="290">
        <f t="shared" si="146"/>
        <v>0</v>
      </c>
      <c r="GY19" s="290">
        <f t="shared" si="147"/>
        <v>0</v>
      </c>
      <c r="GZ19" s="290">
        <f t="shared" si="148"/>
        <v>0</v>
      </c>
      <c r="HA19" s="290">
        <f t="shared" si="149"/>
        <v>0</v>
      </c>
      <c r="HB19" s="290">
        <f t="shared" si="150"/>
        <v>0</v>
      </c>
      <c r="HC19" s="290">
        <f t="shared" si="151"/>
        <v>0</v>
      </c>
      <c r="HD19" s="290">
        <f t="shared" si="152"/>
        <v>0.3</v>
      </c>
      <c r="HE19" s="290">
        <f t="shared" si="153"/>
        <v>0</v>
      </c>
      <c r="HF19" s="290">
        <f t="shared" si="154"/>
        <v>4.4999999999999997E-3</v>
      </c>
      <c r="HG19" s="290">
        <f t="shared" si="155"/>
        <v>7.4999999999999997E-3</v>
      </c>
      <c r="HH19" s="290">
        <f t="shared" si="156"/>
        <v>4.4999999999999997E-3</v>
      </c>
      <c r="HI19" s="290">
        <f t="shared" si="157"/>
        <v>0</v>
      </c>
      <c r="HJ19" s="290">
        <f t="shared" si="158"/>
        <v>0</v>
      </c>
      <c r="HK19" s="290">
        <f t="shared" si="159"/>
        <v>7.4999999999999997E-2</v>
      </c>
      <c r="HL19" s="290">
        <f t="shared" si="160"/>
        <v>0.03</v>
      </c>
      <c r="HM19" s="290">
        <f t="shared" si="161"/>
        <v>1.7999999999999999E-2</v>
      </c>
      <c r="HN19" s="290">
        <f t="shared" si="162"/>
        <v>0</v>
      </c>
      <c r="HO19" s="291">
        <f t="shared" si="163"/>
        <v>10.799999999999999</v>
      </c>
      <c r="HP19" s="291">
        <f t="shared" si="164"/>
        <v>9.6</v>
      </c>
      <c r="HQ19" s="291">
        <f t="shared" si="165"/>
        <v>7.95</v>
      </c>
      <c r="HR19" s="292">
        <f t="shared" si="166"/>
        <v>40.200000000000003</v>
      </c>
      <c r="HS19" s="999">
        <v>6</v>
      </c>
      <c r="HT19" s="286">
        <f t="shared" si="305"/>
        <v>44110</v>
      </c>
      <c r="HU19" s="287">
        <f t="shared" si="29"/>
        <v>44110</v>
      </c>
      <c r="HV19" s="288" t="str">
        <f>'दैनिक माहिती'!H203</f>
        <v>हरभरा</v>
      </c>
      <c r="HW19" s="289">
        <f>'दैनिक माहिती'!E203</f>
        <v>16</v>
      </c>
      <c r="HX19" s="289">
        <f>'दैनिक माहिती'!F203</f>
        <v>16</v>
      </c>
      <c r="HY19" s="289">
        <f>'दैनिक माहिती'!G203</f>
        <v>16</v>
      </c>
      <c r="HZ19" s="290">
        <f t="shared" si="167"/>
        <v>1.6</v>
      </c>
      <c r="IA19" s="290">
        <f t="shared" si="168"/>
        <v>0</v>
      </c>
      <c r="IB19" s="290">
        <f t="shared" si="169"/>
        <v>0</v>
      </c>
      <c r="IC19" s="290">
        <f t="shared" si="170"/>
        <v>0</v>
      </c>
      <c r="ID19" s="290">
        <f t="shared" si="171"/>
        <v>0</v>
      </c>
      <c r="IE19" s="290">
        <f t="shared" si="172"/>
        <v>0</v>
      </c>
      <c r="IF19" s="290">
        <f t="shared" si="173"/>
        <v>0</v>
      </c>
      <c r="IG19" s="290">
        <f t="shared" si="174"/>
        <v>0.32</v>
      </c>
      <c r="IH19" s="290">
        <f t="shared" si="175"/>
        <v>0</v>
      </c>
      <c r="II19" s="290">
        <f t="shared" si="176"/>
        <v>4.7999999999999996E-3</v>
      </c>
      <c r="IJ19" s="290">
        <f t="shared" si="177"/>
        <v>8.0000000000000002E-3</v>
      </c>
      <c r="IK19" s="290">
        <f t="shared" si="178"/>
        <v>4.7999999999999996E-3</v>
      </c>
      <c r="IL19" s="290">
        <f t="shared" si="179"/>
        <v>0</v>
      </c>
      <c r="IM19" s="290">
        <f t="shared" si="180"/>
        <v>0</v>
      </c>
      <c r="IN19" s="290">
        <f t="shared" si="181"/>
        <v>0.08</v>
      </c>
      <c r="IO19" s="290">
        <f t="shared" si="182"/>
        <v>3.2000000000000001E-2</v>
      </c>
      <c r="IP19" s="290">
        <f t="shared" si="183"/>
        <v>1.9199999999999998E-2</v>
      </c>
      <c r="IQ19" s="290">
        <f t="shared" si="184"/>
        <v>0</v>
      </c>
      <c r="IR19" s="291">
        <f t="shared" si="185"/>
        <v>11.36</v>
      </c>
      <c r="IS19" s="291">
        <f t="shared" si="186"/>
        <v>12.64</v>
      </c>
      <c r="IT19" s="291">
        <f t="shared" si="187"/>
        <v>9.2799999999999994</v>
      </c>
      <c r="IU19" s="292">
        <f t="shared" si="188"/>
        <v>45.92</v>
      </c>
      <c r="IV19" s="999">
        <v>6</v>
      </c>
      <c r="IW19" s="286">
        <f t="shared" si="306"/>
        <v>44141</v>
      </c>
      <c r="IX19" s="287">
        <f t="shared" si="30"/>
        <v>44141</v>
      </c>
      <c r="IY19" s="288">
        <f>'दैनिक माहिती'!H235</f>
        <v>0</v>
      </c>
      <c r="IZ19" s="289">
        <f>'दैनिक माहिती'!E235</f>
        <v>0</v>
      </c>
      <c r="JA19" s="289">
        <f>'दैनिक माहिती'!F235</f>
        <v>0</v>
      </c>
      <c r="JB19" s="289">
        <f>'दैनिक माहिती'!G235</f>
        <v>0</v>
      </c>
      <c r="JC19" s="290">
        <f t="shared" si="189"/>
        <v>0</v>
      </c>
      <c r="JD19" s="290">
        <f t="shared" si="190"/>
        <v>0</v>
      </c>
      <c r="JE19" s="290">
        <f t="shared" si="191"/>
        <v>0</v>
      </c>
      <c r="JF19" s="290">
        <f t="shared" si="192"/>
        <v>0</v>
      </c>
      <c r="JG19" s="290">
        <f t="shared" si="193"/>
        <v>0</v>
      </c>
      <c r="JH19" s="290">
        <f t="shared" si="194"/>
        <v>0</v>
      </c>
      <c r="JI19" s="290">
        <f t="shared" si="195"/>
        <v>0</v>
      </c>
      <c r="JJ19" s="290">
        <f t="shared" si="196"/>
        <v>0</v>
      </c>
      <c r="JK19" s="290">
        <f t="shared" si="197"/>
        <v>0</v>
      </c>
      <c r="JL19" s="290">
        <f t="shared" si="198"/>
        <v>0</v>
      </c>
      <c r="JM19" s="290">
        <f t="shared" si="199"/>
        <v>0</v>
      </c>
      <c r="JN19" s="290">
        <f t="shared" si="200"/>
        <v>0</v>
      </c>
      <c r="JO19" s="290">
        <f t="shared" si="201"/>
        <v>0</v>
      </c>
      <c r="JP19" s="290">
        <f t="shared" si="202"/>
        <v>0</v>
      </c>
      <c r="JQ19" s="290">
        <f t="shared" si="203"/>
        <v>0</v>
      </c>
      <c r="JR19" s="290">
        <f t="shared" si="204"/>
        <v>0</v>
      </c>
      <c r="JS19" s="290">
        <f t="shared" si="205"/>
        <v>0</v>
      </c>
      <c r="JT19" s="290">
        <f t="shared" si="206"/>
        <v>0</v>
      </c>
      <c r="JU19" s="291">
        <f t="shared" si="207"/>
        <v>0</v>
      </c>
      <c r="JV19" s="291">
        <f t="shared" si="208"/>
        <v>0</v>
      </c>
      <c r="JW19" s="291">
        <f t="shared" si="209"/>
        <v>0</v>
      </c>
      <c r="JX19" s="292">
        <f t="shared" si="210"/>
        <v>0</v>
      </c>
      <c r="JY19" s="999">
        <v>6</v>
      </c>
      <c r="JZ19" s="286">
        <f t="shared" si="307"/>
        <v>44171</v>
      </c>
      <c r="KA19" s="287">
        <f t="shared" si="31"/>
        <v>44171</v>
      </c>
      <c r="KB19" s="288">
        <f>'दैनिक माहिती'!H266</f>
        <v>0</v>
      </c>
      <c r="KC19" s="289">
        <f>'दैनिक माहिती'!E266</f>
        <v>0</v>
      </c>
      <c r="KD19" s="289">
        <f>'दैनिक माहिती'!F266</f>
        <v>0</v>
      </c>
      <c r="KE19" s="289">
        <f>'दैनिक माहिती'!G266</f>
        <v>0</v>
      </c>
      <c r="KF19" s="290">
        <f t="shared" si="211"/>
        <v>0</v>
      </c>
      <c r="KG19" s="290">
        <f t="shared" si="212"/>
        <v>0</v>
      </c>
      <c r="KH19" s="290">
        <f t="shared" si="213"/>
        <v>0</v>
      </c>
      <c r="KI19" s="290">
        <f t="shared" si="214"/>
        <v>0</v>
      </c>
      <c r="KJ19" s="290">
        <f t="shared" si="215"/>
        <v>0</v>
      </c>
      <c r="KK19" s="290">
        <f t="shared" si="216"/>
        <v>0</v>
      </c>
      <c r="KL19" s="290">
        <f t="shared" si="217"/>
        <v>0</v>
      </c>
      <c r="KM19" s="290">
        <f t="shared" si="218"/>
        <v>0</v>
      </c>
      <c r="KN19" s="290">
        <f t="shared" si="219"/>
        <v>0</v>
      </c>
      <c r="KO19" s="290">
        <f t="shared" si="220"/>
        <v>0</v>
      </c>
      <c r="KP19" s="290">
        <f t="shared" si="221"/>
        <v>0</v>
      </c>
      <c r="KQ19" s="290">
        <f t="shared" si="222"/>
        <v>0</v>
      </c>
      <c r="KR19" s="290">
        <f t="shared" si="223"/>
        <v>0</v>
      </c>
      <c r="KS19" s="290">
        <f t="shared" si="224"/>
        <v>0</v>
      </c>
      <c r="KT19" s="290">
        <f t="shared" si="225"/>
        <v>0</v>
      </c>
      <c r="KU19" s="290">
        <f t="shared" si="226"/>
        <v>0</v>
      </c>
      <c r="KV19" s="290">
        <f t="shared" si="227"/>
        <v>0</v>
      </c>
      <c r="KW19" s="290">
        <f t="shared" si="228"/>
        <v>0</v>
      </c>
      <c r="KX19" s="291">
        <f t="shared" si="229"/>
        <v>0</v>
      </c>
      <c r="KY19" s="291">
        <f t="shared" si="230"/>
        <v>0</v>
      </c>
      <c r="KZ19" s="291">
        <f t="shared" si="231"/>
        <v>0</v>
      </c>
      <c r="LA19" s="292">
        <f t="shared" si="232"/>
        <v>0</v>
      </c>
      <c r="LB19" s="999">
        <v>6</v>
      </c>
      <c r="LC19" s="286">
        <f t="shared" si="308"/>
        <v>44202</v>
      </c>
      <c r="LD19" s="287">
        <f t="shared" si="32"/>
        <v>44202</v>
      </c>
      <c r="LE19" s="288">
        <f>'दैनिक माहिती'!H298</f>
        <v>0</v>
      </c>
      <c r="LF19" s="289">
        <f>'दैनिक माहिती'!E298</f>
        <v>0</v>
      </c>
      <c r="LG19" s="289">
        <f>'दैनिक माहिती'!F298</f>
        <v>0</v>
      </c>
      <c r="LH19" s="289">
        <f>'दैनिक माहिती'!G298</f>
        <v>0</v>
      </c>
      <c r="LI19" s="290">
        <f t="shared" si="233"/>
        <v>0</v>
      </c>
      <c r="LJ19" s="290">
        <f t="shared" si="234"/>
        <v>0</v>
      </c>
      <c r="LK19" s="290">
        <f t="shared" si="235"/>
        <v>0</v>
      </c>
      <c r="LL19" s="290">
        <f t="shared" si="236"/>
        <v>0</v>
      </c>
      <c r="LM19" s="290">
        <f t="shared" si="237"/>
        <v>0</v>
      </c>
      <c r="LN19" s="290">
        <f t="shared" si="238"/>
        <v>0</v>
      </c>
      <c r="LO19" s="290">
        <f t="shared" si="239"/>
        <v>0</v>
      </c>
      <c r="LP19" s="290">
        <f t="shared" si="240"/>
        <v>0</v>
      </c>
      <c r="LQ19" s="290">
        <f t="shared" si="241"/>
        <v>0</v>
      </c>
      <c r="LR19" s="290">
        <f t="shared" si="242"/>
        <v>0</v>
      </c>
      <c r="LS19" s="290">
        <f t="shared" si="243"/>
        <v>0</v>
      </c>
      <c r="LT19" s="290">
        <f t="shared" si="244"/>
        <v>0</v>
      </c>
      <c r="LU19" s="290">
        <f t="shared" si="245"/>
        <v>0</v>
      </c>
      <c r="LV19" s="290">
        <f t="shared" si="246"/>
        <v>0</v>
      </c>
      <c r="LW19" s="290">
        <f t="shared" si="247"/>
        <v>0</v>
      </c>
      <c r="LX19" s="290">
        <f t="shared" si="248"/>
        <v>0</v>
      </c>
      <c r="LY19" s="290">
        <f t="shared" si="249"/>
        <v>0</v>
      </c>
      <c r="LZ19" s="290">
        <f t="shared" si="250"/>
        <v>0</v>
      </c>
      <c r="MA19" s="291">
        <f t="shared" si="251"/>
        <v>0</v>
      </c>
      <c r="MB19" s="291">
        <f t="shared" si="252"/>
        <v>0</v>
      </c>
      <c r="MC19" s="291">
        <f t="shared" si="253"/>
        <v>0</v>
      </c>
      <c r="MD19" s="292">
        <f t="shared" si="254"/>
        <v>0</v>
      </c>
      <c r="ME19" s="999">
        <v>6</v>
      </c>
      <c r="MF19" s="286">
        <f t="shared" si="309"/>
        <v>44233</v>
      </c>
      <c r="MG19" s="287">
        <f t="shared" si="33"/>
        <v>44233</v>
      </c>
      <c r="MH19" s="288">
        <f>'दैनिक माहिती'!H330</f>
        <v>0</v>
      </c>
      <c r="MI19" s="289">
        <f>'दैनिक माहिती'!E330</f>
        <v>0</v>
      </c>
      <c r="MJ19" s="289">
        <f>'दैनिक माहिती'!F330</f>
        <v>0</v>
      </c>
      <c r="MK19" s="289">
        <f>'दैनिक माहिती'!G330</f>
        <v>0</v>
      </c>
      <c r="ML19" s="290">
        <f t="shared" si="255"/>
        <v>0</v>
      </c>
      <c r="MM19" s="290">
        <f t="shared" si="256"/>
        <v>0</v>
      </c>
      <c r="MN19" s="290">
        <f t="shared" si="257"/>
        <v>0</v>
      </c>
      <c r="MO19" s="290">
        <f t="shared" si="258"/>
        <v>0</v>
      </c>
      <c r="MP19" s="290">
        <f t="shared" si="259"/>
        <v>0</v>
      </c>
      <c r="MQ19" s="290">
        <f t="shared" si="260"/>
        <v>0</v>
      </c>
      <c r="MR19" s="290">
        <f t="shared" si="261"/>
        <v>0</v>
      </c>
      <c r="MS19" s="290">
        <f t="shared" si="262"/>
        <v>0</v>
      </c>
      <c r="MT19" s="290">
        <f t="shared" si="263"/>
        <v>0</v>
      </c>
      <c r="MU19" s="290">
        <f t="shared" si="264"/>
        <v>0</v>
      </c>
      <c r="MV19" s="290">
        <f t="shared" si="265"/>
        <v>0</v>
      </c>
      <c r="MW19" s="290">
        <f t="shared" si="266"/>
        <v>0</v>
      </c>
      <c r="MX19" s="290">
        <f t="shared" si="267"/>
        <v>0</v>
      </c>
      <c r="MY19" s="290">
        <f t="shared" si="268"/>
        <v>0</v>
      </c>
      <c r="MZ19" s="290">
        <f t="shared" si="269"/>
        <v>0</v>
      </c>
      <c r="NA19" s="290">
        <f t="shared" si="270"/>
        <v>0</v>
      </c>
      <c r="NB19" s="290">
        <f t="shared" si="271"/>
        <v>0</v>
      </c>
      <c r="NC19" s="290">
        <f t="shared" si="272"/>
        <v>0</v>
      </c>
      <c r="ND19" s="291">
        <f t="shared" si="273"/>
        <v>0</v>
      </c>
      <c r="NE19" s="291">
        <f t="shared" si="274"/>
        <v>0</v>
      </c>
      <c r="NF19" s="291">
        <f t="shared" si="275"/>
        <v>0</v>
      </c>
      <c r="NG19" s="292">
        <f t="shared" si="276"/>
        <v>0</v>
      </c>
      <c r="NH19" s="999">
        <v>6</v>
      </c>
      <c r="NI19" s="286">
        <f t="shared" si="310"/>
        <v>44261</v>
      </c>
      <c r="NJ19" s="287">
        <f t="shared" si="34"/>
        <v>44261</v>
      </c>
      <c r="NK19" s="288">
        <f>'दैनिक माहिती'!H360</f>
        <v>0</v>
      </c>
      <c r="NL19" s="289">
        <f>'दैनिक माहिती'!E360</f>
        <v>0</v>
      </c>
      <c r="NM19" s="289">
        <f>'दैनिक माहिती'!F360</f>
        <v>0</v>
      </c>
      <c r="NN19" s="289">
        <f>'दैनिक माहिती'!G360</f>
        <v>0</v>
      </c>
      <c r="NO19" s="290">
        <f t="shared" si="277"/>
        <v>0</v>
      </c>
      <c r="NP19" s="290">
        <f t="shared" si="278"/>
        <v>0</v>
      </c>
      <c r="NQ19" s="290">
        <f t="shared" si="279"/>
        <v>0</v>
      </c>
      <c r="NR19" s="290">
        <f t="shared" si="280"/>
        <v>0</v>
      </c>
      <c r="NS19" s="290">
        <f t="shared" si="281"/>
        <v>0</v>
      </c>
      <c r="NT19" s="290">
        <f t="shared" si="282"/>
        <v>0</v>
      </c>
      <c r="NU19" s="290">
        <f t="shared" si="283"/>
        <v>0</v>
      </c>
      <c r="NV19" s="290">
        <f t="shared" si="284"/>
        <v>0</v>
      </c>
      <c r="NW19" s="290">
        <f t="shared" si="285"/>
        <v>0</v>
      </c>
      <c r="NX19" s="290">
        <f t="shared" si="286"/>
        <v>0</v>
      </c>
      <c r="NY19" s="290">
        <f t="shared" si="287"/>
        <v>0</v>
      </c>
      <c r="NZ19" s="290">
        <f t="shared" si="288"/>
        <v>0</v>
      </c>
      <c r="OA19" s="290">
        <f t="shared" si="289"/>
        <v>0</v>
      </c>
      <c r="OB19" s="290">
        <f t="shared" si="290"/>
        <v>0</v>
      </c>
      <c r="OC19" s="290">
        <f t="shared" si="291"/>
        <v>0</v>
      </c>
      <c r="OD19" s="290">
        <f t="shared" si="292"/>
        <v>0</v>
      </c>
      <c r="OE19" s="290">
        <f t="shared" si="293"/>
        <v>0</v>
      </c>
      <c r="OF19" s="290">
        <f t="shared" si="294"/>
        <v>0</v>
      </c>
      <c r="OG19" s="291">
        <f t="shared" si="295"/>
        <v>0</v>
      </c>
      <c r="OH19" s="291">
        <f t="shared" si="296"/>
        <v>0</v>
      </c>
      <c r="OI19" s="291">
        <f t="shared" si="297"/>
        <v>0</v>
      </c>
      <c r="OJ19" s="292">
        <f t="shared" si="298"/>
        <v>0</v>
      </c>
    </row>
    <row r="20" spans="2:400" ht="35.25" customHeight="1" x14ac:dyDescent="0.3">
      <c r="B20" s="2036"/>
      <c r="C20" s="2033"/>
      <c r="D20" s="2033"/>
      <c r="E20" s="2033"/>
      <c r="F20" s="2033"/>
      <c r="G20" s="2033"/>
      <c r="H20" s="1021" t="s">
        <v>212</v>
      </c>
      <c r="I20" s="307">
        <f>HOME!F2</f>
        <v>2023</v>
      </c>
      <c r="J20" s="1022" t="s">
        <v>295</v>
      </c>
      <c r="K20" s="2052"/>
      <c r="L20" s="2033"/>
      <c r="M20" s="2033"/>
      <c r="N20" s="2033"/>
      <c r="O20" s="2034"/>
      <c r="BA20" s="999">
        <v>7</v>
      </c>
      <c r="BB20" s="286">
        <f t="shared" si="299"/>
        <v>43928</v>
      </c>
      <c r="BC20" s="293">
        <f t="shared" si="23"/>
        <v>43928</v>
      </c>
      <c r="BD20" s="288" t="str">
        <f>'दैनिक माहिती'!H15</f>
        <v>हरभरा</v>
      </c>
      <c r="BE20" s="289">
        <f>'दैनिक माहिती'!E15</f>
        <v>22</v>
      </c>
      <c r="BF20" s="289">
        <f>'दैनिक माहिती'!F15</f>
        <v>22</v>
      </c>
      <c r="BG20" s="289">
        <f>'दैनिक माहिती'!G15</f>
        <v>22</v>
      </c>
      <c r="BH20" s="290">
        <f t="shared" si="35"/>
        <v>2.2000000000000002</v>
      </c>
      <c r="BI20" s="290">
        <f t="shared" si="36"/>
        <v>0</v>
      </c>
      <c r="BJ20" s="290">
        <f t="shared" si="37"/>
        <v>0</v>
      </c>
      <c r="BK20" s="290">
        <f t="shared" si="38"/>
        <v>0</v>
      </c>
      <c r="BL20" s="290">
        <f t="shared" si="39"/>
        <v>0</v>
      </c>
      <c r="BM20" s="290">
        <f t="shared" si="40"/>
        <v>0</v>
      </c>
      <c r="BN20" s="290">
        <f t="shared" si="41"/>
        <v>0</v>
      </c>
      <c r="BO20" s="290">
        <f t="shared" si="42"/>
        <v>0.44</v>
      </c>
      <c r="BP20" s="290">
        <f t="shared" si="43"/>
        <v>0</v>
      </c>
      <c r="BQ20" s="290">
        <f t="shared" si="44"/>
        <v>6.5999999999999991E-3</v>
      </c>
      <c r="BR20" s="290">
        <f t="shared" si="45"/>
        <v>1.0999999999999999E-2</v>
      </c>
      <c r="BS20" s="290">
        <f t="shared" si="46"/>
        <v>6.5999999999999991E-3</v>
      </c>
      <c r="BT20" s="290">
        <f t="shared" si="47"/>
        <v>0</v>
      </c>
      <c r="BU20" s="290">
        <f t="shared" si="48"/>
        <v>0</v>
      </c>
      <c r="BV20" s="290">
        <f t="shared" si="49"/>
        <v>0.11</v>
      </c>
      <c r="BW20" s="290">
        <f t="shared" si="50"/>
        <v>4.3999999999999997E-2</v>
      </c>
      <c r="BX20" s="290">
        <f t="shared" si="51"/>
        <v>2.6399999999999996E-2</v>
      </c>
      <c r="BY20" s="290">
        <f t="shared" si="52"/>
        <v>0</v>
      </c>
      <c r="BZ20" s="291">
        <f t="shared" si="53"/>
        <v>15.84</v>
      </c>
      <c r="CA20" s="291">
        <f t="shared" si="54"/>
        <v>14.08</v>
      </c>
      <c r="CB20" s="291">
        <f t="shared" si="55"/>
        <v>11.66</v>
      </c>
      <c r="CC20" s="292">
        <f t="shared" si="56"/>
        <v>58.96</v>
      </c>
      <c r="CD20" s="999">
        <v>7</v>
      </c>
      <c r="CE20" s="286">
        <f t="shared" si="300"/>
        <v>43958</v>
      </c>
      <c r="CF20" s="293">
        <f t="shared" si="24"/>
        <v>43958</v>
      </c>
      <c r="CG20" s="288">
        <f>'दैनिक माहिती'!H46</f>
        <v>0</v>
      </c>
      <c r="CH20" s="289">
        <f>'दैनिक माहिती'!E46</f>
        <v>0</v>
      </c>
      <c r="CI20" s="289">
        <f>'दैनिक माहिती'!F46</f>
        <v>0</v>
      </c>
      <c r="CJ20" s="289">
        <f>'दैनिक माहिती'!G46</f>
        <v>0</v>
      </c>
      <c r="CK20" s="290">
        <f t="shared" si="57"/>
        <v>0</v>
      </c>
      <c r="CL20" s="290">
        <f t="shared" si="58"/>
        <v>0</v>
      </c>
      <c r="CM20" s="290">
        <f t="shared" si="59"/>
        <v>0</v>
      </c>
      <c r="CN20" s="290">
        <f t="shared" si="60"/>
        <v>0</v>
      </c>
      <c r="CO20" s="290">
        <f t="shared" si="61"/>
        <v>0</v>
      </c>
      <c r="CP20" s="290">
        <f t="shared" si="62"/>
        <v>0</v>
      </c>
      <c r="CQ20" s="290">
        <f t="shared" si="63"/>
        <v>0</v>
      </c>
      <c r="CR20" s="290">
        <f t="shared" si="64"/>
        <v>0</v>
      </c>
      <c r="CS20" s="290">
        <f t="shared" si="65"/>
        <v>0</v>
      </c>
      <c r="CT20" s="290">
        <f t="shared" si="66"/>
        <v>0</v>
      </c>
      <c r="CU20" s="290">
        <f t="shared" si="67"/>
        <v>0</v>
      </c>
      <c r="CV20" s="290">
        <f t="shared" si="68"/>
        <v>0</v>
      </c>
      <c r="CW20" s="290">
        <f t="shared" si="69"/>
        <v>0</v>
      </c>
      <c r="CX20" s="290">
        <f t="shared" si="70"/>
        <v>0</v>
      </c>
      <c r="CY20" s="290">
        <f t="shared" si="71"/>
        <v>0</v>
      </c>
      <c r="CZ20" s="290">
        <f t="shared" si="72"/>
        <v>0</v>
      </c>
      <c r="DA20" s="290">
        <f t="shared" si="73"/>
        <v>0</v>
      </c>
      <c r="DB20" s="290">
        <f t="shared" si="74"/>
        <v>0</v>
      </c>
      <c r="DC20" s="291">
        <f t="shared" si="75"/>
        <v>0</v>
      </c>
      <c r="DD20" s="291">
        <f t="shared" si="76"/>
        <v>0</v>
      </c>
      <c r="DE20" s="291">
        <f t="shared" si="77"/>
        <v>0</v>
      </c>
      <c r="DF20" s="292">
        <f t="shared" si="78"/>
        <v>0</v>
      </c>
      <c r="DG20" s="999">
        <v>7</v>
      </c>
      <c r="DH20" s="286">
        <f t="shared" si="301"/>
        <v>43989</v>
      </c>
      <c r="DI20" s="293">
        <f t="shared" si="25"/>
        <v>43989</v>
      </c>
      <c r="DJ20" s="288">
        <f>'दैनिक माहिती'!H78</f>
        <v>0</v>
      </c>
      <c r="DK20" s="289">
        <f>'दैनिक माहिती'!E78</f>
        <v>0</v>
      </c>
      <c r="DL20" s="289">
        <f>'दैनिक माहिती'!F78</f>
        <v>0</v>
      </c>
      <c r="DM20" s="289">
        <f>'दैनिक माहिती'!G78</f>
        <v>0</v>
      </c>
      <c r="DN20" s="290">
        <f t="shared" si="79"/>
        <v>0</v>
      </c>
      <c r="DO20" s="290">
        <f t="shared" si="80"/>
        <v>0</v>
      </c>
      <c r="DP20" s="290">
        <f t="shared" si="81"/>
        <v>0</v>
      </c>
      <c r="DQ20" s="290">
        <f t="shared" si="82"/>
        <v>0</v>
      </c>
      <c r="DR20" s="290">
        <f t="shared" si="83"/>
        <v>0</v>
      </c>
      <c r="DS20" s="290">
        <f t="shared" si="84"/>
        <v>0</v>
      </c>
      <c r="DT20" s="290">
        <f t="shared" si="85"/>
        <v>0</v>
      </c>
      <c r="DU20" s="290">
        <f t="shared" si="86"/>
        <v>0</v>
      </c>
      <c r="DV20" s="290">
        <f t="shared" si="87"/>
        <v>0</v>
      </c>
      <c r="DW20" s="290">
        <f t="shared" si="88"/>
        <v>0</v>
      </c>
      <c r="DX20" s="290">
        <f t="shared" si="89"/>
        <v>0</v>
      </c>
      <c r="DY20" s="290">
        <f t="shared" si="90"/>
        <v>0</v>
      </c>
      <c r="DZ20" s="290">
        <f t="shared" si="91"/>
        <v>0</v>
      </c>
      <c r="EA20" s="290">
        <f t="shared" si="92"/>
        <v>0</v>
      </c>
      <c r="EB20" s="290">
        <f t="shared" si="93"/>
        <v>0</v>
      </c>
      <c r="EC20" s="290">
        <f t="shared" si="94"/>
        <v>0</v>
      </c>
      <c r="ED20" s="290">
        <f t="shared" si="95"/>
        <v>0</v>
      </c>
      <c r="EE20" s="290">
        <f t="shared" si="96"/>
        <v>0</v>
      </c>
      <c r="EF20" s="291">
        <f t="shared" si="97"/>
        <v>0</v>
      </c>
      <c r="EG20" s="291">
        <f t="shared" si="98"/>
        <v>0</v>
      </c>
      <c r="EH20" s="291">
        <f t="shared" si="99"/>
        <v>0</v>
      </c>
      <c r="EI20" s="292">
        <f t="shared" si="100"/>
        <v>0</v>
      </c>
      <c r="EJ20" s="999">
        <v>7</v>
      </c>
      <c r="EK20" s="286">
        <f t="shared" si="302"/>
        <v>44019</v>
      </c>
      <c r="EL20" s="293">
        <f t="shared" si="26"/>
        <v>44019</v>
      </c>
      <c r="EM20" s="288" t="str">
        <f>'दैनिक माहिती'!H109</f>
        <v>हरभरा</v>
      </c>
      <c r="EN20" s="289">
        <f>'दैनिक माहिती'!E109</f>
        <v>17</v>
      </c>
      <c r="EO20" s="289">
        <f>'दैनिक माहिती'!F109</f>
        <v>17</v>
      </c>
      <c r="EP20" s="289">
        <f>'दैनिक माहिती'!G109</f>
        <v>17</v>
      </c>
      <c r="EQ20" s="290">
        <f t="shared" si="101"/>
        <v>1.7000000000000002</v>
      </c>
      <c r="ER20" s="290">
        <f t="shared" si="102"/>
        <v>0</v>
      </c>
      <c r="ES20" s="290">
        <f t="shared" si="103"/>
        <v>0</v>
      </c>
      <c r="ET20" s="290">
        <f t="shared" si="104"/>
        <v>0</v>
      </c>
      <c r="EU20" s="290">
        <f t="shared" si="105"/>
        <v>0</v>
      </c>
      <c r="EV20" s="290">
        <f t="shared" si="106"/>
        <v>0</v>
      </c>
      <c r="EW20" s="290">
        <f t="shared" si="107"/>
        <v>0</v>
      </c>
      <c r="EX20" s="290">
        <f t="shared" si="108"/>
        <v>0.34</v>
      </c>
      <c r="EY20" s="290">
        <f t="shared" si="109"/>
        <v>0</v>
      </c>
      <c r="EZ20" s="290">
        <f t="shared" si="110"/>
        <v>5.0999999999999995E-3</v>
      </c>
      <c r="FA20" s="290">
        <f t="shared" si="111"/>
        <v>8.5000000000000006E-3</v>
      </c>
      <c r="FB20" s="290">
        <f t="shared" si="112"/>
        <v>5.0999999999999995E-3</v>
      </c>
      <c r="FC20" s="290">
        <f t="shared" si="113"/>
        <v>0</v>
      </c>
      <c r="FD20" s="290">
        <f t="shared" si="114"/>
        <v>0</v>
      </c>
      <c r="FE20" s="290">
        <f t="shared" si="115"/>
        <v>8.5000000000000006E-2</v>
      </c>
      <c r="FF20" s="290">
        <f t="shared" si="116"/>
        <v>3.4000000000000002E-2</v>
      </c>
      <c r="FG20" s="290">
        <f t="shared" si="117"/>
        <v>2.0399999999999998E-2</v>
      </c>
      <c r="FH20" s="290">
        <f t="shared" si="118"/>
        <v>0</v>
      </c>
      <c r="FI20" s="291">
        <f t="shared" si="119"/>
        <v>12.24</v>
      </c>
      <c r="FJ20" s="291">
        <f t="shared" si="120"/>
        <v>10.88</v>
      </c>
      <c r="FK20" s="291">
        <f t="shared" si="121"/>
        <v>9.01</v>
      </c>
      <c r="FL20" s="292">
        <f t="shared" si="122"/>
        <v>45.56</v>
      </c>
      <c r="FM20" s="999">
        <v>7</v>
      </c>
      <c r="FN20" s="286">
        <f t="shared" si="303"/>
        <v>44050</v>
      </c>
      <c r="FO20" s="293">
        <f t="shared" si="27"/>
        <v>44050</v>
      </c>
      <c r="FP20" s="288">
        <f>'दैनिक माहिती'!H141</f>
        <v>0</v>
      </c>
      <c r="FQ20" s="289">
        <f>'दैनिक माहिती'!E141</f>
        <v>0</v>
      </c>
      <c r="FR20" s="289">
        <f>'दैनिक माहिती'!F141</f>
        <v>0</v>
      </c>
      <c r="FS20" s="289">
        <f>'दैनिक माहिती'!G141</f>
        <v>0</v>
      </c>
      <c r="FT20" s="290">
        <f t="shared" si="123"/>
        <v>0</v>
      </c>
      <c r="FU20" s="290">
        <f t="shared" si="124"/>
        <v>0</v>
      </c>
      <c r="FV20" s="290">
        <f t="shared" si="125"/>
        <v>0</v>
      </c>
      <c r="FW20" s="290">
        <f t="shared" si="126"/>
        <v>0</v>
      </c>
      <c r="FX20" s="290">
        <f t="shared" si="127"/>
        <v>0</v>
      </c>
      <c r="FY20" s="290">
        <f t="shared" si="128"/>
        <v>0</v>
      </c>
      <c r="FZ20" s="290">
        <f t="shared" si="129"/>
        <v>0</v>
      </c>
      <c r="GA20" s="290">
        <f t="shared" si="130"/>
        <v>0</v>
      </c>
      <c r="GB20" s="290">
        <f t="shared" si="131"/>
        <v>0</v>
      </c>
      <c r="GC20" s="290">
        <f t="shared" si="132"/>
        <v>0</v>
      </c>
      <c r="GD20" s="290">
        <f t="shared" si="133"/>
        <v>0</v>
      </c>
      <c r="GE20" s="290">
        <f t="shared" si="134"/>
        <v>0</v>
      </c>
      <c r="GF20" s="290">
        <f t="shared" si="135"/>
        <v>0</v>
      </c>
      <c r="GG20" s="290">
        <f t="shared" si="136"/>
        <v>0</v>
      </c>
      <c r="GH20" s="290">
        <f t="shared" si="137"/>
        <v>0</v>
      </c>
      <c r="GI20" s="290">
        <f t="shared" si="138"/>
        <v>0</v>
      </c>
      <c r="GJ20" s="290">
        <f t="shared" si="139"/>
        <v>0</v>
      </c>
      <c r="GK20" s="290">
        <f t="shared" si="140"/>
        <v>0</v>
      </c>
      <c r="GL20" s="291">
        <f t="shared" si="141"/>
        <v>0</v>
      </c>
      <c r="GM20" s="291">
        <f t="shared" si="142"/>
        <v>0</v>
      </c>
      <c r="GN20" s="291">
        <f t="shared" si="143"/>
        <v>0</v>
      </c>
      <c r="GO20" s="292">
        <f t="shared" si="144"/>
        <v>0</v>
      </c>
      <c r="GP20" s="999">
        <v>7</v>
      </c>
      <c r="GQ20" s="286">
        <f t="shared" si="304"/>
        <v>44081</v>
      </c>
      <c r="GR20" s="293">
        <f t="shared" si="28"/>
        <v>44081</v>
      </c>
      <c r="GS20" s="288" t="str">
        <f>'दैनिक माहिती'!H173</f>
        <v>वाटाणा</v>
      </c>
      <c r="GT20" s="289">
        <f>'दैनिक माहिती'!E173</f>
        <v>15</v>
      </c>
      <c r="GU20" s="289">
        <f>'दैनिक माहिती'!F173</f>
        <v>15</v>
      </c>
      <c r="GV20" s="289">
        <f>'दैनिक माहिती'!G173</f>
        <v>15</v>
      </c>
      <c r="GW20" s="290">
        <f t="shared" si="145"/>
        <v>1.5</v>
      </c>
      <c r="GX20" s="290">
        <f t="shared" si="146"/>
        <v>0</v>
      </c>
      <c r="GY20" s="290">
        <f t="shared" si="147"/>
        <v>0</v>
      </c>
      <c r="GZ20" s="290">
        <f t="shared" si="148"/>
        <v>0</v>
      </c>
      <c r="HA20" s="290">
        <f t="shared" si="149"/>
        <v>0</v>
      </c>
      <c r="HB20" s="290">
        <f t="shared" si="150"/>
        <v>0</v>
      </c>
      <c r="HC20" s="290">
        <f t="shared" si="151"/>
        <v>0</v>
      </c>
      <c r="HD20" s="290">
        <f t="shared" si="152"/>
        <v>0</v>
      </c>
      <c r="HE20" s="290">
        <f t="shared" si="153"/>
        <v>0.3</v>
      </c>
      <c r="HF20" s="290">
        <f t="shared" si="154"/>
        <v>4.4999999999999997E-3</v>
      </c>
      <c r="HG20" s="290">
        <f t="shared" si="155"/>
        <v>7.4999999999999997E-3</v>
      </c>
      <c r="HH20" s="290">
        <f t="shared" si="156"/>
        <v>4.4999999999999997E-3</v>
      </c>
      <c r="HI20" s="290">
        <f t="shared" si="157"/>
        <v>0</v>
      </c>
      <c r="HJ20" s="290">
        <f t="shared" si="158"/>
        <v>0</v>
      </c>
      <c r="HK20" s="290">
        <f t="shared" si="159"/>
        <v>7.4999999999999997E-2</v>
      </c>
      <c r="HL20" s="290">
        <f t="shared" si="160"/>
        <v>0.03</v>
      </c>
      <c r="HM20" s="290">
        <f t="shared" si="161"/>
        <v>1.7999999999999999E-2</v>
      </c>
      <c r="HN20" s="290">
        <f t="shared" si="162"/>
        <v>0</v>
      </c>
      <c r="HO20" s="291">
        <f t="shared" si="163"/>
        <v>10.799999999999999</v>
      </c>
      <c r="HP20" s="291">
        <f t="shared" si="164"/>
        <v>9.6</v>
      </c>
      <c r="HQ20" s="291">
        <f t="shared" si="165"/>
        <v>7.95</v>
      </c>
      <c r="HR20" s="292">
        <f t="shared" si="166"/>
        <v>40.200000000000003</v>
      </c>
      <c r="HS20" s="999">
        <v>7</v>
      </c>
      <c r="HT20" s="286">
        <f t="shared" si="305"/>
        <v>44111</v>
      </c>
      <c r="HU20" s="293">
        <f t="shared" si="29"/>
        <v>44111</v>
      </c>
      <c r="HV20" s="288" t="str">
        <f>'दैनिक माहिती'!H204</f>
        <v>वाटाणा</v>
      </c>
      <c r="HW20" s="289">
        <f>'दैनिक माहिती'!E204</f>
        <v>22</v>
      </c>
      <c r="HX20" s="289">
        <f>'दैनिक माहिती'!F204</f>
        <v>22</v>
      </c>
      <c r="HY20" s="289">
        <f>'दैनिक माहिती'!G204</f>
        <v>22</v>
      </c>
      <c r="HZ20" s="290">
        <f t="shared" si="167"/>
        <v>2.2000000000000002</v>
      </c>
      <c r="IA20" s="290">
        <f t="shared" si="168"/>
        <v>0</v>
      </c>
      <c r="IB20" s="290">
        <f t="shared" si="169"/>
        <v>0</v>
      </c>
      <c r="IC20" s="290">
        <f t="shared" si="170"/>
        <v>0</v>
      </c>
      <c r="ID20" s="290">
        <f t="shared" si="171"/>
        <v>0</v>
      </c>
      <c r="IE20" s="290">
        <f t="shared" si="172"/>
        <v>0</v>
      </c>
      <c r="IF20" s="290">
        <f t="shared" si="173"/>
        <v>0</v>
      </c>
      <c r="IG20" s="290">
        <f t="shared" si="174"/>
        <v>0</v>
      </c>
      <c r="IH20" s="290">
        <f t="shared" si="175"/>
        <v>0.44</v>
      </c>
      <c r="II20" s="290">
        <f t="shared" si="176"/>
        <v>6.5999999999999991E-3</v>
      </c>
      <c r="IJ20" s="290">
        <f t="shared" si="177"/>
        <v>1.0999999999999999E-2</v>
      </c>
      <c r="IK20" s="290">
        <f t="shared" si="178"/>
        <v>6.5999999999999991E-3</v>
      </c>
      <c r="IL20" s="290">
        <f t="shared" si="179"/>
        <v>0</v>
      </c>
      <c r="IM20" s="290">
        <f t="shared" si="180"/>
        <v>0</v>
      </c>
      <c r="IN20" s="290">
        <f t="shared" si="181"/>
        <v>0.11</v>
      </c>
      <c r="IO20" s="290">
        <f t="shared" si="182"/>
        <v>4.3999999999999997E-2</v>
      </c>
      <c r="IP20" s="290">
        <f t="shared" si="183"/>
        <v>2.6399999999999996E-2</v>
      </c>
      <c r="IQ20" s="290">
        <f t="shared" si="184"/>
        <v>0</v>
      </c>
      <c r="IR20" s="291">
        <f t="shared" si="185"/>
        <v>15.62</v>
      </c>
      <c r="IS20" s="291">
        <f t="shared" si="186"/>
        <v>17.380000000000003</v>
      </c>
      <c r="IT20" s="291">
        <f t="shared" si="187"/>
        <v>12.76</v>
      </c>
      <c r="IU20" s="292">
        <f t="shared" si="188"/>
        <v>63.14</v>
      </c>
      <c r="IV20" s="999">
        <v>7</v>
      </c>
      <c r="IW20" s="286">
        <f t="shared" si="306"/>
        <v>44142</v>
      </c>
      <c r="IX20" s="293">
        <f t="shared" si="30"/>
        <v>44142</v>
      </c>
      <c r="IY20" s="288">
        <f>'दैनिक माहिती'!H236</f>
        <v>0</v>
      </c>
      <c r="IZ20" s="289">
        <f>'दैनिक माहिती'!E236</f>
        <v>0</v>
      </c>
      <c r="JA20" s="289">
        <f>'दैनिक माहिती'!F236</f>
        <v>0</v>
      </c>
      <c r="JB20" s="289">
        <f>'दैनिक माहिती'!G236</f>
        <v>0</v>
      </c>
      <c r="JC20" s="290">
        <f t="shared" si="189"/>
        <v>0</v>
      </c>
      <c r="JD20" s="290">
        <f t="shared" si="190"/>
        <v>0</v>
      </c>
      <c r="JE20" s="290">
        <f t="shared" si="191"/>
        <v>0</v>
      </c>
      <c r="JF20" s="290">
        <f t="shared" si="192"/>
        <v>0</v>
      </c>
      <c r="JG20" s="290">
        <f t="shared" si="193"/>
        <v>0</v>
      </c>
      <c r="JH20" s="290">
        <f t="shared" si="194"/>
        <v>0</v>
      </c>
      <c r="JI20" s="290">
        <f t="shared" si="195"/>
        <v>0</v>
      </c>
      <c r="JJ20" s="290">
        <f t="shared" si="196"/>
        <v>0</v>
      </c>
      <c r="JK20" s="290">
        <f t="shared" si="197"/>
        <v>0</v>
      </c>
      <c r="JL20" s="290">
        <f t="shared" si="198"/>
        <v>0</v>
      </c>
      <c r="JM20" s="290">
        <f t="shared" si="199"/>
        <v>0</v>
      </c>
      <c r="JN20" s="290">
        <f t="shared" si="200"/>
        <v>0</v>
      </c>
      <c r="JO20" s="290">
        <f t="shared" si="201"/>
        <v>0</v>
      </c>
      <c r="JP20" s="290">
        <f t="shared" si="202"/>
        <v>0</v>
      </c>
      <c r="JQ20" s="290">
        <f t="shared" si="203"/>
        <v>0</v>
      </c>
      <c r="JR20" s="290">
        <f t="shared" si="204"/>
        <v>0</v>
      </c>
      <c r="JS20" s="290">
        <f t="shared" si="205"/>
        <v>0</v>
      </c>
      <c r="JT20" s="290">
        <f t="shared" si="206"/>
        <v>0</v>
      </c>
      <c r="JU20" s="291">
        <f t="shared" si="207"/>
        <v>0</v>
      </c>
      <c r="JV20" s="291">
        <f t="shared" si="208"/>
        <v>0</v>
      </c>
      <c r="JW20" s="291">
        <f t="shared" si="209"/>
        <v>0</v>
      </c>
      <c r="JX20" s="292">
        <f t="shared" si="210"/>
        <v>0</v>
      </c>
      <c r="JY20" s="999">
        <v>7</v>
      </c>
      <c r="JZ20" s="286">
        <f t="shared" si="307"/>
        <v>44172</v>
      </c>
      <c r="KA20" s="293">
        <f t="shared" si="31"/>
        <v>44172</v>
      </c>
      <c r="KB20" s="288" t="str">
        <f>'दैनिक माहिती'!H267</f>
        <v>वाटाणा</v>
      </c>
      <c r="KC20" s="289">
        <f>'दैनिक माहिती'!E267</f>
        <v>21</v>
      </c>
      <c r="KD20" s="289">
        <f>'दैनिक माहिती'!F267</f>
        <v>21</v>
      </c>
      <c r="KE20" s="289">
        <f>'दैनिक माहिती'!G267</f>
        <v>21</v>
      </c>
      <c r="KF20" s="290">
        <f t="shared" si="211"/>
        <v>2.1</v>
      </c>
      <c r="KG20" s="290">
        <f t="shared" si="212"/>
        <v>0</v>
      </c>
      <c r="KH20" s="290">
        <f t="shared" si="213"/>
        <v>0</v>
      </c>
      <c r="KI20" s="290">
        <f t="shared" si="214"/>
        <v>0</v>
      </c>
      <c r="KJ20" s="290">
        <f t="shared" si="215"/>
        <v>0</v>
      </c>
      <c r="KK20" s="290">
        <f t="shared" si="216"/>
        <v>0</v>
      </c>
      <c r="KL20" s="290">
        <f t="shared" si="217"/>
        <v>0</v>
      </c>
      <c r="KM20" s="290">
        <f t="shared" si="218"/>
        <v>0</v>
      </c>
      <c r="KN20" s="290">
        <f t="shared" si="219"/>
        <v>0.42</v>
      </c>
      <c r="KO20" s="290">
        <f t="shared" si="220"/>
        <v>6.2999999999999992E-3</v>
      </c>
      <c r="KP20" s="290">
        <f t="shared" si="221"/>
        <v>1.0500000000000001E-2</v>
      </c>
      <c r="KQ20" s="290">
        <f t="shared" si="222"/>
        <v>6.2999999999999992E-3</v>
      </c>
      <c r="KR20" s="290">
        <f t="shared" si="223"/>
        <v>0</v>
      </c>
      <c r="KS20" s="290">
        <f t="shared" si="224"/>
        <v>0</v>
      </c>
      <c r="KT20" s="290">
        <f t="shared" si="225"/>
        <v>0.105</v>
      </c>
      <c r="KU20" s="290">
        <f t="shared" si="226"/>
        <v>4.2000000000000003E-2</v>
      </c>
      <c r="KV20" s="290">
        <f t="shared" si="227"/>
        <v>2.5199999999999997E-2</v>
      </c>
      <c r="KW20" s="290">
        <f t="shared" si="228"/>
        <v>0</v>
      </c>
      <c r="KX20" s="291">
        <f t="shared" si="229"/>
        <v>14.91</v>
      </c>
      <c r="KY20" s="291">
        <f t="shared" si="230"/>
        <v>16.59</v>
      </c>
      <c r="KZ20" s="291">
        <f t="shared" si="231"/>
        <v>12.18</v>
      </c>
      <c r="LA20" s="292">
        <f t="shared" si="232"/>
        <v>60.27</v>
      </c>
      <c r="LB20" s="999">
        <v>7</v>
      </c>
      <c r="LC20" s="286">
        <f t="shared" si="308"/>
        <v>44203</v>
      </c>
      <c r="LD20" s="293">
        <f t="shared" si="32"/>
        <v>44203</v>
      </c>
      <c r="LE20" s="288">
        <f>'दैनिक माहिती'!H299</f>
        <v>0</v>
      </c>
      <c r="LF20" s="289">
        <f>'दैनिक माहिती'!E299</f>
        <v>0</v>
      </c>
      <c r="LG20" s="289">
        <f>'दैनिक माहिती'!F299</f>
        <v>0</v>
      </c>
      <c r="LH20" s="289">
        <f>'दैनिक माहिती'!G299</f>
        <v>0</v>
      </c>
      <c r="LI20" s="290">
        <f t="shared" si="233"/>
        <v>0</v>
      </c>
      <c r="LJ20" s="290">
        <f t="shared" si="234"/>
        <v>0</v>
      </c>
      <c r="LK20" s="290">
        <f t="shared" si="235"/>
        <v>0</v>
      </c>
      <c r="LL20" s="290">
        <f t="shared" si="236"/>
        <v>0</v>
      </c>
      <c r="LM20" s="290">
        <f t="shared" si="237"/>
        <v>0</v>
      </c>
      <c r="LN20" s="290">
        <f t="shared" si="238"/>
        <v>0</v>
      </c>
      <c r="LO20" s="290">
        <f t="shared" si="239"/>
        <v>0</v>
      </c>
      <c r="LP20" s="290">
        <f t="shared" si="240"/>
        <v>0</v>
      </c>
      <c r="LQ20" s="290">
        <f t="shared" si="241"/>
        <v>0</v>
      </c>
      <c r="LR20" s="290">
        <f t="shared" si="242"/>
        <v>0</v>
      </c>
      <c r="LS20" s="290">
        <f t="shared" si="243"/>
        <v>0</v>
      </c>
      <c r="LT20" s="290">
        <f t="shared" si="244"/>
        <v>0</v>
      </c>
      <c r="LU20" s="290">
        <f t="shared" si="245"/>
        <v>0</v>
      </c>
      <c r="LV20" s="290">
        <f t="shared" si="246"/>
        <v>0</v>
      </c>
      <c r="LW20" s="290">
        <f t="shared" si="247"/>
        <v>0</v>
      </c>
      <c r="LX20" s="290">
        <f t="shared" si="248"/>
        <v>0</v>
      </c>
      <c r="LY20" s="290">
        <f t="shared" si="249"/>
        <v>0</v>
      </c>
      <c r="LZ20" s="290">
        <f t="shared" si="250"/>
        <v>0</v>
      </c>
      <c r="MA20" s="291">
        <f t="shared" si="251"/>
        <v>0</v>
      </c>
      <c r="MB20" s="291">
        <f t="shared" si="252"/>
        <v>0</v>
      </c>
      <c r="MC20" s="291">
        <f t="shared" si="253"/>
        <v>0</v>
      </c>
      <c r="MD20" s="292">
        <f t="shared" si="254"/>
        <v>0</v>
      </c>
      <c r="ME20" s="999">
        <v>7</v>
      </c>
      <c r="MF20" s="286">
        <f t="shared" si="309"/>
        <v>44234</v>
      </c>
      <c r="MG20" s="293">
        <f t="shared" si="33"/>
        <v>44234</v>
      </c>
      <c r="MH20" s="288">
        <f>'दैनिक माहिती'!H331</f>
        <v>0</v>
      </c>
      <c r="MI20" s="289">
        <f>'दैनिक माहिती'!E331</f>
        <v>0</v>
      </c>
      <c r="MJ20" s="289">
        <f>'दैनिक माहिती'!F331</f>
        <v>0</v>
      </c>
      <c r="MK20" s="289">
        <f>'दैनिक माहिती'!G331</f>
        <v>0</v>
      </c>
      <c r="ML20" s="290">
        <f t="shared" si="255"/>
        <v>0</v>
      </c>
      <c r="MM20" s="290">
        <f t="shared" si="256"/>
        <v>0</v>
      </c>
      <c r="MN20" s="290">
        <f t="shared" si="257"/>
        <v>0</v>
      </c>
      <c r="MO20" s="290">
        <f t="shared" si="258"/>
        <v>0</v>
      </c>
      <c r="MP20" s="290">
        <f t="shared" si="259"/>
        <v>0</v>
      </c>
      <c r="MQ20" s="290">
        <f t="shared" si="260"/>
        <v>0</v>
      </c>
      <c r="MR20" s="290">
        <f t="shared" si="261"/>
        <v>0</v>
      </c>
      <c r="MS20" s="290">
        <f t="shared" si="262"/>
        <v>0</v>
      </c>
      <c r="MT20" s="290">
        <f t="shared" si="263"/>
        <v>0</v>
      </c>
      <c r="MU20" s="290">
        <f t="shared" si="264"/>
        <v>0</v>
      </c>
      <c r="MV20" s="290">
        <f t="shared" si="265"/>
        <v>0</v>
      </c>
      <c r="MW20" s="290">
        <f t="shared" si="266"/>
        <v>0</v>
      </c>
      <c r="MX20" s="290">
        <f t="shared" si="267"/>
        <v>0</v>
      </c>
      <c r="MY20" s="290">
        <f t="shared" si="268"/>
        <v>0</v>
      </c>
      <c r="MZ20" s="290">
        <f t="shared" si="269"/>
        <v>0</v>
      </c>
      <c r="NA20" s="290">
        <f t="shared" si="270"/>
        <v>0</v>
      </c>
      <c r="NB20" s="290">
        <f t="shared" si="271"/>
        <v>0</v>
      </c>
      <c r="NC20" s="290">
        <f t="shared" si="272"/>
        <v>0</v>
      </c>
      <c r="ND20" s="291">
        <f t="shared" si="273"/>
        <v>0</v>
      </c>
      <c r="NE20" s="291">
        <f t="shared" si="274"/>
        <v>0</v>
      </c>
      <c r="NF20" s="291">
        <f t="shared" si="275"/>
        <v>0</v>
      </c>
      <c r="NG20" s="292">
        <f t="shared" si="276"/>
        <v>0</v>
      </c>
      <c r="NH20" s="999">
        <v>7</v>
      </c>
      <c r="NI20" s="286">
        <f t="shared" si="310"/>
        <v>44262</v>
      </c>
      <c r="NJ20" s="293">
        <f t="shared" si="34"/>
        <v>44262</v>
      </c>
      <c r="NK20" s="288">
        <f>'दैनिक माहिती'!H361</f>
        <v>0</v>
      </c>
      <c r="NL20" s="289">
        <f>'दैनिक माहिती'!E361</f>
        <v>0</v>
      </c>
      <c r="NM20" s="289">
        <f>'दैनिक माहिती'!F361</f>
        <v>0</v>
      </c>
      <c r="NN20" s="289">
        <f>'दैनिक माहिती'!G361</f>
        <v>0</v>
      </c>
      <c r="NO20" s="290">
        <f t="shared" si="277"/>
        <v>0</v>
      </c>
      <c r="NP20" s="290">
        <f t="shared" si="278"/>
        <v>0</v>
      </c>
      <c r="NQ20" s="290">
        <f t="shared" si="279"/>
        <v>0</v>
      </c>
      <c r="NR20" s="290">
        <f t="shared" si="280"/>
        <v>0</v>
      </c>
      <c r="NS20" s="290">
        <f t="shared" si="281"/>
        <v>0</v>
      </c>
      <c r="NT20" s="290">
        <f t="shared" si="282"/>
        <v>0</v>
      </c>
      <c r="NU20" s="290">
        <f t="shared" si="283"/>
        <v>0</v>
      </c>
      <c r="NV20" s="290">
        <f t="shared" si="284"/>
        <v>0</v>
      </c>
      <c r="NW20" s="290">
        <f t="shared" si="285"/>
        <v>0</v>
      </c>
      <c r="NX20" s="290">
        <f t="shared" si="286"/>
        <v>0</v>
      </c>
      <c r="NY20" s="290">
        <f t="shared" si="287"/>
        <v>0</v>
      </c>
      <c r="NZ20" s="290">
        <f t="shared" si="288"/>
        <v>0</v>
      </c>
      <c r="OA20" s="290">
        <f t="shared" si="289"/>
        <v>0</v>
      </c>
      <c r="OB20" s="290">
        <f t="shared" si="290"/>
        <v>0</v>
      </c>
      <c r="OC20" s="290">
        <f t="shared" si="291"/>
        <v>0</v>
      </c>
      <c r="OD20" s="290">
        <f t="shared" si="292"/>
        <v>0</v>
      </c>
      <c r="OE20" s="290">
        <f t="shared" si="293"/>
        <v>0</v>
      </c>
      <c r="OF20" s="290">
        <f t="shared" si="294"/>
        <v>0</v>
      </c>
      <c r="OG20" s="291">
        <f t="shared" si="295"/>
        <v>0</v>
      </c>
      <c r="OH20" s="291">
        <f t="shared" si="296"/>
        <v>0</v>
      </c>
      <c r="OI20" s="291">
        <f t="shared" si="297"/>
        <v>0</v>
      </c>
      <c r="OJ20" s="292">
        <f t="shared" si="298"/>
        <v>0</v>
      </c>
    </row>
    <row r="21" spans="2:400" ht="34.5" customHeight="1" x14ac:dyDescent="0.3">
      <c r="B21" s="2044" t="s">
        <v>213</v>
      </c>
      <c r="C21" s="2045"/>
      <c r="D21" s="2045"/>
      <c r="E21" s="2045"/>
      <c r="F21" s="2045"/>
      <c r="G21" s="2045"/>
      <c r="H21" s="2045"/>
      <c r="I21" s="2045"/>
      <c r="J21" s="2045"/>
      <c r="K21" s="2045"/>
      <c r="L21" s="2045"/>
      <c r="M21" s="2045"/>
      <c r="N21" s="2045"/>
      <c r="O21" s="2046"/>
      <c r="BA21" s="999">
        <v>8</v>
      </c>
      <c r="BB21" s="286">
        <f t="shared" si="299"/>
        <v>43929</v>
      </c>
      <c r="BC21" s="287">
        <f t="shared" si="23"/>
        <v>43929</v>
      </c>
      <c r="BD21" s="288" t="str">
        <f>'दैनिक माहिती'!H16</f>
        <v>वाटाणा</v>
      </c>
      <c r="BE21" s="289">
        <f>'दैनिक माहिती'!E16</f>
        <v>22</v>
      </c>
      <c r="BF21" s="289">
        <f>'दैनिक माहिती'!F16</f>
        <v>22</v>
      </c>
      <c r="BG21" s="289">
        <f>'दैनिक माहिती'!G16</f>
        <v>22</v>
      </c>
      <c r="BH21" s="290">
        <f t="shared" si="35"/>
        <v>2.2000000000000002</v>
      </c>
      <c r="BI21" s="290">
        <f t="shared" si="36"/>
        <v>0</v>
      </c>
      <c r="BJ21" s="290">
        <f t="shared" si="37"/>
        <v>0</v>
      </c>
      <c r="BK21" s="290">
        <f t="shared" si="38"/>
        <v>0</v>
      </c>
      <c r="BL21" s="290">
        <f t="shared" si="39"/>
        <v>0</v>
      </c>
      <c r="BM21" s="290">
        <f t="shared" si="40"/>
        <v>0</v>
      </c>
      <c r="BN21" s="290">
        <f t="shared" si="41"/>
        <v>0</v>
      </c>
      <c r="BO21" s="290">
        <f t="shared" si="42"/>
        <v>0</v>
      </c>
      <c r="BP21" s="290">
        <f t="shared" si="43"/>
        <v>0.44</v>
      </c>
      <c r="BQ21" s="290">
        <f t="shared" si="44"/>
        <v>6.5999999999999991E-3</v>
      </c>
      <c r="BR21" s="290">
        <f t="shared" si="45"/>
        <v>1.0999999999999999E-2</v>
      </c>
      <c r="BS21" s="290">
        <f t="shared" si="46"/>
        <v>6.5999999999999991E-3</v>
      </c>
      <c r="BT21" s="290">
        <f t="shared" si="47"/>
        <v>0</v>
      </c>
      <c r="BU21" s="290">
        <f t="shared" si="48"/>
        <v>0</v>
      </c>
      <c r="BV21" s="290">
        <f t="shared" si="49"/>
        <v>0.11</v>
      </c>
      <c r="BW21" s="290">
        <f t="shared" si="50"/>
        <v>4.3999999999999997E-2</v>
      </c>
      <c r="BX21" s="290">
        <f t="shared" si="51"/>
        <v>2.6399999999999996E-2</v>
      </c>
      <c r="BY21" s="290">
        <f t="shared" si="52"/>
        <v>0</v>
      </c>
      <c r="BZ21" s="291">
        <f t="shared" si="53"/>
        <v>15.84</v>
      </c>
      <c r="CA21" s="291">
        <f t="shared" si="54"/>
        <v>14.08</v>
      </c>
      <c r="CB21" s="291">
        <f t="shared" si="55"/>
        <v>11.66</v>
      </c>
      <c r="CC21" s="292">
        <f t="shared" si="56"/>
        <v>58.96</v>
      </c>
      <c r="CD21" s="999">
        <v>8</v>
      </c>
      <c r="CE21" s="286">
        <f t="shared" si="300"/>
        <v>43959</v>
      </c>
      <c r="CF21" s="287">
        <f t="shared" si="24"/>
        <v>43959</v>
      </c>
      <c r="CG21" s="288">
        <f>'दैनिक माहिती'!H47</f>
        <v>0</v>
      </c>
      <c r="CH21" s="289">
        <f>'दैनिक माहिती'!E47</f>
        <v>0</v>
      </c>
      <c r="CI21" s="289">
        <f>'दैनिक माहिती'!F47</f>
        <v>0</v>
      </c>
      <c r="CJ21" s="289">
        <f>'दैनिक माहिती'!G47</f>
        <v>0</v>
      </c>
      <c r="CK21" s="290">
        <f t="shared" si="57"/>
        <v>0</v>
      </c>
      <c r="CL21" s="290">
        <f t="shared" si="58"/>
        <v>0</v>
      </c>
      <c r="CM21" s="290">
        <f t="shared" si="59"/>
        <v>0</v>
      </c>
      <c r="CN21" s="290">
        <f t="shared" si="60"/>
        <v>0</v>
      </c>
      <c r="CO21" s="290">
        <f t="shared" si="61"/>
        <v>0</v>
      </c>
      <c r="CP21" s="290">
        <f t="shared" si="62"/>
        <v>0</v>
      </c>
      <c r="CQ21" s="290">
        <f t="shared" si="63"/>
        <v>0</v>
      </c>
      <c r="CR21" s="290">
        <f t="shared" si="64"/>
        <v>0</v>
      </c>
      <c r="CS21" s="290">
        <f t="shared" si="65"/>
        <v>0</v>
      </c>
      <c r="CT21" s="290">
        <f t="shared" si="66"/>
        <v>0</v>
      </c>
      <c r="CU21" s="290">
        <f t="shared" si="67"/>
        <v>0</v>
      </c>
      <c r="CV21" s="290">
        <f t="shared" si="68"/>
        <v>0</v>
      </c>
      <c r="CW21" s="290">
        <f t="shared" si="69"/>
        <v>0</v>
      </c>
      <c r="CX21" s="290">
        <f t="shared" si="70"/>
        <v>0</v>
      </c>
      <c r="CY21" s="290">
        <f t="shared" si="71"/>
        <v>0</v>
      </c>
      <c r="CZ21" s="290">
        <f t="shared" si="72"/>
        <v>0</v>
      </c>
      <c r="DA21" s="290">
        <f t="shared" si="73"/>
        <v>0</v>
      </c>
      <c r="DB21" s="290">
        <f t="shared" si="74"/>
        <v>0</v>
      </c>
      <c r="DC21" s="291">
        <f t="shared" si="75"/>
        <v>0</v>
      </c>
      <c r="DD21" s="291">
        <f t="shared" si="76"/>
        <v>0</v>
      </c>
      <c r="DE21" s="291">
        <f t="shared" si="77"/>
        <v>0</v>
      </c>
      <c r="DF21" s="292">
        <f t="shared" si="78"/>
        <v>0</v>
      </c>
      <c r="DG21" s="999">
        <v>8</v>
      </c>
      <c r="DH21" s="286">
        <f t="shared" si="301"/>
        <v>43990</v>
      </c>
      <c r="DI21" s="287">
        <f t="shared" si="25"/>
        <v>43990</v>
      </c>
      <c r="DJ21" s="288">
        <f>'दैनिक माहिती'!H79</f>
        <v>0</v>
      </c>
      <c r="DK21" s="289">
        <f>'दैनिक माहिती'!E79</f>
        <v>0</v>
      </c>
      <c r="DL21" s="289">
        <f>'दैनिक माहिती'!F79</f>
        <v>0</v>
      </c>
      <c r="DM21" s="289">
        <f>'दैनिक माहिती'!G79</f>
        <v>0</v>
      </c>
      <c r="DN21" s="290">
        <f t="shared" si="79"/>
        <v>0</v>
      </c>
      <c r="DO21" s="290">
        <f t="shared" si="80"/>
        <v>0</v>
      </c>
      <c r="DP21" s="290">
        <f t="shared" si="81"/>
        <v>0</v>
      </c>
      <c r="DQ21" s="290">
        <f t="shared" si="82"/>
        <v>0</v>
      </c>
      <c r="DR21" s="290">
        <f t="shared" si="83"/>
        <v>0</v>
      </c>
      <c r="DS21" s="290">
        <f t="shared" si="84"/>
        <v>0</v>
      </c>
      <c r="DT21" s="290">
        <f t="shared" si="85"/>
        <v>0</v>
      </c>
      <c r="DU21" s="290">
        <f t="shared" si="86"/>
        <v>0</v>
      </c>
      <c r="DV21" s="290">
        <f t="shared" si="87"/>
        <v>0</v>
      </c>
      <c r="DW21" s="290">
        <f t="shared" si="88"/>
        <v>0</v>
      </c>
      <c r="DX21" s="290">
        <f t="shared" si="89"/>
        <v>0</v>
      </c>
      <c r="DY21" s="290">
        <f t="shared" si="90"/>
        <v>0</v>
      </c>
      <c r="DZ21" s="290">
        <f t="shared" si="91"/>
        <v>0</v>
      </c>
      <c r="EA21" s="290">
        <f t="shared" si="92"/>
        <v>0</v>
      </c>
      <c r="EB21" s="290">
        <f t="shared" si="93"/>
        <v>0</v>
      </c>
      <c r="EC21" s="290">
        <f t="shared" si="94"/>
        <v>0</v>
      </c>
      <c r="ED21" s="290">
        <f t="shared" si="95"/>
        <v>0</v>
      </c>
      <c r="EE21" s="290">
        <f t="shared" si="96"/>
        <v>0</v>
      </c>
      <c r="EF21" s="291">
        <f t="shared" si="97"/>
        <v>0</v>
      </c>
      <c r="EG21" s="291">
        <f t="shared" si="98"/>
        <v>0</v>
      </c>
      <c r="EH21" s="291">
        <f t="shared" si="99"/>
        <v>0</v>
      </c>
      <c r="EI21" s="292">
        <f t="shared" si="100"/>
        <v>0</v>
      </c>
      <c r="EJ21" s="999">
        <v>8</v>
      </c>
      <c r="EK21" s="286">
        <f t="shared" si="302"/>
        <v>44020</v>
      </c>
      <c r="EL21" s="287">
        <f t="shared" si="26"/>
        <v>44020</v>
      </c>
      <c r="EM21" s="288" t="str">
        <f>'दैनिक माहिती'!H110</f>
        <v>वाटाणा</v>
      </c>
      <c r="EN21" s="289">
        <f>'दैनिक माहिती'!E110</f>
        <v>17</v>
      </c>
      <c r="EO21" s="289">
        <f>'दैनिक माहिती'!F110</f>
        <v>17</v>
      </c>
      <c r="EP21" s="289">
        <f>'दैनिक माहिती'!G110</f>
        <v>17</v>
      </c>
      <c r="EQ21" s="290">
        <f t="shared" si="101"/>
        <v>1.7000000000000002</v>
      </c>
      <c r="ER21" s="290">
        <f t="shared" si="102"/>
        <v>0</v>
      </c>
      <c r="ES21" s="290">
        <f t="shared" si="103"/>
        <v>0</v>
      </c>
      <c r="ET21" s="290">
        <f t="shared" si="104"/>
        <v>0</v>
      </c>
      <c r="EU21" s="290">
        <f t="shared" si="105"/>
        <v>0</v>
      </c>
      <c r="EV21" s="290">
        <f t="shared" si="106"/>
        <v>0</v>
      </c>
      <c r="EW21" s="290">
        <f t="shared" si="107"/>
        <v>0</v>
      </c>
      <c r="EX21" s="290">
        <f t="shared" si="108"/>
        <v>0</v>
      </c>
      <c r="EY21" s="290">
        <f t="shared" si="109"/>
        <v>0.34</v>
      </c>
      <c r="EZ21" s="290">
        <f t="shared" si="110"/>
        <v>5.0999999999999995E-3</v>
      </c>
      <c r="FA21" s="290">
        <f t="shared" si="111"/>
        <v>8.5000000000000006E-3</v>
      </c>
      <c r="FB21" s="290">
        <f t="shared" si="112"/>
        <v>5.0999999999999995E-3</v>
      </c>
      <c r="FC21" s="290">
        <f t="shared" si="113"/>
        <v>0</v>
      </c>
      <c r="FD21" s="290">
        <f t="shared" si="114"/>
        <v>0</v>
      </c>
      <c r="FE21" s="290">
        <f t="shared" si="115"/>
        <v>8.5000000000000006E-2</v>
      </c>
      <c r="FF21" s="290">
        <f t="shared" si="116"/>
        <v>3.4000000000000002E-2</v>
      </c>
      <c r="FG21" s="290">
        <f t="shared" si="117"/>
        <v>2.0399999999999998E-2</v>
      </c>
      <c r="FH21" s="290">
        <f t="shared" si="118"/>
        <v>0</v>
      </c>
      <c r="FI21" s="291">
        <f t="shared" si="119"/>
        <v>12.24</v>
      </c>
      <c r="FJ21" s="291">
        <f t="shared" si="120"/>
        <v>10.88</v>
      </c>
      <c r="FK21" s="291">
        <f t="shared" si="121"/>
        <v>9.01</v>
      </c>
      <c r="FL21" s="292">
        <f t="shared" si="122"/>
        <v>45.56</v>
      </c>
      <c r="FM21" s="999">
        <v>8</v>
      </c>
      <c r="FN21" s="286">
        <f t="shared" si="303"/>
        <v>44051</v>
      </c>
      <c r="FO21" s="287">
        <f t="shared" si="27"/>
        <v>44051</v>
      </c>
      <c r="FP21" s="288" t="str">
        <f>'दैनिक माहिती'!H142</f>
        <v>मुगडाळ</v>
      </c>
      <c r="FQ21" s="289">
        <f>'दैनिक माहिती'!E142</f>
        <v>15</v>
      </c>
      <c r="FR21" s="289">
        <f>'दैनिक माहिती'!F142</f>
        <v>15</v>
      </c>
      <c r="FS21" s="289">
        <f>'दैनिक माहिती'!G142</f>
        <v>15</v>
      </c>
      <c r="FT21" s="290">
        <f t="shared" si="123"/>
        <v>1.5</v>
      </c>
      <c r="FU21" s="290">
        <f t="shared" si="124"/>
        <v>0.3</v>
      </c>
      <c r="FV21" s="290">
        <f t="shared" si="125"/>
        <v>0</v>
      </c>
      <c r="FW21" s="290">
        <f t="shared" si="126"/>
        <v>0</v>
      </c>
      <c r="FX21" s="290">
        <f t="shared" si="127"/>
        <v>0</v>
      </c>
      <c r="FY21" s="290">
        <f t="shared" si="128"/>
        <v>0</v>
      </c>
      <c r="FZ21" s="290">
        <f t="shared" si="129"/>
        <v>0</v>
      </c>
      <c r="GA21" s="290">
        <f t="shared" si="130"/>
        <v>0</v>
      </c>
      <c r="GB21" s="290">
        <f t="shared" si="131"/>
        <v>0</v>
      </c>
      <c r="GC21" s="290">
        <f t="shared" si="132"/>
        <v>4.4999999999999997E-3</v>
      </c>
      <c r="GD21" s="290">
        <f t="shared" si="133"/>
        <v>7.4999999999999997E-3</v>
      </c>
      <c r="GE21" s="290">
        <f t="shared" si="134"/>
        <v>4.4999999999999997E-3</v>
      </c>
      <c r="GF21" s="290">
        <f t="shared" si="135"/>
        <v>0</v>
      </c>
      <c r="GG21" s="290">
        <f t="shared" si="136"/>
        <v>0</v>
      </c>
      <c r="GH21" s="290">
        <f t="shared" si="137"/>
        <v>7.4999999999999997E-2</v>
      </c>
      <c r="GI21" s="290">
        <f t="shared" si="138"/>
        <v>0.03</v>
      </c>
      <c r="GJ21" s="290">
        <f t="shared" si="139"/>
        <v>1.7999999999999999E-2</v>
      </c>
      <c r="GK21" s="290">
        <f t="shared" si="140"/>
        <v>0</v>
      </c>
      <c r="GL21" s="291">
        <f t="shared" si="141"/>
        <v>10.799999999999999</v>
      </c>
      <c r="GM21" s="291">
        <f t="shared" si="142"/>
        <v>9.6</v>
      </c>
      <c r="GN21" s="291">
        <f t="shared" si="143"/>
        <v>7.95</v>
      </c>
      <c r="GO21" s="292">
        <f t="shared" si="144"/>
        <v>40.200000000000003</v>
      </c>
      <c r="GP21" s="999">
        <v>8</v>
      </c>
      <c r="GQ21" s="286">
        <f t="shared" si="304"/>
        <v>44082</v>
      </c>
      <c r="GR21" s="287">
        <f t="shared" si="28"/>
        <v>44082</v>
      </c>
      <c r="GS21" s="288" t="str">
        <f>'दैनिक माहिती'!H174</f>
        <v>हरभरा</v>
      </c>
      <c r="GT21" s="289">
        <f>'दैनिक माहिती'!E174</f>
        <v>15</v>
      </c>
      <c r="GU21" s="289">
        <f>'दैनिक माहिती'!F174</f>
        <v>15</v>
      </c>
      <c r="GV21" s="289">
        <f>'दैनिक माहिती'!G174</f>
        <v>15</v>
      </c>
      <c r="GW21" s="290">
        <f t="shared" si="145"/>
        <v>1.5</v>
      </c>
      <c r="GX21" s="290">
        <f t="shared" si="146"/>
        <v>0</v>
      </c>
      <c r="GY21" s="290">
        <f t="shared" si="147"/>
        <v>0</v>
      </c>
      <c r="GZ21" s="290">
        <f t="shared" si="148"/>
        <v>0</v>
      </c>
      <c r="HA21" s="290">
        <f t="shared" si="149"/>
        <v>0</v>
      </c>
      <c r="HB21" s="290">
        <f t="shared" si="150"/>
        <v>0</v>
      </c>
      <c r="HC21" s="290">
        <f t="shared" si="151"/>
        <v>0</v>
      </c>
      <c r="HD21" s="290">
        <f t="shared" si="152"/>
        <v>0.3</v>
      </c>
      <c r="HE21" s="290">
        <f t="shared" si="153"/>
        <v>0</v>
      </c>
      <c r="HF21" s="290">
        <f t="shared" si="154"/>
        <v>4.4999999999999997E-3</v>
      </c>
      <c r="HG21" s="290">
        <f t="shared" si="155"/>
        <v>7.4999999999999997E-3</v>
      </c>
      <c r="HH21" s="290">
        <f t="shared" si="156"/>
        <v>4.4999999999999997E-3</v>
      </c>
      <c r="HI21" s="290">
        <f t="shared" si="157"/>
        <v>0</v>
      </c>
      <c r="HJ21" s="290">
        <f t="shared" si="158"/>
        <v>0</v>
      </c>
      <c r="HK21" s="290">
        <f t="shared" si="159"/>
        <v>7.4999999999999997E-2</v>
      </c>
      <c r="HL21" s="290">
        <f t="shared" si="160"/>
        <v>0.03</v>
      </c>
      <c r="HM21" s="290">
        <f t="shared" si="161"/>
        <v>1.7999999999999999E-2</v>
      </c>
      <c r="HN21" s="290">
        <f t="shared" si="162"/>
        <v>0</v>
      </c>
      <c r="HO21" s="291">
        <f t="shared" si="163"/>
        <v>10.799999999999999</v>
      </c>
      <c r="HP21" s="291">
        <f t="shared" si="164"/>
        <v>9.6</v>
      </c>
      <c r="HQ21" s="291">
        <f t="shared" si="165"/>
        <v>7.95</v>
      </c>
      <c r="HR21" s="292">
        <f t="shared" si="166"/>
        <v>40.200000000000003</v>
      </c>
      <c r="HS21" s="999">
        <v>8</v>
      </c>
      <c r="HT21" s="286">
        <f t="shared" si="305"/>
        <v>44112</v>
      </c>
      <c r="HU21" s="287">
        <f t="shared" si="29"/>
        <v>44112</v>
      </c>
      <c r="HV21" s="288" t="str">
        <f>'दैनिक माहिती'!H205</f>
        <v>मुगडाळ</v>
      </c>
      <c r="HW21" s="289">
        <f>'दैनिक माहिती'!E205</f>
        <v>22</v>
      </c>
      <c r="HX21" s="289">
        <f>'दैनिक माहिती'!F205</f>
        <v>22</v>
      </c>
      <c r="HY21" s="289">
        <f>'दैनिक माहिती'!G205</f>
        <v>22</v>
      </c>
      <c r="HZ21" s="290">
        <f t="shared" si="167"/>
        <v>2.2000000000000002</v>
      </c>
      <c r="IA21" s="290">
        <f t="shared" si="168"/>
        <v>0.44</v>
      </c>
      <c r="IB21" s="290">
        <f t="shared" si="169"/>
        <v>0</v>
      </c>
      <c r="IC21" s="290">
        <f t="shared" si="170"/>
        <v>0</v>
      </c>
      <c r="ID21" s="290">
        <f t="shared" si="171"/>
        <v>0</v>
      </c>
      <c r="IE21" s="290">
        <f t="shared" si="172"/>
        <v>0</v>
      </c>
      <c r="IF21" s="290">
        <f t="shared" si="173"/>
        <v>0</v>
      </c>
      <c r="IG21" s="290">
        <f t="shared" si="174"/>
        <v>0</v>
      </c>
      <c r="IH21" s="290">
        <f t="shared" si="175"/>
        <v>0</v>
      </c>
      <c r="II21" s="290">
        <f t="shared" si="176"/>
        <v>6.5999999999999991E-3</v>
      </c>
      <c r="IJ21" s="290">
        <f t="shared" si="177"/>
        <v>1.0999999999999999E-2</v>
      </c>
      <c r="IK21" s="290">
        <f t="shared" si="178"/>
        <v>6.5999999999999991E-3</v>
      </c>
      <c r="IL21" s="290">
        <f t="shared" si="179"/>
        <v>0</v>
      </c>
      <c r="IM21" s="290">
        <f t="shared" si="180"/>
        <v>0</v>
      </c>
      <c r="IN21" s="290">
        <f t="shared" si="181"/>
        <v>0.11</v>
      </c>
      <c r="IO21" s="290">
        <f t="shared" si="182"/>
        <v>4.3999999999999997E-2</v>
      </c>
      <c r="IP21" s="290">
        <f t="shared" si="183"/>
        <v>2.6399999999999996E-2</v>
      </c>
      <c r="IQ21" s="290">
        <f t="shared" si="184"/>
        <v>0</v>
      </c>
      <c r="IR21" s="291">
        <f t="shared" si="185"/>
        <v>15.62</v>
      </c>
      <c r="IS21" s="291">
        <f t="shared" si="186"/>
        <v>17.380000000000003</v>
      </c>
      <c r="IT21" s="291">
        <f t="shared" si="187"/>
        <v>12.76</v>
      </c>
      <c r="IU21" s="292">
        <f t="shared" si="188"/>
        <v>63.14</v>
      </c>
      <c r="IV21" s="999">
        <v>8</v>
      </c>
      <c r="IW21" s="286">
        <f t="shared" si="306"/>
        <v>44143</v>
      </c>
      <c r="IX21" s="287">
        <f t="shared" si="30"/>
        <v>44143</v>
      </c>
      <c r="IY21" s="288">
        <f>'दैनिक माहिती'!H237</f>
        <v>0</v>
      </c>
      <c r="IZ21" s="289">
        <f>'दैनिक माहिती'!E237</f>
        <v>0</v>
      </c>
      <c r="JA21" s="289">
        <f>'दैनिक माहिती'!F237</f>
        <v>0</v>
      </c>
      <c r="JB21" s="289">
        <f>'दैनिक माहिती'!G237</f>
        <v>0</v>
      </c>
      <c r="JC21" s="290">
        <f t="shared" si="189"/>
        <v>0</v>
      </c>
      <c r="JD21" s="290">
        <f t="shared" si="190"/>
        <v>0</v>
      </c>
      <c r="JE21" s="290">
        <f t="shared" si="191"/>
        <v>0</v>
      </c>
      <c r="JF21" s="290">
        <f t="shared" si="192"/>
        <v>0</v>
      </c>
      <c r="JG21" s="290">
        <f t="shared" si="193"/>
        <v>0</v>
      </c>
      <c r="JH21" s="290">
        <f t="shared" si="194"/>
        <v>0</v>
      </c>
      <c r="JI21" s="290">
        <f t="shared" si="195"/>
        <v>0</v>
      </c>
      <c r="JJ21" s="290">
        <f t="shared" si="196"/>
        <v>0</v>
      </c>
      <c r="JK21" s="290">
        <f t="shared" si="197"/>
        <v>0</v>
      </c>
      <c r="JL21" s="290">
        <f t="shared" si="198"/>
        <v>0</v>
      </c>
      <c r="JM21" s="290">
        <f t="shared" si="199"/>
        <v>0</v>
      </c>
      <c r="JN21" s="290">
        <f t="shared" si="200"/>
        <v>0</v>
      </c>
      <c r="JO21" s="290">
        <f t="shared" si="201"/>
        <v>0</v>
      </c>
      <c r="JP21" s="290">
        <f t="shared" si="202"/>
        <v>0</v>
      </c>
      <c r="JQ21" s="290">
        <f t="shared" si="203"/>
        <v>0</v>
      </c>
      <c r="JR21" s="290">
        <f t="shared" si="204"/>
        <v>0</v>
      </c>
      <c r="JS21" s="290">
        <f t="shared" si="205"/>
        <v>0</v>
      </c>
      <c r="JT21" s="290">
        <f t="shared" si="206"/>
        <v>0</v>
      </c>
      <c r="JU21" s="291">
        <f t="shared" si="207"/>
        <v>0</v>
      </c>
      <c r="JV21" s="291">
        <f t="shared" si="208"/>
        <v>0</v>
      </c>
      <c r="JW21" s="291">
        <f t="shared" si="209"/>
        <v>0</v>
      </c>
      <c r="JX21" s="292">
        <f t="shared" si="210"/>
        <v>0</v>
      </c>
      <c r="JY21" s="999">
        <v>8</v>
      </c>
      <c r="JZ21" s="286">
        <f t="shared" si="307"/>
        <v>44173</v>
      </c>
      <c r="KA21" s="287">
        <f t="shared" si="31"/>
        <v>44173</v>
      </c>
      <c r="KB21" s="288" t="str">
        <f>'दैनिक माहिती'!H268</f>
        <v>हरभरा</v>
      </c>
      <c r="KC21" s="289">
        <f>'दैनिक माहिती'!E268</f>
        <v>21</v>
      </c>
      <c r="KD21" s="289">
        <f>'दैनिक माहिती'!F268</f>
        <v>21</v>
      </c>
      <c r="KE21" s="289">
        <f>'दैनिक माहिती'!G268</f>
        <v>21</v>
      </c>
      <c r="KF21" s="290">
        <f t="shared" si="211"/>
        <v>2.1</v>
      </c>
      <c r="KG21" s="290">
        <f t="shared" si="212"/>
        <v>0</v>
      </c>
      <c r="KH21" s="290">
        <f t="shared" si="213"/>
        <v>0</v>
      </c>
      <c r="KI21" s="290">
        <f t="shared" si="214"/>
        <v>0</v>
      </c>
      <c r="KJ21" s="290">
        <f t="shared" si="215"/>
        <v>0</v>
      </c>
      <c r="KK21" s="290">
        <f t="shared" si="216"/>
        <v>0</v>
      </c>
      <c r="KL21" s="290">
        <f t="shared" si="217"/>
        <v>0</v>
      </c>
      <c r="KM21" s="290">
        <f t="shared" si="218"/>
        <v>0.42</v>
      </c>
      <c r="KN21" s="290">
        <f t="shared" si="219"/>
        <v>0</v>
      </c>
      <c r="KO21" s="290">
        <f t="shared" si="220"/>
        <v>6.2999999999999992E-3</v>
      </c>
      <c r="KP21" s="290">
        <f t="shared" si="221"/>
        <v>1.0500000000000001E-2</v>
      </c>
      <c r="KQ21" s="290">
        <f t="shared" si="222"/>
        <v>6.2999999999999992E-3</v>
      </c>
      <c r="KR21" s="290">
        <f t="shared" si="223"/>
        <v>0</v>
      </c>
      <c r="KS21" s="290">
        <f t="shared" si="224"/>
        <v>0</v>
      </c>
      <c r="KT21" s="290">
        <f t="shared" si="225"/>
        <v>0.105</v>
      </c>
      <c r="KU21" s="290">
        <f t="shared" si="226"/>
        <v>4.2000000000000003E-2</v>
      </c>
      <c r="KV21" s="290">
        <f t="shared" si="227"/>
        <v>2.5199999999999997E-2</v>
      </c>
      <c r="KW21" s="290">
        <f t="shared" si="228"/>
        <v>0</v>
      </c>
      <c r="KX21" s="291">
        <f t="shared" si="229"/>
        <v>14.91</v>
      </c>
      <c r="KY21" s="291">
        <f t="shared" si="230"/>
        <v>16.59</v>
      </c>
      <c r="KZ21" s="291">
        <f t="shared" si="231"/>
        <v>12.18</v>
      </c>
      <c r="LA21" s="292">
        <f t="shared" si="232"/>
        <v>60.27</v>
      </c>
      <c r="LB21" s="999">
        <v>8</v>
      </c>
      <c r="LC21" s="286">
        <f t="shared" si="308"/>
        <v>44204</v>
      </c>
      <c r="LD21" s="287">
        <f t="shared" si="32"/>
        <v>44204</v>
      </c>
      <c r="LE21" s="288">
        <f>'दैनिक माहिती'!H300</f>
        <v>0</v>
      </c>
      <c r="LF21" s="289">
        <f>'दैनिक माहिती'!E300</f>
        <v>0</v>
      </c>
      <c r="LG21" s="289">
        <f>'दैनिक माहिती'!F300</f>
        <v>0</v>
      </c>
      <c r="LH21" s="289">
        <f>'दैनिक माहिती'!G300</f>
        <v>0</v>
      </c>
      <c r="LI21" s="290">
        <f t="shared" si="233"/>
        <v>0</v>
      </c>
      <c r="LJ21" s="290">
        <f t="shared" si="234"/>
        <v>0</v>
      </c>
      <c r="LK21" s="290">
        <f t="shared" si="235"/>
        <v>0</v>
      </c>
      <c r="LL21" s="290">
        <f t="shared" si="236"/>
        <v>0</v>
      </c>
      <c r="LM21" s="290">
        <f t="shared" si="237"/>
        <v>0</v>
      </c>
      <c r="LN21" s="290">
        <f t="shared" si="238"/>
        <v>0</v>
      </c>
      <c r="LO21" s="290">
        <f t="shared" si="239"/>
        <v>0</v>
      </c>
      <c r="LP21" s="290">
        <f t="shared" si="240"/>
        <v>0</v>
      </c>
      <c r="LQ21" s="290">
        <f t="shared" si="241"/>
        <v>0</v>
      </c>
      <c r="LR21" s="290">
        <f t="shared" si="242"/>
        <v>0</v>
      </c>
      <c r="LS21" s="290">
        <f t="shared" si="243"/>
        <v>0</v>
      </c>
      <c r="LT21" s="290">
        <f t="shared" si="244"/>
        <v>0</v>
      </c>
      <c r="LU21" s="290">
        <f t="shared" si="245"/>
        <v>0</v>
      </c>
      <c r="LV21" s="290">
        <f t="shared" si="246"/>
        <v>0</v>
      </c>
      <c r="LW21" s="290">
        <f t="shared" si="247"/>
        <v>0</v>
      </c>
      <c r="LX21" s="290">
        <f t="shared" si="248"/>
        <v>0</v>
      </c>
      <c r="LY21" s="290">
        <f t="shared" si="249"/>
        <v>0</v>
      </c>
      <c r="LZ21" s="290">
        <f t="shared" si="250"/>
        <v>0</v>
      </c>
      <c r="MA21" s="291">
        <f t="shared" si="251"/>
        <v>0</v>
      </c>
      <c r="MB21" s="291">
        <f t="shared" si="252"/>
        <v>0</v>
      </c>
      <c r="MC21" s="291">
        <f t="shared" si="253"/>
        <v>0</v>
      </c>
      <c r="MD21" s="292">
        <f t="shared" si="254"/>
        <v>0</v>
      </c>
      <c r="ME21" s="999">
        <v>8</v>
      </c>
      <c r="MF21" s="286">
        <f t="shared" si="309"/>
        <v>44235</v>
      </c>
      <c r="MG21" s="287">
        <f t="shared" si="33"/>
        <v>44235</v>
      </c>
      <c r="MH21" s="288">
        <f>'दैनिक माहिती'!H332</f>
        <v>0</v>
      </c>
      <c r="MI21" s="289">
        <f>'दैनिक माहिती'!E332</f>
        <v>0</v>
      </c>
      <c r="MJ21" s="289">
        <f>'दैनिक माहिती'!F332</f>
        <v>0</v>
      </c>
      <c r="MK21" s="289">
        <f>'दैनिक माहिती'!G332</f>
        <v>0</v>
      </c>
      <c r="ML21" s="290">
        <f t="shared" si="255"/>
        <v>0</v>
      </c>
      <c r="MM21" s="290">
        <f t="shared" si="256"/>
        <v>0</v>
      </c>
      <c r="MN21" s="290">
        <f t="shared" si="257"/>
        <v>0</v>
      </c>
      <c r="MO21" s="290">
        <f t="shared" si="258"/>
        <v>0</v>
      </c>
      <c r="MP21" s="290">
        <f t="shared" si="259"/>
        <v>0</v>
      </c>
      <c r="MQ21" s="290">
        <f t="shared" si="260"/>
        <v>0</v>
      </c>
      <c r="MR21" s="290">
        <f t="shared" si="261"/>
        <v>0</v>
      </c>
      <c r="MS21" s="290">
        <f t="shared" si="262"/>
        <v>0</v>
      </c>
      <c r="MT21" s="290">
        <f t="shared" si="263"/>
        <v>0</v>
      </c>
      <c r="MU21" s="290">
        <f t="shared" si="264"/>
        <v>0</v>
      </c>
      <c r="MV21" s="290">
        <f t="shared" si="265"/>
        <v>0</v>
      </c>
      <c r="MW21" s="290">
        <f t="shared" si="266"/>
        <v>0</v>
      </c>
      <c r="MX21" s="290">
        <f t="shared" si="267"/>
        <v>0</v>
      </c>
      <c r="MY21" s="290">
        <f t="shared" si="268"/>
        <v>0</v>
      </c>
      <c r="MZ21" s="290">
        <f t="shared" si="269"/>
        <v>0</v>
      </c>
      <c r="NA21" s="290">
        <f t="shared" si="270"/>
        <v>0</v>
      </c>
      <c r="NB21" s="290">
        <f t="shared" si="271"/>
        <v>0</v>
      </c>
      <c r="NC21" s="290">
        <f t="shared" si="272"/>
        <v>0</v>
      </c>
      <c r="ND21" s="291">
        <f t="shared" si="273"/>
        <v>0</v>
      </c>
      <c r="NE21" s="291">
        <f t="shared" si="274"/>
        <v>0</v>
      </c>
      <c r="NF21" s="291">
        <f t="shared" si="275"/>
        <v>0</v>
      </c>
      <c r="NG21" s="292">
        <f t="shared" si="276"/>
        <v>0</v>
      </c>
      <c r="NH21" s="999">
        <v>8</v>
      </c>
      <c r="NI21" s="286">
        <f t="shared" si="310"/>
        <v>44263</v>
      </c>
      <c r="NJ21" s="287">
        <f t="shared" si="34"/>
        <v>44263</v>
      </c>
      <c r="NK21" s="288">
        <f>'दैनिक माहिती'!H362</f>
        <v>0</v>
      </c>
      <c r="NL21" s="289">
        <f>'दैनिक माहिती'!E362</f>
        <v>0</v>
      </c>
      <c r="NM21" s="289">
        <f>'दैनिक माहिती'!F362</f>
        <v>0</v>
      </c>
      <c r="NN21" s="289">
        <f>'दैनिक माहिती'!G362</f>
        <v>0</v>
      </c>
      <c r="NO21" s="290">
        <f t="shared" si="277"/>
        <v>0</v>
      </c>
      <c r="NP21" s="290">
        <f t="shared" si="278"/>
        <v>0</v>
      </c>
      <c r="NQ21" s="290">
        <f t="shared" si="279"/>
        <v>0</v>
      </c>
      <c r="NR21" s="290">
        <f t="shared" si="280"/>
        <v>0</v>
      </c>
      <c r="NS21" s="290">
        <f t="shared" si="281"/>
        <v>0</v>
      </c>
      <c r="NT21" s="290">
        <f t="shared" si="282"/>
        <v>0</v>
      </c>
      <c r="NU21" s="290">
        <f t="shared" si="283"/>
        <v>0</v>
      </c>
      <c r="NV21" s="290">
        <f t="shared" si="284"/>
        <v>0</v>
      </c>
      <c r="NW21" s="290">
        <f t="shared" si="285"/>
        <v>0</v>
      </c>
      <c r="NX21" s="290">
        <f t="shared" si="286"/>
        <v>0</v>
      </c>
      <c r="NY21" s="290">
        <f t="shared" si="287"/>
        <v>0</v>
      </c>
      <c r="NZ21" s="290">
        <f t="shared" si="288"/>
        <v>0</v>
      </c>
      <c r="OA21" s="290">
        <f t="shared" si="289"/>
        <v>0</v>
      </c>
      <c r="OB21" s="290">
        <f t="shared" si="290"/>
        <v>0</v>
      </c>
      <c r="OC21" s="290">
        <f t="shared" si="291"/>
        <v>0</v>
      </c>
      <c r="OD21" s="290">
        <f t="shared" si="292"/>
        <v>0</v>
      </c>
      <c r="OE21" s="290">
        <f t="shared" si="293"/>
        <v>0</v>
      </c>
      <c r="OF21" s="290">
        <f t="shared" si="294"/>
        <v>0</v>
      </c>
      <c r="OG21" s="291">
        <f t="shared" si="295"/>
        <v>0</v>
      </c>
      <c r="OH21" s="291">
        <f t="shared" si="296"/>
        <v>0</v>
      </c>
      <c r="OI21" s="291">
        <f t="shared" si="297"/>
        <v>0</v>
      </c>
      <c r="OJ21" s="292">
        <f t="shared" si="298"/>
        <v>0</v>
      </c>
    </row>
    <row r="22" spans="2:400" ht="29.25" customHeight="1" x14ac:dyDescent="0.4">
      <c r="B22" s="1019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1012"/>
      <c r="BA22" s="999">
        <v>9</v>
      </c>
      <c r="BB22" s="286">
        <f t="shared" si="299"/>
        <v>43930</v>
      </c>
      <c r="BC22" s="293">
        <f t="shared" si="23"/>
        <v>43930</v>
      </c>
      <c r="BD22" s="288" t="str">
        <f>'दैनिक माहिती'!H17</f>
        <v>मुगडाळ</v>
      </c>
      <c r="BE22" s="289">
        <f>'दैनिक माहिती'!E17</f>
        <v>22</v>
      </c>
      <c r="BF22" s="289">
        <f>'दैनिक माहिती'!F17</f>
        <v>22</v>
      </c>
      <c r="BG22" s="289">
        <f>'दैनिक माहिती'!G17</f>
        <v>22</v>
      </c>
      <c r="BH22" s="290">
        <f t="shared" si="35"/>
        <v>2.2000000000000002</v>
      </c>
      <c r="BI22" s="290">
        <f t="shared" si="36"/>
        <v>0.44</v>
      </c>
      <c r="BJ22" s="290">
        <f t="shared" si="37"/>
        <v>0</v>
      </c>
      <c r="BK22" s="290">
        <f t="shared" si="38"/>
        <v>0</v>
      </c>
      <c r="BL22" s="290">
        <f t="shared" si="39"/>
        <v>0</v>
      </c>
      <c r="BM22" s="290">
        <f t="shared" si="40"/>
        <v>0</v>
      </c>
      <c r="BN22" s="290">
        <f t="shared" si="41"/>
        <v>0</v>
      </c>
      <c r="BO22" s="290">
        <f t="shared" si="42"/>
        <v>0</v>
      </c>
      <c r="BP22" s="290">
        <f t="shared" si="43"/>
        <v>0</v>
      </c>
      <c r="BQ22" s="290">
        <f t="shared" si="44"/>
        <v>6.5999999999999991E-3</v>
      </c>
      <c r="BR22" s="290">
        <f t="shared" si="45"/>
        <v>1.0999999999999999E-2</v>
      </c>
      <c r="BS22" s="290">
        <f t="shared" si="46"/>
        <v>6.5999999999999991E-3</v>
      </c>
      <c r="BT22" s="290">
        <f t="shared" si="47"/>
        <v>0</v>
      </c>
      <c r="BU22" s="290">
        <f t="shared" si="48"/>
        <v>0</v>
      </c>
      <c r="BV22" s="290">
        <f t="shared" si="49"/>
        <v>0.11</v>
      </c>
      <c r="BW22" s="290">
        <f t="shared" si="50"/>
        <v>4.3999999999999997E-2</v>
      </c>
      <c r="BX22" s="290">
        <f t="shared" si="51"/>
        <v>2.6399999999999996E-2</v>
      </c>
      <c r="BY22" s="290">
        <f t="shared" si="52"/>
        <v>0</v>
      </c>
      <c r="BZ22" s="291">
        <f t="shared" si="53"/>
        <v>15.84</v>
      </c>
      <c r="CA22" s="291">
        <f t="shared" si="54"/>
        <v>14.08</v>
      </c>
      <c r="CB22" s="291">
        <f t="shared" si="55"/>
        <v>11.66</v>
      </c>
      <c r="CC22" s="292">
        <f t="shared" si="56"/>
        <v>58.96</v>
      </c>
      <c r="CD22" s="999">
        <v>9</v>
      </c>
      <c r="CE22" s="286">
        <f t="shared" si="300"/>
        <v>43960</v>
      </c>
      <c r="CF22" s="293">
        <f t="shared" si="24"/>
        <v>43960</v>
      </c>
      <c r="CG22" s="288">
        <f>'दैनिक माहिती'!H48</f>
        <v>0</v>
      </c>
      <c r="CH22" s="289">
        <f>'दैनिक माहिती'!E48</f>
        <v>0</v>
      </c>
      <c r="CI22" s="289">
        <f>'दैनिक माहिती'!F48</f>
        <v>0</v>
      </c>
      <c r="CJ22" s="289">
        <f>'दैनिक माहिती'!G48</f>
        <v>0</v>
      </c>
      <c r="CK22" s="290">
        <f t="shared" si="57"/>
        <v>0</v>
      </c>
      <c r="CL22" s="290">
        <f t="shared" si="58"/>
        <v>0</v>
      </c>
      <c r="CM22" s="290">
        <f t="shared" si="59"/>
        <v>0</v>
      </c>
      <c r="CN22" s="290">
        <f t="shared" si="60"/>
        <v>0</v>
      </c>
      <c r="CO22" s="290">
        <f t="shared" si="61"/>
        <v>0</v>
      </c>
      <c r="CP22" s="290">
        <f t="shared" si="62"/>
        <v>0</v>
      </c>
      <c r="CQ22" s="290">
        <f t="shared" si="63"/>
        <v>0</v>
      </c>
      <c r="CR22" s="290">
        <f t="shared" si="64"/>
        <v>0</v>
      </c>
      <c r="CS22" s="290">
        <f t="shared" si="65"/>
        <v>0</v>
      </c>
      <c r="CT22" s="290">
        <f t="shared" si="66"/>
        <v>0</v>
      </c>
      <c r="CU22" s="290">
        <f t="shared" si="67"/>
        <v>0</v>
      </c>
      <c r="CV22" s="290">
        <f t="shared" si="68"/>
        <v>0</v>
      </c>
      <c r="CW22" s="290">
        <f t="shared" si="69"/>
        <v>0</v>
      </c>
      <c r="CX22" s="290">
        <f t="shared" si="70"/>
        <v>0</v>
      </c>
      <c r="CY22" s="290">
        <f t="shared" si="71"/>
        <v>0</v>
      </c>
      <c r="CZ22" s="290">
        <f t="shared" si="72"/>
        <v>0</v>
      </c>
      <c r="DA22" s="290">
        <f t="shared" si="73"/>
        <v>0</v>
      </c>
      <c r="DB22" s="290">
        <f t="shared" si="74"/>
        <v>0</v>
      </c>
      <c r="DC22" s="291">
        <f t="shared" si="75"/>
        <v>0</v>
      </c>
      <c r="DD22" s="291">
        <f t="shared" si="76"/>
        <v>0</v>
      </c>
      <c r="DE22" s="291">
        <f t="shared" si="77"/>
        <v>0</v>
      </c>
      <c r="DF22" s="292">
        <f t="shared" si="78"/>
        <v>0</v>
      </c>
      <c r="DG22" s="999">
        <v>9</v>
      </c>
      <c r="DH22" s="286">
        <f t="shared" si="301"/>
        <v>43991</v>
      </c>
      <c r="DI22" s="293">
        <f t="shared" si="25"/>
        <v>43991</v>
      </c>
      <c r="DJ22" s="288">
        <f>'दैनिक माहिती'!H80</f>
        <v>0</v>
      </c>
      <c r="DK22" s="289">
        <f>'दैनिक माहिती'!E80</f>
        <v>0</v>
      </c>
      <c r="DL22" s="289">
        <f>'दैनिक माहिती'!F80</f>
        <v>0</v>
      </c>
      <c r="DM22" s="289">
        <f>'दैनिक माहिती'!G80</f>
        <v>0</v>
      </c>
      <c r="DN22" s="290">
        <f t="shared" si="79"/>
        <v>0</v>
      </c>
      <c r="DO22" s="290">
        <f t="shared" si="80"/>
        <v>0</v>
      </c>
      <c r="DP22" s="290">
        <f t="shared" si="81"/>
        <v>0</v>
      </c>
      <c r="DQ22" s="290">
        <f t="shared" si="82"/>
        <v>0</v>
      </c>
      <c r="DR22" s="290">
        <f t="shared" si="83"/>
        <v>0</v>
      </c>
      <c r="DS22" s="290">
        <f t="shared" si="84"/>
        <v>0</v>
      </c>
      <c r="DT22" s="290">
        <f t="shared" si="85"/>
        <v>0</v>
      </c>
      <c r="DU22" s="290">
        <f t="shared" si="86"/>
        <v>0</v>
      </c>
      <c r="DV22" s="290">
        <f t="shared" si="87"/>
        <v>0</v>
      </c>
      <c r="DW22" s="290">
        <f t="shared" si="88"/>
        <v>0</v>
      </c>
      <c r="DX22" s="290">
        <f t="shared" si="89"/>
        <v>0</v>
      </c>
      <c r="DY22" s="290">
        <f t="shared" si="90"/>
        <v>0</v>
      </c>
      <c r="DZ22" s="290">
        <f t="shared" si="91"/>
        <v>0</v>
      </c>
      <c r="EA22" s="290">
        <f t="shared" si="92"/>
        <v>0</v>
      </c>
      <c r="EB22" s="290">
        <f t="shared" si="93"/>
        <v>0</v>
      </c>
      <c r="EC22" s="290">
        <f t="shared" si="94"/>
        <v>0</v>
      </c>
      <c r="ED22" s="290">
        <f t="shared" si="95"/>
        <v>0</v>
      </c>
      <c r="EE22" s="290">
        <f t="shared" si="96"/>
        <v>0</v>
      </c>
      <c r="EF22" s="291">
        <f t="shared" si="97"/>
        <v>0</v>
      </c>
      <c r="EG22" s="291">
        <f t="shared" si="98"/>
        <v>0</v>
      </c>
      <c r="EH22" s="291">
        <f t="shared" si="99"/>
        <v>0</v>
      </c>
      <c r="EI22" s="292">
        <f t="shared" si="100"/>
        <v>0</v>
      </c>
      <c r="EJ22" s="999">
        <v>9</v>
      </c>
      <c r="EK22" s="286">
        <f t="shared" si="302"/>
        <v>44021</v>
      </c>
      <c r="EL22" s="293">
        <f t="shared" si="26"/>
        <v>44021</v>
      </c>
      <c r="EM22" s="288" t="str">
        <f>'दैनिक माहिती'!H111</f>
        <v>मुगडाळ</v>
      </c>
      <c r="EN22" s="289">
        <f>'दैनिक माहिती'!E111</f>
        <v>17</v>
      </c>
      <c r="EO22" s="289">
        <f>'दैनिक माहिती'!F111</f>
        <v>17</v>
      </c>
      <c r="EP22" s="289">
        <f>'दैनिक माहिती'!G111</f>
        <v>17</v>
      </c>
      <c r="EQ22" s="290">
        <f t="shared" si="101"/>
        <v>1.7000000000000002</v>
      </c>
      <c r="ER22" s="290">
        <f t="shared" si="102"/>
        <v>0.34</v>
      </c>
      <c r="ES22" s="290">
        <f t="shared" si="103"/>
        <v>0</v>
      </c>
      <c r="ET22" s="290">
        <f t="shared" si="104"/>
        <v>0</v>
      </c>
      <c r="EU22" s="290">
        <f t="shared" si="105"/>
        <v>0</v>
      </c>
      <c r="EV22" s="290">
        <f t="shared" si="106"/>
        <v>0</v>
      </c>
      <c r="EW22" s="290">
        <f t="shared" si="107"/>
        <v>0</v>
      </c>
      <c r="EX22" s="290">
        <f t="shared" si="108"/>
        <v>0</v>
      </c>
      <c r="EY22" s="290">
        <f t="shared" si="109"/>
        <v>0</v>
      </c>
      <c r="EZ22" s="290">
        <f t="shared" si="110"/>
        <v>5.0999999999999995E-3</v>
      </c>
      <c r="FA22" s="290">
        <f t="shared" si="111"/>
        <v>8.5000000000000006E-3</v>
      </c>
      <c r="FB22" s="290">
        <f t="shared" si="112"/>
        <v>5.0999999999999995E-3</v>
      </c>
      <c r="FC22" s="290">
        <f t="shared" si="113"/>
        <v>0</v>
      </c>
      <c r="FD22" s="290">
        <f t="shared" si="114"/>
        <v>0</v>
      </c>
      <c r="FE22" s="290">
        <f t="shared" si="115"/>
        <v>8.5000000000000006E-2</v>
      </c>
      <c r="FF22" s="290">
        <f t="shared" si="116"/>
        <v>3.4000000000000002E-2</v>
      </c>
      <c r="FG22" s="290">
        <f t="shared" si="117"/>
        <v>2.0399999999999998E-2</v>
      </c>
      <c r="FH22" s="290">
        <f t="shared" si="118"/>
        <v>0</v>
      </c>
      <c r="FI22" s="291">
        <f t="shared" si="119"/>
        <v>12.24</v>
      </c>
      <c r="FJ22" s="291">
        <f t="shared" si="120"/>
        <v>10.88</v>
      </c>
      <c r="FK22" s="291">
        <f t="shared" si="121"/>
        <v>9.01</v>
      </c>
      <c r="FL22" s="292">
        <f t="shared" si="122"/>
        <v>45.56</v>
      </c>
      <c r="FM22" s="999">
        <v>9</v>
      </c>
      <c r="FN22" s="286">
        <f t="shared" si="303"/>
        <v>44052</v>
      </c>
      <c r="FO22" s="293">
        <f t="shared" si="27"/>
        <v>44052</v>
      </c>
      <c r="FP22" s="288">
        <f>'दैनिक माहिती'!H143</f>
        <v>0</v>
      </c>
      <c r="FQ22" s="289">
        <f>'दैनिक माहिती'!E143</f>
        <v>0</v>
      </c>
      <c r="FR22" s="289">
        <f>'दैनिक माहिती'!F143</f>
        <v>0</v>
      </c>
      <c r="FS22" s="289">
        <f>'दैनिक माहिती'!G143</f>
        <v>0</v>
      </c>
      <c r="FT22" s="290">
        <f t="shared" si="123"/>
        <v>0</v>
      </c>
      <c r="FU22" s="290">
        <f t="shared" si="124"/>
        <v>0</v>
      </c>
      <c r="FV22" s="290">
        <f t="shared" si="125"/>
        <v>0</v>
      </c>
      <c r="FW22" s="290">
        <f t="shared" si="126"/>
        <v>0</v>
      </c>
      <c r="FX22" s="290">
        <f t="shared" si="127"/>
        <v>0</v>
      </c>
      <c r="FY22" s="290">
        <f t="shared" si="128"/>
        <v>0</v>
      </c>
      <c r="FZ22" s="290">
        <f t="shared" si="129"/>
        <v>0</v>
      </c>
      <c r="GA22" s="290">
        <f t="shared" si="130"/>
        <v>0</v>
      </c>
      <c r="GB22" s="290">
        <f t="shared" si="131"/>
        <v>0</v>
      </c>
      <c r="GC22" s="290">
        <f t="shared" si="132"/>
        <v>0</v>
      </c>
      <c r="GD22" s="290">
        <f t="shared" si="133"/>
        <v>0</v>
      </c>
      <c r="GE22" s="290">
        <f t="shared" si="134"/>
        <v>0</v>
      </c>
      <c r="GF22" s="290">
        <f t="shared" si="135"/>
        <v>0</v>
      </c>
      <c r="GG22" s="290">
        <f t="shared" si="136"/>
        <v>0</v>
      </c>
      <c r="GH22" s="290">
        <f t="shared" si="137"/>
        <v>0</v>
      </c>
      <c r="GI22" s="290">
        <f t="shared" si="138"/>
        <v>0</v>
      </c>
      <c r="GJ22" s="290">
        <f t="shared" si="139"/>
        <v>0</v>
      </c>
      <c r="GK22" s="290">
        <f t="shared" si="140"/>
        <v>0</v>
      </c>
      <c r="GL22" s="291">
        <f t="shared" si="141"/>
        <v>0</v>
      </c>
      <c r="GM22" s="291">
        <f t="shared" si="142"/>
        <v>0</v>
      </c>
      <c r="GN22" s="291">
        <f t="shared" si="143"/>
        <v>0</v>
      </c>
      <c r="GO22" s="292">
        <f t="shared" si="144"/>
        <v>0</v>
      </c>
      <c r="GP22" s="999">
        <v>9</v>
      </c>
      <c r="GQ22" s="286">
        <f t="shared" si="304"/>
        <v>44083</v>
      </c>
      <c r="GR22" s="293">
        <f t="shared" si="28"/>
        <v>44083</v>
      </c>
      <c r="GS22" s="288">
        <f>'दैनिक माहिती'!H175</f>
        <v>0</v>
      </c>
      <c r="GT22" s="289">
        <f>'दैनिक माहिती'!E175</f>
        <v>0</v>
      </c>
      <c r="GU22" s="289">
        <f>'दैनिक माहिती'!F175</f>
        <v>0</v>
      </c>
      <c r="GV22" s="289">
        <f>'दैनिक माहिती'!G175</f>
        <v>0</v>
      </c>
      <c r="GW22" s="290">
        <f t="shared" si="145"/>
        <v>0</v>
      </c>
      <c r="GX22" s="290">
        <f t="shared" si="146"/>
        <v>0</v>
      </c>
      <c r="GY22" s="290">
        <f t="shared" si="147"/>
        <v>0</v>
      </c>
      <c r="GZ22" s="290">
        <f t="shared" si="148"/>
        <v>0</v>
      </c>
      <c r="HA22" s="290">
        <f t="shared" si="149"/>
        <v>0</v>
      </c>
      <c r="HB22" s="290">
        <f t="shared" si="150"/>
        <v>0</v>
      </c>
      <c r="HC22" s="290">
        <f t="shared" si="151"/>
        <v>0</v>
      </c>
      <c r="HD22" s="290">
        <f t="shared" si="152"/>
        <v>0</v>
      </c>
      <c r="HE22" s="290">
        <f t="shared" si="153"/>
        <v>0</v>
      </c>
      <c r="HF22" s="290">
        <f t="shared" si="154"/>
        <v>0</v>
      </c>
      <c r="HG22" s="290">
        <f t="shared" si="155"/>
        <v>0</v>
      </c>
      <c r="HH22" s="290">
        <f t="shared" si="156"/>
        <v>0</v>
      </c>
      <c r="HI22" s="290">
        <f t="shared" si="157"/>
        <v>0</v>
      </c>
      <c r="HJ22" s="290">
        <f t="shared" si="158"/>
        <v>0</v>
      </c>
      <c r="HK22" s="290">
        <f t="shared" si="159"/>
        <v>0</v>
      </c>
      <c r="HL22" s="290">
        <f t="shared" si="160"/>
        <v>0</v>
      </c>
      <c r="HM22" s="290">
        <f t="shared" si="161"/>
        <v>0</v>
      </c>
      <c r="HN22" s="290">
        <f t="shared" si="162"/>
        <v>0</v>
      </c>
      <c r="HO22" s="291">
        <f t="shared" si="163"/>
        <v>0</v>
      </c>
      <c r="HP22" s="291">
        <f t="shared" si="164"/>
        <v>0</v>
      </c>
      <c r="HQ22" s="291">
        <f t="shared" si="165"/>
        <v>0</v>
      </c>
      <c r="HR22" s="292">
        <f t="shared" si="166"/>
        <v>0</v>
      </c>
      <c r="HS22" s="999">
        <v>9</v>
      </c>
      <c r="HT22" s="286">
        <f t="shared" si="305"/>
        <v>44113</v>
      </c>
      <c r="HU22" s="293">
        <f t="shared" si="29"/>
        <v>44113</v>
      </c>
      <c r="HV22" s="288">
        <f>'दैनिक माहिती'!H206</f>
        <v>0</v>
      </c>
      <c r="HW22" s="289">
        <f>'दैनिक माहिती'!E206</f>
        <v>0</v>
      </c>
      <c r="HX22" s="289">
        <f>'दैनिक माहिती'!F206</f>
        <v>0</v>
      </c>
      <c r="HY22" s="289">
        <f>'दैनिक माहिती'!G206</f>
        <v>0</v>
      </c>
      <c r="HZ22" s="290">
        <f t="shared" si="167"/>
        <v>0</v>
      </c>
      <c r="IA22" s="290">
        <f t="shared" si="168"/>
        <v>0</v>
      </c>
      <c r="IB22" s="290">
        <f t="shared" si="169"/>
        <v>0</v>
      </c>
      <c r="IC22" s="290">
        <f t="shared" si="170"/>
        <v>0</v>
      </c>
      <c r="ID22" s="290">
        <f t="shared" si="171"/>
        <v>0</v>
      </c>
      <c r="IE22" s="290">
        <f t="shared" si="172"/>
        <v>0</v>
      </c>
      <c r="IF22" s="290">
        <f t="shared" si="173"/>
        <v>0</v>
      </c>
      <c r="IG22" s="290">
        <f t="shared" si="174"/>
        <v>0</v>
      </c>
      <c r="IH22" s="290">
        <f t="shared" si="175"/>
        <v>0</v>
      </c>
      <c r="II22" s="290">
        <f t="shared" si="176"/>
        <v>0</v>
      </c>
      <c r="IJ22" s="290">
        <f t="shared" si="177"/>
        <v>0</v>
      </c>
      <c r="IK22" s="290">
        <f t="shared" si="178"/>
        <v>0</v>
      </c>
      <c r="IL22" s="290">
        <f t="shared" si="179"/>
        <v>0</v>
      </c>
      <c r="IM22" s="290">
        <f t="shared" si="180"/>
        <v>0</v>
      </c>
      <c r="IN22" s="290">
        <f t="shared" si="181"/>
        <v>0</v>
      </c>
      <c r="IO22" s="290">
        <f t="shared" si="182"/>
        <v>0</v>
      </c>
      <c r="IP22" s="290">
        <f t="shared" si="183"/>
        <v>0</v>
      </c>
      <c r="IQ22" s="290">
        <f t="shared" si="184"/>
        <v>0</v>
      </c>
      <c r="IR22" s="291">
        <f t="shared" si="185"/>
        <v>0</v>
      </c>
      <c r="IS22" s="291">
        <f t="shared" si="186"/>
        <v>0</v>
      </c>
      <c r="IT22" s="291">
        <f t="shared" si="187"/>
        <v>0</v>
      </c>
      <c r="IU22" s="292">
        <f t="shared" si="188"/>
        <v>0</v>
      </c>
      <c r="IV22" s="999">
        <v>9</v>
      </c>
      <c r="IW22" s="286">
        <f t="shared" si="306"/>
        <v>44144</v>
      </c>
      <c r="IX22" s="293">
        <f t="shared" si="30"/>
        <v>44144</v>
      </c>
      <c r="IY22" s="288" t="str">
        <f>'दैनिक माहिती'!H238</f>
        <v>वाटाणा</v>
      </c>
      <c r="IZ22" s="289">
        <f>'दैनिक माहिती'!E238</f>
        <v>22</v>
      </c>
      <c r="JA22" s="289">
        <f>'दैनिक माहिती'!F238</f>
        <v>22</v>
      </c>
      <c r="JB22" s="289">
        <f>'दैनिक माहिती'!G238</f>
        <v>22</v>
      </c>
      <c r="JC22" s="290">
        <f t="shared" si="189"/>
        <v>2.2000000000000002</v>
      </c>
      <c r="JD22" s="290">
        <f t="shared" si="190"/>
        <v>0</v>
      </c>
      <c r="JE22" s="290">
        <f t="shared" si="191"/>
        <v>0</v>
      </c>
      <c r="JF22" s="290">
        <f t="shared" si="192"/>
        <v>0</v>
      </c>
      <c r="JG22" s="290">
        <f t="shared" si="193"/>
        <v>0</v>
      </c>
      <c r="JH22" s="290">
        <f t="shared" si="194"/>
        <v>0</v>
      </c>
      <c r="JI22" s="290">
        <f t="shared" si="195"/>
        <v>0</v>
      </c>
      <c r="JJ22" s="290">
        <f t="shared" si="196"/>
        <v>0</v>
      </c>
      <c r="JK22" s="290">
        <f t="shared" si="197"/>
        <v>0.44</v>
      </c>
      <c r="JL22" s="290">
        <f t="shared" si="198"/>
        <v>6.5999999999999991E-3</v>
      </c>
      <c r="JM22" s="290">
        <f t="shared" si="199"/>
        <v>1.0999999999999999E-2</v>
      </c>
      <c r="JN22" s="290">
        <f t="shared" si="200"/>
        <v>6.5999999999999991E-3</v>
      </c>
      <c r="JO22" s="290">
        <f t="shared" si="201"/>
        <v>0</v>
      </c>
      <c r="JP22" s="290">
        <f t="shared" si="202"/>
        <v>0</v>
      </c>
      <c r="JQ22" s="290">
        <f t="shared" si="203"/>
        <v>0.11</v>
      </c>
      <c r="JR22" s="290">
        <f t="shared" si="204"/>
        <v>4.3999999999999997E-2</v>
      </c>
      <c r="JS22" s="290">
        <f t="shared" si="205"/>
        <v>2.6399999999999996E-2</v>
      </c>
      <c r="JT22" s="290">
        <f t="shared" si="206"/>
        <v>0</v>
      </c>
      <c r="JU22" s="291">
        <f t="shared" si="207"/>
        <v>15.62</v>
      </c>
      <c r="JV22" s="291">
        <f t="shared" si="208"/>
        <v>17.380000000000003</v>
      </c>
      <c r="JW22" s="291">
        <f t="shared" si="209"/>
        <v>12.76</v>
      </c>
      <c r="JX22" s="292">
        <f t="shared" si="210"/>
        <v>63.14</v>
      </c>
      <c r="JY22" s="999">
        <v>9</v>
      </c>
      <c r="JZ22" s="286">
        <f t="shared" si="307"/>
        <v>44174</v>
      </c>
      <c r="KA22" s="293">
        <f t="shared" si="31"/>
        <v>44174</v>
      </c>
      <c r="KB22" s="288" t="str">
        <f>'दैनिक माहिती'!H269</f>
        <v>वाटाणा</v>
      </c>
      <c r="KC22" s="289">
        <f>'दैनिक माहिती'!E269</f>
        <v>21</v>
      </c>
      <c r="KD22" s="289">
        <f>'दैनिक माहिती'!F269</f>
        <v>21</v>
      </c>
      <c r="KE22" s="289">
        <f>'दैनिक माहिती'!G269</f>
        <v>21</v>
      </c>
      <c r="KF22" s="290">
        <f t="shared" si="211"/>
        <v>2.1</v>
      </c>
      <c r="KG22" s="290">
        <f t="shared" si="212"/>
        <v>0</v>
      </c>
      <c r="KH22" s="290">
        <f t="shared" si="213"/>
        <v>0</v>
      </c>
      <c r="KI22" s="290">
        <f t="shared" si="214"/>
        <v>0</v>
      </c>
      <c r="KJ22" s="290">
        <f t="shared" si="215"/>
        <v>0</v>
      </c>
      <c r="KK22" s="290">
        <f t="shared" si="216"/>
        <v>0</v>
      </c>
      <c r="KL22" s="290">
        <f t="shared" si="217"/>
        <v>0</v>
      </c>
      <c r="KM22" s="290">
        <f t="shared" si="218"/>
        <v>0</v>
      </c>
      <c r="KN22" s="290">
        <f t="shared" si="219"/>
        <v>0.42</v>
      </c>
      <c r="KO22" s="290">
        <f t="shared" si="220"/>
        <v>6.2999999999999992E-3</v>
      </c>
      <c r="KP22" s="290">
        <f t="shared" si="221"/>
        <v>1.0500000000000001E-2</v>
      </c>
      <c r="KQ22" s="290">
        <f t="shared" si="222"/>
        <v>6.2999999999999992E-3</v>
      </c>
      <c r="KR22" s="290">
        <f t="shared" si="223"/>
        <v>0</v>
      </c>
      <c r="KS22" s="290">
        <f t="shared" si="224"/>
        <v>0</v>
      </c>
      <c r="KT22" s="290">
        <f t="shared" si="225"/>
        <v>0.105</v>
      </c>
      <c r="KU22" s="290">
        <f t="shared" si="226"/>
        <v>4.2000000000000003E-2</v>
      </c>
      <c r="KV22" s="290">
        <f t="shared" si="227"/>
        <v>2.5199999999999997E-2</v>
      </c>
      <c r="KW22" s="290">
        <f t="shared" si="228"/>
        <v>0</v>
      </c>
      <c r="KX22" s="291">
        <f t="shared" si="229"/>
        <v>14.91</v>
      </c>
      <c r="KY22" s="291">
        <f t="shared" si="230"/>
        <v>16.59</v>
      </c>
      <c r="KZ22" s="291">
        <f t="shared" si="231"/>
        <v>12.18</v>
      </c>
      <c r="LA22" s="292">
        <f t="shared" si="232"/>
        <v>60.27</v>
      </c>
      <c r="LB22" s="999">
        <v>9</v>
      </c>
      <c r="LC22" s="286">
        <f t="shared" si="308"/>
        <v>44205</v>
      </c>
      <c r="LD22" s="293">
        <f t="shared" si="32"/>
        <v>44205</v>
      </c>
      <c r="LE22" s="288">
        <f>'दैनिक माहिती'!H301</f>
        <v>0</v>
      </c>
      <c r="LF22" s="289">
        <f>'दैनिक माहिती'!E301</f>
        <v>0</v>
      </c>
      <c r="LG22" s="289">
        <f>'दैनिक माहिती'!F301</f>
        <v>0</v>
      </c>
      <c r="LH22" s="289">
        <f>'दैनिक माहिती'!G301</f>
        <v>0</v>
      </c>
      <c r="LI22" s="290">
        <f t="shared" si="233"/>
        <v>0</v>
      </c>
      <c r="LJ22" s="290">
        <f t="shared" si="234"/>
        <v>0</v>
      </c>
      <c r="LK22" s="290">
        <f t="shared" si="235"/>
        <v>0</v>
      </c>
      <c r="LL22" s="290">
        <f t="shared" si="236"/>
        <v>0</v>
      </c>
      <c r="LM22" s="290">
        <f t="shared" si="237"/>
        <v>0</v>
      </c>
      <c r="LN22" s="290">
        <f t="shared" si="238"/>
        <v>0</v>
      </c>
      <c r="LO22" s="290">
        <f t="shared" si="239"/>
        <v>0</v>
      </c>
      <c r="LP22" s="290">
        <f t="shared" si="240"/>
        <v>0</v>
      </c>
      <c r="LQ22" s="290">
        <f t="shared" si="241"/>
        <v>0</v>
      </c>
      <c r="LR22" s="290">
        <f t="shared" si="242"/>
        <v>0</v>
      </c>
      <c r="LS22" s="290">
        <f t="shared" si="243"/>
        <v>0</v>
      </c>
      <c r="LT22" s="290">
        <f t="shared" si="244"/>
        <v>0</v>
      </c>
      <c r="LU22" s="290">
        <f t="shared" si="245"/>
        <v>0</v>
      </c>
      <c r="LV22" s="290">
        <f t="shared" si="246"/>
        <v>0</v>
      </c>
      <c r="LW22" s="290">
        <f t="shared" si="247"/>
        <v>0</v>
      </c>
      <c r="LX22" s="290">
        <f t="shared" si="248"/>
        <v>0</v>
      </c>
      <c r="LY22" s="290">
        <f t="shared" si="249"/>
        <v>0</v>
      </c>
      <c r="LZ22" s="290">
        <f t="shared" si="250"/>
        <v>0</v>
      </c>
      <c r="MA22" s="291">
        <f t="shared" si="251"/>
        <v>0</v>
      </c>
      <c r="MB22" s="291">
        <f t="shared" si="252"/>
        <v>0</v>
      </c>
      <c r="MC22" s="291">
        <f t="shared" si="253"/>
        <v>0</v>
      </c>
      <c r="MD22" s="292">
        <f t="shared" si="254"/>
        <v>0</v>
      </c>
      <c r="ME22" s="999">
        <v>9</v>
      </c>
      <c r="MF22" s="286">
        <f t="shared" si="309"/>
        <v>44236</v>
      </c>
      <c r="MG22" s="293">
        <f t="shared" si="33"/>
        <v>44236</v>
      </c>
      <c r="MH22" s="288">
        <f>'दैनिक माहिती'!H333</f>
        <v>0</v>
      </c>
      <c r="MI22" s="289">
        <f>'दैनिक माहिती'!E333</f>
        <v>0</v>
      </c>
      <c r="MJ22" s="289">
        <f>'दैनिक माहिती'!F333</f>
        <v>0</v>
      </c>
      <c r="MK22" s="289">
        <f>'दैनिक माहिती'!G333</f>
        <v>0</v>
      </c>
      <c r="ML22" s="290">
        <f t="shared" si="255"/>
        <v>0</v>
      </c>
      <c r="MM22" s="290">
        <f t="shared" si="256"/>
        <v>0</v>
      </c>
      <c r="MN22" s="290">
        <f t="shared" si="257"/>
        <v>0</v>
      </c>
      <c r="MO22" s="290">
        <f t="shared" si="258"/>
        <v>0</v>
      </c>
      <c r="MP22" s="290">
        <f t="shared" si="259"/>
        <v>0</v>
      </c>
      <c r="MQ22" s="290">
        <f t="shared" si="260"/>
        <v>0</v>
      </c>
      <c r="MR22" s="290">
        <f t="shared" si="261"/>
        <v>0</v>
      </c>
      <c r="MS22" s="290">
        <f t="shared" si="262"/>
        <v>0</v>
      </c>
      <c r="MT22" s="290">
        <f t="shared" si="263"/>
        <v>0</v>
      </c>
      <c r="MU22" s="290">
        <f t="shared" si="264"/>
        <v>0</v>
      </c>
      <c r="MV22" s="290">
        <f t="shared" si="265"/>
        <v>0</v>
      </c>
      <c r="MW22" s="290">
        <f t="shared" si="266"/>
        <v>0</v>
      </c>
      <c r="MX22" s="290">
        <f t="shared" si="267"/>
        <v>0</v>
      </c>
      <c r="MY22" s="290">
        <f t="shared" si="268"/>
        <v>0</v>
      </c>
      <c r="MZ22" s="290">
        <f t="shared" si="269"/>
        <v>0</v>
      </c>
      <c r="NA22" s="290">
        <f t="shared" si="270"/>
        <v>0</v>
      </c>
      <c r="NB22" s="290">
        <f t="shared" si="271"/>
        <v>0</v>
      </c>
      <c r="NC22" s="290">
        <f t="shared" si="272"/>
        <v>0</v>
      </c>
      <c r="ND22" s="291">
        <f t="shared" si="273"/>
        <v>0</v>
      </c>
      <c r="NE22" s="291">
        <f t="shared" si="274"/>
        <v>0</v>
      </c>
      <c r="NF22" s="291">
        <f t="shared" si="275"/>
        <v>0</v>
      </c>
      <c r="NG22" s="292">
        <f t="shared" si="276"/>
        <v>0</v>
      </c>
      <c r="NH22" s="999">
        <v>9</v>
      </c>
      <c r="NI22" s="286">
        <f t="shared" si="310"/>
        <v>44264</v>
      </c>
      <c r="NJ22" s="293">
        <f t="shared" si="34"/>
        <v>44264</v>
      </c>
      <c r="NK22" s="288">
        <f>'दैनिक माहिती'!H363</f>
        <v>0</v>
      </c>
      <c r="NL22" s="289">
        <f>'दैनिक माहिती'!E363</f>
        <v>0</v>
      </c>
      <c r="NM22" s="289">
        <f>'दैनिक माहिती'!F363</f>
        <v>0</v>
      </c>
      <c r="NN22" s="289">
        <f>'दैनिक माहिती'!G363</f>
        <v>0</v>
      </c>
      <c r="NO22" s="290">
        <f t="shared" si="277"/>
        <v>0</v>
      </c>
      <c r="NP22" s="290">
        <f t="shared" si="278"/>
        <v>0</v>
      </c>
      <c r="NQ22" s="290">
        <f t="shared" si="279"/>
        <v>0</v>
      </c>
      <c r="NR22" s="290">
        <f t="shared" si="280"/>
        <v>0</v>
      </c>
      <c r="NS22" s="290">
        <f t="shared" si="281"/>
        <v>0</v>
      </c>
      <c r="NT22" s="290">
        <f t="shared" si="282"/>
        <v>0</v>
      </c>
      <c r="NU22" s="290">
        <f t="shared" si="283"/>
        <v>0</v>
      </c>
      <c r="NV22" s="290">
        <f t="shared" si="284"/>
        <v>0</v>
      </c>
      <c r="NW22" s="290">
        <f t="shared" si="285"/>
        <v>0</v>
      </c>
      <c r="NX22" s="290">
        <f t="shared" si="286"/>
        <v>0</v>
      </c>
      <c r="NY22" s="290">
        <f t="shared" si="287"/>
        <v>0</v>
      </c>
      <c r="NZ22" s="290">
        <f t="shared" si="288"/>
        <v>0</v>
      </c>
      <c r="OA22" s="290">
        <f t="shared" si="289"/>
        <v>0</v>
      </c>
      <c r="OB22" s="290">
        <f t="shared" si="290"/>
        <v>0</v>
      </c>
      <c r="OC22" s="290">
        <f t="shared" si="291"/>
        <v>0</v>
      </c>
      <c r="OD22" s="290">
        <f t="shared" si="292"/>
        <v>0</v>
      </c>
      <c r="OE22" s="290">
        <f t="shared" si="293"/>
        <v>0</v>
      </c>
      <c r="OF22" s="290">
        <f t="shared" si="294"/>
        <v>0</v>
      </c>
      <c r="OG22" s="291">
        <f t="shared" si="295"/>
        <v>0</v>
      </c>
      <c r="OH22" s="291">
        <f t="shared" si="296"/>
        <v>0</v>
      </c>
      <c r="OI22" s="291">
        <f t="shared" si="297"/>
        <v>0</v>
      </c>
      <c r="OJ22" s="292">
        <f t="shared" si="298"/>
        <v>0</v>
      </c>
    </row>
    <row r="23" spans="2:400" ht="29.25" customHeight="1" x14ac:dyDescent="0.4">
      <c r="B23" s="1019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1012"/>
      <c r="BA23" s="999">
        <v>10</v>
      </c>
      <c r="BB23" s="286">
        <f t="shared" si="299"/>
        <v>43931</v>
      </c>
      <c r="BC23" s="287">
        <f t="shared" si="23"/>
        <v>43931</v>
      </c>
      <c r="BD23" s="288">
        <f>'दैनिक माहिती'!H18</f>
        <v>0</v>
      </c>
      <c r="BE23" s="289">
        <f>'दैनिक माहिती'!E18</f>
        <v>0</v>
      </c>
      <c r="BF23" s="289">
        <f>'दैनिक माहिती'!F18</f>
        <v>0</v>
      </c>
      <c r="BG23" s="289">
        <f>'दैनिक माहिती'!G18</f>
        <v>0</v>
      </c>
      <c r="BH23" s="290">
        <f t="shared" si="35"/>
        <v>0</v>
      </c>
      <c r="BI23" s="290">
        <f t="shared" si="36"/>
        <v>0</v>
      </c>
      <c r="BJ23" s="290">
        <f t="shared" si="37"/>
        <v>0</v>
      </c>
      <c r="BK23" s="290">
        <f t="shared" si="38"/>
        <v>0</v>
      </c>
      <c r="BL23" s="290">
        <f t="shared" si="39"/>
        <v>0</v>
      </c>
      <c r="BM23" s="290">
        <f t="shared" si="40"/>
        <v>0</v>
      </c>
      <c r="BN23" s="290">
        <f t="shared" si="41"/>
        <v>0</v>
      </c>
      <c r="BO23" s="290">
        <f t="shared" si="42"/>
        <v>0</v>
      </c>
      <c r="BP23" s="290">
        <f t="shared" si="43"/>
        <v>0</v>
      </c>
      <c r="BQ23" s="290">
        <f t="shared" si="44"/>
        <v>0</v>
      </c>
      <c r="BR23" s="290">
        <f t="shared" si="45"/>
        <v>0</v>
      </c>
      <c r="BS23" s="290">
        <f t="shared" si="46"/>
        <v>0</v>
      </c>
      <c r="BT23" s="290">
        <f t="shared" si="47"/>
        <v>0</v>
      </c>
      <c r="BU23" s="290">
        <f t="shared" si="48"/>
        <v>0</v>
      </c>
      <c r="BV23" s="290">
        <f t="shared" si="49"/>
        <v>0</v>
      </c>
      <c r="BW23" s="290">
        <f t="shared" si="50"/>
        <v>0</v>
      </c>
      <c r="BX23" s="290">
        <f t="shared" si="51"/>
        <v>0</v>
      </c>
      <c r="BY23" s="290">
        <f t="shared" si="52"/>
        <v>0</v>
      </c>
      <c r="BZ23" s="291">
        <f t="shared" si="53"/>
        <v>0</v>
      </c>
      <c r="CA23" s="291">
        <f t="shared" si="54"/>
        <v>0</v>
      </c>
      <c r="CB23" s="291">
        <f t="shared" si="55"/>
        <v>0</v>
      </c>
      <c r="CC23" s="292">
        <f t="shared" si="56"/>
        <v>0</v>
      </c>
      <c r="CD23" s="999">
        <v>10</v>
      </c>
      <c r="CE23" s="286">
        <f t="shared" si="300"/>
        <v>43961</v>
      </c>
      <c r="CF23" s="287">
        <f t="shared" si="24"/>
        <v>43961</v>
      </c>
      <c r="CG23" s="288">
        <f>'दैनिक माहिती'!H49</f>
        <v>0</v>
      </c>
      <c r="CH23" s="289">
        <f>'दैनिक माहिती'!E49</f>
        <v>0</v>
      </c>
      <c r="CI23" s="289">
        <f>'दैनिक माहिती'!F49</f>
        <v>0</v>
      </c>
      <c r="CJ23" s="289">
        <f>'दैनिक माहिती'!G49</f>
        <v>0</v>
      </c>
      <c r="CK23" s="290">
        <f t="shared" si="57"/>
        <v>0</v>
      </c>
      <c r="CL23" s="290">
        <f t="shared" si="58"/>
        <v>0</v>
      </c>
      <c r="CM23" s="290">
        <f t="shared" si="59"/>
        <v>0</v>
      </c>
      <c r="CN23" s="290">
        <f t="shared" si="60"/>
        <v>0</v>
      </c>
      <c r="CO23" s="290">
        <f t="shared" si="61"/>
        <v>0</v>
      </c>
      <c r="CP23" s="290">
        <f t="shared" si="62"/>
        <v>0</v>
      </c>
      <c r="CQ23" s="290">
        <f t="shared" si="63"/>
        <v>0</v>
      </c>
      <c r="CR23" s="290">
        <f t="shared" si="64"/>
        <v>0</v>
      </c>
      <c r="CS23" s="290">
        <f t="shared" si="65"/>
        <v>0</v>
      </c>
      <c r="CT23" s="290">
        <f t="shared" si="66"/>
        <v>0</v>
      </c>
      <c r="CU23" s="290">
        <f t="shared" si="67"/>
        <v>0</v>
      </c>
      <c r="CV23" s="290">
        <f t="shared" si="68"/>
        <v>0</v>
      </c>
      <c r="CW23" s="290">
        <f t="shared" si="69"/>
        <v>0</v>
      </c>
      <c r="CX23" s="290">
        <f t="shared" si="70"/>
        <v>0</v>
      </c>
      <c r="CY23" s="290">
        <f t="shared" si="71"/>
        <v>0</v>
      </c>
      <c r="CZ23" s="290">
        <f t="shared" si="72"/>
        <v>0</v>
      </c>
      <c r="DA23" s="290">
        <f t="shared" si="73"/>
        <v>0</v>
      </c>
      <c r="DB23" s="290">
        <f t="shared" si="74"/>
        <v>0</v>
      </c>
      <c r="DC23" s="291">
        <f t="shared" si="75"/>
        <v>0</v>
      </c>
      <c r="DD23" s="291">
        <f t="shared" si="76"/>
        <v>0</v>
      </c>
      <c r="DE23" s="291">
        <f t="shared" si="77"/>
        <v>0</v>
      </c>
      <c r="DF23" s="292">
        <f t="shared" si="78"/>
        <v>0</v>
      </c>
      <c r="DG23" s="999">
        <v>10</v>
      </c>
      <c r="DH23" s="286">
        <f t="shared" si="301"/>
        <v>43992</v>
      </c>
      <c r="DI23" s="287">
        <f t="shared" si="25"/>
        <v>43992</v>
      </c>
      <c r="DJ23" s="288">
        <f>'दैनिक माहिती'!H81</f>
        <v>0</v>
      </c>
      <c r="DK23" s="289">
        <f>'दैनिक माहिती'!E81</f>
        <v>0</v>
      </c>
      <c r="DL23" s="289">
        <f>'दैनिक माहिती'!F81</f>
        <v>0</v>
      </c>
      <c r="DM23" s="289">
        <f>'दैनिक माहिती'!G81</f>
        <v>0</v>
      </c>
      <c r="DN23" s="290">
        <f t="shared" si="79"/>
        <v>0</v>
      </c>
      <c r="DO23" s="290">
        <f t="shared" si="80"/>
        <v>0</v>
      </c>
      <c r="DP23" s="290">
        <f t="shared" si="81"/>
        <v>0</v>
      </c>
      <c r="DQ23" s="290">
        <f t="shared" si="82"/>
        <v>0</v>
      </c>
      <c r="DR23" s="290">
        <f t="shared" si="83"/>
        <v>0</v>
      </c>
      <c r="DS23" s="290">
        <f t="shared" si="84"/>
        <v>0</v>
      </c>
      <c r="DT23" s="290">
        <f t="shared" si="85"/>
        <v>0</v>
      </c>
      <c r="DU23" s="290">
        <f t="shared" si="86"/>
        <v>0</v>
      </c>
      <c r="DV23" s="290">
        <f t="shared" si="87"/>
        <v>0</v>
      </c>
      <c r="DW23" s="290">
        <f t="shared" si="88"/>
        <v>0</v>
      </c>
      <c r="DX23" s="290">
        <f t="shared" si="89"/>
        <v>0</v>
      </c>
      <c r="DY23" s="290">
        <f t="shared" si="90"/>
        <v>0</v>
      </c>
      <c r="DZ23" s="290">
        <f t="shared" si="91"/>
        <v>0</v>
      </c>
      <c r="EA23" s="290">
        <f t="shared" si="92"/>
        <v>0</v>
      </c>
      <c r="EB23" s="290">
        <f t="shared" si="93"/>
        <v>0</v>
      </c>
      <c r="EC23" s="290">
        <f t="shared" si="94"/>
        <v>0</v>
      </c>
      <c r="ED23" s="290">
        <f t="shared" si="95"/>
        <v>0</v>
      </c>
      <c r="EE23" s="290">
        <f t="shared" si="96"/>
        <v>0</v>
      </c>
      <c r="EF23" s="291">
        <f t="shared" si="97"/>
        <v>0</v>
      </c>
      <c r="EG23" s="291">
        <f t="shared" si="98"/>
        <v>0</v>
      </c>
      <c r="EH23" s="291">
        <f t="shared" si="99"/>
        <v>0</v>
      </c>
      <c r="EI23" s="292">
        <f t="shared" si="100"/>
        <v>0</v>
      </c>
      <c r="EJ23" s="999">
        <v>10</v>
      </c>
      <c r="EK23" s="286">
        <f t="shared" si="302"/>
        <v>44022</v>
      </c>
      <c r="EL23" s="287">
        <f t="shared" si="26"/>
        <v>44022</v>
      </c>
      <c r="EM23" s="288">
        <f>'दैनिक माहिती'!H112</f>
        <v>0</v>
      </c>
      <c r="EN23" s="289">
        <f>'दैनिक माहिती'!E112</f>
        <v>0</v>
      </c>
      <c r="EO23" s="289">
        <f>'दैनिक माहिती'!F112</f>
        <v>0</v>
      </c>
      <c r="EP23" s="289">
        <f>'दैनिक माहिती'!G112</f>
        <v>0</v>
      </c>
      <c r="EQ23" s="290">
        <f t="shared" si="101"/>
        <v>0</v>
      </c>
      <c r="ER23" s="290">
        <f t="shared" si="102"/>
        <v>0</v>
      </c>
      <c r="ES23" s="290">
        <f t="shared" si="103"/>
        <v>0</v>
      </c>
      <c r="ET23" s="290">
        <f t="shared" si="104"/>
        <v>0</v>
      </c>
      <c r="EU23" s="290">
        <f t="shared" si="105"/>
        <v>0</v>
      </c>
      <c r="EV23" s="290">
        <f t="shared" si="106"/>
        <v>0</v>
      </c>
      <c r="EW23" s="290">
        <f t="shared" si="107"/>
        <v>0</v>
      </c>
      <c r="EX23" s="290">
        <f t="shared" si="108"/>
        <v>0</v>
      </c>
      <c r="EY23" s="290">
        <f t="shared" si="109"/>
        <v>0</v>
      </c>
      <c r="EZ23" s="290">
        <f t="shared" si="110"/>
        <v>0</v>
      </c>
      <c r="FA23" s="290">
        <f t="shared" si="111"/>
        <v>0</v>
      </c>
      <c r="FB23" s="290">
        <f t="shared" si="112"/>
        <v>0</v>
      </c>
      <c r="FC23" s="290">
        <f t="shared" si="113"/>
        <v>0</v>
      </c>
      <c r="FD23" s="290">
        <f t="shared" si="114"/>
        <v>0</v>
      </c>
      <c r="FE23" s="290">
        <f t="shared" si="115"/>
        <v>0</v>
      </c>
      <c r="FF23" s="290">
        <f t="shared" si="116"/>
        <v>0</v>
      </c>
      <c r="FG23" s="290">
        <f t="shared" si="117"/>
        <v>0</v>
      </c>
      <c r="FH23" s="290">
        <f t="shared" si="118"/>
        <v>0</v>
      </c>
      <c r="FI23" s="291">
        <f t="shared" si="119"/>
        <v>0</v>
      </c>
      <c r="FJ23" s="291">
        <f t="shared" si="120"/>
        <v>0</v>
      </c>
      <c r="FK23" s="291">
        <f t="shared" si="121"/>
        <v>0</v>
      </c>
      <c r="FL23" s="292">
        <f t="shared" si="122"/>
        <v>0</v>
      </c>
      <c r="FM23" s="999">
        <v>10</v>
      </c>
      <c r="FN23" s="286">
        <f t="shared" si="303"/>
        <v>44053</v>
      </c>
      <c r="FO23" s="287">
        <f t="shared" si="27"/>
        <v>44053</v>
      </c>
      <c r="FP23" s="288" t="str">
        <f>'दैनिक माहिती'!H144</f>
        <v>वाटाणा</v>
      </c>
      <c r="FQ23" s="289">
        <f>'दैनिक माहिती'!E144</f>
        <v>15</v>
      </c>
      <c r="FR23" s="289">
        <f>'दैनिक माहिती'!F144</f>
        <v>15</v>
      </c>
      <c r="FS23" s="289">
        <f>'दैनिक माहिती'!G144</f>
        <v>15</v>
      </c>
      <c r="FT23" s="290">
        <f t="shared" si="123"/>
        <v>1.5</v>
      </c>
      <c r="FU23" s="290">
        <f t="shared" si="124"/>
        <v>0</v>
      </c>
      <c r="FV23" s="290">
        <f t="shared" si="125"/>
        <v>0</v>
      </c>
      <c r="FW23" s="290">
        <f t="shared" si="126"/>
        <v>0</v>
      </c>
      <c r="FX23" s="290">
        <f t="shared" si="127"/>
        <v>0</v>
      </c>
      <c r="FY23" s="290">
        <f t="shared" si="128"/>
        <v>0</v>
      </c>
      <c r="FZ23" s="290">
        <f t="shared" si="129"/>
        <v>0</v>
      </c>
      <c r="GA23" s="290">
        <f t="shared" si="130"/>
        <v>0</v>
      </c>
      <c r="GB23" s="290">
        <f t="shared" si="131"/>
        <v>0.3</v>
      </c>
      <c r="GC23" s="290">
        <f t="shared" si="132"/>
        <v>4.4999999999999997E-3</v>
      </c>
      <c r="GD23" s="290">
        <f t="shared" si="133"/>
        <v>7.4999999999999997E-3</v>
      </c>
      <c r="GE23" s="290">
        <f t="shared" si="134"/>
        <v>4.4999999999999997E-3</v>
      </c>
      <c r="GF23" s="290">
        <f t="shared" si="135"/>
        <v>0</v>
      </c>
      <c r="GG23" s="290">
        <f t="shared" si="136"/>
        <v>0</v>
      </c>
      <c r="GH23" s="290">
        <f t="shared" si="137"/>
        <v>7.4999999999999997E-2</v>
      </c>
      <c r="GI23" s="290">
        <f t="shared" si="138"/>
        <v>0.03</v>
      </c>
      <c r="GJ23" s="290">
        <f t="shared" si="139"/>
        <v>1.7999999999999999E-2</v>
      </c>
      <c r="GK23" s="290">
        <f t="shared" si="140"/>
        <v>0</v>
      </c>
      <c r="GL23" s="291">
        <f t="shared" si="141"/>
        <v>10.799999999999999</v>
      </c>
      <c r="GM23" s="291">
        <f t="shared" si="142"/>
        <v>9.6</v>
      </c>
      <c r="GN23" s="291">
        <f t="shared" si="143"/>
        <v>7.95</v>
      </c>
      <c r="GO23" s="292">
        <f t="shared" si="144"/>
        <v>40.200000000000003</v>
      </c>
      <c r="GP23" s="999">
        <v>10</v>
      </c>
      <c r="GQ23" s="286">
        <f t="shared" si="304"/>
        <v>44084</v>
      </c>
      <c r="GR23" s="287">
        <f t="shared" si="28"/>
        <v>44084</v>
      </c>
      <c r="GS23" s="288" t="str">
        <f>'दैनिक माहिती'!H176</f>
        <v>मुगडाळ</v>
      </c>
      <c r="GT23" s="289">
        <f>'दैनिक माहिती'!E176</f>
        <v>15</v>
      </c>
      <c r="GU23" s="289">
        <f>'दैनिक माहिती'!F176</f>
        <v>15</v>
      </c>
      <c r="GV23" s="289">
        <f>'दैनिक माहिती'!G176</f>
        <v>15</v>
      </c>
      <c r="GW23" s="290">
        <f t="shared" si="145"/>
        <v>1.5</v>
      </c>
      <c r="GX23" s="290">
        <f t="shared" si="146"/>
        <v>0.3</v>
      </c>
      <c r="GY23" s="290">
        <f t="shared" si="147"/>
        <v>0</v>
      </c>
      <c r="GZ23" s="290">
        <f t="shared" si="148"/>
        <v>0</v>
      </c>
      <c r="HA23" s="290">
        <f t="shared" si="149"/>
        <v>0</v>
      </c>
      <c r="HB23" s="290">
        <f t="shared" si="150"/>
        <v>0</v>
      </c>
      <c r="HC23" s="290">
        <f t="shared" si="151"/>
        <v>0</v>
      </c>
      <c r="HD23" s="290">
        <f t="shared" si="152"/>
        <v>0</v>
      </c>
      <c r="HE23" s="290">
        <f t="shared" si="153"/>
        <v>0</v>
      </c>
      <c r="HF23" s="290">
        <f t="shared" si="154"/>
        <v>4.4999999999999997E-3</v>
      </c>
      <c r="HG23" s="290">
        <f t="shared" si="155"/>
        <v>7.4999999999999997E-3</v>
      </c>
      <c r="HH23" s="290">
        <f t="shared" si="156"/>
        <v>4.4999999999999997E-3</v>
      </c>
      <c r="HI23" s="290">
        <f t="shared" si="157"/>
        <v>0</v>
      </c>
      <c r="HJ23" s="290">
        <f t="shared" si="158"/>
        <v>0</v>
      </c>
      <c r="HK23" s="290">
        <f t="shared" si="159"/>
        <v>7.4999999999999997E-2</v>
      </c>
      <c r="HL23" s="290">
        <f t="shared" si="160"/>
        <v>0.03</v>
      </c>
      <c r="HM23" s="290">
        <f t="shared" si="161"/>
        <v>1.7999999999999999E-2</v>
      </c>
      <c r="HN23" s="290">
        <f t="shared" si="162"/>
        <v>0</v>
      </c>
      <c r="HO23" s="291">
        <f t="shared" si="163"/>
        <v>10.799999999999999</v>
      </c>
      <c r="HP23" s="291">
        <f t="shared" si="164"/>
        <v>9.6</v>
      </c>
      <c r="HQ23" s="291">
        <f t="shared" si="165"/>
        <v>7.95</v>
      </c>
      <c r="HR23" s="292">
        <f t="shared" si="166"/>
        <v>40.200000000000003</v>
      </c>
      <c r="HS23" s="999">
        <v>10</v>
      </c>
      <c r="HT23" s="286">
        <f t="shared" si="305"/>
        <v>44114</v>
      </c>
      <c r="HU23" s="287">
        <f t="shared" si="29"/>
        <v>44114</v>
      </c>
      <c r="HV23" s="288" t="str">
        <f>'दैनिक माहिती'!H207</f>
        <v>मुगडाळ</v>
      </c>
      <c r="HW23" s="289">
        <f>'दैनिक माहिती'!E207</f>
        <v>22</v>
      </c>
      <c r="HX23" s="289">
        <f>'दैनिक माहिती'!F207</f>
        <v>22</v>
      </c>
      <c r="HY23" s="289">
        <f>'दैनिक माहिती'!G207</f>
        <v>22</v>
      </c>
      <c r="HZ23" s="290">
        <f t="shared" si="167"/>
        <v>2.2000000000000002</v>
      </c>
      <c r="IA23" s="290">
        <f t="shared" si="168"/>
        <v>0.44</v>
      </c>
      <c r="IB23" s="290">
        <f t="shared" si="169"/>
        <v>0</v>
      </c>
      <c r="IC23" s="290">
        <f t="shared" si="170"/>
        <v>0</v>
      </c>
      <c r="ID23" s="290">
        <f t="shared" si="171"/>
        <v>0</v>
      </c>
      <c r="IE23" s="290">
        <f t="shared" si="172"/>
        <v>0</v>
      </c>
      <c r="IF23" s="290">
        <f t="shared" si="173"/>
        <v>0</v>
      </c>
      <c r="IG23" s="290">
        <f t="shared" si="174"/>
        <v>0</v>
      </c>
      <c r="IH23" s="290">
        <f t="shared" si="175"/>
        <v>0</v>
      </c>
      <c r="II23" s="290">
        <f t="shared" si="176"/>
        <v>6.5999999999999991E-3</v>
      </c>
      <c r="IJ23" s="290">
        <f t="shared" si="177"/>
        <v>1.0999999999999999E-2</v>
      </c>
      <c r="IK23" s="290">
        <f t="shared" si="178"/>
        <v>6.5999999999999991E-3</v>
      </c>
      <c r="IL23" s="290">
        <f t="shared" si="179"/>
        <v>0</v>
      </c>
      <c r="IM23" s="290">
        <f t="shared" si="180"/>
        <v>0</v>
      </c>
      <c r="IN23" s="290">
        <f t="shared" si="181"/>
        <v>0.11</v>
      </c>
      <c r="IO23" s="290">
        <f t="shared" si="182"/>
        <v>4.3999999999999997E-2</v>
      </c>
      <c r="IP23" s="290">
        <f t="shared" si="183"/>
        <v>2.6399999999999996E-2</v>
      </c>
      <c r="IQ23" s="290">
        <f t="shared" si="184"/>
        <v>0</v>
      </c>
      <c r="IR23" s="291">
        <f t="shared" si="185"/>
        <v>15.62</v>
      </c>
      <c r="IS23" s="291">
        <f t="shared" si="186"/>
        <v>17.380000000000003</v>
      </c>
      <c r="IT23" s="291">
        <f t="shared" si="187"/>
        <v>12.76</v>
      </c>
      <c r="IU23" s="292">
        <f t="shared" si="188"/>
        <v>63.14</v>
      </c>
      <c r="IV23" s="999">
        <v>10</v>
      </c>
      <c r="IW23" s="286">
        <f t="shared" si="306"/>
        <v>44145</v>
      </c>
      <c r="IX23" s="287">
        <f t="shared" si="30"/>
        <v>44145</v>
      </c>
      <c r="IY23" s="288" t="str">
        <f>'दैनिक माहिती'!H239</f>
        <v>हरभरा</v>
      </c>
      <c r="IZ23" s="289">
        <f>'दैनिक माहिती'!E239</f>
        <v>22</v>
      </c>
      <c r="JA23" s="289">
        <f>'दैनिक माहिती'!F239</f>
        <v>22</v>
      </c>
      <c r="JB23" s="289">
        <f>'दैनिक माहिती'!G239</f>
        <v>22</v>
      </c>
      <c r="JC23" s="290">
        <f t="shared" si="189"/>
        <v>2.2000000000000002</v>
      </c>
      <c r="JD23" s="290">
        <f t="shared" si="190"/>
        <v>0</v>
      </c>
      <c r="JE23" s="290">
        <f t="shared" si="191"/>
        <v>0</v>
      </c>
      <c r="JF23" s="290">
        <f t="shared" si="192"/>
        <v>0</v>
      </c>
      <c r="JG23" s="290">
        <f t="shared" si="193"/>
        <v>0</v>
      </c>
      <c r="JH23" s="290">
        <f t="shared" si="194"/>
        <v>0</v>
      </c>
      <c r="JI23" s="290">
        <f t="shared" si="195"/>
        <v>0</v>
      </c>
      <c r="JJ23" s="290">
        <f t="shared" si="196"/>
        <v>0.44</v>
      </c>
      <c r="JK23" s="290">
        <f t="shared" si="197"/>
        <v>0</v>
      </c>
      <c r="JL23" s="290">
        <f t="shared" si="198"/>
        <v>6.5999999999999991E-3</v>
      </c>
      <c r="JM23" s="290">
        <f t="shared" si="199"/>
        <v>1.0999999999999999E-2</v>
      </c>
      <c r="JN23" s="290">
        <f t="shared" si="200"/>
        <v>6.5999999999999991E-3</v>
      </c>
      <c r="JO23" s="290">
        <f t="shared" si="201"/>
        <v>0</v>
      </c>
      <c r="JP23" s="290">
        <f t="shared" si="202"/>
        <v>0</v>
      </c>
      <c r="JQ23" s="290">
        <f t="shared" si="203"/>
        <v>0.11</v>
      </c>
      <c r="JR23" s="290">
        <f t="shared" si="204"/>
        <v>4.3999999999999997E-2</v>
      </c>
      <c r="JS23" s="290">
        <f t="shared" si="205"/>
        <v>2.6399999999999996E-2</v>
      </c>
      <c r="JT23" s="290">
        <f t="shared" si="206"/>
        <v>0</v>
      </c>
      <c r="JU23" s="291">
        <f t="shared" si="207"/>
        <v>15.62</v>
      </c>
      <c r="JV23" s="291">
        <f t="shared" si="208"/>
        <v>17.380000000000003</v>
      </c>
      <c r="JW23" s="291">
        <f t="shared" si="209"/>
        <v>12.76</v>
      </c>
      <c r="JX23" s="292">
        <f t="shared" si="210"/>
        <v>63.14</v>
      </c>
      <c r="JY23" s="999">
        <v>10</v>
      </c>
      <c r="JZ23" s="286">
        <f t="shared" si="307"/>
        <v>44175</v>
      </c>
      <c r="KA23" s="287">
        <f t="shared" si="31"/>
        <v>44175</v>
      </c>
      <c r="KB23" s="288" t="str">
        <f>'दैनिक माहिती'!H270</f>
        <v>मुगडाळ</v>
      </c>
      <c r="KC23" s="289">
        <f>'दैनिक माहिती'!E270</f>
        <v>21</v>
      </c>
      <c r="KD23" s="289">
        <f>'दैनिक माहिती'!F270</f>
        <v>21</v>
      </c>
      <c r="KE23" s="289">
        <f>'दैनिक माहिती'!G270</f>
        <v>21</v>
      </c>
      <c r="KF23" s="290">
        <f t="shared" si="211"/>
        <v>2.1</v>
      </c>
      <c r="KG23" s="290">
        <f t="shared" si="212"/>
        <v>0.42</v>
      </c>
      <c r="KH23" s="290">
        <f t="shared" si="213"/>
        <v>0</v>
      </c>
      <c r="KI23" s="290">
        <f t="shared" si="214"/>
        <v>0</v>
      </c>
      <c r="KJ23" s="290">
        <f t="shared" si="215"/>
        <v>0</v>
      </c>
      <c r="KK23" s="290">
        <f t="shared" si="216"/>
        <v>0</v>
      </c>
      <c r="KL23" s="290">
        <f t="shared" si="217"/>
        <v>0</v>
      </c>
      <c r="KM23" s="290">
        <f t="shared" si="218"/>
        <v>0</v>
      </c>
      <c r="KN23" s="290">
        <f t="shared" si="219"/>
        <v>0</v>
      </c>
      <c r="KO23" s="290">
        <f t="shared" si="220"/>
        <v>6.2999999999999992E-3</v>
      </c>
      <c r="KP23" s="290">
        <f t="shared" si="221"/>
        <v>1.0500000000000001E-2</v>
      </c>
      <c r="KQ23" s="290">
        <f t="shared" si="222"/>
        <v>6.2999999999999992E-3</v>
      </c>
      <c r="KR23" s="290">
        <f t="shared" si="223"/>
        <v>0</v>
      </c>
      <c r="KS23" s="290">
        <f t="shared" si="224"/>
        <v>0</v>
      </c>
      <c r="KT23" s="290">
        <f t="shared" si="225"/>
        <v>0.105</v>
      </c>
      <c r="KU23" s="290">
        <f t="shared" si="226"/>
        <v>4.2000000000000003E-2</v>
      </c>
      <c r="KV23" s="290">
        <f t="shared" si="227"/>
        <v>2.5199999999999997E-2</v>
      </c>
      <c r="KW23" s="290">
        <f t="shared" si="228"/>
        <v>0</v>
      </c>
      <c r="KX23" s="291">
        <f t="shared" si="229"/>
        <v>14.91</v>
      </c>
      <c r="KY23" s="291">
        <f t="shared" si="230"/>
        <v>16.59</v>
      </c>
      <c r="KZ23" s="291">
        <f t="shared" si="231"/>
        <v>12.18</v>
      </c>
      <c r="LA23" s="292">
        <f t="shared" si="232"/>
        <v>60.27</v>
      </c>
      <c r="LB23" s="999">
        <v>10</v>
      </c>
      <c r="LC23" s="286">
        <f t="shared" si="308"/>
        <v>44206</v>
      </c>
      <c r="LD23" s="287">
        <f t="shared" si="32"/>
        <v>44206</v>
      </c>
      <c r="LE23" s="288">
        <f>'दैनिक माहिती'!H302</f>
        <v>0</v>
      </c>
      <c r="LF23" s="289">
        <f>'दैनिक माहिती'!E302</f>
        <v>0</v>
      </c>
      <c r="LG23" s="289">
        <f>'दैनिक माहिती'!F302</f>
        <v>0</v>
      </c>
      <c r="LH23" s="289">
        <f>'दैनिक माहिती'!G302</f>
        <v>0</v>
      </c>
      <c r="LI23" s="290">
        <f t="shared" si="233"/>
        <v>0</v>
      </c>
      <c r="LJ23" s="290">
        <f t="shared" si="234"/>
        <v>0</v>
      </c>
      <c r="LK23" s="290">
        <f t="shared" si="235"/>
        <v>0</v>
      </c>
      <c r="LL23" s="290">
        <f t="shared" si="236"/>
        <v>0</v>
      </c>
      <c r="LM23" s="290">
        <f t="shared" si="237"/>
        <v>0</v>
      </c>
      <c r="LN23" s="290">
        <f t="shared" si="238"/>
        <v>0</v>
      </c>
      <c r="LO23" s="290">
        <f t="shared" si="239"/>
        <v>0</v>
      </c>
      <c r="LP23" s="290">
        <f t="shared" si="240"/>
        <v>0</v>
      </c>
      <c r="LQ23" s="290">
        <f t="shared" si="241"/>
        <v>0</v>
      </c>
      <c r="LR23" s="290">
        <f t="shared" si="242"/>
        <v>0</v>
      </c>
      <c r="LS23" s="290">
        <f t="shared" si="243"/>
        <v>0</v>
      </c>
      <c r="LT23" s="290">
        <f t="shared" si="244"/>
        <v>0</v>
      </c>
      <c r="LU23" s="290">
        <f t="shared" si="245"/>
        <v>0</v>
      </c>
      <c r="LV23" s="290">
        <f t="shared" si="246"/>
        <v>0</v>
      </c>
      <c r="LW23" s="290">
        <f t="shared" si="247"/>
        <v>0</v>
      </c>
      <c r="LX23" s="290">
        <f t="shared" si="248"/>
        <v>0</v>
      </c>
      <c r="LY23" s="290">
        <f t="shared" si="249"/>
        <v>0</v>
      </c>
      <c r="LZ23" s="290">
        <f t="shared" si="250"/>
        <v>0</v>
      </c>
      <c r="MA23" s="291">
        <f t="shared" si="251"/>
        <v>0</v>
      </c>
      <c r="MB23" s="291">
        <f t="shared" si="252"/>
        <v>0</v>
      </c>
      <c r="MC23" s="291">
        <f t="shared" si="253"/>
        <v>0</v>
      </c>
      <c r="MD23" s="292">
        <f t="shared" si="254"/>
        <v>0</v>
      </c>
      <c r="ME23" s="999">
        <v>10</v>
      </c>
      <c r="MF23" s="286">
        <f t="shared" si="309"/>
        <v>44237</v>
      </c>
      <c r="MG23" s="287">
        <f t="shared" si="33"/>
        <v>44237</v>
      </c>
      <c r="MH23" s="288">
        <f>'दैनिक माहिती'!H334</f>
        <v>0</v>
      </c>
      <c r="MI23" s="289">
        <f>'दैनिक माहिती'!E334</f>
        <v>0</v>
      </c>
      <c r="MJ23" s="289">
        <f>'दैनिक माहिती'!F334</f>
        <v>0</v>
      </c>
      <c r="MK23" s="289">
        <f>'दैनिक माहिती'!G334</f>
        <v>0</v>
      </c>
      <c r="ML23" s="290">
        <f t="shared" si="255"/>
        <v>0</v>
      </c>
      <c r="MM23" s="290">
        <f t="shared" si="256"/>
        <v>0</v>
      </c>
      <c r="MN23" s="290">
        <f t="shared" si="257"/>
        <v>0</v>
      </c>
      <c r="MO23" s="290">
        <f t="shared" si="258"/>
        <v>0</v>
      </c>
      <c r="MP23" s="290">
        <f t="shared" si="259"/>
        <v>0</v>
      </c>
      <c r="MQ23" s="290">
        <f t="shared" si="260"/>
        <v>0</v>
      </c>
      <c r="MR23" s="290">
        <f t="shared" si="261"/>
        <v>0</v>
      </c>
      <c r="MS23" s="290">
        <f t="shared" si="262"/>
        <v>0</v>
      </c>
      <c r="MT23" s="290">
        <f t="shared" si="263"/>
        <v>0</v>
      </c>
      <c r="MU23" s="290">
        <f t="shared" si="264"/>
        <v>0</v>
      </c>
      <c r="MV23" s="290">
        <f t="shared" si="265"/>
        <v>0</v>
      </c>
      <c r="MW23" s="290">
        <f t="shared" si="266"/>
        <v>0</v>
      </c>
      <c r="MX23" s="290">
        <f t="shared" si="267"/>
        <v>0</v>
      </c>
      <c r="MY23" s="290">
        <f t="shared" si="268"/>
        <v>0</v>
      </c>
      <c r="MZ23" s="290">
        <f t="shared" si="269"/>
        <v>0</v>
      </c>
      <c r="NA23" s="290">
        <f t="shared" si="270"/>
        <v>0</v>
      </c>
      <c r="NB23" s="290">
        <f t="shared" si="271"/>
        <v>0</v>
      </c>
      <c r="NC23" s="290">
        <f t="shared" si="272"/>
        <v>0</v>
      </c>
      <c r="ND23" s="291">
        <f t="shared" si="273"/>
        <v>0</v>
      </c>
      <c r="NE23" s="291">
        <f t="shared" si="274"/>
        <v>0</v>
      </c>
      <c r="NF23" s="291">
        <f t="shared" si="275"/>
        <v>0</v>
      </c>
      <c r="NG23" s="292">
        <f t="shared" si="276"/>
        <v>0</v>
      </c>
      <c r="NH23" s="999">
        <v>10</v>
      </c>
      <c r="NI23" s="286">
        <f t="shared" si="310"/>
        <v>44265</v>
      </c>
      <c r="NJ23" s="287">
        <f t="shared" si="34"/>
        <v>44265</v>
      </c>
      <c r="NK23" s="288">
        <f>'दैनिक माहिती'!H364</f>
        <v>0</v>
      </c>
      <c r="NL23" s="289">
        <f>'दैनिक माहिती'!E364</f>
        <v>0</v>
      </c>
      <c r="NM23" s="289">
        <f>'दैनिक माहिती'!F364</f>
        <v>0</v>
      </c>
      <c r="NN23" s="289">
        <f>'दैनिक माहिती'!G364</f>
        <v>0</v>
      </c>
      <c r="NO23" s="290">
        <f t="shared" si="277"/>
        <v>0</v>
      </c>
      <c r="NP23" s="290">
        <f t="shared" si="278"/>
        <v>0</v>
      </c>
      <c r="NQ23" s="290">
        <f t="shared" si="279"/>
        <v>0</v>
      </c>
      <c r="NR23" s="290">
        <f t="shared" si="280"/>
        <v>0</v>
      </c>
      <c r="NS23" s="290">
        <f t="shared" si="281"/>
        <v>0</v>
      </c>
      <c r="NT23" s="290">
        <f t="shared" si="282"/>
        <v>0</v>
      </c>
      <c r="NU23" s="290">
        <f t="shared" si="283"/>
        <v>0</v>
      </c>
      <c r="NV23" s="290">
        <f t="shared" si="284"/>
        <v>0</v>
      </c>
      <c r="NW23" s="290">
        <f t="shared" si="285"/>
        <v>0</v>
      </c>
      <c r="NX23" s="290">
        <f t="shared" si="286"/>
        <v>0</v>
      </c>
      <c r="NY23" s="290">
        <f t="shared" si="287"/>
        <v>0</v>
      </c>
      <c r="NZ23" s="290">
        <f t="shared" si="288"/>
        <v>0</v>
      </c>
      <c r="OA23" s="290">
        <f t="shared" si="289"/>
        <v>0</v>
      </c>
      <c r="OB23" s="290">
        <f t="shared" si="290"/>
        <v>0</v>
      </c>
      <c r="OC23" s="290">
        <f t="shared" si="291"/>
        <v>0</v>
      </c>
      <c r="OD23" s="290">
        <f t="shared" si="292"/>
        <v>0</v>
      </c>
      <c r="OE23" s="290">
        <f t="shared" si="293"/>
        <v>0</v>
      </c>
      <c r="OF23" s="290">
        <f t="shared" si="294"/>
        <v>0</v>
      </c>
      <c r="OG23" s="291">
        <f t="shared" si="295"/>
        <v>0</v>
      </c>
      <c r="OH23" s="291">
        <f t="shared" si="296"/>
        <v>0</v>
      </c>
      <c r="OI23" s="291">
        <f t="shared" si="297"/>
        <v>0</v>
      </c>
      <c r="OJ23" s="292">
        <f t="shared" si="298"/>
        <v>0</v>
      </c>
    </row>
    <row r="24" spans="2:400" ht="29.25" customHeight="1" x14ac:dyDescent="0.4">
      <c r="B24" s="1019"/>
      <c r="C24" s="260" t="s">
        <v>197</v>
      </c>
      <c r="D24" s="2062"/>
      <c r="E24" s="2062"/>
      <c r="F24" s="260"/>
      <c r="G24" s="260"/>
      <c r="H24" s="260"/>
      <c r="I24" s="260"/>
      <c r="J24" s="260"/>
      <c r="K24" s="260"/>
      <c r="L24" s="260" t="s">
        <v>199</v>
      </c>
      <c r="M24" s="260"/>
      <c r="N24" s="260"/>
      <c r="O24" s="1012"/>
      <c r="BA24" s="999">
        <v>11</v>
      </c>
      <c r="BB24" s="286">
        <f t="shared" si="299"/>
        <v>43932</v>
      </c>
      <c r="BC24" s="287">
        <f t="shared" si="23"/>
        <v>43932</v>
      </c>
      <c r="BD24" s="288" t="str">
        <f>'दैनिक माहिती'!H19</f>
        <v>मुगडाळ</v>
      </c>
      <c r="BE24" s="289">
        <f>'दैनिक माहिती'!E19</f>
        <v>22</v>
      </c>
      <c r="BF24" s="289">
        <f>'दैनिक माहिती'!F19</f>
        <v>22</v>
      </c>
      <c r="BG24" s="289">
        <f>'दैनिक माहिती'!G19</f>
        <v>22</v>
      </c>
      <c r="BH24" s="290">
        <f t="shared" si="35"/>
        <v>2.2000000000000002</v>
      </c>
      <c r="BI24" s="290">
        <f t="shared" si="36"/>
        <v>0.44</v>
      </c>
      <c r="BJ24" s="290">
        <f t="shared" si="37"/>
        <v>0</v>
      </c>
      <c r="BK24" s="290">
        <f t="shared" si="38"/>
        <v>0</v>
      </c>
      <c r="BL24" s="290">
        <f t="shared" si="39"/>
        <v>0</v>
      </c>
      <c r="BM24" s="290">
        <f t="shared" si="40"/>
        <v>0</v>
      </c>
      <c r="BN24" s="290">
        <f t="shared" si="41"/>
        <v>0</v>
      </c>
      <c r="BO24" s="290">
        <f t="shared" si="42"/>
        <v>0</v>
      </c>
      <c r="BP24" s="290">
        <f t="shared" si="43"/>
        <v>0</v>
      </c>
      <c r="BQ24" s="290">
        <f t="shared" si="44"/>
        <v>6.5999999999999991E-3</v>
      </c>
      <c r="BR24" s="290">
        <f t="shared" si="45"/>
        <v>1.0999999999999999E-2</v>
      </c>
      <c r="BS24" s="290">
        <f t="shared" si="46"/>
        <v>6.5999999999999991E-3</v>
      </c>
      <c r="BT24" s="290">
        <f t="shared" si="47"/>
        <v>0</v>
      </c>
      <c r="BU24" s="290">
        <f t="shared" si="48"/>
        <v>0</v>
      </c>
      <c r="BV24" s="290">
        <f t="shared" si="49"/>
        <v>0.11</v>
      </c>
      <c r="BW24" s="290">
        <f t="shared" si="50"/>
        <v>4.3999999999999997E-2</v>
      </c>
      <c r="BX24" s="290">
        <f t="shared" si="51"/>
        <v>2.6399999999999996E-2</v>
      </c>
      <c r="BY24" s="290">
        <f t="shared" si="52"/>
        <v>0</v>
      </c>
      <c r="BZ24" s="291">
        <f t="shared" si="53"/>
        <v>15.84</v>
      </c>
      <c r="CA24" s="291">
        <f t="shared" si="54"/>
        <v>14.08</v>
      </c>
      <c r="CB24" s="291">
        <f t="shared" si="55"/>
        <v>11.66</v>
      </c>
      <c r="CC24" s="292">
        <f t="shared" si="56"/>
        <v>58.96</v>
      </c>
      <c r="CD24" s="999">
        <v>11</v>
      </c>
      <c r="CE24" s="286">
        <f t="shared" si="300"/>
        <v>43962</v>
      </c>
      <c r="CF24" s="287">
        <f t="shared" si="24"/>
        <v>43962</v>
      </c>
      <c r="CG24" s="288">
        <f>'दैनिक माहिती'!H50</f>
        <v>0</v>
      </c>
      <c r="CH24" s="289">
        <f>'दैनिक माहिती'!E50</f>
        <v>0</v>
      </c>
      <c r="CI24" s="289">
        <f>'दैनिक माहिती'!F50</f>
        <v>0</v>
      </c>
      <c r="CJ24" s="289">
        <f>'दैनिक माहिती'!G50</f>
        <v>0</v>
      </c>
      <c r="CK24" s="290">
        <f t="shared" si="57"/>
        <v>0</v>
      </c>
      <c r="CL24" s="290">
        <f t="shared" si="58"/>
        <v>0</v>
      </c>
      <c r="CM24" s="290">
        <f t="shared" si="59"/>
        <v>0</v>
      </c>
      <c r="CN24" s="290">
        <f t="shared" si="60"/>
        <v>0</v>
      </c>
      <c r="CO24" s="290">
        <f t="shared" si="61"/>
        <v>0</v>
      </c>
      <c r="CP24" s="290">
        <f t="shared" si="62"/>
        <v>0</v>
      </c>
      <c r="CQ24" s="290">
        <f t="shared" si="63"/>
        <v>0</v>
      </c>
      <c r="CR24" s="290">
        <f t="shared" si="64"/>
        <v>0</v>
      </c>
      <c r="CS24" s="290">
        <f t="shared" si="65"/>
        <v>0</v>
      </c>
      <c r="CT24" s="290">
        <f t="shared" si="66"/>
        <v>0</v>
      </c>
      <c r="CU24" s="290">
        <f t="shared" si="67"/>
        <v>0</v>
      </c>
      <c r="CV24" s="290">
        <f t="shared" si="68"/>
        <v>0</v>
      </c>
      <c r="CW24" s="290">
        <f t="shared" si="69"/>
        <v>0</v>
      </c>
      <c r="CX24" s="290">
        <f t="shared" si="70"/>
        <v>0</v>
      </c>
      <c r="CY24" s="290">
        <f t="shared" si="71"/>
        <v>0</v>
      </c>
      <c r="CZ24" s="290">
        <f t="shared" si="72"/>
        <v>0</v>
      </c>
      <c r="DA24" s="290">
        <f t="shared" si="73"/>
        <v>0</v>
      </c>
      <c r="DB24" s="290">
        <f t="shared" si="74"/>
        <v>0</v>
      </c>
      <c r="DC24" s="291">
        <f t="shared" si="75"/>
        <v>0</v>
      </c>
      <c r="DD24" s="291">
        <f t="shared" si="76"/>
        <v>0</v>
      </c>
      <c r="DE24" s="291">
        <f t="shared" si="77"/>
        <v>0</v>
      </c>
      <c r="DF24" s="292">
        <f t="shared" si="78"/>
        <v>0</v>
      </c>
      <c r="DG24" s="999">
        <v>11</v>
      </c>
      <c r="DH24" s="286">
        <f t="shared" si="301"/>
        <v>43993</v>
      </c>
      <c r="DI24" s="287">
        <f t="shared" si="25"/>
        <v>43993</v>
      </c>
      <c r="DJ24" s="288">
        <f>'दैनिक माहिती'!H82</f>
        <v>0</v>
      </c>
      <c r="DK24" s="289">
        <f>'दैनिक माहिती'!E82</f>
        <v>0</v>
      </c>
      <c r="DL24" s="289">
        <f>'दैनिक माहिती'!F82</f>
        <v>0</v>
      </c>
      <c r="DM24" s="289">
        <f>'दैनिक माहिती'!G82</f>
        <v>0</v>
      </c>
      <c r="DN24" s="290">
        <f t="shared" si="79"/>
        <v>0</v>
      </c>
      <c r="DO24" s="290">
        <f t="shared" si="80"/>
        <v>0</v>
      </c>
      <c r="DP24" s="290">
        <f t="shared" si="81"/>
        <v>0</v>
      </c>
      <c r="DQ24" s="290">
        <f t="shared" si="82"/>
        <v>0</v>
      </c>
      <c r="DR24" s="290">
        <f t="shared" si="83"/>
        <v>0</v>
      </c>
      <c r="DS24" s="290">
        <f t="shared" si="84"/>
        <v>0</v>
      </c>
      <c r="DT24" s="290">
        <f t="shared" si="85"/>
        <v>0</v>
      </c>
      <c r="DU24" s="290">
        <f t="shared" si="86"/>
        <v>0</v>
      </c>
      <c r="DV24" s="290">
        <f t="shared" si="87"/>
        <v>0</v>
      </c>
      <c r="DW24" s="290">
        <f t="shared" si="88"/>
        <v>0</v>
      </c>
      <c r="DX24" s="290">
        <f t="shared" si="89"/>
        <v>0</v>
      </c>
      <c r="DY24" s="290">
        <f t="shared" si="90"/>
        <v>0</v>
      </c>
      <c r="DZ24" s="290">
        <f t="shared" si="91"/>
        <v>0</v>
      </c>
      <c r="EA24" s="290">
        <f t="shared" si="92"/>
        <v>0</v>
      </c>
      <c r="EB24" s="290">
        <f t="shared" si="93"/>
        <v>0</v>
      </c>
      <c r="EC24" s="290">
        <f t="shared" si="94"/>
        <v>0</v>
      </c>
      <c r="ED24" s="290">
        <f t="shared" si="95"/>
        <v>0</v>
      </c>
      <c r="EE24" s="290">
        <f t="shared" si="96"/>
        <v>0</v>
      </c>
      <c r="EF24" s="291">
        <f t="shared" si="97"/>
        <v>0</v>
      </c>
      <c r="EG24" s="291">
        <f t="shared" si="98"/>
        <v>0</v>
      </c>
      <c r="EH24" s="291">
        <f t="shared" si="99"/>
        <v>0</v>
      </c>
      <c r="EI24" s="292">
        <f t="shared" si="100"/>
        <v>0</v>
      </c>
      <c r="EJ24" s="999">
        <v>11</v>
      </c>
      <c r="EK24" s="286">
        <f t="shared" si="302"/>
        <v>44023</v>
      </c>
      <c r="EL24" s="287">
        <f t="shared" si="26"/>
        <v>44023</v>
      </c>
      <c r="EM24" s="288" t="str">
        <f>'दैनिक माहिती'!H113</f>
        <v>मुगडाळ</v>
      </c>
      <c r="EN24" s="289">
        <f>'दैनिक माहिती'!E113</f>
        <v>17</v>
      </c>
      <c r="EO24" s="289">
        <f>'दैनिक माहिती'!F113</f>
        <v>17</v>
      </c>
      <c r="EP24" s="289">
        <f>'दैनिक माहिती'!G113</f>
        <v>17</v>
      </c>
      <c r="EQ24" s="290">
        <f t="shared" si="101"/>
        <v>1.7000000000000002</v>
      </c>
      <c r="ER24" s="290">
        <f t="shared" si="102"/>
        <v>0.34</v>
      </c>
      <c r="ES24" s="290">
        <f t="shared" si="103"/>
        <v>0</v>
      </c>
      <c r="ET24" s="290">
        <f t="shared" si="104"/>
        <v>0</v>
      </c>
      <c r="EU24" s="290">
        <f t="shared" si="105"/>
        <v>0</v>
      </c>
      <c r="EV24" s="290">
        <f t="shared" si="106"/>
        <v>0</v>
      </c>
      <c r="EW24" s="290">
        <f t="shared" si="107"/>
        <v>0</v>
      </c>
      <c r="EX24" s="290">
        <f t="shared" si="108"/>
        <v>0</v>
      </c>
      <c r="EY24" s="290">
        <f t="shared" si="109"/>
        <v>0</v>
      </c>
      <c r="EZ24" s="290">
        <f t="shared" si="110"/>
        <v>5.0999999999999995E-3</v>
      </c>
      <c r="FA24" s="290">
        <f t="shared" si="111"/>
        <v>8.5000000000000006E-3</v>
      </c>
      <c r="FB24" s="290">
        <f t="shared" si="112"/>
        <v>5.0999999999999995E-3</v>
      </c>
      <c r="FC24" s="290">
        <f t="shared" si="113"/>
        <v>0</v>
      </c>
      <c r="FD24" s="290">
        <f t="shared" si="114"/>
        <v>0</v>
      </c>
      <c r="FE24" s="290">
        <f t="shared" si="115"/>
        <v>8.5000000000000006E-2</v>
      </c>
      <c r="FF24" s="290">
        <f t="shared" si="116"/>
        <v>3.4000000000000002E-2</v>
      </c>
      <c r="FG24" s="290">
        <f t="shared" si="117"/>
        <v>2.0399999999999998E-2</v>
      </c>
      <c r="FH24" s="290">
        <f t="shared" si="118"/>
        <v>0</v>
      </c>
      <c r="FI24" s="291">
        <f t="shared" si="119"/>
        <v>12.24</v>
      </c>
      <c r="FJ24" s="291">
        <f t="shared" si="120"/>
        <v>10.88</v>
      </c>
      <c r="FK24" s="291">
        <f t="shared" si="121"/>
        <v>9.01</v>
      </c>
      <c r="FL24" s="292">
        <f t="shared" si="122"/>
        <v>45.56</v>
      </c>
      <c r="FM24" s="999">
        <v>11</v>
      </c>
      <c r="FN24" s="286">
        <f t="shared" si="303"/>
        <v>44054</v>
      </c>
      <c r="FO24" s="287">
        <f t="shared" si="27"/>
        <v>44054</v>
      </c>
      <c r="FP24" s="288" t="str">
        <f>'दैनिक माहिती'!H145</f>
        <v>हरभरा</v>
      </c>
      <c r="FQ24" s="289">
        <f>'दैनिक माहिती'!E145</f>
        <v>15</v>
      </c>
      <c r="FR24" s="289">
        <f>'दैनिक माहिती'!F145</f>
        <v>15</v>
      </c>
      <c r="FS24" s="289">
        <f>'दैनिक माहिती'!G145</f>
        <v>15</v>
      </c>
      <c r="FT24" s="290">
        <f t="shared" si="123"/>
        <v>1.5</v>
      </c>
      <c r="FU24" s="290">
        <f t="shared" si="124"/>
        <v>0</v>
      </c>
      <c r="FV24" s="290">
        <f t="shared" si="125"/>
        <v>0</v>
      </c>
      <c r="FW24" s="290">
        <f t="shared" si="126"/>
        <v>0</v>
      </c>
      <c r="FX24" s="290">
        <f t="shared" si="127"/>
        <v>0</v>
      </c>
      <c r="FY24" s="290">
        <f t="shared" si="128"/>
        <v>0</v>
      </c>
      <c r="FZ24" s="290">
        <f t="shared" si="129"/>
        <v>0</v>
      </c>
      <c r="GA24" s="290">
        <f t="shared" si="130"/>
        <v>0.3</v>
      </c>
      <c r="GB24" s="290">
        <f t="shared" si="131"/>
        <v>0</v>
      </c>
      <c r="GC24" s="290">
        <f t="shared" si="132"/>
        <v>4.4999999999999997E-3</v>
      </c>
      <c r="GD24" s="290">
        <f t="shared" si="133"/>
        <v>7.4999999999999997E-3</v>
      </c>
      <c r="GE24" s="290">
        <f t="shared" si="134"/>
        <v>4.4999999999999997E-3</v>
      </c>
      <c r="GF24" s="290">
        <f t="shared" si="135"/>
        <v>0</v>
      </c>
      <c r="GG24" s="290">
        <f t="shared" si="136"/>
        <v>0</v>
      </c>
      <c r="GH24" s="290">
        <f t="shared" si="137"/>
        <v>7.4999999999999997E-2</v>
      </c>
      <c r="GI24" s="290">
        <f t="shared" si="138"/>
        <v>0.03</v>
      </c>
      <c r="GJ24" s="290">
        <f t="shared" si="139"/>
        <v>1.7999999999999999E-2</v>
      </c>
      <c r="GK24" s="290">
        <f t="shared" si="140"/>
        <v>0</v>
      </c>
      <c r="GL24" s="291">
        <f t="shared" si="141"/>
        <v>10.799999999999999</v>
      </c>
      <c r="GM24" s="291">
        <f t="shared" si="142"/>
        <v>9.6</v>
      </c>
      <c r="GN24" s="291">
        <f t="shared" si="143"/>
        <v>7.95</v>
      </c>
      <c r="GO24" s="292">
        <f t="shared" si="144"/>
        <v>40.200000000000003</v>
      </c>
      <c r="GP24" s="999">
        <v>11</v>
      </c>
      <c r="GQ24" s="286">
        <f t="shared" si="304"/>
        <v>44085</v>
      </c>
      <c r="GR24" s="287">
        <f t="shared" si="28"/>
        <v>44085</v>
      </c>
      <c r="GS24" s="288">
        <f>'दैनिक माहिती'!H177</f>
        <v>0</v>
      </c>
      <c r="GT24" s="289">
        <f>'दैनिक माहिती'!E177</f>
        <v>0</v>
      </c>
      <c r="GU24" s="289">
        <f>'दैनिक माहिती'!F177</f>
        <v>0</v>
      </c>
      <c r="GV24" s="289">
        <f>'दैनिक माहिती'!G177</f>
        <v>0</v>
      </c>
      <c r="GW24" s="290">
        <f t="shared" si="145"/>
        <v>0</v>
      </c>
      <c r="GX24" s="290">
        <f t="shared" si="146"/>
        <v>0</v>
      </c>
      <c r="GY24" s="290">
        <f t="shared" si="147"/>
        <v>0</v>
      </c>
      <c r="GZ24" s="290">
        <f t="shared" si="148"/>
        <v>0</v>
      </c>
      <c r="HA24" s="290">
        <f t="shared" si="149"/>
        <v>0</v>
      </c>
      <c r="HB24" s="290">
        <f t="shared" si="150"/>
        <v>0</v>
      </c>
      <c r="HC24" s="290">
        <f t="shared" si="151"/>
        <v>0</v>
      </c>
      <c r="HD24" s="290">
        <f t="shared" si="152"/>
        <v>0</v>
      </c>
      <c r="HE24" s="290">
        <f t="shared" si="153"/>
        <v>0</v>
      </c>
      <c r="HF24" s="290">
        <f t="shared" si="154"/>
        <v>0</v>
      </c>
      <c r="HG24" s="290">
        <f t="shared" si="155"/>
        <v>0</v>
      </c>
      <c r="HH24" s="290">
        <f t="shared" si="156"/>
        <v>0</v>
      </c>
      <c r="HI24" s="290">
        <f t="shared" si="157"/>
        <v>0</v>
      </c>
      <c r="HJ24" s="290">
        <f t="shared" si="158"/>
        <v>0</v>
      </c>
      <c r="HK24" s="290">
        <f t="shared" si="159"/>
        <v>0</v>
      </c>
      <c r="HL24" s="290">
        <f t="shared" si="160"/>
        <v>0</v>
      </c>
      <c r="HM24" s="290">
        <f t="shared" si="161"/>
        <v>0</v>
      </c>
      <c r="HN24" s="290">
        <f t="shared" si="162"/>
        <v>0</v>
      </c>
      <c r="HO24" s="291">
        <f t="shared" si="163"/>
        <v>0</v>
      </c>
      <c r="HP24" s="291">
        <f t="shared" si="164"/>
        <v>0</v>
      </c>
      <c r="HQ24" s="291">
        <f t="shared" si="165"/>
        <v>0</v>
      </c>
      <c r="HR24" s="292">
        <f t="shared" si="166"/>
        <v>0</v>
      </c>
      <c r="HS24" s="999">
        <v>11</v>
      </c>
      <c r="HT24" s="286">
        <f t="shared" si="305"/>
        <v>44115</v>
      </c>
      <c r="HU24" s="287">
        <f t="shared" si="29"/>
        <v>44115</v>
      </c>
      <c r="HV24" s="288" t="str">
        <f>'दैनिक माहिती'!H208</f>
        <v>हरभरा</v>
      </c>
      <c r="HW24" s="289">
        <f>'दैनिक माहिती'!E208</f>
        <v>22</v>
      </c>
      <c r="HX24" s="289">
        <f>'दैनिक माहिती'!F208</f>
        <v>22</v>
      </c>
      <c r="HY24" s="289">
        <f>'दैनिक माहिती'!G208</f>
        <v>22</v>
      </c>
      <c r="HZ24" s="290">
        <f t="shared" si="167"/>
        <v>2.2000000000000002</v>
      </c>
      <c r="IA24" s="290">
        <f t="shared" si="168"/>
        <v>0</v>
      </c>
      <c r="IB24" s="290">
        <f t="shared" si="169"/>
        <v>0</v>
      </c>
      <c r="IC24" s="290">
        <f t="shared" si="170"/>
        <v>0</v>
      </c>
      <c r="ID24" s="290">
        <f t="shared" si="171"/>
        <v>0</v>
      </c>
      <c r="IE24" s="290">
        <f t="shared" si="172"/>
        <v>0</v>
      </c>
      <c r="IF24" s="290">
        <f t="shared" si="173"/>
        <v>0</v>
      </c>
      <c r="IG24" s="290">
        <f t="shared" si="174"/>
        <v>0.44</v>
      </c>
      <c r="IH24" s="290">
        <f t="shared" si="175"/>
        <v>0</v>
      </c>
      <c r="II24" s="290">
        <f t="shared" si="176"/>
        <v>6.5999999999999991E-3</v>
      </c>
      <c r="IJ24" s="290">
        <f t="shared" si="177"/>
        <v>1.0999999999999999E-2</v>
      </c>
      <c r="IK24" s="290">
        <f t="shared" si="178"/>
        <v>6.5999999999999991E-3</v>
      </c>
      <c r="IL24" s="290">
        <f t="shared" si="179"/>
        <v>0</v>
      </c>
      <c r="IM24" s="290">
        <f t="shared" si="180"/>
        <v>0</v>
      </c>
      <c r="IN24" s="290">
        <f t="shared" si="181"/>
        <v>0.11</v>
      </c>
      <c r="IO24" s="290">
        <f t="shared" si="182"/>
        <v>4.3999999999999997E-2</v>
      </c>
      <c r="IP24" s="290">
        <f t="shared" si="183"/>
        <v>2.6399999999999996E-2</v>
      </c>
      <c r="IQ24" s="290">
        <f t="shared" si="184"/>
        <v>0</v>
      </c>
      <c r="IR24" s="291">
        <f t="shared" si="185"/>
        <v>15.62</v>
      </c>
      <c r="IS24" s="291">
        <f t="shared" si="186"/>
        <v>17.380000000000003</v>
      </c>
      <c r="IT24" s="291">
        <f t="shared" si="187"/>
        <v>12.76</v>
      </c>
      <c r="IU24" s="292">
        <f t="shared" si="188"/>
        <v>63.14</v>
      </c>
      <c r="IV24" s="999">
        <v>11</v>
      </c>
      <c r="IW24" s="286">
        <f t="shared" si="306"/>
        <v>44146</v>
      </c>
      <c r="IX24" s="287">
        <f t="shared" si="30"/>
        <v>44146</v>
      </c>
      <c r="IY24" s="288" t="str">
        <f>'दैनिक माहिती'!H240</f>
        <v>वाटाणा</v>
      </c>
      <c r="IZ24" s="289">
        <f>'दैनिक माहिती'!E240</f>
        <v>22</v>
      </c>
      <c r="JA24" s="289">
        <f>'दैनिक माहिती'!F240</f>
        <v>22</v>
      </c>
      <c r="JB24" s="289">
        <f>'दैनिक माहिती'!G240</f>
        <v>22</v>
      </c>
      <c r="JC24" s="290">
        <f t="shared" si="189"/>
        <v>2.2000000000000002</v>
      </c>
      <c r="JD24" s="290">
        <f t="shared" si="190"/>
        <v>0</v>
      </c>
      <c r="JE24" s="290">
        <f t="shared" si="191"/>
        <v>0</v>
      </c>
      <c r="JF24" s="290">
        <f t="shared" si="192"/>
        <v>0</v>
      </c>
      <c r="JG24" s="290">
        <f t="shared" si="193"/>
        <v>0</v>
      </c>
      <c r="JH24" s="290">
        <f t="shared" si="194"/>
        <v>0</v>
      </c>
      <c r="JI24" s="290">
        <f t="shared" si="195"/>
        <v>0</v>
      </c>
      <c r="JJ24" s="290">
        <f t="shared" si="196"/>
        <v>0</v>
      </c>
      <c r="JK24" s="290">
        <f t="shared" si="197"/>
        <v>0.44</v>
      </c>
      <c r="JL24" s="290">
        <f t="shared" si="198"/>
        <v>6.5999999999999991E-3</v>
      </c>
      <c r="JM24" s="290">
        <f t="shared" si="199"/>
        <v>1.0999999999999999E-2</v>
      </c>
      <c r="JN24" s="290">
        <f t="shared" si="200"/>
        <v>6.5999999999999991E-3</v>
      </c>
      <c r="JO24" s="290">
        <f t="shared" si="201"/>
        <v>0</v>
      </c>
      <c r="JP24" s="290">
        <f t="shared" si="202"/>
        <v>0</v>
      </c>
      <c r="JQ24" s="290">
        <f t="shared" si="203"/>
        <v>0.11</v>
      </c>
      <c r="JR24" s="290">
        <f t="shared" si="204"/>
        <v>4.3999999999999997E-2</v>
      </c>
      <c r="JS24" s="290">
        <f t="shared" si="205"/>
        <v>2.6399999999999996E-2</v>
      </c>
      <c r="JT24" s="290">
        <f t="shared" si="206"/>
        <v>0</v>
      </c>
      <c r="JU24" s="291">
        <f t="shared" si="207"/>
        <v>15.62</v>
      </c>
      <c r="JV24" s="291">
        <f t="shared" si="208"/>
        <v>17.380000000000003</v>
      </c>
      <c r="JW24" s="291">
        <f t="shared" si="209"/>
        <v>12.76</v>
      </c>
      <c r="JX24" s="292">
        <f t="shared" si="210"/>
        <v>63.14</v>
      </c>
      <c r="JY24" s="999">
        <v>11</v>
      </c>
      <c r="JZ24" s="286">
        <f t="shared" si="307"/>
        <v>44176</v>
      </c>
      <c r="KA24" s="287">
        <f t="shared" si="31"/>
        <v>44176</v>
      </c>
      <c r="KB24" s="288">
        <f>'दैनिक माहिती'!H271</f>
        <v>0</v>
      </c>
      <c r="KC24" s="289">
        <f>'दैनिक माहिती'!E271</f>
        <v>0</v>
      </c>
      <c r="KD24" s="289">
        <f>'दैनिक माहिती'!F271</f>
        <v>0</v>
      </c>
      <c r="KE24" s="289">
        <f>'दैनिक माहिती'!G271</f>
        <v>0</v>
      </c>
      <c r="KF24" s="290">
        <f t="shared" si="211"/>
        <v>0</v>
      </c>
      <c r="KG24" s="290">
        <f t="shared" si="212"/>
        <v>0</v>
      </c>
      <c r="KH24" s="290">
        <f t="shared" si="213"/>
        <v>0</v>
      </c>
      <c r="KI24" s="290">
        <f t="shared" si="214"/>
        <v>0</v>
      </c>
      <c r="KJ24" s="290">
        <f t="shared" si="215"/>
        <v>0</v>
      </c>
      <c r="KK24" s="290">
        <f t="shared" si="216"/>
        <v>0</v>
      </c>
      <c r="KL24" s="290">
        <f t="shared" si="217"/>
        <v>0</v>
      </c>
      <c r="KM24" s="290">
        <f t="shared" si="218"/>
        <v>0</v>
      </c>
      <c r="KN24" s="290">
        <f t="shared" si="219"/>
        <v>0</v>
      </c>
      <c r="KO24" s="290">
        <f t="shared" si="220"/>
        <v>0</v>
      </c>
      <c r="KP24" s="290">
        <f t="shared" si="221"/>
        <v>0</v>
      </c>
      <c r="KQ24" s="290">
        <f t="shared" si="222"/>
        <v>0</v>
      </c>
      <c r="KR24" s="290">
        <f t="shared" si="223"/>
        <v>0</v>
      </c>
      <c r="KS24" s="290">
        <f t="shared" si="224"/>
        <v>0</v>
      </c>
      <c r="KT24" s="290">
        <f t="shared" si="225"/>
        <v>0</v>
      </c>
      <c r="KU24" s="290">
        <f t="shared" si="226"/>
        <v>0</v>
      </c>
      <c r="KV24" s="290">
        <f t="shared" si="227"/>
        <v>0</v>
      </c>
      <c r="KW24" s="290">
        <f t="shared" si="228"/>
        <v>0</v>
      </c>
      <c r="KX24" s="291">
        <f t="shared" si="229"/>
        <v>0</v>
      </c>
      <c r="KY24" s="291">
        <f t="shared" si="230"/>
        <v>0</v>
      </c>
      <c r="KZ24" s="291">
        <f t="shared" si="231"/>
        <v>0</v>
      </c>
      <c r="LA24" s="292">
        <f t="shared" si="232"/>
        <v>0</v>
      </c>
      <c r="LB24" s="999">
        <v>11</v>
      </c>
      <c r="LC24" s="286">
        <f t="shared" si="308"/>
        <v>44207</v>
      </c>
      <c r="LD24" s="287">
        <f t="shared" si="32"/>
        <v>44207</v>
      </c>
      <c r="LE24" s="288">
        <f>'दैनिक माहिती'!H303</f>
        <v>0</v>
      </c>
      <c r="LF24" s="289">
        <f>'दैनिक माहिती'!E303</f>
        <v>0</v>
      </c>
      <c r="LG24" s="289">
        <f>'दैनिक माहिती'!F303</f>
        <v>0</v>
      </c>
      <c r="LH24" s="289">
        <f>'दैनिक माहिती'!G303</f>
        <v>0</v>
      </c>
      <c r="LI24" s="290">
        <f t="shared" si="233"/>
        <v>0</v>
      </c>
      <c r="LJ24" s="290">
        <f t="shared" si="234"/>
        <v>0</v>
      </c>
      <c r="LK24" s="290">
        <f t="shared" si="235"/>
        <v>0</v>
      </c>
      <c r="LL24" s="290">
        <f t="shared" si="236"/>
        <v>0</v>
      </c>
      <c r="LM24" s="290">
        <f t="shared" si="237"/>
        <v>0</v>
      </c>
      <c r="LN24" s="290">
        <f t="shared" si="238"/>
        <v>0</v>
      </c>
      <c r="LO24" s="290">
        <f t="shared" si="239"/>
        <v>0</v>
      </c>
      <c r="LP24" s="290">
        <f t="shared" si="240"/>
        <v>0</v>
      </c>
      <c r="LQ24" s="290">
        <f t="shared" si="241"/>
        <v>0</v>
      </c>
      <c r="LR24" s="290">
        <f t="shared" si="242"/>
        <v>0</v>
      </c>
      <c r="LS24" s="290">
        <f t="shared" si="243"/>
        <v>0</v>
      </c>
      <c r="LT24" s="290">
        <f t="shared" si="244"/>
        <v>0</v>
      </c>
      <c r="LU24" s="290">
        <f t="shared" si="245"/>
        <v>0</v>
      </c>
      <c r="LV24" s="290">
        <f t="shared" si="246"/>
        <v>0</v>
      </c>
      <c r="LW24" s="290">
        <f t="shared" si="247"/>
        <v>0</v>
      </c>
      <c r="LX24" s="290">
        <f t="shared" si="248"/>
        <v>0</v>
      </c>
      <c r="LY24" s="290">
        <f t="shared" si="249"/>
        <v>0</v>
      </c>
      <c r="LZ24" s="290">
        <f t="shared" si="250"/>
        <v>0</v>
      </c>
      <c r="MA24" s="291">
        <f t="shared" si="251"/>
        <v>0</v>
      </c>
      <c r="MB24" s="291">
        <f t="shared" si="252"/>
        <v>0</v>
      </c>
      <c r="MC24" s="291">
        <f t="shared" si="253"/>
        <v>0</v>
      </c>
      <c r="MD24" s="292">
        <f t="shared" si="254"/>
        <v>0</v>
      </c>
      <c r="ME24" s="999">
        <v>11</v>
      </c>
      <c r="MF24" s="286">
        <f t="shared" si="309"/>
        <v>44238</v>
      </c>
      <c r="MG24" s="287">
        <f t="shared" si="33"/>
        <v>44238</v>
      </c>
      <c r="MH24" s="288">
        <f>'दैनिक माहिती'!H335</f>
        <v>0</v>
      </c>
      <c r="MI24" s="289">
        <f>'दैनिक माहिती'!E335</f>
        <v>0</v>
      </c>
      <c r="MJ24" s="289">
        <f>'दैनिक माहिती'!F335</f>
        <v>0</v>
      </c>
      <c r="MK24" s="289">
        <f>'दैनिक माहिती'!G335</f>
        <v>0</v>
      </c>
      <c r="ML24" s="290">
        <f t="shared" si="255"/>
        <v>0</v>
      </c>
      <c r="MM24" s="290">
        <f t="shared" si="256"/>
        <v>0</v>
      </c>
      <c r="MN24" s="290">
        <f t="shared" si="257"/>
        <v>0</v>
      </c>
      <c r="MO24" s="290">
        <f t="shared" si="258"/>
        <v>0</v>
      </c>
      <c r="MP24" s="290">
        <f t="shared" si="259"/>
        <v>0</v>
      </c>
      <c r="MQ24" s="290">
        <f t="shared" si="260"/>
        <v>0</v>
      </c>
      <c r="MR24" s="290">
        <f t="shared" si="261"/>
        <v>0</v>
      </c>
      <c r="MS24" s="290">
        <f t="shared" si="262"/>
        <v>0</v>
      </c>
      <c r="MT24" s="290">
        <f t="shared" si="263"/>
        <v>0</v>
      </c>
      <c r="MU24" s="290">
        <f t="shared" si="264"/>
        <v>0</v>
      </c>
      <c r="MV24" s="290">
        <f t="shared" si="265"/>
        <v>0</v>
      </c>
      <c r="MW24" s="290">
        <f t="shared" si="266"/>
        <v>0</v>
      </c>
      <c r="MX24" s="290">
        <f t="shared" si="267"/>
        <v>0</v>
      </c>
      <c r="MY24" s="290">
        <f t="shared" si="268"/>
        <v>0</v>
      </c>
      <c r="MZ24" s="290">
        <f t="shared" si="269"/>
        <v>0</v>
      </c>
      <c r="NA24" s="290">
        <f t="shared" si="270"/>
        <v>0</v>
      </c>
      <c r="NB24" s="290">
        <f t="shared" si="271"/>
        <v>0</v>
      </c>
      <c r="NC24" s="290">
        <f t="shared" si="272"/>
        <v>0</v>
      </c>
      <c r="ND24" s="291">
        <f t="shared" si="273"/>
        <v>0</v>
      </c>
      <c r="NE24" s="291">
        <f t="shared" si="274"/>
        <v>0</v>
      </c>
      <c r="NF24" s="291">
        <f t="shared" si="275"/>
        <v>0</v>
      </c>
      <c r="NG24" s="292">
        <f t="shared" si="276"/>
        <v>0</v>
      </c>
      <c r="NH24" s="999">
        <v>11</v>
      </c>
      <c r="NI24" s="286">
        <f t="shared" si="310"/>
        <v>44266</v>
      </c>
      <c r="NJ24" s="287">
        <f t="shared" si="34"/>
        <v>44266</v>
      </c>
      <c r="NK24" s="288">
        <f>'दैनिक माहिती'!H365</f>
        <v>0</v>
      </c>
      <c r="NL24" s="289">
        <f>'दैनिक माहिती'!E365</f>
        <v>0</v>
      </c>
      <c r="NM24" s="289">
        <f>'दैनिक माहिती'!F365</f>
        <v>0</v>
      </c>
      <c r="NN24" s="289">
        <f>'दैनिक माहिती'!G365</f>
        <v>0</v>
      </c>
      <c r="NO24" s="290">
        <f t="shared" si="277"/>
        <v>0</v>
      </c>
      <c r="NP24" s="290">
        <f t="shared" si="278"/>
        <v>0</v>
      </c>
      <c r="NQ24" s="290">
        <f t="shared" si="279"/>
        <v>0</v>
      </c>
      <c r="NR24" s="290">
        <f t="shared" si="280"/>
        <v>0</v>
      </c>
      <c r="NS24" s="290">
        <f t="shared" si="281"/>
        <v>0</v>
      </c>
      <c r="NT24" s="290">
        <f t="shared" si="282"/>
        <v>0</v>
      </c>
      <c r="NU24" s="290">
        <f t="shared" si="283"/>
        <v>0</v>
      </c>
      <c r="NV24" s="290">
        <f t="shared" si="284"/>
        <v>0</v>
      </c>
      <c r="NW24" s="290">
        <f t="shared" si="285"/>
        <v>0</v>
      </c>
      <c r="NX24" s="290">
        <f t="shared" si="286"/>
        <v>0</v>
      </c>
      <c r="NY24" s="290">
        <f t="shared" si="287"/>
        <v>0</v>
      </c>
      <c r="NZ24" s="290">
        <f t="shared" si="288"/>
        <v>0</v>
      </c>
      <c r="OA24" s="290">
        <f t="shared" si="289"/>
        <v>0</v>
      </c>
      <c r="OB24" s="290">
        <f t="shared" si="290"/>
        <v>0</v>
      </c>
      <c r="OC24" s="290">
        <f t="shared" si="291"/>
        <v>0</v>
      </c>
      <c r="OD24" s="290">
        <f t="shared" si="292"/>
        <v>0</v>
      </c>
      <c r="OE24" s="290">
        <f t="shared" si="293"/>
        <v>0</v>
      </c>
      <c r="OF24" s="290">
        <f t="shared" si="294"/>
        <v>0</v>
      </c>
      <c r="OG24" s="291">
        <f t="shared" si="295"/>
        <v>0</v>
      </c>
      <c r="OH24" s="291">
        <f t="shared" si="296"/>
        <v>0</v>
      </c>
      <c r="OI24" s="291">
        <f t="shared" si="297"/>
        <v>0</v>
      </c>
      <c r="OJ24" s="292">
        <f t="shared" si="298"/>
        <v>0</v>
      </c>
    </row>
    <row r="25" spans="2:400" ht="29.25" customHeight="1" x14ac:dyDescent="0.4">
      <c r="B25" s="1019"/>
      <c r="C25" s="260"/>
      <c r="D25" s="260"/>
      <c r="E25" s="260"/>
      <c r="F25" s="260"/>
      <c r="G25" s="260"/>
      <c r="H25" s="260"/>
      <c r="I25" s="260"/>
      <c r="J25" s="2035" t="str">
        <f>I11</f>
        <v>जि.प.प्रा.शा.बोरजाई वस्ती</v>
      </c>
      <c r="K25" s="2035"/>
      <c r="L25" s="2035"/>
      <c r="M25" s="2035"/>
      <c r="N25" s="2035"/>
      <c r="O25" s="1012"/>
      <c r="BA25" s="999">
        <v>12</v>
      </c>
      <c r="BB25" s="286">
        <f t="shared" si="299"/>
        <v>43933</v>
      </c>
      <c r="BC25" s="293">
        <f t="shared" si="23"/>
        <v>43933</v>
      </c>
      <c r="BD25" s="288" t="str">
        <f>'दैनिक माहिती'!H20</f>
        <v>हरभरा</v>
      </c>
      <c r="BE25" s="289">
        <f>'दैनिक माहिती'!E20</f>
        <v>22</v>
      </c>
      <c r="BF25" s="289">
        <f>'दैनिक माहिती'!F20</f>
        <v>22</v>
      </c>
      <c r="BG25" s="289">
        <f>'दैनिक माहिती'!G20</f>
        <v>22</v>
      </c>
      <c r="BH25" s="290">
        <f t="shared" si="35"/>
        <v>2.2000000000000002</v>
      </c>
      <c r="BI25" s="290">
        <f t="shared" si="36"/>
        <v>0</v>
      </c>
      <c r="BJ25" s="290">
        <f t="shared" si="37"/>
        <v>0</v>
      </c>
      <c r="BK25" s="290">
        <f t="shared" si="38"/>
        <v>0</v>
      </c>
      <c r="BL25" s="290">
        <f t="shared" si="39"/>
        <v>0</v>
      </c>
      <c r="BM25" s="290">
        <f t="shared" si="40"/>
        <v>0</v>
      </c>
      <c r="BN25" s="290">
        <f t="shared" si="41"/>
        <v>0</v>
      </c>
      <c r="BO25" s="290">
        <f t="shared" si="42"/>
        <v>0.44</v>
      </c>
      <c r="BP25" s="290">
        <f t="shared" si="43"/>
        <v>0</v>
      </c>
      <c r="BQ25" s="290">
        <f t="shared" si="44"/>
        <v>6.5999999999999991E-3</v>
      </c>
      <c r="BR25" s="290">
        <f t="shared" si="45"/>
        <v>1.0999999999999999E-2</v>
      </c>
      <c r="BS25" s="290">
        <f t="shared" si="46"/>
        <v>6.5999999999999991E-3</v>
      </c>
      <c r="BT25" s="290">
        <f t="shared" si="47"/>
        <v>0</v>
      </c>
      <c r="BU25" s="290">
        <f t="shared" si="48"/>
        <v>0</v>
      </c>
      <c r="BV25" s="290">
        <f t="shared" si="49"/>
        <v>0.11</v>
      </c>
      <c r="BW25" s="290">
        <f t="shared" si="50"/>
        <v>4.3999999999999997E-2</v>
      </c>
      <c r="BX25" s="290">
        <f t="shared" si="51"/>
        <v>2.6399999999999996E-2</v>
      </c>
      <c r="BY25" s="290">
        <f t="shared" si="52"/>
        <v>0</v>
      </c>
      <c r="BZ25" s="291">
        <f t="shared" si="53"/>
        <v>15.84</v>
      </c>
      <c r="CA25" s="291">
        <f t="shared" si="54"/>
        <v>14.08</v>
      </c>
      <c r="CB25" s="291">
        <f t="shared" si="55"/>
        <v>11.66</v>
      </c>
      <c r="CC25" s="292">
        <f t="shared" si="56"/>
        <v>58.96</v>
      </c>
      <c r="CD25" s="999">
        <v>12</v>
      </c>
      <c r="CE25" s="286">
        <f t="shared" si="300"/>
        <v>43963</v>
      </c>
      <c r="CF25" s="293">
        <f t="shared" si="24"/>
        <v>43963</v>
      </c>
      <c r="CG25" s="288">
        <f>'दैनिक माहिती'!H51</f>
        <v>0</v>
      </c>
      <c r="CH25" s="289">
        <f>'दैनिक माहिती'!E51</f>
        <v>0</v>
      </c>
      <c r="CI25" s="289">
        <f>'दैनिक माहिती'!F51</f>
        <v>0</v>
      </c>
      <c r="CJ25" s="289">
        <f>'दैनिक माहिती'!G51</f>
        <v>0</v>
      </c>
      <c r="CK25" s="290">
        <f t="shared" si="57"/>
        <v>0</v>
      </c>
      <c r="CL25" s="290">
        <f t="shared" si="58"/>
        <v>0</v>
      </c>
      <c r="CM25" s="290">
        <f t="shared" si="59"/>
        <v>0</v>
      </c>
      <c r="CN25" s="290">
        <f t="shared" si="60"/>
        <v>0</v>
      </c>
      <c r="CO25" s="290">
        <f t="shared" si="61"/>
        <v>0</v>
      </c>
      <c r="CP25" s="290">
        <f t="shared" si="62"/>
        <v>0</v>
      </c>
      <c r="CQ25" s="290">
        <f t="shared" si="63"/>
        <v>0</v>
      </c>
      <c r="CR25" s="290">
        <f t="shared" si="64"/>
        <v>0</v>
      </c>
      <c r="CS25" s="290">
        <f t="shared" si="65"/>
        <v>0</v>
      </c>
      <c r="CT25" s="290">
        <f t="shared" si="66"/>
        <v>0</v>
      </c>
      <c r="CU25" s="290">
        <f t="shared" si="67"/>
        <v>0</v>
      </c>
      <c r="CV25" s="290">
        <f t="shared" si="68"/>
        <v>0</v>
      </c>
      <c r="CW25" s="290">
        <f t="shared" si="69"/>
        <v>0</v>
      </c>
      <c r="CX25" s="290">
        <f t="shared" si="70"/>
        <v>0</v>
      </c>
      <c r="CY25" s="290">
        <f t="shared" si="71"/>
        <v>0</v>
      </c>
      <c r="CZ25" s="290">
        <f t="shared" si="72"/>
        <v>0</v>
      </c>
      <c r="DA25" s="290">
        <f t="shared" si="73"/>
        <v>0</v>
      </c>
      <c r="DB25" s="290">
        <f t="shared" si="74"/>
        <v>0</v>
      </c>
      <c r="DC25" s="291">
        <f t="shared" si="75"/>
        <v>0</v>
      </c>
      <c r="DD25" s="291">
        <f t="shared" si="76"/>
        <v>0</v>
      </c>
      <c r="DE25" s="291">
        <f t="shared" si="77"/>
        <v>0</v>
      </c>
      <c r="DF25" s="292">
        <f t="shared" si="78"/>
        <v>0</v>
      </c>
      <c r="DG25" s="999">
        <v>12</v>
      </c>
      <c r="DH25" s="286">
        <f t="shared" si="301"/>
        <v>43994</v>
      </c>
      <c r="DI25" s="293">
        <f t="shared" si="25"/>
        <v>43994</v>
      </c>
      <c r="DJ25" s="288">
        <f>'दैनिक माहिती'!H83</f>
        <v>0</v>
      </c>
      <c r="DK25" s="289">
        <f>'दैनिक माहिती'!E83</f>
        <v>0</v>
      </c>
      <c r="DL25" s="289">
        <f>'दैनिक माहिती'!F83</f>
        <v>0</v>
      </c>
      <c r="DM25" s="289">
        <f>'दैनिक माहिती'!G83</f>
        <v>0</v>
      </c>
      <c r="DN25" s="290">
        <f t="shared" si="79"/>
        <v>0</v>
      </c>
      <c r="DO25" s="290">
        <f t="shared" si="80"/>
        <v>0</v>
      </c>
      <c r="DP25" s="290">
        <f t="shared" si="81"/>
        <v>0</v>
      </c>
      <c r="DQ25" s="290">
        <f t="shared" si="82"/>
        <v>0</v>
      </c>
      <c r="DR25" s="290">
        <f t="shared" si="83"/>
        <v>0</v>
      </c>
      <c r="DS25" s="290">
        <f t="shared" si="84"/>
        <v>0</v>
      </c>
      <c r="DT25" s="290">
        <f t="shared" si="85"/>
        <v>0</v>
      </c>
      <c r="DU25" s="290">
        <f t="shared" si="86"/>
        <v>0</v>
      </c>
      <c r="DV25" s="290">
        <f t="shared" si="87"/>
        <v>0</v>
      </c>
      <c r="DW25" s="290">
        <f t="shared" si="88"/>
        <v>0</v>
      </c>
      <c r="DX25" s="290">
        <f t="shared" si="89"/>
        <v>0</v>
      </c>
      <c r="DY25" s="290">
        <f t="shared" si="90"/>
        <v>0</v>
      </c>
      <c r="DZ25" s="290">
        <f t="shared" si="91"/>
        <v>0</v>
      </c>
      <c r="EA25" s="290">
        <f t="shared" si="92"/>
        <v>0</v>
      </c>
      <c r="EB25" s="290">
        <f t="shared" si="93"/>
        <v>0</v>
      </c>
      <c r="EC25" s="290">
        <f t="shared" si="94"/>
        <v>0</v>
      </c>
      <c r="ED25" s="290">
        <f t="shared" si="95"/>
        <v>0</v>
      </c>
      <c r="EE25" s="290">
        <f t="shared" si="96"/>
        <v>0</v>
      </c>
      <c r="EF25" s="291">
        <f t="shared" si="97"/>
        <v>0</v>
      </c>
      <c r="EG25" s="291">
        <f t="shared" si="98"/>
        <v>0</v>
      </c>
      <c r="EH25" s="291">
        <f t="shared" si="99"/>
        <v>0</v>
      </c>
      <c r="EI25" s="292">
        <f t="shared" si="100"/>
        <v>0</v>
      </c>
      <c r="EJ25" s="999">
        <v>12</v>
      </c>
      <c r="EK25" s="286">
        <f t="shared" si="302"/>
        <v>44024</v>
      </c>
      <c r="EL25" s="293">
        <f t="shared" si="26"/>
        <v>44024</v>
      </c>
      <c r="EM25" s="288" t="str">
        <f>'दैनिक माहिती'!H114</f>
        <v>हरभरा</v>
      </c>
      <c r="EN25" s="289">
        <f>'दैनिक माहिती'!E114</f>
        <v>17</v>
      </c>
      <c r="EO25" s="289">
        <f>'दैनिक माहिती'!F114</f>
        <v>17</v>
      </c>
      <c r="EP25" s="289">
        <f>'दैनिक माहिती'!G114</f>
        <v>17</v>
      </c>
      <c r="EQ25" s="290">
        <f t="shared" si="101"/>
        <v>1.7000000000000002</v>
      </c>
      <c r="ER25" s="290">
        <f t="shared" si="102"/>
        <v>0</v>
      </c>
      <c r="ES25" s="290">
        <f t="shared" si="103"/>
        <v>0</v>
      </c>
      <c r="ET25" s="290">
        <f t="shared" si="104"/>
        <v>0</v>
      </c>
      <c r="EU25" s="290">
        <f t="shared" si="105"/>
        <v>0</v>
      </c>
      <c r="EV25" s="290">
        <f t="shared" si="106"/>
        <v>0</v>
      </c>
      <c r="EW25" s="290">
        <f t="shared" si="107"/>
        <v>0</v>
      </c>
      <c r="EX25" s="290">
        <f t="shared" si="108"/>
        <v>0.34</v>
      </c>
      <c r="EY25" s="290">
        <f t="shared" si="109"/>
        <v>0</v>
      </c>
      <c r="EZ25" s="290">
        <f t="shared" si="110"/>
        <v>5.0999999999999995E-3</v>
      </c>
      <c r="FA25" s="290">
        <f t="shared" si="111"/>
        <v>8.5000000000000006E-3</v>
      </c>
      <c r="FB25" s="290">
        <f t="shared" si="112"/>
        <v>5.0999999999999995E-3</v>
      </c>
      <c r="FC25" s="290">
        <f t="shared" si="113"/>
        <v>0</v>
      </c>
      <c r="FD25" s="290">
        <f t="shared" si="114"/>
        <v>0</v>
      </c>
      <c r="FE25" s="290">
        <f t="shared" si="115"/>
        <v>8.5000000000000006E-2</v>
      </c>
      <c r="FF25" s="290">
        <f t="shared" si="116"/>
        <v>3.4000000000000002E-2</v>
      </c>
      <c r="FG25" s="290">
        <f t="shared" si="117"/>
        <v>2.0399999999999998E-2</v>
      </c>
      <c r="FH25" s="290">
        <f t="shared" si="118"/>
        <v>0</v>
      </c>
      <c r="FI25" s="291">
        <f t="shared" si="119"/>
        <v>12.24</v>
      </c>
      <c r="FJ25" s="291">
        <f t="shared" si="120"/>
        <v>10.88</v>
      </c>
      <c r="FK25" s="291">
        <f t="shared" si="121"/>
        <v>9.01</v>
      </c>
      <c r="FL25" s="292">
        <f t="shared" si="122"/>
        <v>45.56</v>
      </c>
      <c r="FM25" s="999">
        <v>12</v>
      </c>
      <c r="FN25" s="286">
        <f t="shared" si="303"/>
        <v>44055</v>
      </c>
      <c r="FO25" s="293">
        <f t="shared" si="27"/>
        <v>44055</v>
      </c>
      <c r="FP25" s="288" t="str">
        <f>'दैनिक माहिती'!H146</f>
        <v>वाटाणा</v>
      </c>
      <c r="FQ25" s="289">
        <f>'दैनिक माहिती'!E146</f>
        <v>15</v>
      </c>
      <c r="FR25" s="289">
        <f>'दैनिक माहिती'!F146</f>
        <v>15</v>
      </c>
      <c r="FS25" s="289">
        <f>'दैनिक माहिती'!G146</f>
        <v>15</v>
      </c>
      <c r="FT25" s="290">
        <f t="shared" si="123"/>
        <v>1.5</v>
      </c>
      <c r="FU25" s="290">
        <f t="shared" si="124"/>
        <v>0</v>
      </c>
      <c r="FV25" s="290">
        <f t="shared" si="125"/>
        <v>0</v>
      </c>
      <c r="FW25" s="290">
        <f t="shared" si="126"/>
        <v>0</v>
      </c>
      <c r="FX25" s="290">
        <f t="shared" si="127"/>
        <v>0</v>
      </c>
      <c r="FY25" s="290">
        <f t="shared" si="128"/>
        <v>0</v>
      </c>
      <c r="FZ25" s="290">
        <f t="shared" si="129"/>
        <v>0</v>
      </c>
      <c r="GA25" s="290">
        <f t="shared" si="130"/>
        <v>0</v>
      </c>
      <c r="GB25" s="290">
        <f t="shared" si="131"/>
        <v>0.3</v>
      </c>
      <c r="GC25" s="290">
        <f t="shared" si="132"/>
        <v>4.4999999999999997E-3</v>
      </c>
      <c r="GD25" s="290">
        <f t="shared" si="133"/>
        <v>7.4999999999999997E-3</v>
      </c>
      <c r="GE25" s="290">
        <f t="shared" si="134"/>
        <v>4.4999999999999997E-3</v>
      </c>
      <c r="GF25" s="290">
        <f t="shared" si="135"/>
        <v>0</v>
      </c>
      <c r="GG25" s="290">
        <f t="shared" si="136"/>
        <v>0</v>
      </c>
      <c r="GH25" s="290">
        <f t="shared" si="137"/>
        <v>7.4999999999999997E-2</v>
      </c>
      <c r="GI25" s="290">
        <f t="shared" si="138"/>
        <v>0.03</v>
      </c>
      <c r="GJ25" s="290">
        <f t="shared" si="139"/>
        <v>1.7999999999999999E-2</v>
      </c>
      <c r="GK25" s="290">
        <f t="shared" si="140"/>
        <v>0</v>
      </c>
      <c r="GL25" s="291">
        <f t="shared" si="141"/>
        <v>10.799999999999999</v>
      </c>
      <c r="GM25" s="291">
        <f t="shared" si="142"/>
        <v>9.6</v>
      </c>
      <c r="GN25" s="291">
        <f t="shared" si="143"/>
        <v>7.95</v>
      </c>
      <c r="GO25" s="292">
        <f t="shared" si="144"/>
        <v>40.200000000000003</v>
      </c>
      <c r="GP25" s="999">
        <v>12</v>
      </c>
      <c r="GQ25" s="286">
        <f t="shared" si="304"/>
        <v>44086</v>
      </c>
      <c r="GR25" s="293">
        <f t="shared" si="28"/>
        <v>44086</v>
      </c>
      <c r="GS25" s="288" t="str">
        <f>'दैनिक माहिती'!H178</f>
        <v>मुगडाळ</v>
      </c>
      <c r="GT25" s="289">
        <f>'दैनिक माहिती'!E178</f>
        <v>16</v>
      </c>
      <c r="GU25" s="289">
        <f>'दैनिक माहिती'!F178</f>
        <v>16</v>
      </c>
      <c r="GV25" s="289">
        <f>'दैनिक माहिती'!G178</f>
        <v>16</v>
      </c>
      <c r="GW25" s="290">
        <f t="shared" si="145"/>
        <v>1.6</v>
      </c>
      <c r="GX25" s="290">
        <f t="shared" si="146"/>
        <v>0.32</v>
      </c>
      <c r="GY25" s="290">
        <f t="shared" si="147"/>
        <v>0</v>
      </c>
      <c r="GZ25" s="290">
        <f t="shared" si="148"/>
        <v>0</v>
      </c>
      <c r="HA25" s="290">
        <f t="shared" si="149"/>
        <v>0</v>
      </c>
      <c r="HB25" s="290">
        <f t="shared" si="150"/>
        <v>0</v>
      </c>
      <c r="HC25" s="290">
        <f t="shared" si="151"/>
        <v>0</v>
      </c>
      <c r="HD25" s="290">
        <f t="shared" si="152"/>
        <v>0</v>
      </c>
      <c r="HE25" s="290">
        <f t="shared" si="153"/>
        <v>0</v>
      </c>
      <c r="HF25" s="290">
        <f t="shared" si="154"/>
        <v>4.7999999999999996E-3</v>
      </c>
      <c r="HG25" s="290">
        <f t="shared" si="155"/>
        <v>8.0000000000000002E-3</v>
      </c>
      <c r="HH25" s="290">
        <f t="shared" si="156"/>
        <v>4.7999999999999996E-3</v>
      </c>
      <c r="HI25" s="290">
        <f t="shared" si="157"/>
        <v>0</v>
      </c>
      <c r="HJ25" s="290">
        <f t="shared" si="158"/>
        <v>0</v>
      </c>
      <c r="HK25" s="290">
        <f t="shared" si="159"/>
        <v>0.08</v>
      </c>
      <c r="HL25" s="290">
        <f t="shared" si="160"/>
        <v>3.2000000000000001E-2</v>
      </c>
      <c r="HM25" s="290">
        <f t="shared" si="161"/>
        <v>1.9199999999999998E-2</v>
      </c>
      <c r="HN25" s="290">
        <f t="shared" si="162"/>
        <v>0</v>
      </c>
      <c r="HO25" s="291">
        <f t="shared" si="163"/>
        <v>11.52</v>
      </c>
      <c r="HP25" s="291">
        <f t="shared" si="164"/>
        <v>10.24</v>
      </c>
      <c r="HQ25" s="291">
        <f t="shared" si="165"/>
        <v>8.48</v>
      </c>
      <c r="HR25" s="292">
        <f t="shared" si="166"/>
        <v>42.88</v>
      </c>
      <c r="HS25" s="999">
        <v>12</v>
      </c>
      <c r="HT25" s="286">
        <f t="shared" si="305"/>
        <v>44116</v>
      </c>
      <c r="HU25" s="293">
        <f t="shared" si="29"/>
        <v>44116</v>
      </c>
      <c r="HV25" s="288" t="str">
        <f>'दैनिक माहिती'!H209</f>
        <v>वाटाणा</v>
      </c>
      <c r="HW25" s="289">
        <f>'दैनिक माहिती'!E209</f>
        <v>22</v>
      </c>
      <c r="HX25" s="289">
        <f>'दैनिक माहिती'!F209</f>
        <v>22</v>
      </c>
      <c r="HY25" s="289">
        <f>'दैनिक माहिती'!G209</f>
        <v>22</v>
      </c>
      <c r="HZ25" s="290">
        <f t="shared" si="167"/>
        <v>2.2000000000000002</v>
      </c>
      <c r="IA25" s="290">
        <f t="shared" si="168"/>
        <v>0</v>
      </c>
      <c r="IB25" s="290">
        <f t="shared" si="169"/>
        <v>0</v>
      </c>
      <c r="IC25" s="290">
        <f t="shared" si="170"/>
        <v>0</v>
      </c>
      <c r="ID25" s="290">
        <f t="shared" si="171"/>
        <v>0</v>
      </c>
      <c r="IE25" s="290">
        <f t="shared" si="172"/>
        <v>0</v>
      </c>
      <c r="IF25" s="290">
        <f t="shared" si="173"/>
        <v>0</v>
      </c>
      <c r="IG25" s="290">
        <f t="shared" si="174"/>
        <v>0</v>
      </c>
      <c r="IH25" s="290">
        <f t="shared" si="175"/>
        <v>0.44</v>
      </c>
      <c r="II25" s="290">
        <f t="shared" si="176"/>
        <v>6.5999999999999991E-3</v>
      </c>
      <c r="IJ25" s="290">
        <f t="shared" si="177"/>
        <v>1.0999999999999999E-2</v>
      </c>
      <c r="IK25" s="290">
        <f t="shared" si="178"/>
        <v>6.5999999999999991E-3</v>
      </c>
      <c r="IL25" s="290">
        <f t="shared" si="179"/>
        <v>0</v>
      </c>
      <c r="IM25" s="290">
        <f t="shared" si="180"/>
        <v>0</v>
      </c>
      <c r="IN25" s="290">
        <f t="shared" si="181"/>
        <v>0.11</v>
      </c>
      <c r="IO25" s="290">
        <f t="shared" si="182"/>
        <v>4.3999999999999997E-2</v>
      </c>
      <c r="IP25" s="290">
        <f t="shared" si="183"/>
        <v>2.6399999999999996E-2</v>
      </c>
      <c r="IQ25" s="290">
        <f t="shared" si="184"/>
        <v>0</v>
      </c>
      <c r="IR25" s="291">
        <f t="shared" si="185"/>
        <v>15.62</v>
      </c>
      <c r="IS25" s="291">
        <f t="shared" si="186"/>
        <v>17.380000000000003</v>
      </c>
      <c r="IT25" s="291">
        <f t="shared" si="187"/>
        <v>12.76</v>
      </c>
      <c r="IU25" s="292">
        <f t="shared" si="188"/>
        <v>63.14</v>
      </c>
      <c r="IV25" s="999">
        <v>12</v>
      </c>
      <c r="IW25" s="286">
        <f t="shared" si="306"/>
        <v>44147</v>
      </c>
      <c r="IX25" s="293">
        <f t="shared" si="30"/>
        <v>44147</v>
      </c>
      <c r="IY25" s="288" t="str">
        <f>'दैनिक माहिती'!H241</f>
        <v>मुगडाळ</v>
      </c>
      <c r="IZ25" s="289">
        <f>'दैनिक माहिती'!E241</f>
        <v>22</v>
      </c>
      <c r="JA25" s="289">
        <f>'दैनिक माहिती'!F241</f>
        <v>22</v>
      </c>
      <c r="JB25" s="289">
        <f>'दैनिक माहिती'!G241</f>
        <v>22</v>
      </c>
      <c r="JC25" s="290">
        <f t="shared" si="189"/>
        <v>2.2000000000000002</v>
      </c>
      <c r="JD25" s="290">
        <f t="shared" si="190"/>
        <v>0.44</v>
      </c>
      <c r="JE25" s="290">
        <f t="shared" si="191"/>
        <v>0</v>
      </c>
      <c r="JF25" s="290">
        <f t="shared" si="192"/>
        <v>0</v>
      </c>
      <c r="JG25" s="290">
        <f t="shared" si="193"/>
        <v>0</v>
      </c>
      <c r="JH25" s="290">
        <f t="shared" si="194"/>
        <v>0</v>
      </c>
      <c r="JI25" s="290">
        <f t="shared" si="195"/>
        <v>0</v>
      </c>
      <c r="JJ25" s="290">
        <f t="shared" si="196"/>
        <v>0</v>
      </c>
      <c r="JK25" s="290">
        <f t="shared" si="197"/>
        <v>0</v>
      </c>
      <c r="JL25" s="290">
        <f t="shared" si="198"/>
        <v>6.5999999999999991E-3</v>
      </c>
      <c r="JM25" s="290">
        <f t="shared" si="199"/>
        <v>1.0999999999999999E-2</v>
      </c>
      <c r="JN25" s="290">
        <f t="shared" si="200"/>
        <v>6.5999999999999991E-3</v>
      </c>
      <c r="JO25" s="290">
        <f t="shared" si="201"/>
        <v>0</v>
      </c>
      <c r="JP25" s="290">
        <f t="shared" si="202"/>
        <v>0</v>
      </c>
      <c r="JQ25" s="290">
        <f t="shared" si="203"/>
        <v>0.11</v>
      </c>
      <c r="JR25" s="290">
        <f t="shared" si="204"/>
        <v>4.3999999999999997E-2</v>
      </c>
      <c r="JS25" s="290">
        <f t="shared" si="205"/>
        <v>2.6399999999999996E-2</v>
      </c>
      <c r="JT25" s="290">
        <f t="shared" si="206"/>
        <v>0</v>
      </c>
      <c r="JU25" s="291">
        <f t="shared" si="207"/>
        <v>15.62</v>
      </c>
      <c r="JV25" s="291">
        <f t="shared" si="208"/>
        <v>17.380000000000003</v>
      </c>
      <c r="JW25" s="291">
        <f t="shared" si="209"/>
        <v>12.76</v>
      </c>
      <c r="JX25" s="292">
        <f t="shared" si="210"/>
        <v>63.14</v>
      </c>
      <c r="JY25" s="999">
        <v>12</v>
      </c>
      <c r="JZ25" s="286">
        <f t="shared" si="307"/>
        <v>44177</v>
      </c>
      <c r="KA25" s="293">
        <f t="shared" si="31"/>
        <v>44177</v>
      </c>
      <c r="KB25" s="288" t="str">
        <f>'दैनिक माहिती'!H272</f>
        <v>मुगडाळ</v>
      </c>
      <c r="KC25" s="289">
        <f>'दैनिक माहिती'!E272</f>
        <v>21</v>
      </c>
      <c r="KD25" s="289">
        <f>'दैनिक माहिती'!F272</f>
        <v>21</v>
      </c>
      <c r="KE25" s="289">
        <f>'दैनिक माहिती'!G272</f>
        <v>21</v>
      </c>
      <c r="KF25" s="290">
        <f t="shared" si="211"/>
        <v>2.1</v>
      </c>
      <c r="KG25" s="290">
        <f t="shared" si="212"/>
        <v>0.42</v>
      </c>
      <c r="KH25" s="290">
        <f t="shared" si="213"/>
        <v>0</v>
      </c>
      <c r="KI25" s="290">
        <f t="shared" si="214"/>
        <v>0</v>
      </c>
      <c r="KJ25" s="290">
        <f t="shared" si="215"/>
        <v>0</v>
      </c>
      <c r="KK25" s="290">
        <f t="shared" si="216"/>
        <v>0</v>
      </c>
      <c r="KL25" s="290">
        <f t="shared" si="217"/>
        <v>0</v>
      </c>
      <c r="KM25" s="290">
        <f t="shared" si="218"/>
        <v>0</v>
      </c>
      <c r="KN25" s="290">
        <f t="shared" si="219"/>
        <v>0</v>
      </c>
      <c r="KO25" s="290">
        <f t="shared" si="220"/>
        <v>6.2999999999999992E-3</v>
      </c>
      <c r="KP25" s="290">
        <f t="shared" si="221"/>
        <v>1.0500000000000001E-2</v>
      </c>
      <c r="KQ25" s="290">
        <f t="shared" si="222"/>
        <v>6.2999999999999992E-3</v>
      </c>
      <c r="KR25" s="290">
        <f t="shared" si="223"/>
        <v>0</v>
      </c>
      <c r="KS25" s="290">
        <f t="shared" si="224"/>
        <v>0</v>
      </c>
      <c r="KT25" s="290">
        <f t="shared" si="225"/>
        <v>0.105</v>
      </c>
      <c r="KU25" s="290">
        <f t="shared" si="226"/>
        <v>4.2000000000000003E-2</v>
      </c>
      <c r="KV25" s="290">
        <f t="shared" si="227"/>
        <v>2.5199999999999997E-2</v>
      </c>
      <c r="KW25" s="290">
        <f t="shared" si="228"/>
        <v>0</v>
      </c>
      <c r="KX25" s="291">
        <f t="shared" si="229"/>
        <v>14.91</v>
      </c>
      <c r="KY25" s="291">
        <f t="shared" si="230"/>
        <v>16.59</v>
      </c>
      <c r="KZ25" s="291">
        <f t="shared" si="231"/>
        <v>12.18</v>
      </c>
      <c r="LA25" s="292">
        <f t="shared" si="232"/>
        <v>60.27</v>
      </c>
      <c r="LB25" s="999">
        <v>12</v>
      </c>
      <c r="LC25" s="286">
        <f t="shared" si="308"/>
        <v>44208</v>
      </c>
      <c r="LD25" s="293">
        <f t="shared" si="32"/>
        <v>44208</v>
      </c>
      <c r="LE25" s="288">
        <f>'दैनिक माहिती'!H304</f>
        <v>0</v>
      </c>
      <c r="LF25" s="289">
        <f>'दैनिक माहिती'!E304</f>
        <v>0</v>
      </c>
      <c r="LG25" s="289">
        <f>'दैनिक माहिती'!F304</f>
        <v>0</v>
      </c>
      <c r="LH25" s="289">
        <f>'दैनिक माहिती'!G304</f>
        <v>0</v>
      </c>
      <c r="LI25" s="290">
        <f t="shared" si="233"/>
        <v>0</v>
      </c>
      <c r="LJ25" s="290">
        <f t="shared" si="234"/>
        <v>0</v>
      </c>
      <c r="LK25" s="290">
        <f t="shared" si="235"/>
        <v>0</v>
      </c>
      <c r="LL25" s="290">
        <f t="shared" si="236"/>
        <v>0</v>
      </c>
      <c r="LM25" s="290">
        <f t="shared" si="237"/>
        <v>0</v>
      </c>
      <c r="LN25" s="290">
        <f t="shared" si="238"/>
        <v>0</v>
      </c>
      <c r="LO25" s="290">
        <f t="shared" si="239"/>
        <v>0</v>
      </c>
      <c r="LP25" s="290">
        <f t="shared" si="240"/>
        <v>0</v>
      </c>
      <c r="LQ25" s="290">
        <f t="shared" si="241"/>
        <v>0</v>
      </c>
      <c r="LR25" s="290">
        <f t="shared" si="242"/>
        <v>0</v>
      </c>
      <c r="LS25" s="290">
        <f t="shared" si="243"/>
        <v>0</v>
      </c>
      <c r="LT25" s="290">
        <f t="shared" si="244"/>
        <v>0</v>
      </c>
      <c r="LU25" s="290">
        <f t="shared" si="245"/>
        <v>0</v>
      </c>
      <c r="LV25" s="290">
        <f t="shared" si="246"/>
        <v>0</v>
      </c>
      <c r="LW25" s="290">
        <f t="shared" si="247"/>
        <v>0</v>
      </c>
      <c r="LX25" s="290">
        <f t="shared" si="248"/>
        <v>0</v>
      </c>
      <c r="LY25" s="290">
        <f t="shared" si="249"/>
        <v>0</v>
      </c>
      <c r="LZ25" s="290">
        <f t="shared" si="250"/>
        <v>0</v>
      </c>
      <c r="MA25" s="291">
        <f t="shared" si="251"/>
        <v>0</v>
      </c>
      <c r="MB25" s="291">
        <f t="shared" si="252"/>
        <v>0</v>
      </c>
      <c r="MC25" s="291">
        <f t="shared" si="253"/>
        <v>0</v>
      </c>
      <c r="MD25" s="292">
        <f t="shared" si="254"/>
        <v>0</v>
      </c>
      <c r="ME25" s="999">
        <v>12</v>
      </c>
      <c r="MF25" s="286">
        <f t="shared" si="309"/>
        <v>44239</v>
      </c>
      <c r="MG25" s="293">
        <f t="shared" si="33"/>
        <v>44239</v>
      </c>
      <c r="MH25" s="288">
        <f>'दैनिक माहिती'!H336</f>
        <v>0</v>
      </c>
      <c r="MI25" s="289">
        <f>'दैनिक माहिती'!E336</f>
        <v>0</v>
      </c>
      <c r="MJ25" s="289">
        <f>'दैनिक माहिती'!F336</f>
        <v>0</v>
      </c>
      <c r="MK25" s="289">
        <f>'दैनिक माहिती'!G336</f>
        <v>0</v>
      </c>
      <c r="ML25" s="290">
        <f t="shared" si="255"/>
        <v>0</v>
      </c>
      <c r="MM25" s="290">
        <f t="shared" si="256"/>
        <v>0</v>
      </c>
      <c r="MN25" s="290">
        <f t="shared" si="257"/>
        <v>0</v>
      </c>
      <c r="MO25" s="290">
        <f t="shared" si="258"/>
        <v>0</v>
      </c>
      <c r="MP25" s="290">
        <f t="shared" si="259"/>
        <v>0</v>
      </c>
      <c r="MQ25" s="290">
        <f t="shared" si="260"/>
        <v>0</v>
      </c>
      <c r="MR25" s="290">
        <f t="shared" si="261"/>
        <v>0</v>
      </c>
      <c r="MS25" s="290">
        <f t="shared" si="262"/>
        <v>0</v>
      </c>
      <c r="MT25" s="290">
        <f t="shared" si="263"/>
        <v>0</v>
      </c>
      <c r="MU25" s="290">
        <f t="shared" si="264"/>
        <v>0</v>
      </c>
      <c r="MV25" s="290">
        <f t="shared" si="265"/>
        <v>0</v>
      </c>
      <c r="MW25" s="290">
        <f t="shared" si="266"/>
        <v>0</v>
      </c>
      <c r="MX25" s="290">
        <f t="shared" si="267"/>
        <v>0</v>
      </c>
      <c r="MY25" s="290">
        <f t="shared" si="268"/>
        <v>0</v>
      </c>
      <c r="MZ25" s="290">
        <f t="shared" si="269"/>
        <v>0</v>
      </c>
      <c r="NA25" s="290">
        <f t="shared" si="270"/>
        <v>0</v>
      </c>
      <c r="NB25" s="290">
        <f t="shared" si="271"/>
        <v>0</v>
      </c>
      <c r="NC25" s="290">
        <f t="shared" si="272"/>
        <v>0</v>
      </c>
      <c r="ND25" s="291">
        <f t="shared" si="273"/>
        <v>0</v>
      </c>
      <c r="NE25" s="291">
        <f t="shared" si="274"/>
        <v>0</v>
      </c>
      <c r="NF25" s="291">
        <f t="shared" si="275"/>
        <v>0</v>
      </c>
      <c r="NG25" s="292">
        <f t="shared" si="276"/>
        <v>0</v>
      </c>
      <c r="NH25" s="999">
        <v>12</v>
      </c>
      <c r="NI25" s="286">
        <f t="shared" si="310"/>
        <v>44267</v>
      </c>
      <c r="NJ25" s="293">
        <f t="shared" si="34"/>
        <v>44267</v>
      </c>
      <c r="NK25" s="288">
        <f>'दैनिक माहिती'!H366</f>
        <v>0</v>
      </c>
      <c r="NL25" s="289">
        <f>'दैनिक माहिती'!E366</f>
        <v>0</v>
      </c>
      <c r="NM25" s="289">
        <f>'दैनिक माहिती'!F366</f>
        <v>0</v>
      </c>
      <c r="NN25" s="289">
        <f>'दैनिक माहिती'!G366</f>
        <v>0</v>
      </c>
      <c r="NO25" s="290">
        <f t="shared" si="277"/>
        <v>0</v>
      </c>
      <c r="NP25" s="290">
        <f t="shared" si="278"/>
        <v>0</v>
      </c>
      <c r="NQ25" s="290">
        <f t="shared" si="279"/>
        <v>0</v>
      </c>
      <c r="NR25" s="290">
        <f t="shared" si="280"/>
        <v>0</v>
      </c>
      <c r="NS25" s="290">
        <f t="shared" si="281"/>
        <v>0</v>
      </c>
      <c r="NT25" s="290">
        <f t="shared" si="282"/>
        <v>0</v>
      </c>
      <c r="NU25" s="290">
        <f t="shared" si="283"/>
        <v>0</v>
      </c>
      <c r="NV25" s="290">
        <f t="shared" si="284"/>
        <v>0</v>
      </c>
      <c r="NW25" s="290">
        <f t="shared" si="285"/>
        <v>0</v>
      </c>
      <c r="NX25" s="290">
        <f t="shared" si="286"/>
        <v>0</v>
      </c>
      <c r="NY25" s="290">
        <f t="shared" si="287"/>
        <v>0</v>
      </c>
      <c r="NZ25" s="290">
        <f t="shared" si="288"/>
        <v>0</v>
      </c>
      <c r="OA25" s="290">
        <f t="shared" si="289"/>
        <v>0</v>
      </c>
      <c r="OB25" s="290">
        <f t="shared" si="290"/>
        <v>0</v>
      </c>
      <c r="OC25" s="290">
        <f t="shared" si="291"/>
        <v>0</v>
      </c>
      <c r="OD25" s="290">
        <f t="shared" si="292"/>
        <v>0</v>
      </c>
      <c r="OE25" s="290">
        <f t="shared" si="293"/>
        <v>0</v>
      </c>
      <c r="OF25" s="290">
        <f t="shared" si="294"/>
        <v>0</v>
      </c>
      <c r="OG25" s="291">
        <f t="shared" si="295"/>
        <v>0</v>
      </c>
      <c r="OH25" s="291">
        <f t="shared" si="296"/>
        <v>0</v>
      </c>
      <c r="OI25" s="291">
        <f t="shared" si="297"/>
        <v>0</v>
      </c>
      <c r="OJ25" s="292">
        <f t="shared" si="298"/>
        <v>0</v>
      </c>
    </row>
    <row r="26" spans="2:400" ht="29.25" customHeight="1" thickBot="1" x14ac:dyDescent="0.45">
      <c r="B26" s="1023"/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  <c r="M26" s="1024"/>
      <c r="N26" s="1024"/>
      <c r="O26" s="1025"/>
      <c r="BA26" s="999">
        <v>13</v>
      </c>
      <c r="BB26" s="286">
        <f t="shared" si="299"/>
        <v>43934</v>
      </c>
      <c r="BC26" s="287">
        <f t="shared" si="23"/>
        <v>43934</v>
      </c>
      <c r="BD26" s="288" t="str">
        <f>'दैनिक माहिती'!H21</f>
        <v>वाटाणा</v>
      </c>
      <c r="BE26" s="289">
        <f>'दैनिक माहिती'!E21</f>
        <v>22</v>
      </c>
      <c r="BF26" s="289">
        <f>'दैनिक माहिती'!F21</f>
        <v>22</v>
      </c>
      <c r="BG26" s="289">
        <f>'दैनिक माहिती'!G21</f>
        <v>22</v>
      </c>
      <c r="BH26" s="290">
        <f t="shared" si="35"/>
        <v>2.2000000000000002</v>
      </c>
      <c r="BI26" s="290">
        <f t="shared" si="36"/>
        <v>0</v>
      </c>
      <c r="BJ26" s="290">
        <f t="shared" si="37"/>
        <v>0</v>
      </c>
      <c r="BK26" s="290">
        <f t="shared" si="38"/>
        <v>0</v>
      </c>
      <c r="BL26" s="290">
        <f t="shared" si="39"/>
        <v>0</v>
      </c>
      <c r="BM26" s="290">
        <f t="shared" si="40"/>
        <v>0</v>
      </c>
      <c r="BN26" s="290">
        <f t="shared" si="41"/>
        <v>0</v>
      </c>
      <c r="BO26" s="290">
        <f t="shared" si="42"/>
        <v>0</v>
      </c>
      <c r="BP26" s="290">
        <f t="shared" si="43"/>
        <v>0.44</v>
      </c>
      <c r="BQ26" s="290">
        <f t="shared" si="44"/>
        <v>6.5999999999999991E-3</v>
      </c>
      <c r="BR26" s="290">
        <f t="shared" si="45"/>
        <v>1.0999999999999999E-2</v>
      </c>
      <c r="BS26" s="290">
        <f t="shared" si="46"/>
        <v>6.5999999999999991E-3</v>
      </c>
      <c r="BT26" s="290">
        <f t="shared" si="47"/>
        <v>0</v>
      </c>
      <c r="BU26" s="290">
        <f t="shared" si="48"/>
        <v>0</v>
      </c>
      <c r="BV26" s="290">
        <f t="shared" si="49"/>
        <v>0.11</v>
      </c>
      <c r="BW26" s="290">
        <f t="shared" si="50"/>
        <v>4.3999999999999997E-2</v>
      </c>
      <c r="BX26" s="290">
        <f t="shared" si="51"/>
        <v>2.6399999999999996E-2</v>
      </c>
      <c r="BY26" s="290">
        <f t="shared" si="52"/>
        <v>0</v>
      </c>
      <c r="BZ26" s="291">
        <f t="shared" si="53"/>
        <v>15.84</v>
      </c>
      <c r="CA26" s="291">
        <f t="shared" si="54"/>
        <v>14.08</v>
      </c>
      <c r="CB26" s="291">
        <f t="shared" si="55"/>
        <v>11.66</v>
      </c>
      <c r="CC26" s="292">
        <f t="shared" si="56"/>
        <v>58.96</v>
      </c>
      <c r="CD26" s="999">
        <v>13</v>
      </c>
      <c r="CE26" s="286">
        <f t="shared" si="300"/>
        <v>43964</v>
      </c>
      <c r="CF26" s="287">
        <f t="shared" si="24"/>
        <v>43964</v>
      </c>
      <c r="CG26" s="288">
        <f>'दैनिक माहिती'!H52</f>
        <v>0</v>
      </c>
      <c r="CH26" s="289">
        <f>'दैनिक माहिती'!E52</f>
        <v>0</v>
      </c>
      <c r="CI26" s="289">
        <f>'दैनिक माहिती'!F52</f>
        <v>0</v>
      </c>
      <c r="CJ26" s="289">
        <f>'दैनिक माहिती'!G52</f>
        <v>0</v>
      </c>
      <c r="CK26" s="290">
        <f t="shared" si="57"/>
        <v>0</v>
      </c>
      <c r="CL26" s="290">
        <f t="shared" si="58"/>
        <v>0</v>
      </c>
      <c r="CM26" s="290">
        <f t="shared" si="59"/>
        <v>0</v>
      </c>
      <c r="CN26" s="290">
        <f t="shared" si="60"/>
        <v>0</v>
      </c>
      <c r="CO26" s="290">
        <f t="shared" si="61"/>
        <v>0</v>
      </c>
      <c r="CP26" s="290">
        <f t="shared" si="62"/>
        <v>0</v>
      </c>
      <c r="CQ26" s="290">
        <f t="shared" si="63"/>
        <v>0</v>
      </c>
      <c r="CR26" s="290">
        <f t="shared" si="64"/>
        <v>0</v>
      </c>
      <c r="CS26" s="290">
        <f t="shared" si="65"/>
        <v>0</v>
      </c>
      <c r="CT26" s="290">
        <f t="shared" si="66"/>
        <v>0</v>
      </c>
      <c r="CU26" s="290">
        <f t="shared" si="67"/>
        <v>0</v>
      </c>
      <c r="CV26" s="290">
        <f t="shared" si="68"/>
        <v>0</v>
      </c>
      <c r="CW26" s="290">
        <f t="shared" si="69"/>
        <v>0</v>
      </c>
      <c r="CX26" s="290">
        <f t="shared" si="70"/>
        <v>0</v>
      </c>
      <c r="CY26" s="290">
        <f t="shared" si="71"/>
        <v>0</v>
      </c>
      <c r="CZ26" s="290">
        <f t="shared" si="72"/>
        <v>0</v>
      </c>
      <c r="DA26" s="290">
        <f t="shared" si="73"/>
        <v>0</v>
      </c>
      <c r="DB26" s="290">
        <f t="shared" si="74"/>
        <v>0</v>
      </c>
      <c r="DC26" s="291">
        <f t="shared" si="75"/>
        <v>0</v>
      </c>
      <c r="DD26" s="291">
        <f t="shared" si="76"/>
        <v>0</v>
      </c>
      <c r="DE26" s="291">
        <f t="shared" si="77"/>
        <v>0</v>
      </c>
      <c r="DF26" s="292">
        <f t="shared" si="78"/>
        <v>0</v>
      </c>
      <c r="DG26" s="999">
        <v>13</v>
      </c>
      <c r="DH26" s="286">
        <f t="shared" si="301"/>
        <v>43995</v>
      </c>
      <c r="DI26" s="287">
        <f t="shared" si="25"/>
        <v>43995</v>
      </c>
      <c r="DJ26" s="288">
        <f>'दैनिक माहिती'!H84</f>
        <v>0</v>
      </c>
      <c r="DK26" s="289">
        <f>'दैनिक माहिती'!E84</f>
        <v>0</v>
      </c>
      <c r="DL26" s="289">
        <f>'दैनिक माहिती'!F84</f>
        <v>0</v>
      </c>
      <c r="DM26" s="289">
        <f>'दैनिक माहिती'!G84</f>
        <v>0</v>
      </c>
      <c r="DN26" s="290">
        <f t="shared" si="79"/>
        <v>0</v>
      </c>
      <c r="DO26" s="290">
        <f t="shared" si="80"/>
        <v>0</v>
      </c>
      <c r="DP26" s="290">
        <f t="shared" si="81"/>
        <v>0</v>
      </c>
      <c r="DQ26" s="290">
        <f t="shared" si="82"/>
        <v>0</v>
      </c>
      <c r="DR26" s="290">
        <f t="shared" si="83"/>
        <v>0</v>
      </c>
      <c r="DS26" s="290">
        <f t="shared" si="84"/>
        <v>0</v>
      </c>
      <c r="DT26" s="290">
        <f t="shared" si="85"/>
        <v>0</v>
      </c>
      <c r="DU26" s="290">
        <f t="shared" si="86"/>
        <v>0</v>
      </c>
      <c r="DV26" s="290">
        <f t="shared" si="87"/>
        <v>0</v>
      </c>
      <c r="DW26" s="290">
        <f t="shared" si="88"/>
        <v>0</v>
      </c>
      <c r="DX26" s="290">
        <f t="shared" si="89"/>
        <v>0</v>
      </c>
      <c r="DY26" s="290">
        <f t="shared" si="90"/>
        <v>0</v>
      </c>
      <c r="DZ26" s="290">
        <f t="shared" si="91"/>
        <v>0</v>
      </c>
      <c r="EA26" s="290">
        <f t="shared" si="92"/>
        <v>0</v>
      </c>
      <c r="EB26" s="290">
        <f t="shared" si="93"/>
        <v>0</v>
      </c>
      <c r="EC26" s="290">
        <f t="shared" si="94"/>
        <v>0</v>
      </c>
      <c r="ED26" s="290">
        <f t="shared" si="95"/>
        <v>0</v>
      </c>
      <c r="EE26" s="290">
        <f t="shared" si="96"/>
        <v>0</v>
      </c>
      <c r="EF26" s="291">
        <f t="shared" si="97"/>
        <v>0</v>
      </c>
      <c r="EG26" s="291">
        <f t="shared" si="98"/>
        <v>0</v>
      </c>
      <c r="EH26" s="291">
        <f t="shared" si="99"/>
        <v>0</v>
      </c>
      <c r="EI26" s="292">
        <f t="shared" si="100"/>
        <v>0</v>
      </c>
      <c r="EJ26" s="999">
        <v>13</v>
      </c>
      <c r="EK26" s="286">
        <f t="shared" si="302"/>
        <v>44025</v>
      </c>
      <c r="EL26" s="287">
        <f t="shared" si="26"/>
        <v>44025</v>
      </c>
      <c r="EM26" s="288" t="str">
        <f>'दैनिक माहिती'!H115</f>
        <v>वाटाणा</v>
      </c>
      <c r="EN26" s="289">
        <f>'दैनिक माहिती'!E115</f>
        <v>17</v>
      </c>
      <c r="EO26" s="289">
        <f>'दैनिक माहिती'!F115</f>
        <v>17</v>
      </c>
      <c r="EP26" s="289">
        <f>'दैनिक माहिती'!G115</f>
        <v>17</v>
      </c>
      <c r="EQ26" s="290">
        <f t="shared" si="101"/>
        <v>1.7000000000000002</v>
      </c>
      <c r="ER26" s="290">
        <f t="shared" si="102"/>
        <v>0</v>
      </c>
      <c r="ES26" s="290">
        <f t="shared" si="103"/>
        <v>0</v>
      </c>
      <c r="ET26" s="290">
        <f t="shared" si="104"/>
        <v>0</v>
      </c>
      <c r="EU26" s="290">
        <f t="shared" si="105"/>
        <v>0</v>
      </c>
      <c r="EV26" s="290">
        <f t="shared" si="106"/>
        <v>0</v>
      </c>
      <c r="EW26" s="290">
        <f t="shared" si="107"/>
        <v>0</v>
      </c>
      <c r="EX26" s="290">
        <f t="shared" si="108"/>
        <v>0</v>
      </c>
      <c r="EY26" s="290">
        <f t="shared" si="109"/>
        <v>0.34</v>
      </c>
      <c r="EZ26" s="290">
        <f t="shared" si="110"/>
        <v>5.0999999999999995E-3</v>
      </c>
      <c r="FA26" s="290">
        <f t="shared" si="111"/>
        <v>8.5000000000000006E-3</v>
      </c>
      <c r="FB26" s="290">
        <f t="shared" si="112"/>
        <v>5.0999999999999995E-3</v>
      </c>
      <c r="FC26" s="290">
        <f t="shared" si="113"/>
        <v>0</v>
      </c>
      <c r="FD26" s="290">
        <f t="shared" si="114"/>
        <v>0</v>
      </c>
      <c r="FE26" s="290">
        <f t="shared" si="115"/>
        <v>8.5000000000000006E-2</v>
      </c>
      <c r="FF26" s="290">
        <f t="shared" si="116"/>
        <v>3.4000000000000002E-2</v>
      </c>
      <c r="FG26" s="290">
        <f t="shared" si="117"/>
        <v>2.0399999999999998E-2</v>
      </c>
      <c r="FH26" s="290">
        <f t="shared" si="118"/>
        <v>0</v>
      </c>
      <c r="FI26" s="291">
        <f t="shared" si="119"/>
        <v>12.24</v>
      </c>
      <c r="FJ26" s="291">
        <f t="shared" si="120"/>
        <v>10.88</v>
      </c>
      <c r="FK26" s="291">
        <f t="shared" si="121"/>
        <v>9.01</v>
      </c>
      <c r="FL26" s="292">
        <f t="shared" si="122"/>
        <v>45.56</v>
      </c>
      <c r="FM26" s="999">
        <v>13</v>
      </c>
      <c r="FN26" s="286">
        <f t="shared" si="303"/>
        <v>44056</v>
      </c>
      <c r="FO26" s="287">
        <f t="shared" si="27"/>
        <v>44056</v>
      </c>
      <c r="FP26" s="288" t="str">
        <f>'दैनिक माहिती'!H147</f>
        <v>मुगडाळ</v>
      </c>
      <c r="FQ26" s="289">
        <f>'दैनिक माहिती'!E147</f>
        <v>15</v>
      </c>
      <c r="FR26" s="289">
        <f>'दैनिक माहिती'!F147</f>
        <v>15</v>
      </c>
      <c r="FS26" s="289">
        <f>'दैनिक माहिती'!G147</f>
        <v>15</v>
      </c>
      <c r="FT26" s="290">
        <f t="shared" si="123"/>
        <v>1.5</v>
      </c>
      <c r="FU26" s="290">
        <f t="shared" si="124"/>
        <v>0.3</v>
      </c>
      <c r="FV26" s="290">
        <f t="shared" si="125"/>
        <v>0</v>
      </c>
      <c r="FW26" s="290">
        <f t="shared" si="126"/>
        <v>0</v>
      </c>
      <c r="FX26" s="290">
        <f t="shared" si="127"/>
        <v>0</v>
      </c>
      <c r="FY26" s="290">
        <f t="shared" si="128"/>
        <v>0</v>
      </c>
      <c r="FZ26" s="290">
        <f t="shared" si="129"/>
        <v>0</v>
      </c>
      <c r="GA26" s="290">
        <f t="shared" si="130"/>
        <v>0</v>
      </c>
      <c r="GB26" s="290">
        <f t="shared" si="131"/>
        <v>0</v>
      </c>
      <c r="GC26" s="290">
        <f t="shared" si="132"/>
        <v>4.4999999999999997E-3</v>
      </c>
      <c r="GD26" s="290">
        <f t="shared" si="133"/>
        <v>7.4999999999999997E-3</v>
      </c>
      <c r="GE26" s="290">
        <f t="shared" si="134"/>
        <v>4.4999999999999997E-3</v>
      </c>
      <c r="GF26" s="290">
        <f t="shared" si="135"/>
        <v>0</v>
      </c>
      <c r="GG26" s="290">
        <f t="shared" si="136"/>
        <v>0</v>
      </c>
      <c r="GH26" s="290">
        <f t="shared" si="137"/>
        <v>7.4999999999999997E-2</v>
      </c>
      <c r="GI26" s="290">
        <f t="shared" si="138"/>
        <v>0.03</v>
      </c>
      <c r="GJ26" s="290">
        <f t="shared" si="139"/>
        <v>1.7999999999999999E-2</v>
      </c>
      <c r="GK26" s="290">
        <f t="shared" si="140"/>
        <v>0</v>
      </c>
      <c r="GL26" s="291">
        <f t="shared" si="141"/>
        <v>10.799999999999999</v>
      </c>
      <c r="GM26" s="291">
        <f t="shared" si="142"/>
        <v>9.6</v>
      </c>
      <c r="GN26" s="291">
        <f t="shared" si="143"/>
        <v>7.95</v>
      </c>
      <c r="GO26" s="292">
        <f t="shared" si="144"/>
        <v>40.200000000000003</v>
      </c>
      <c r="GP26" s="999">
        <v>13</v>
      </c>
      <c r="GQ26" s="286">
        <f t="shared" si="304"/>
        <v>44087</v>
      </c>
      <c r="GR26" s="287">
        <f t="shared" si="28"/>
        <v>44087</v>
      </c>
      <c r="GS26" s="288" t="str">
        <f>'दैनिक माहिती'!H179</f>
        <v>हरभरा</v>
      </c>
      <c r="GT26" s="289">
        <f>'दैनिक माहिती'!E179</f>
        <v>16</v>
      </c>
      <c r="GU26" s="289">
        <f>'दैनिक माहिती'!F179</f>
        <v>16</v>
      </c>
      <c r="GV26" s="289">
        <f>'दैनिक माहिती'!G179</f>
        <v>16</v>
      </c>
      <c r="GW26" s="290">
        <f t="shared" si="145"/>
        <v>1.6</v>
      </c>
      <c r="GX26" s="290">
        <f t="shared" si="146"/>
        <v>0</v>
      </c>
      <c r="GY26" s="290">
        <f t="shared" si="147"/>
        <v>0</v>
      </c>
      <c r="GZ26" s="290">
        <f t="shared" si="148"/>
        <v>0</v>
      </c>
      <c r="HA26" s="290">
        <f t="shared" si="149"/>
        <v>0</v>
      </c>
      <c r="HB26" s="290">
        <f t="shared" si="150"/>
        <v>0</v>
      </c>
      <c r="HC26" s="290">
        <f t="shared" si="151"/>
        <v>0</v>
      </c>
      <c r="HD26" s="290">
        <f t="shared" si="152"/>
        <v>0.32</v>
      </c>
      <c r="HE26" s="290">
        <f t="shared" si="153"/>
        <v>0</v>
      </c>
      <c r="HF26" s="290">
        <f t="shared" si="154"/>
        <v>4.7999999999999996E-3</v>
      </c>
      <c r="HG26" s="290">
        <f t="shared" si="155"/>
        <v>8.0000000000000002E-3</v>
      </c>
      <c r="HH26" s="290">
        <f t="shared" si="156"/>
        <v>4.7999999999999996E-3</v>
      </c>
      <c r="HI26" s="290">
        <f t="shared" si="157"/>
        <v>0</v>
      </c>
      <c r="HJ26" s="290">
        <f t="shared" si="158"/>
        <v>0</v>
      </c>
      <c r="HK26" s="290">
        <f t="shared" si="159"/>
        <v>0.08</v>
      </c>
      <c r="HL26" s="290">
        <f t="shared" si="160"/>
        <v>3.2000000000000001E-2</v>
      </c>
      <c r="HM26" s="290">
        <f t="shared" si="161"/>
        <v>1.9199999999999998E-2</v>
      </c>
      <c r="HN26" s="290">
        <f t="shared" si="162"/>
        <v>0</v>
      </c>
      <c r="HO26" s="291">
        <f t="shared" si="163"/>
        <v>11.52</v>
      </c>
      <c r="HP26" s="291">
        <f t="shared" si="164"/>
        <v>10.24</v>
      </c>
      <c r="HQ26" s="291">
        <f t="shared" si="165"/>
        <v>8.48</v>
      </c>
      <c r="HR26" s="292">
        <f t="shared" si="166"/>
        <v>42.88</v>
      </c>
      <c r="HS26" s="999">
        <v>13</v>
      </c>
      <c r="HT26" s="286">
        <f t="shared" si="305"/>
        <v>44117</v>
      </c>
      <c r="HU26" s="287">
        <f t="shared" si="29"/>
        <v>44117</v>
      </c>
      <c r="HV26" s="288" t="str">
        <f>'दैनिक माहिती'!H210</f>
        <v>हरभरा</v>
      </c>
      <c r="HW26" s="289">
        <f>'दैनिक माहिती'!E210</f>
        <v>22</v>
      </c>
      <c r="HX26" s="289">
        <f>'दैनिक माहिती'!F210</f>
        <v>22</v>
      </c>
      <c r="HY26" s="289">
        <f>'दैनिक माहिती'!G210</f>
        <v>22</v>
      </c>
      <c r="HZ26" s="290">
        <f t="shared" si="167"/>
        <v>2.2000000000000002</v>
      </c>
      <c r="IA26" s="290">
        <f t="shared" si="168"/>
        <v>0</v>
      </c>
      <c r="IB26" s="290">
        <f t="shared" si="169"/>
        <v>0</v>
      </c>
      <c r="IC26" s="290">
        <f t="shared" si="170"/>
        <v>0</v>
      </c>
      <c r="ID26" s="290">
        <f t="shared" si="171"/>
        <v>0</v>
      </c>
      <c r="IE26" s="290">
        <f t="shared" si="172"/>
        <v>0</v>
      </c>
      <c r="IF26" s="290">
        <f t="shared" si="173"/>
        <v>0</v>
      </c>
      <c r="IG26" s="290">
        <f t="shared" si="174"/>
        <v>0.44</v>
      </c>
      <c r="IH26" s="290">
        <f t="shared" si="175"/>
        <v>0</v>
      </c>
      <c r="II26" s="290">
        <f t="shared" si="176"/>
        <v>6.5999999999999991E-3</v>
      </c>
      <c r="IJ26" s="290">
        <f t="shared" si="177"/>
        <v>1.0999999999999999E-2</v>
      </c>
      <c r="IK26" s="290">
        <f t="shared" si="178"/>
        <v>6.5999999999999991E-3</v>
      </c>
      <c r="IL26" s="290">
        <f t="shared" si="179"/>
        <v>0</v>
      </c>
      <c r="IM26" s="290">
        <f t="shared" si="180"/>
        <v>0</v>
      </c>
      <c r="IN26" s="290">
        <f t="shared" si="181"/>
        <v>0.11</v>
      </c>
      <c r="IO26" s="290">
        <f t="shared" si="182"/>
        <v>4.3999999999999997E-2</v>
      </c>
      <c r="IP26" s="290">
        <f t="shared" si="183"/>
        <v>2.6399999999999996E-2</v>
      </c>
      <c r="IQ26" s="290">
        <f t="shared" si="184"/>
        <v>0</v>
      </c>
      <c r="IR26" s="291">
        <f t="shared" si="185"/>
        <v>15.62</v>
      </c>
      <c r="IS26" s="291">
        <f t="shared" si="186"/>
        <v>17.380000000000003</v>
      </c>
      <c r="IT26" s="291">
        <f t="shared" si="187"/>
        <v>12.76</v>
      </c>
      <c r="IU26" s="292">
        <f t="shared" si="188"/>
        <v>63.14</v>
      </c>
      <c r="IV26" s="999">
        <v>13</v>
      </c>
      <c r="IW26" s="286">
        <f t="shared" si="306"/>
        <v>44148</v>
      </c>
      <c r="IX26" s="287">
        <f t="shared" si="30"/>
        <v>44148</v>
      </c>
      <c r="IY26" s="288">
        <f>'दैनिक माहिती'!H242</f>
        <v>0</v>
      </c>
      <c r="IZ26" s="289">
        <f>'दैनिक माहिती'!E242</f>
        <v>0</v>
      </c>
      <c r="JA26" s="289">
        <f>'दैनिक माहिती'!F242</f>
        <v>0</v>
      </c>
      <c r="JB26" s="289">
        <f>'दैनिक माहिती'!G242</f>
        <v>0</v>
      </c>
      <c r="JC26" s="290">
        <f t="shared" si="189"/>
        <v>0</v>
      </c>
      <c r="JD26" s="290">
        <f t="shared" si="190"/>
        <v>0</v>
      </c>
      <c r="JE26" s="290">
        <f t="shared" si="191"/>
        <v>0</v>
      </c>
      <c r="JF26" s="290">
        <f t="shared" si="192"/>
        <v>0</v>
      </c>
      <c r="JG26" s="290">
        <f t="shared" si="193"/>
        <v>0</v>
      </c>
      <c r="JH26" s="290">
        <f t="shared" si="194"/>
        <v>0</v>
      </c>
      <c r="JI26" s="290">
        <f t="shared" si="195"/>
        <v>0</v>
      </c>
      <c r="JJ26" s="290">
        <f t="shared" si="196"/>
        <v>0</v>
      </c>
      <c r="JK26" s="290">
        <f t="shared" si="197"/>
        <v>0</v>
      </c>
      <c r="JL26" s="290">
        <f t="shared" si="198"/>
        <v>0</v>
      </c>
      <c r="JM26" s="290">
        <f t="shared" si="199"/>
        <v>0</v>
      </c>
      <c r="JN26" s="290">
        <f t="shared" si="200"/>
        <v>0</v>
      </c>
      <c r="JO26" s="290">
        <f t="shared" si="201"/>
        <v>0</v>
      </c>
      <c r="JP26" s="290">
        <f t="shared" si="202"/>
        <v>0</v>
      </c>
      <c r="JQ26" s="290">
        <f t="shared" si="203"/>
        <v>0</v>
      </c>
      <c r="JR26" s="290">
        <f t="shared" si="204"/>
        <v>0</v>
      </c>
      <c r="JS26" s="290">
        <f t="shared" si="205"/>
        <v>0</v>
      </c>
      <c r="JT26" s="290">
        <f t="shared" si="206"/>
        <v>0</v>
      </c>
      <c r="JU26" s="291">
        <f t="shared" si="207"/>
        <v>0</v>
      </c>
      <c r="JV26" s="291">
        <f t="shared" si="208"/>
        <v>0</v>
      </c>
      <c r="JW26" s="291">
        <f t="shared" si="209"/>
        <v>0</v>
      </c>
      <c r="JX26" s="292">
        <f t="shared" si="210"/>
        <v>0</v>
      </c>
      <c r="JY26" s="999">
        <v>13</v>
      </c>
      <c r="JZ26" s="286">
        <f t="shared" si="307"/>
        <v>44178</v>
      </c>
      <c r="KA26" s="287">
        <f t="shared" si="31"/>
        <v>44178</v>
      </c>
      <c r="KB26" s="288" t="str">
        <f>'दैनिक माहिती'!H273</f>
        <v>हरभरा</v>
      </c>
      <c r="KC26" s="289">
        <f>'दैनिक माहिती'!E273</f>
        <v>21</v>
      </c>
      <c r="KD26" s="289">
        <f>'दैनिक माहिती'!F273</f>
        <v>21</v>
      </c>
      <c r="KE26" s="289">
        <f>'दैनिक माहिती'!G273</f>
        <v>21</v>
      </c>
      <c r="KF26" s="290">
        <f t="shared" si="211"/>
        <v>2.1</v>
      </c>
      <c r="KG26" s="290">
        <f t="shared" si="212"/>
        <v>0</v>
      </c>
      <c r="KH26" s="290">
        <f t="shared" si="213"/>
        <v>0</v>
      </c>
      <c r="KI26" s="290">
        <f t="shared" si="214"/>
        <v>0</v>
      </c>
      <c r="KJ26" s="290">
        <f t="shared" si="215"/>
        <v>0</v>
      </c>
      <c r="KK26" s="290">
        <f t="shared" si="216"/>
        <v>0</v>
      </c>
      <c r="KL26" s="290">
        <f t="shared" si="217"/>
        <v>0</v>
      </c>
      <c r="KM26" s="290">
        <f t="shared" si="218"/>
        <v>0.42</v>
      </c>
      <c r="KN26" s="290">
        <f t="shared" si="219"/>
        <v>0</v>
      </c>
      <c r="KO26" s="290">
        <f t="shared" si="220"/>
        <v>6.2999999999999992E-3</v>
      </c>
      <c r="KP26" s="290">
        <f t="shared" si="221"/>
        <v>1.0500000000000001E-2</v>
      </c>
      <c r="KQ26" s="290">
        <f t="shared" si="222"/>
        <v>6.2999999999999992E-3</v>
      </c>
      <c r="KR26" s="290">
        <f t="shared" si="223"/>
        <v>0</v>
      </c>
      <c r="KS26" s="290">
        <f t="shared" si="224"/>
        <v>0</v>
      </c>
      <c r="KT26" s="290">
        <f t="shared" si="225"/>
        <v>0.105</v>
      </c>
      <c r="KU26" s="290">
        <f t="shared" si="226"/>
        <v>4.2000000000000003E-2</v>
      </c>
      <c r="KV26" s="290">
        <f t="shared" si="227"/>
        <v>2.5199999999999997E-2</v>
      </c>
      <c r="KW26" s="290">
        <f t="shared" si="228"/>
        <v>0</v>
      </c>
      <c r="KX26" s="291">
        <f t="shared" si="229"/>
        <v>14.91</v>
      </c>
      <c r="KY26" s="291">
        <f t="shared" si="230"/>
        <v>16.59</v>
      </c>
      <c r="KZ26" s="291">
        <f t="shared" si="231"/>
        <v>12.18</v>
      </c>
      <c r="LA26" s="292">
        <f t="shared" si="232"/>
        <v>60.27</v>
      </c>
      <c r="LB26" s="999">
        <v>13</v>
      </c>
      <c r="LC26" s="286">
        <f t="shared" si="308"/>
        <v>44209</v>
      </c>
      <c r="LD26" s="287">
        <f t="shared" si="32"/>
        <v>44209</v>
      </c>
      <c r="LE26" s="288">
        <f>'दैनिक माहिती'!H305</f>
        <v>0</v>
      </c>
      <c r="LF26" s="289">
        <f>'दैनिक माहिती'!E305</f>
        <v>0</v>
      </c>
      <c r="LG26" s="289">
        <f>'दैनिक माहिती'!F305</f>
        <v>0</v>
      </c>
      <c r="LH26" s="289">
        <f>'दैनिक माहिती'!G305</f>
        <v>0</v>
      </c>
      <c r="LI26" s="290">
        <f t="shared" si="233"/>
        <v>0</v>
      </c>
      <c r="LJ26" s="290">
        <f t="shared" si="234"/>
        <v>0</v>
      </c>
      <c r="LK26" s="290">
        <f t="shared" si="235"/>
        <v>0</v>
      </c>
      <c r="LL26" s="290">
        <f t="shared" si="236"/>
        <v>0</v>
      </c>
      <c r="LM26" s="290">
        <f t="shared" si="237"/>
        <v>0</v>
      </c>
      <c r="LN26" s="290">
        <f t="shared" si="238"/>
        <v>0</v>
      </c>
      <c r="LO26" s="290">
        <f t="shared" si="239"/>
        <v>0</v>
      </c>
      <c r="LP26" s="290">
        <f t="shared" si="240"/>
        <v>0</v>
      </c>
      <c r="LQ26" s="290">
        <f t="shared" si="241"/>
        <v>0</v>
      </c>
      <c r="LR26" s="290">
        <f t="shared" si="242"/>
        <v>0</v>
      </c>
      <c r="LS26" s="290">
        <f t="shared" si="243"/>
        <v>0</v>
      </c>
      <c r="LT26" s="290">
        <f t="shared" si="244"/>
        <v>0</v>
      </c>
      <c r="LU26" s="290">
        <f t="shared" si="245"/>
        <v>0</v>
      </c>
      <c r="LV26" s="290">
        <f t="shared" si="246"/>
        <v>0</v>
      </c>
      <c r="LW26" s="290">
        <f t="shared" si="247"/>
        <v>0</v>
      </c>
      <c r="LX26" s="290">
        <f t="shared" si="248"/>
        <v>0</v>
      </c>
      <c r="LY26" s="290">
        <f t="shared" si="249"/>
        <v>0</v>
      </c>
      <c r="LZ26" s="290">
        <f t="shared" si="250"/>
        <v>0</v>
      </c>
      <c r="MA26" s="291">
        <f t="shared" si="251"/>
        <v>0</v>
      </c>
      <c r="MB26" s="291">
        <f t="shared" si="252"/>
        <v>0</v>
      </c>
      <c r="MC26" s="291">
        <f t="shared" si="253"/>
        <v>0</v>
      </c>
      <c r="MD26" s="292">
        <f t="shared" si="254"/>
        <v>0</v>
      </c>
      <c r="ME26" s="999">
        <v>13</v>
      </c>
      <c r="MF26" s="286">
        <f t="shared" si="309"/>
        <v>44240</v>
      </c>
      <c r="MG26" s="287">
        <f t="shared" si="33"/>
        <v>44240</v>
      </c>
      <c r="MH26" s="288">
        <f>'दैनिक माहिती'!H337</f>
        <v>0</v>
      </c>
      <c r="MI26" s="289">
        <f>'दैनिक माहिती'!E337</f>
        <v>0</v>
      </c>
      <c r="MJ26" s="289">
        <f>'दैनिक माहिती'!F337</f>
        <v>0</v>
      </c>
      <c r="MK26" s="289">
        <f>'दैनिक माहिती'!G337</f>
        <v>0</v>
      </c>
      <c r="ML26" s="290">
        <f t="shared" si="255"/>
        <v>0</v>
      </c>
      <c r="MM26" s="290">
        <f t="shared" si="256"/>
        <v>0</v>
      </c>
      <c r="MN26" s="290">
        <f t="shared" si="257"/>
        <v>0</v>
      </c>
      <c r="MO26" s="290">
        <f t="shared" si="258"/>
        <v>0</v>
      </c>
      <c r="MP26" s="290">
        <f t="shared" si="259"/>
        <v>0</v>
      </c>
      <c r="MQ26" s="290">
        <f t="shared" si="260"/>
        <v>0</v>
      </c>
      <c r="MR26" s="290">
        <f t="shared" si="261"/>
        <v>0</v>
      </c>
      <c r="MS26" s="290">
        <f t="shared" si="262"/>
        <v>0</v>
      </c>
      <c r="MT26" s="290">
        <f t="shared" si="263"/>
        <v>0</v>
      </c>
      <c r="MU26" s="290">
        <f t="shared" si="264"/>
        <v>0</v>
      </c>
      <c r="MV26" s="290">
        <f t="shared" si="265"/>
        <v>0</v>
      </c>
      <c r="MW26" s="290">
        <f t="shared" si="266"/>
        <v>0</v>
      </c>
      <c r="MX26" s="290">
        <f t="shared" si="267"/>
        <v>0</v>
      </c>
      <c r="MY26" s="290">
        <f t="shared" si="268"/>
        <v>0</v>
      </c>
      <c r="MZ26" s="290">
        <f t="shared" si="269"/>
        <v>0</v>
      </c>
      <c r="NA26" s="290">
        <f t="shared" si="270"/>
        <v>0</v>
      </c>
      <c r="NB26" s="290">
        <f t="shared" si="271"/>
        <v>0</v>
      </c>
      <c r="NC26" s="290">
        <f t="shared" si="272"/>
        <v>0</v>
      </c>
      <c r="ND26" s="291">
        <f t="shared" si="273"/>
        <v>0</v>
      </c>
      <c r="NE26" s="291">
        <f t="shared" si="274"/>
        <v>0</v>
      </c>
      <c r="NF26" s="291">
        <f t="shared" si="275"/>
        <v>0</v>
      </c>
      <c r="NG26" s="292">
        <f t="shared" si="276"/>
        <v>0</v>
      </c>
      <c r="NH26" s="999">
        <v>13</v>
      </c>
      <c r="NI26" s="286">
        <f t="shared" si="310"/>
        <v>44268</v>
      </c>
      <c r="NJ26" s="287">
        <f t="shared" si="34"/>
        <v>44268</v>
      </c>
      <c r="NK26" s="288">
        <f>'दैनिक माहिती'!H367</f>
        <v>0</v>
      </c>
      <c r="NL26" s="289">
        <f>'दैनिक माहिती'!E367</f>
        <v>0</v>
      </c>
      <c r="NM26" s="289">
        <f>'दैनिक माहिती'!F367</f>
        <v>0</v>
      </c>
      <c r="NN26" s="289">
        <f>'दैनिक माहिती'!G367</f>
        <v>0</v>
      </c>
      <c r="NO26" s="290">
        <f t="shared" si="277"/>
        <v>0</v>
      </c>
      <c r="NP26" s="290">
        <f t="shared" si="278"/>
        <v>0</v>
      </c>
      <c r="NQ26" s="290">
        <f t="shared" si="279"/>
        <v>0</v>
      </c>
      <c r="NR26" s="290">
        <f t="shared" si="280"/>
        <v>0</v>
      </c>
      <c r="NS26" s="290">
        <f t="shared" si="281"/>
        <v>0</v>
      </c>
      <c r="NT26" s="290">
        <f t="shared" si="282"/>
        <v>0</v>
      </c>
      <c r="NU26" s="290">
        <f t="shared" si="283"/>
        <v>0</v>
      </c>
      <c r="NV26" s="290">
        <f t="shared" si="284"/>
        <v>0</v>
      </c>
      <c r="NW26" s="290">
        <f t="shared" si="285"/>
        <v>0</v>
      </c>
      <c r="NX26" s="290">
        <f t="shared" si="286"/>
        <v>0</v>
      </c>
      <c r="NY26" s="290">
        <f t="shared" si="287"/>
        <v>0</v>
      </c>
      <c r="NZ26" s="290">
        <f t="shared" si="288"/>
        <v>0</v>
      </c>
      <c r="OA26" s="290">
        <f t="shared" si="289"/>
        <v>0</v>
      </c>
      <c r="OB26" s="290">
        <f t="shared" si="290"/>
        <v>0</v>
      </c>
      <c r="OC26" s="290">
        <f t="shared" si="291"/>
        <v>0</v>
      </c>
      <c r="OD26" s="290">
        <f t="shared" si="292"/>
        <v>0</v>
      </c>
      <c r="OE26" s="290">
        <f t="shared" si="293"/>
        <v>0</v>
      </c>
      <c r="OF26" s="290">
        <f t="shared" si="294"/>
        <v>0</v>
      </c>
      <c r="OG26" s="291">
        <f t="shared" si="295"/>
        <v>0</v>
      </c>
      <c r="OH26" s="291">
        <f t="shared" si="296"/>
        <v>0</v>
      </c>
      <c r="OI26" s="291">
        <f t="shared" si="297"/>
        <v>0</v>
      </c>
      <c r="OJ26" s="292">
        <f t="shared" si="298"/>
        <v>0</v>
      </c>
    </row>
    <row r="27" spans="2:400" ht="29.25" customHeight="1" x14ac:dyDescent="0.4"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BA27" s="999">
        <v>14</v>
      </c>
      <c r="BB27" s="286">
        <f t="shared" si="299"/>
        <v>43935</v>
      </c>
      <c r="BC27" s="293">
        <f t="shared" si="23"/>
        <v>43935</v>
      </c>
      <c r="BD27" s="288">
        <f>'दैनिक माहिती'!H22</f>
        <v>0</v>
      </c>
      <c r="BE27" s="289">
        <f>'दैनिक माहिती'!E22</f>
        <v>0</v>
      </c>
      <c r="BF27" s="289">
        <f>'दैनिक माहिती'!F22</f>
        <v>0</v>
      </c>
      <c r="BG27" s="289">
        <f>'दैनिक माहिती'!G22</f>
        <v>0</v>
      </c>
      <c r="BH27" s="290">
        <f t="shared" si="35"/>
        <v>0</v>
      </c>
      <c r="BI27" s="290">
        <f t="shared" si="36"/>
        <v>0</v>
      </c>
      <c r="BJ27" s="290">
        <f t="shared" si="37"/>
        <v>0</v>
      </c>
      <c r="BK27" s="290">
        <f t="shared" si="38"/>
        <v>0</v>
      </c>
      <c r="BL27" s="290">
        <f t="shared" si="39"/>
        <v>0</v>
      </c>
      <c r="BM27" s="290">
        <f t="shared" si="40"/>
        <v>0</v>
      </c>
      <c r="BN27" s="290">
        <f t="shared" si="41"/>
        <v>0</v>
      </c>
      <c r="BO27" s="290">
        <f t="shared" si="42"/>
        <v>0</v>
      </c>
      <c r="BP27" s="290">
        <f t="shared" si="43"/>
        <v>0</v>
      </c>
      <c r="BQ27" s="290">
        <f t="shared" si="44"/>
        <v>0</v>
      </c>
      <c r="BR27" s="290">
        <f t="shared" si="45"/>
        <v>0</v>
      </c>
      <c r="BS27" s="290">
        <f t="shared" si="46"/>
        <v>0</v>
      </c>
      <c r="BT27" s="290">
        <f t="shared" si="47"/>
        <v>0</v>
      </c>
      <c r="BU27" s="290">
        <f t="shared" si="48"/>
        <v>0</v>
      </c>
      <c r="BV27" s="290">
        <f t="shared" si="49"/>
        <v>0</v>
      </c>
      <c r="BW27" s="290">
        <f t="shared" si="50"/>
        <v>0</v>
      </c>
      <c r="BX27" s="290">
        <f t="shared" si="51"/>
        <v>0</v>
      </c>
      <c r="BY27" s="290">
        <f t="shared" si="52"/>
        <v>0</v>
      </c>
      <c r="BZ27" s="291">
        <f t="shared" si="53"/>
        <v>0</v>
      </c>
      <c r="CA27" s="291">
        <f t="shared" si="54"/>
        <v>0</v>
      </c>
      <c r="CB27" s="291">
        <f t="shared" si="55"/>
        <v>0</v>
      </c>
      <c r="CC27" s="292">
        <f t="shared" si="56"/>
        <v>0</v>
      </c>
      <c r="CD27" s="999">
        <v>14</v>
      </c>
      <c r="CE27" s="286">
        <f t="shared" si="300"/>
        <v>43965</v>
      </c>
      <c r="CF27" s="293">
        <f t="shared" si="24"/>
        <v>43965</v>
      </c>
      <c r="CG27" s="288">
        <f>'दैनिक माहिती'!H53</f>
        <v>0</v>
      </c>
      <c r="CH27" s="289">
        <f>'दैनिक माहिती'!E53</f>
        <v>0</v>
      </c>
      <c r="CI27" s="289">
        <f>'दैनिक माहिती'!F53</f>
        <v>0</v>
      </c>
      <c r="CJ27" s="289">
        <f>'दैनिक माहिती'!G53</f>
        <v>0</v>
      </c>
      <c r="CK27" s="290">
        <f t="shared" si="57"/>
        <v>0</v>
      </c>
      <c r="CL27" s="290">
        <f t="shared" si="58"/>
        <v>0</v>
      </c>
      <c r="CM27" s="290">
        <f t="shared" si="59"/>
        <v>0</v>
      </c>
      <c r="CN27" s="290">
        <f t="shared" si="60"/>
        <v>0</v>
      </c>
      <c r="CO27" s="290">
        <f t="shared" si="61"/>
        <v>0</v>
      </c>
      <c r="CP27" s="290">
        <f t="shared" si="62"/>
        <v>0</v>
      </c>
      <c r="CQ27" s="290">
        <f t="shared" si="63"/>
        <v>0</v>
      </c>
      <c r="CR27" s="290">
        <f t="shared" si="64"/>
        <v>0</v>
      </c>
      <c r="CS27" s="290">
        <f t="shared" si="65"/>
        <v>0</v>
      </c>
      <c r="CT27" s="290">
        <f t="shared" si="66"/>
        <v>0</v>
      </c>
      <c r="CU27" s="290">
        <f t="shared" si="67"/>
        <v>0</v>
      </c>
      <c r="CV27" s="290">
        <f t="shared" si="68"/>
        <v>0</v>
      </c>
      <c r="CW27" s="290">
        <f t="shared" si="69"/>
        <v>0</v>
      </c>
      <c r="CX27" s="290">
        <f t="shared" si="70"/>
        <v>0</v>
      </c>
      <c r="CY27" s="290">
        <f t="shared" si="71"/>
        <v>0</v>
      </c>
      <c r="CZ27" s="290">
        <f t="shared" si="72"/>
        <v>0</v>
      </c>
      <c r="DA27" s="290">
        <f t="shared" si="73"/>
        <v>0</v>
      </c>
      <c r="DB27" s="290">
        <f t="shared" si="74"/>
        <v>0</v>
      </c>
      <c r="DC27" s="291">
        <f t="shared" si="75"/>
        <v>0</v>
      </c>
      <c r="DD27" s="291">
        <f t="shared" si="76"/>
        <v>0</v>
      </c>
      <c r="DE27" s="291">
        <f t="shared" si="77"/>
        <v>0</v>
      </c>
      <c r="DF27" s="292">
        <f t="shared" si="78"/>
        <v>0</v>
      </c>
      <c r="DG27" s="999">
        <v>14</v>
      </c>
      <c r="DH27" s="286">
        <f t="shared" si="301"/>
        <v>43996</v>
      </c>
      <c r="DI27" s="293">
        <f t="shared" si="25"/>
        <v>43996</v>
      </c>
      <c r="DJ27" s="288">
        <f>'दैनिक माहिती'!H85</f>
        <v>0</v>
      </c>
      <c r="DK27" s="289">
        <f>'दैनिक माहिती'!E85</f>
        <v>0</v>
      </c>
      <c r="DL27" s="289">
        <f>'दैनिक माहिती'!F85</f>
        <v>0</v>
      </c>
      <c r="DM27" s="289">
        <f>'दैनिक माहिती'!G85</f>
        <v>0</v>
      </c>
      <c r="DN27" s="290">
        <f t="shared" si="79"/>
        <v>0</v>
      </c>
      <c r="DO27" s="290">
        <f t="shared" si="80"/>
        <v>0</v>
      </c>
      <c r="DP27" s="290">
        <f t="shared" si="81"/>
        <v>0</v>
      </c>
      <c r="DQ27" s="290">
        <f t="shared" si="82"/>
        <v>0</v>
      </c>
      <c r="DR27" s="290">
        <f t="shared" si="83"/>
        <v>0</v>
      </c>
      <c r="DS27" s="290">
        <f t="shared" si="84"/>
        <v>0</v>
      </c>
      <c r="DT27" s="290">
        <f t="shared" si="85"/>
        <v>0</v>
      </c>
      <c r="DU27" s="290">
        <f t="shared" si="86"/>
        <v>0</v>
      </c>
      <c r="DV27" s="290">
        <f t="shared" si="87"/>
        <v>0</v>
      </c>
      <c r="DW27" s="290">
        <f t="shared" si="88"/>
        <v>0</v>
      </c>
      <c r="DX27" s="290">
        <f t="shared" si="89"/>
        <v>0</v>
      </c>
      <c r="DY27" s="290">
        <f t="shared" si="90"/>
        <v>0</v>
      </c>
      <c r="DZ27" s="290">
        <f t="shared" si="91"/>
        <v>0</v>
      </c>
      <c r="EA27" s="290">
        <f t="shared" si="92"/>
        <v>0</v>
      </c>
      <c r="EB27" s="290">
        <f t="shared" si="93"/>
        <v>0</v>
      </c>
      <c r="EC27" s="290">
        <f t="shared" si="94"/>
        <v>0</v>
      </c>
      <c r="ED27" s="290">
        <f t="shared" si="95"/>
        <v>0</v>
      </c>
      <c r="EE27" s="290">
        <f t="shared" si="96"/>
        <v>0</v>
      </c>
      <c r="EF27" s="291">
        <f t="shared" si="97"/>
        <v>0</v>
      </c>
      <c r="EG27" s="291">
        <f t="shared" si="98"/>
        <v>0</v>
      </c>
      <c r="EH27" s="291">
        <f t="shared" si="99"/>
        <v>0</v>
      </c>
      <c r="EI27" s="292">
        <f t="shared" si="100"/>
        <v>0</v>
      </c>
      <c r="EJ27" s="999">
        <v>14</v>
      </c>
      <c r="EK27" s="286">
        <f t="shared" si="302"/>
        <v>44026</v>
      </c>
      <c r="EL27" s="293">
        <f t="shared" si="26"/>
        <v>44026</v>
      </c>
      <c r="EM27" s="288" t="str">
        <f>'दैनिक माहिती'!H116</f>
        <v>हरभरा</v>
      </c>
      <c r="EN27" s="289">
        <f>'दैनिक माहिती'!E116</f>
        <v>17</v>
      </c>
      <c r="EO27" s="289">
        <f>'दैनिक माहिती'!F116</f>
        <v>17</v>
      </c>
      <c r="EP27" s="289">
        <f>'दैनिक माहिती'!G116</f>
        <v>17</v>
      </c>
      <c r="EQ27" s="290">
        <f t="shared" si="101"/>
        <v>1.7000000000000002</v>
      </c>
      <c r="ER27" s="290">
        <f t="shared" si="102"/>
        <v>0</v>
      </c>
      <c r="ES27" s="290">
        <f t="shared" si="103"/>
        <v>0</v>
      </c>
      <c r="ET27" s="290">
        <f t="shared" si="104"/>
        <v>0</v>
      </c>
      <c r="EU27" s="290">
        <f t="shared" si="105"/>
        <v>0</v>
      </c>
      <c r="EV27" s="290">
        <f t="shared" si="106"/>
        <v>0</v>
      </c>
      <c r="EW27" s="290">
        <f t="shared" si="107"/>
        <v>0</v>
      </c>
      <c r="EX27" s="290">
        <f t="shared" si="108"/>
        <v>0.34</v>
      </c>
      <c r="EY27" s="290">
        <f t="shared" si="109"/>
        <v>0</v>
      </c>
      <c r="EZ27" s="290">
        <f t="shared" si="110"/>
        <v>5.0999999999999995E-3</v>
      </c>
      <c r="FA27" s="290">
        <f t="shared" si="111"/>
        <v>8.5000000000000006E-3</v>
      </c>
      <c r="FB27" s="290">
        <f t="shared" si="112"/>
        <v>5.0999999999999995E-3</v>
      </c>
      <c r="FC27" s="290">
        <f t="shared" si="113"/>
        <v>0</v>
      </c>
      <c r="FD27" s="290">
        <f t="shared" si="114"/>
        <v>0</v>
      </c>
      <c r="FE27" s="290">
        <f t="shared" si="115"/>
        <v>8.5000000000000006E-2</v>
      </c>
      <c r="FF27" s="290">
        <f t="shared" si="116"/>
        <v>3.4000000000000002E-2</v>
      </c>
      <c r="FG27" s="290">
        <f t="shared" si="117"/>
        <v>2.0399999999999998E-2</v>
      </c>
      <c r="FH27" s="290">
        <f t="shared" si="118"/>
        <v>0</v>
      </c>
      <c r="FI27" s="291">
        <f t="shared" si="119"/>
        <v>12.24</v>
      </c>
      <c r="FJ27" s="291">
        <f t="shared" si="120"/>
        <v>10.88</v>
      </c>
      <c r="FK27" s="291">
        <f t="shared" si="121"/>
        <v>9.01</v>
      </c>
      <c r="FL27" s="292">
        <f t="shared" si="122"/>
        <v>45.56</v>
      </c>
      <c r="FM27" s="999">
        <v>14</v>
      </c>
      <c r="FN27" s="286">
        <f t="shared" si="303"/>
        <v>44057</v>
      </c>
      <c r="FO27" s="293">
        <f t="shared" si="27"/>
        <v>44057</v>
      </c>
      <c r="FP27" s="288">
        <f>'दैनिक माहिती'!H148</f>
        <v>0</v>
      </c>
      <c r="FQ27" s="289">
        <f>'दैनिक माहिती'!E148</f>
        <v>0</v>
      </c>
      <c r="FR27" s="289">
        <f>'दैनिक माहिती'!F148</f>
        <v>0</v>
      </c>
      <c r="FS27" s="289">
        <f>'दैनिक माहिती'!G148</f>
        <v>0</v>
      </c>
      <c r="FT27" s="290">
        <f t="shared" si="123"/>
        <v>0</v>
      </c>
      <c r="FU27" s="290">
        <f t="shared" si="124"/>
        <v>0</v>
      </c>
      <c r="FV27" s="290">
        <f t="shared" si="125"/>
        <v>0</v>
      </c>
      <c r="FW27" s="290">
        <f t="shared" si="126"/>
        <v>0</v>
      </c>
      <c r="FX27" s="290">
        <f t="shared" si="127"/>
        <v>0</v>
      </c>
      <c r="FY27" s="290">
        <f t="shared" si="128"/>
        <v>0</v>
      </c>
      <c r="FZ27" s="290">
        <f t="shared" si="129"/>
        <v>0</v>
      </c>
      <c r="GA27" s="290">
        <f t="shared" si="130"/>
        <v>0</v>
      </c>
      <c r="GB27" s="290">
        <f t="shared" si="131"/>
        <v>0</v>
      </c>
      <c r="GC27" s="290">
        <f t="shared" si="132"/>
        <v>0</v>
      </c>
      <c r="GD27" s="290">
        <f t="shared" si="133"/>
        <v>0</v>
      </c>
      <c r="GE27" s="290">
        <f t="shared" si="134"/>
        <v>0</v>
      </c>
      <c r="GF27" s="290">
        <f t="shared" si="135"/>
        <v>0</v>
      </c>
      <c r="GG27" s="290">
        <f t="shared" si="136"/>
        <v>0</v>
      </c>
      <c r="GH27" s="290">
        <f t="shared" si="137"/>
        <v>0</v>
      </c>
      <c r="GI27" s="290">
        <f t="shared" si="138"/>
        <v>0</v>
      </c>
      <c r="GJ27" s="290">
        <f t="shared" si="139"/>
        <v>0</v>
      </c>
      <c r="GK27" s="290">
        <f t="shared" si="140"/>
        <v>0</v>
      </c>
      <c r="GL27" s="291">
        <f t="shared" si="141"/>
        <v>0</v>
      </c>
      <c r="GM27" s="291">
        <f t="shared" si="142"/>
        <v>0</v>
      </c>
      <c r="GN27" s="291">
        <f t="shared" si="143"/>
        <v>0</v>
      </c>
      <c r="GO27" s="292">
        <f t="shared" si="144"/>
        <v>0</v>
      </c>
      <c r="GP27" s="999">
        <v>14</v>
      </c>
      <c r="GQ27" s="286">
        <f t="shared" si="304"/>
        <v>44088</v>
      </c>
      <c r="GR27" s="293">
        <f t="shared" si="28"/>
        <v>44088</v>
      </c>
      <c r="GS27" s="288" t="str">
        <f>'दैनिक माहिती'!H180</f>
        <v>वाटाणा</v>
      </c>
      <c r="GT27" s="289">
        <f>'दैनिक माहिती'!E180</f>
        <v>16</v>
      </c>
      <c r="GU27" s="289">
        <f>'दैनिक माहिती'!F180</f>
        <v>16</v>
      </c>
      <c r="GV27" s="289">
        <f>'दैनिक माहिती'!G180</f>
        <v>16</v>
      </c>
      <c r="GW27" s="290">
        <f t="shared" si="145"/>
        <v>1.6</v>
      </c>
      <c r="GX27" s="290">
        <f t="shared" si="146"/>
        <v>0</v>
      </c>
      <c r="GY27" s="290">
        <f t="shared" si="147"/>
        <v>0</v>
      </c>
      <c r="GZ27" s="290">
        <f t="shared" si="148"/>
        <v>0</v>
      </c>
      <c r="HA27" s="290">
        <f t="shared" si="149"/>
        <v>0</v>
      </c>
      <c r="HB27" s="290">
        <f t="shared" si="150"/>
        <v>0</v>
      </c>
      <c r="HC27" s="290">
        <f t="shared" si="151"/>
        <v>0</v>
      </c>
      <c r="HD27" s="290">
        <f t="shared" si="152"/>
        <v>0</v>
      </c>
      <c r="HE27" s="290">
        <f t="shared" si="153"/>
        <v>0.32</v>
      </c>
      <c r="HF27" s="290">
        <f t="shared" si="154"/>
        <v>4.7999999999999996E-3</v>
      </c>
      <c r="HG27" s="290">
        <f t="shared" si="155"/>
        <v>8.0000000000000002E-3</v>
      </c>
      <c r="HH27" s="290">
        <f t="shared" si="156"/>
        <v>4.7999999999999996E-3</v>
      </c>
      <c r="HI27" s="290">
        <f t="shared" si="157"/>
        <v>0</v>
      </c>
      <c r="HJ27" s="290">
        <f t="shared" si="158"/>
        <v>0</v>
      </c>
      <c r="HK27" s="290">
        <f t="shared" si="159"/>
        <v>0.08</v>
      </c>
      <c r="HL27" s="290">
        <f t="shared" si="160"/>
        <v>3.2000000000000001E-2</v>
      </c>
      <c r="HM27" s="290">
        <f t="shared" si="161"/>
        <v>1.9199999999999998E-2</v>
      </c>
      <c r="HN27" s="290">
        <f t="shared" si="162"/>
        <v>0</v>
      </c>
      <c r="HO27" s="291">
        <f t="shared" si="163"/>
        <v>11.52</v>
      </c>
      <c r="HP27" s="291">
        <f t="shared" si="164"/>
        <v>10.24</v>
      </c>
      <c r="HQ27" s="291">
        <f t="shared" si="165"/>
        <v>8.48</v>
      </c>
      <c r="HR27" s="292">
        <f t="shared" si="166"/>
        <v>42.88</v>
      </c>
      <c r="HS27" s="999">
        <v>14</v>
      </c>
      <c r="HT27" s="286">
        <f t="shared" si="305"/>
        <v>44118</v>
      </c>
      <c r="HU27" s="293">
        <f t="shared" si="29"/>
        <v>44118</v>
      </c>
      <c r="HV27" s="288" t="str">
        <f>'दैनिक माहिती'!H211</f>
        <v>वाटाणा</v>
      </c>
      <c r="HW27" s="289">
        <f>'दैनिक माहिती'!E211</f>
        <v>22</v>
      </c>
      <c r="HX27" s="289">
        <f>'दैनिक माहिती'!F211</f>
        <v>22</v>
      </c>
      <c r="HY27" s="289">
        <f>'दैनिक माहिती'!G211</f>
        <v>22</v>
      </c>
      <c r="HZ27" s="290">
        <f t="shared" si="167"/>
        <v>2.2000000000000002</v>
      </c>
      <c r="IA27" s="290">
        <f t="shared" si="168"/>
        <v>0</v>
      </c>
      <c r="IB27" s="290">
        <f t="shared" si="169"/>
        <v>0</v>
      </c>
      <c r="IC27" s="290">
        <f t="shared" si="170"/>
        <v>0</v>
      </c>
      <c r="ID27" s="290">
        <f t="shared" si="171"/>
        <v>0</v>
      </c>
      <c r="IE27" s="290">
        <f t="shared" si="172"/>
        <v>0</v>
      </c>
      <c r="IF27" s="290">
        <f t="shared" si="173"/>
        <v>0</v>
      </c>
      <c r="IG27" s="290">
        <f t="shared" si="174"/>
        <v>0</v>
      </c>
      <c r="IH27" s="290">
        <f t="shared" si="175"/>
        <v>0.44</v>
      </c>
      <c r="II27" s="290">
        <f t="shared" si="176"/>
        <v>6.5999999999999991E-3</v>
      </c>
      <c r="IJ27" s="290">
        <f t="shared" si="177"/>
        <v>1.0999999999999999E-2</v>
      </c>
      <c r="IK27" s="290">
        <f t="shared" si="178"/>
        <v>6.5999999999999991E-3</v>
      </c>
      <c r="IL27" s="290">
        <f t="shared" si="179"/>
        <v>0</v>
      </c>
      <c r="IM27" s="290">
        <f t="shared" si="180"/>
        <v>0</v>
      </c>
      <c r="IN27" s="290">
        <f t="shared" si="181"/>
        <v>0.11</v>
      </c>
      <c r="IO27" s="290">
        <f t="shared" si="182"/>
        <v>4.3999999999999997E-2</v>
      </c>
      <c r="IP27" s="290">
        <f t="shared" si="183"/>
        <v>2.6399999999999996E-2</v>
      </c>
      <c r="IQ27" s="290">
        <f t="shared" si="184"/>
        <v>0</v>
      </c>
      <c r="IR27" s="291">
        <f t="shared" si="185"/>
        <v>15.62</v>
      </c>
      <c r="IS27" s="291">
        <f t="shared" si="186"/>
        <v>17.380000000000003</v>
      </c>
      <c r="IT27" s="291">
        <f t="shared" si="187"/>
        <v>12.76</v>
      </c>
      <c r="IU27" s="292">
        <f t="shared" si="188"/>
        <v>63.14</v>
      </c>
      <c r="IV27" s="999">
        <v>14</v>
      </c>
      <c r="IW27" s="286">
        <f t="shared" si="306"/>
        <v>44149</v>
      </c>
      <c r="IX27" s="293">
        <f t="shared" si="30"/>
        <v>44149</v>
      </c>
      <c r="IY27" s="288" t="str">
        <f>'दैनिक माहिती'!H243</f>
        <v>मुगडाळ</v>
      </c>
      <c r="IZ27" s="289">
        <f>'दैनिक माहिती'!E243</f>
        <v>22</v>
      </c>
      <c r="JA27" s="289">
        <f>'दैनिक माहिती'!F243</f>
        <v>22</v>
      </c>
      <c r="JB27" s="289">
        <f>'दैनिक माहिती'!G243</f>
        <v>22</v>
      </c>
      <c r="JC27" s="290">
        <f t="shared" si="189"/>
        <v>2.2000000000000002</v>
      </c>
      <c r="JD27" s="290">
        <f t="shared" si="190"/>
        <v>0.44</v>
      </c>
      <c r="JE27" s="290">
        <f t="shared" si="191"/>
        <v>0</v>
      </c>
      <c r="JF27" s="290">
        <f t="shared" si="192"/>
        <v>0</v>
      </c>
      <c r="JG27" s="290">
        <f t="shared" si="193"/>
        <v>0</v>
      </c>
      <c r="JH27" s="290">
        <f t="shared" si="194"/>
        <v>0</v>
      </c>
      <c r="JI27" s="290">
        <f t="shared" si="195"/>
        <v>0</v>
      </c>
      <c r="JJ27" s="290">
        <f t="shared" si="196"/>
        <v>0</v>
      </c>
      <c r="JK27" s="290">
        <f t="shared" si="197"/>
        <v>0</v>
      </c>
      <c r="JL27" s="290">
        <f t="shared" si="198"/>
        <v>6.5999999999999991E-3</v>
      </c>
      <c r="JM27" s="290">
        <f t="shared" si="199"/>
        <v>1.0999999999999999E-2</v>
      </c>
      <c r="JN27" s="290">
        <f t="shared" si="200"/>
        <v>6.5999999999999991E-3</v>
      </c>
      <c r="JO27" s="290">
        <f t="shared" si="201"/>
        <v>0</v>
      </c>
      <c r="JP27" s="290">
        <f t="shared" si="202"/>
        <v>0</v>
      </c>
      <c r="JQ27" s="290">
        <f t="shared" si="203"/>
        <v>0.11</v>
      </c>
      <c r="JR27" s="290">
        <f t="shared" si="204"/>
        <v>4.3999999999999997E-2</v>
      </c>
      <c r="JS27" s="290">
        <f t="shared" si="205"/>
        <v>2.6399999999999996E-2</v>
      </c>
      <c r="JT27" s="290">
        <f t="shared" si="206"/>
        <v>0</v>
      </c>
      <c r="JU27" s="291">
        <f t="shared" si="207"/>
        <v>15.62</v>
      </c>
      <c r="JV27" s="291">
        <f t="shared" si="208"/>
        <v>17.380000000000003</v>
      </c>
      <c r="JW27" s="291">
        <f t="shared" si="209"/>
        <v>12.76</v>
      </c>
      <c r="JX27" s="292">
        <f t="shared" si="210"/>
        <v>63.14</v>
      </c>
      <c r="JY27" s="999">
        <v>14</v>
      </c>
      <c r="JZ27" s="286">
        <f t="shared" si="307"/>
        <v>44179</v>
      </c>
      <c r="KA27" s="293">
        <f t="shared" si="31"/>
        <v>44179</v>
      </c>
      <c r="KB27" s="288" t="str">
        <f>'दैनिक माहिती'!H274</f>
        <v>वाटाणा</v>
      </c>
      <c r="KC27" s="289">
        <f>'दैनिक माहिती'!E274</f>
        <v>21</v>
      </c>
      <c r="KD27" s="289">
        <f>'दैनिक माहिती'!F274</f>
        <v>21</v>
      </c>
      <c r="KE27" s="289">
        <f>'दैनिक माहिती'!G274</f>
        <v>21</v>
      </c>
      <c r="KF27" s="290">
        <f t="shared" si="211"/>
        <v>2.1</v>
      </c>
      <c r="KG27" s="290">
        <f t="shared" si="212"/>
        <v>0</v>
      </c>
      <c r="KH27" s="290">
        <f t="shared" si="213"/>
        <v>0</v>
      </c>
      <c r="KI27" s="290">
        <f t="shared" si="214"/>
        <v>0</v>
      </c>
      <c r="KJ27" s="290">
        <f t="shared" si="215"/>
        <v>0</v>
      </c>
      <c r="KK27" s="290">
        <f t="shared" si="216"/>
        <v>0</v>
      </c>
      <c r="KL27" s="290">
        <f t="shared" si="217"/>
        <v>0</v>
      </c>
      <c r="KM27" s="290">
        <f t="shared" si="218"/>
        <v>0</v>
      </c>
      <c r="KN27" s="290">
        <f t="shared" si="219"/>
        <v>0.42</v>
      </c>
      <c r="KO27" s="290">
        <f t="shared" si="220"/>
        <v>6.2999999999999992E-3</v>
      </c>
      <c r="KP27" s="290">
        <f t="shared" si="221"/>
        <v>1.0500000000000001E-2</v>
      </c>
      <c r="KQ27" s="290">
        <f t="shared" si="222"/>
        <v>6.2999999999999992E-3</v>
      </c>
      <c r="KR27" s="290">
        <f t="shared" si="223"/>
        <v>0</v>
      </c>
      <c r="KS27" s="290">
        <f t="shared" si="224"/>
        <v>0</v>
      </c>
      <c r="KT27" s="290">
        <f t="shared" si="225"/>
        <v>0.105</v>
      </c>
      <c r="KU27" s="290">
        <f t="shared" si="226"/>
        <v>4.2000000000000003E-2</v>
      </c>
      <c r="KV27" s="290">
        <f t="shared" si="227"/>
        <v>2.5199999999999997E-2</v>
      </c>
      <c r="KW27" s="290">
        <f t="shared" si="228"/>
        <v>0</v>
      </c>
      <c r="KX27" s="291">
        <f t="shared" si="229"/>
        <v>14.91</v>
      </c>
      <c r="KY27" s="291">
        <f t="shared" si="230"/>
        <v>16.59</v>
      </c>
      <c r="KZ27" s="291">
        <f t="shared" si="231"/>
        <v>12.18</v>
      </c>
      <c r="LA27" s="292">
        <f t="shared" si="232"/>
        <v>60.27</v>
      </c>
      <c r="LB27" s="999">
        <v>14</v>
      </c>
      <c r="LC27" s="286">
        <f t="shared" si="308"/>
        <v>44210</v>
      </c>
      <c r="LD27" s="293">
        <f t="shared" si="32"/>
        <v>44210</v>
      </c>
      <c r="LE27" s="288">
        <f>'दैनिक माहिती'!H306</f>
        <v>0</v>
      </c>
      <c r="LF27" s="289">
        <f>'दैनिक माहिती'!E306</f>
        <v>0</v>
      </c>
      <c r="LG27" s="289">
        <f>'दैनिक माहिती'!F306</f>
        <v>0</v>
      </c>
      <c r="LH27" s="289">
        <f>'दैनिक माहिती'!G306</f>
        <v>0</v>
      </c>
      <c r="LI27" s="290">
        <f t="shared" si="233"/>
        <v>0</v>
      </c>
      <c r="LJ27" s="290">
        <f t="shared" si="234"/>
        <v>0</v>
      </c>
      <c r="LK27" s="290">
        <f t="shared" si="235"/>
        <v>0</v>
      </c>
      <c r="LL27" s="290">
        <f t="shared" si="236"/>
        <v>0</v>
      </c>
      <c r="LM27" s="290">
        <f t="shared" si="237"/>
        <v>0</v>
      </c>
      <c r="LN27" s="290">
        <f t="shared" si="238"/>
        <v>0</v>
      </c>
      <c r="LO27" s="290">
        <f t="shared" si="239"/>
        <v>0</v>
      </c>
      <c r="LP27" s="290">
        <f t="shared" si="240"/>
        <v>0</v>
      </c>
      <c r="LQ27" s="290">
        <f t="shared" si="241"/>
        <v>0</v>
      </c>
      <c r="LR27" s="290">
        <f t="shared" si="242"/>
        <v>0</v>
      </c>
      <c r="LS27" s="290">
        <f t="shared" si="243"/>
        <v>0</v>
      </c>
      <c r="LT27" s="290">
        <f t="shared" si="244"/>
        <v>0</v>
      </c>
      <c r="LU27" s="290">
        <f t="shared" si="245"/>
        <v>0</v>
      </c>
      <c r="LV27" s="290">
        <f t="shared" si="246"/>
        <v>0</v>
      </c>
      <c r="LW27" s="290">
        <f t="shared" si="247"/>
        <v>0</v>
      </c>
      <c r="LX27" s="290">
        <f t="shared" si="248"/>
        <v>0</v>
      </c>
      <c r="LY27" s="290">
        <f t="shared" si="249"/>
        <v>0</v>
      </c>
      <c r="LZ27" s="290">
        <f t="shared" si="250"/>
        <v>0</v>
      </c>
      <c r="MA27" s="291">
        <f t="shared" si="251"/>
        <v>0</v>
      </c>
      <c r="MB27" s="291">
        <f t="shared" si="252"/>
        <v>0</v>
      </c>
      <c r="MC27" s="291">
        <f t="shared" si="253"/>
        <v>0</v>
      </c>
      <c r="MD27" s="292">
        <f t="shared" si="254"/>
        <v>0</v>
      </c>
      <c r="ME27" s="999">
        <v>14</v>
      </c>
      <c r="MF27" s="286">
        <f t="shared" si="309"/>
        <v>44241</v>
      </c>
      <c r="MG27" s="293">
        <f t="shared" si="33"/>
        <v>44241</v>
      </c>
      <c r="MH27" s="288">
        <f>'दैनिक माहिती'!H338</f>
        <v>0</v>
      </c>
      <c r="MI27" s="289">
        <f>'दैनिक माहिती'!E338</f>
        <v>0</v>
      </c>
      <c r="MJ27" s="289">
        <f>'दैनिक माहिती'!F338</f>
        <v>0</v>
      </c>
      <c r="MK27" s="289">
        <f>'दैनिक माहिती'!G338</f>
        <v>0</v>
      </c>
      <c r="ML27" s="290">
        <f t="shared" si="255"/>
        <v>0</v>
      </c>
      <c r="MM27" s="290">
        <f t="shared" si="256"/>
        <v>0</v>
      </c>
      <c r="MN27" s="290">
        <f t="shared" si="257"/>
        <v>0</v>
      </c>
      <c r="MO27" s="290">
        <f t="shared" si="258"/>
        <v>0</v>
      </c>
      <c r="MP27" s="290">
        <f t="shared" si="259"/>
        <v>0</v>
      </c>
      <c r="MQ27" s="290">
        <f t="shared" si="260"/>
        <v>0</v>
      </c>
      <c r="MR27" s="290">
        <f t="shared" si="261"/>
        <v>0</v>
      </c>
      <c r="MS27" s="290">
        <f t="shared" si="262"/>
        <v>0</v>
      </c>
      <c r="MT27" s="290">
        <f t="shared" si="263"/>
        <v>0</v>
      </c>
      <c r="MU27" s="290">
        <f t="shared" si="264"/>
        <v>0</v>
      </c>
      <c r="MV27" s="290">
        <f t="shared" si="265"/>
        <v>0</v>
      </c>
      <c r="MW27" s="290">
        <f t="shared" si="266"/>
        <v>0</v>
      </c>
      <c r="MX27" s="290">
        <f t="shared" si="267"/>
        <v>0</v>
      </c>
      <c r="MY27" s="290">
        <f t="shared" si="268"/>
        <v>0</v>
      </c>
      <c r="MZ27" s="290">
        <f t="shared" si="269"/>
        <v>0</v>
      </c>
      <c r="NA27" s="290">
        <f t="shared" si="270"/>
        <v>0</v>
      </c>
      <c r="NB27" s="290">
        <f t="shared" si="271"/>
        <v>0</v>
      </c>
      <c r="NC27" s="290">
        <f t="shared" si="272"/>
        <v>0</v>
      </c>
      <c r="ND27" s="291">
        <f t="shared" si="273"/>
        <v>0</v>
      </c>
      <c r="NE27" s="291">
        <f t="shared" si="274"/>
        <v>0</v>
      </c>
      <c r="NF27" s="291">
        <f t="shared" si="275"/>
        <v>0</v>
      </c>
      <c r="NG27" s="292">
        <f t="shared" si="276"/>
        <v>0</v>
      </c>
      <c r="NH27" s="999">
        <v>14</v>
      </c>
      <c r="NI27" s="286">
        <f t="shared" si="310"/>
        <v>44269</v>
      </c>
      <c r="NJ27" s="293">
        <f t="shared" si="34"/>
        <v>44269</v>
      </c>
      <c r="NK27" s="288">
        <f>'दैनिक माहिती'!H368</f>
        <v>0</v>
      </c>
      <c r="NL27" s="289">
        <f>'दैनिक माहिती'!E368</f>
        <v>0</v>
      </c>
      <c r="NM27" s="289">
        <f>'दैनिक माहिती'!F368</f>
        <v>0</v>
      </c>
      <c r="NN27" s="289">
        <f>'दैनिक माहिती'!G368</f>
        <v>0</v>
      </c>
      <c r="NO27" s="290">
        <f t="shared" si="277"/>
        <v>0</v>
      </c>
      <c r="NP27" s="290">
        <f t="shared" si="278"/>
        <v>0</v>
      </c>
      <c r="NQ27" s="290">
        <f t="shared" si="279"/>
        <v>0</v>
      </c>
      <c r="NR27" s="290">
        <f t="shared" si="280"/>
        <v>0</v>
      </c>
      <c r="NS27" s="290">
        <f t="shared" si="281"/>
        <v>0</v>
      </c>
      <c r="NT27" s="290">
        <f t="shared" si="282"/>
        <v>0</v>
      </c>
      <c r="NU27" s="290">
        <f t="shared" si="283"/>
        <v>0</v>
      </c>
      <c r="NV27" s="290">
        <f t="shared" si="284"/>
        <v>0</v>
      </c>
      <c r="NW27" s="290">
        <f t="shared" si="285"/>
        <v>0</v>
      </c>
      <c r="NX27" s="290">
        <f t="shared" si="286"/>
        <v>0</v>
      </c>
      <c r="NY27" s="290">
        <f t="shared" si="287"/>
        <v>0</v>
      </c>
      <c r="NZ27" s="290">
        <f t="shared" si="288"/>
        <v>0</v>
      </c>
      <c r="OA27" s="290">
        <f t="shared" si="289"/>
        <v>0</v>
      </c>
      <c r="OB27" s="290">
        <f t="shared" si="290"/>
        <v>0</v>
      </c>
      <c r="OC27" s="290">
        <f t="shared" si="291"/>
        <v>0</v>
      </c>
      <c r="OD27" s="290">
        <f t="shared" si="292"/>
        <v>0</v>
      </c>
      <c r="OE27" s="290">
        <f t="shared" si="293"/>
        <v>0</v>
      </c>
      <c r="OF27" s="290">
        <f t="shared" si="294"/>
        <v>0</v>
      </c>
      <c r="OG27" s="291">
        <f t="shared" si="295"/>
        <v>0</v>
      </c>
      <c r="OH27" s="291">
        <f t="shared" si="296"/>
        <v>0</v>
      </c>
      <c r="OI27" s="291">
        <f t="shared" si="297"/>
        <v>0</v>
      </c>
      <c r="OJ27" s="292">
        <f t="shared" si="298"/>
        <v>0</v>
      </c>
    </row>
    <row r="28" spans="2:400" ht="29.25" customHeight="1" x14ac:dyDescent="0.3">
      <c r="BA28" s="999">
        <v>15</v>
      </c>
      <c r="BB28" s="286">
        <f t="shared" si="299"/>
        <v>43936</v>
      </c>
      <c r="BC28" s="287">
        <f t="shared" si="23"/>
        <v>43936</v>
      </c>
      <c r="BD28" s="288">
        <f>'दैनिक माहिती'!H23</f>
        <v>0</v>
      </c>
      <c r="BE28" s="289">
        <f>'दैनिक माहिती'!E23</f>
        <v>0</v>
      </c>
      <c r="BF28" s="289">
        <f>'दैनिक माहिती'!F23</f>
        <v>0</v>
      </c>
      <c r="BG28" s="289">
        <f>'दैनिक माहिती'!G23</f>
        <v>0</v>
      </c>
      <c r="BH28" s="290">
        <f t="shared" si="35"/>
        <v>0</v>
      </c>
      <c r="BI28" s="290">
        <f t="shared" si="36"/>
        <v>0</v>
      </c>
      <c r="BJ28" s="290">
        <f t="shared" si="37"/>
        <v>0</v>
      </c>
      <c r="BK28" s="290">
        <f t="shared" si="38"/>
        <v>0</v>
      </c>
      <c r="BL28" s="290">
        <f t="shared" si="39"/>
        <v>0</v>
      </c>
      <c r="BM28" s="290">
        <f t="shared" si="40"/>
        <v>0</v>
      </c>
      <c r="BN28" s="290">
        <f t="shared" si="41"/>
        <v>0</v>
      </c>
      <c r="BO28" s="290">
        <f t="shared" si="42"/>
        <v>0</v>
      </c>
      <c r="BP28" s="290">
        <f t="shared" si="43"/>
        <v>0</v>
      </c>
      <c r="BQ28" s="290">
        <f t="shared" si="44"/>
        <v>0</v>
      </c>
      <c r="BR28" s="290">
        <f t="shared" si="45"/>
        <v>0</v>
      </c>
      <c r="BS28" s="290">
        <f t="shared" si="46"/>
        <v>0</v>
      </c>
      <c r="BT28" s="290">
        <f t="shared" si="47"/>
        <v>0</v>
      </c>
      <c r="BU28" s="290">
        <f t="shared" si="48"/>
        <v>0</v>
      </c>
      <c r="BV28" s="290">
        <f t="shared" si="49"/>
        <v>0</v>
      </c>
      <c r="BW28" s="290">
        <f t="shared" si="50"/>
        <v>0</v>
      </c>
      <c r="BX28" s="290">
        <f t="shared" si="51"/>
        <v>0</v>
      </c>
      <c r="BY28" s="290">
        <f t="shared" si="52"/>
        <v>0</v>
      </c>
      <c r="BZ28" s="291">
        <f t="shared" si="53"/>
        <v>0</v>
      </c>
      <c r="CA28" s="291">
        <f t="shared" si="54"/>
        <v>0</v>
      </c>
      <c r="CB28" s="291">
        <f t="shared" si="55"/>
        <v>0</v>
      </c>
      <c r="CC28" s="292">
        <f t="shared" si="56"/>
        <v>0</v>
      </c>
      <c r="CD28" s="999">
        <v>15</v>
      </c>
      <c r="CE28" s="286">
        <f t="shared" si="300"/>
        <v>43966</v>
      </c>
      <c r="CF28" s="287">
        <f t="shared" si="24"/>
        <v>43966</v>
      </c>
      <c r="CG28" s="288">
        <f>'दैनिक माहिती'!H54</f>
        <v>0</v>
      </c>
      <c r="CH28" s="289">
        <f>'दैनिक माहिती'!E54</f>
        <v>0</v>
      </c>
      <c r="CI28" s="289">
        <f>'दैनिक माहिती'!F54</f>
        <v>0</v>
      </c>
      <c r="CJ28" s="289">
        <f>'दैनिक माहिती'!G54</f>
        <v>0</v>
      </c>
      <c r="CK28" s="290">
        <f t="shared" si="57"/>
        <v>0</v>
      </c>
      <c r="CL28" s="290">
        <f t="shared" si="58"/>
        <v>0</v>
      </c>
      <c r="CM28" s="290">
        <f t="shared" si="59"/>
        <v>0</v>
      </c>
      <c r="CN28" s="290">
        <f t="shared" si="60"/>
        <v>0</v>
      </c>
      <c r="CO28" s="290">
        <f t="shared" si="61"/>
        <v>0</v>
      </c>
      <c r="CP28" s="290">
        <f t="shared" si="62"/>
        <v>0</v>
      </c>
      <c r="CQ28" s="290">
        <f t="shared" si="63"/>
        <v>0</v>
      </c>
      <c r="CR28" s="290">
        <f t="shared" si="64"/>
        <v>0</v>
      </c>
      <c r="CS28" s="290">
        <f t="shared" si="65"/>
        <v>0</v>
      </c>
      <c r="CT28" s="290">
        <f t="shared" si="66"/>
        <v>0</v>
      </c>
      <c r="CU28" s="290">
        <f t="shared" si="67"/>
        <v>0</v>
      </c>
      <c r="CV28" s="290">
        <f t="shared" si="68"/>
        <v>0</v>
      </c>
      <c r="CW28" s="290">
        <f t="shared" si="69"/>
        <v>0</v>
      </c>
      <c r="CX28" s="290">
        <f t="shared" si="70"/>
        <v>0</v>
      </c>
      <c r="CY28" s="290">
        <f t="shared" si="71"/>
        <v>0</v>
      </c>
      <c r="CZ28" s="290">
        <f t="shared" si="72"/>
        <v>0</v>
      </c>
      <c r="DA28" s="290">
        <f t="shared" si="73"/>
        <v>0</v>
      </c>
      <c r="DB28" s="290">
        <f t="shared" si="74"/>
        <v>0</v>
      </c>
      <c r="DC28" s="291">
        <f t="shared" si="75"/>
        <v>0</v>
      </c>
      <c r="DD28" s="291">
        <f t="shared" si="76"/>
        <v>0</v>
      </c>
      <c r="DE28" s="291">
        <f t="shared" si="77"/>
        <v>0</v>
      </c>
      <c r="DF28" s="292">
        <f t="shared" si="78"/>
        <v>0</v>
      </c>
      <c r="DG28" s="999">
        <v>15</v>
      </c>
      <c r="DH28" s="286">
        <f t="shared" si="301"/>
        <v>43997</v>
      </c>
      <c r="DI28" s="287">
        <f t="shared" si="25"/>
        <v>43997</v>
      </c>
      <c r="DJ28" s="288" t="str">
        <f>'दैनिक माहिती'!H86</f>
        <v>वाटाणा</v>
      </c>
      <c r="DK28" s="289">
        <f>'दैनिक माहिती'!E86</f>
        <v>16</v>
      </c>
      <c r="DL28" s="289">
        <f>'दैनिक माहिती'!F86</f>
        <v>16</v>
      </c>
      <c r="DM28" s="289">
        <f>'दैनिक माहिती'!G86</f>
        <v>16</v>
      </c>
      <c r="DN28" s="290">
        <f t="shared" si="79"/>
        <v>1.6</v>
      </c>
      <c r="DO28" s="290">
        <f t="shared" si="80"/>
        <v>0</v>
      </c>
      <c r="DP28" s="290">
        <f t="shared" si="81"/>
        <v>0</v>
      </c>
      <c r="DQ28" s="290">
        <f t="shared" si="82"/>
        <v>0</v>
      </c>
      <c r="DR28" s="290">
        <f t="shared" si="83"/>
        <v>0</v>
      </c>
      <c r="DS28" s="290">
        <f t="shared" si="84"/>
        <v>0</v>
      </c>
      <c r="DT28" s="290">
        <f t="shared" si="85"/>
        <v>0</v>
      </c>
      <c r="DU28" s="290">
        <f t="shared" si="86"/>
        <v>0</v>
      </c>
      <c r="DV28" s="290">
        <f t="shared" si="87"/>
        <v>0.32</v>
      </c>
      <c r="DW28" s="290">
        <f t="shared" si="88"/>
        <v>4.7999999999999996E-3</v>
      </c>
      <c r="DX28" s="290">
        <f t="shared" si="89"/>
        <v>8.0000000000000002E-3</v>
      </c>
      <c r="DY28" s="290">
        <f t="shared" si="90"/>
        <v>4.7999999999999996E-3</v>
      </c>
      <c r="DZ28" s="290">
        <f t="shared" si="91"/>
        <v>0</v>
      </c>
      <c r="EA28" s="290">
        <f t="shared" si="92"/>
        <v>0</v>
      </c>
      <c r="EB28" s="290">
        <f t="shared" si="93"/>
        <v>0.08</v>
      </c>
      <c r="EC28" s="290">
        <f t="shared" si="94"/>
        <v>3.2000000000000001E-2</v>
      </c>
      <c r="ED28" s="290">
        <f t="shared" si="95"/>
        <v>1.9199999999999998E-2</v>
      </c>
      <c r="EE28" s="290">
        <f t="shared" si="96"/>
        <v>0</v>
      </c>
      <c r="EF28" s="291">
        <f t="shared" si="97"/>
        <v>11.52</v>
      </c>
      <c r="EG28" s="291">
        <f t="shared" si="98"/>
        <v>10.24</v>
      </c>
      <c r="EH28" s="291">
        <f t="shared" si="99"/>
        <v>8.48</v>
      </c>
      <c r="EI28" s="292">
        <f t="shared" si="100"/>
        <v>42.88</v>
      </c>
      <c r="EJ28" s="999">
        <v>15</v>
      </c>
      <c r="EK28" s="286">
        <f t="shared" si="302"/>
        <v>44027</v>
      </c>
      <c r="EL28" s="287">
        <f t="shared" si="26"/>
        <v>44027</v>
      </c>
      <c r="EM28" s="288" t="str">
        <f>'दैनिक माहिती'!H117</f>
        <v>वाटाणा</v>
      </c>
      <c r="EN28" s="289">
        <f>'दैनिक माहिती'!E117</f>
        <v>17</v>
      </c>
      <c r="EO28" s="289">
        <f>'दैनिक माहिती'!F117</f>
        <v>17</v>
      </c>
      <c r="EP28" s="289">
        <f>'दैनिक माहिती'!G117</f>
        <v>17</v>
      </c>
      <c r="EQ28" s="290">
        <f t="shared" si="101"/>
        <v>1.7000000000000002</v>
      </c>
      <c r="ER28" s="290">
        <f t="shared" si="102"/>
        <v>0</v>
      </c>
      <c r="ES28" s="290">
        <f t="shared" si="103"/>
        <v>0</v>
      </c>
      <c r="ET28" s="290">
        <f t="shared" si="104"/>
        <v>0</v>
      </c>
      <c r="EU28" s="290">
        <f t="shared" si="105"/>
        <v>0</v>
      </c>
      <c r="EV28" s="290">
        <f t="shared" si="106"/>
        <v>0</v>
      </c>
      <c r="EW28" s="290">
        <f t="shared" si="107"/>
        <v>0</v>
      </c>
      <c r="EX28" s="290">
        <f t="shared" si="108"/>
        <v>0</v>
      </c>
      <c r="EY28" s="290">
        <f t="shared" si="109"/>
        <v>0.34</v>
      </c>
      <c r="EZ28" s="290">
        <f t="shared" si="110"/>
        <v>5.0999999999999995E-3</v>
      </c>
      <c r="FA28" s="290">
        <f t="shared" si="111"/>
        <v>8.5000000000000006E-3</v>
      </c>
      <c r="FB28" s="290">
        <f t="shared" si="112"/>
        <v>5.0999999999999995E-3</v>
      </c>
      <c r="FC28" s="290">
        <f t="shared" si="113"/>
        <v>0</v>
      </c>
      <c r="FD28" s="290">
        <f t="shared" si="114"/>
        <v>0</v>
      </c>
      <c r="FE28" s="290">
        <f t="shared" si="115"/>
        <v>8.5000000000000006E-2</v>
      </c>
      <c r="FF28" s="290">
        <f t="shared" si="116"/>
        <v>3.4000000000000002E-2</v>
      </c>
      <c r="FG28" s="290">
        <f t="shared" si="117"/>
        <v>2.0399999999999998E-2</v>
      </c>
      <c r="FH28" s="290">
        <f t="shared" si="118"/>
        <v>0</v>
      </c>
      <c r="FI28" s="291">
        <f t="shared" si="119"/>
        <v>12.24</v>
      </c>
      <c r="FJ28" s="291">
        <f t="shared" si="120"/>
        <v>10.88</v>
      </c>
      <c r="FK28" s="291">
        <f t="shared" si="121"/>
        <v>9.01</v>
      </c>
      <c r="FL28" s="292">
        <f t="shared" si="122"/>
        <v>45.56</v>
      </c>
      <c r="FM28" s="999">
        <v>15</v>
      </c>
      <c r="FN28" s="286">
        <f t="shared" si="303"/>
        <v>44058</v>
      </c>
      <c r="FO28" s="287">
        <f t="shared" si="27"/>
        <v>44058</v>
      </c>
      <c r="FP28" s="288">
        <f>'दैनिक माहिती'!H149</f>
        <v>0</v>
      </c>
      <c r="FQ28" s="289">
        <f>'दैनिक माहिती'!E149</f>
        <v>0</v>
      </c>
      <c r="FR28" s="289">
        <f>'दैनिक माहिती'!F149</f>
        <v>0</v>
      </c>
      <c r="FS28" s="289">
        <f>'दैनिक माहिती'!G149</f>
        <v>0</v>
      </c>
      <c r="FT28" s="290">
        <f t="shared" si="123"/>
        <v>0</v>
      </c>
      <c r="FU28" s="290">
        <f t="shared" si="124"/>
        <v>0</v>
      </c>
      <c r="FV28" s="290">
        <f t="shared" si="125"/>
        <v>0</v>
      </c>
      <c r="FW28" s="290">
        <f t="shared" si="126"/>
        <v>0</v>
      </c>
      <c r="FX28" s="290">
        <f t="shared" si="127"/>
        <v>0</v>
      </c>
      <c r="FY28" s="290">
        <f t="shared" si="128"/>
        <v>0</v>
      </c>
      <c r="FZ28" s="290">
        <f t="shared" si="129"/>
        <v>0</v>
      </c>
      <c r="GA28" s="290">
        <f t="shared" si="130"/>
        <v>0</v>
      </c>
      <c r="GB28" s="290">
        <f t="shared" si="131"/>
        <v>0</v>
      </c>
      <c r="GC28" s="290">
        <f t="shared" si="132"/>
        <v>0</v>
      </c>
      <c r="GD28" s="290">
        <f t="shared" si="133"/>
        <v>0</v>
      </c>
      <c r="GE28" s="290">
        <f t="shared" si="134"/>
        <v>0</v>
      </c>
      <c r="GF28" s="290">
        <f t="shared" si="135"/>
        <v>0</v>
      </c>
      <c r="GG28" s="290">
        <f t="shared" si="136"/>
        <v>0</v>
      </c>
      <c r="GH28" s="290">
        <f t="shared" si="137"/>
        <v>0</v>
      </c>
      <c r="GI28" s="290">
        <f t="shared" si="138"/>
        <v>0</v>
      </c>
      <c r="GJ28" s="290">
        <f t="shared" si="139"/>
        <v>0</v>
      </c>
      <c r="GK28" s="290">
        <f t="shared" si="140"/>
        <v>0</v>
      </c>
      <c r="GL28" s="291">
        <f t="shared" si="141"/>
        <v>0</v>
      </c>
      <c r="GM28" s="291">
        <f t="shared" si="142"/>
        <v>0</v>
      </c>
      <c r="GN28" s="291">
        <f t="shared" si="143"/>
        <v>0</v>
      </c>
      <c r="GO28" s="292">
        <f t="shared" si="144"/>
        <v>0</v>
      </c>
      <c r="GP28" s="999">
        <v>15</v>
      </c>
      <c r="GQ28" s="286">
        <f t="shared" si="304"/>
        <v>44089</v>
      </c>
      <c r="GR28" s="287">
        <f t="shared" si="28"/>
        <v>44089</v>
      </c>
      <c r="GS28" s="288" t="str">
        <f>'दैनिक माहिती'!H181</f>
        <v>हरभरा</v>
      </c>
      <c r="GT28" s="289">
        <f>'दैनिक माहिती'!E181</f>
        <v>16</v>
      </c>
      <c r="GU28" s="289">
        <f>'दैनिक माहिती'!F181</f>
        <v>16</v>
      </c>
      <c r="GV28" s="289">
        <f>'दैनिक माहिती'!G181</f>
        <v>16</v>
      </c>
      <c r="GW28" s="290">
        <f t="shared" si="145"/>
        <v>1.6</v>
      </c>
      <c r="GX28" s="290">
        <f t="shared" si="146"/>
        <v>0</v>
      </c>
      <c r="GY28" s="290">
        <f t="shared" si="147"/>
        <v>0</v>
      </c>
      <c r="GZ28" s="290">
        <f t="shared" si="148"/>
        <v>0</v>
      </c>
      <c r="HA28" s="290">
        <f t="shared" si="149"/>
        <v>0</v>
      </c>
      <c r="HB28" s="290">
        <f t="shared" si="150"/>
        <v>0</v>
      </c>
      <c r="HC28" s="290">
        <f t="shared" si="151"/>
        <v>0</v>
      </c>
      <c r="HD28" s="290">
        <f t="shared" si="152"/>
        <v>0.32</v>
      </c>
      <c r="HE28" s="290">
        <f t="shared" si="153"/>
        <v>0</v>
      </c>
      <c r="HF28" s="290">
        <f t="shared" si="154"/>
        <v>4.7999999999999996E-3</v>
      </c>
      <c r="HG28" s="290">
        <f t="shared" si="155"/>
        <v>8.0000000000000002E-3</v>
      </c>
      <c r="HH28" s="290">
        <f t="shared" si="156"/>
        <v>4.7999999999999996E-3</v>
      </c>
      <c r="HI28" s="290">
        <f t="shared" si="157"/>
        <v>0</v>
      </c>
      <c r="HJ28" s="290">
        <f t="shared" si="158"/>
        <v>0</v>
      </c>
      <c r="HK28" s="290">
        <f t="shared" si="159"/>
        <v>0.08</v>
      </c>
      <c r="HL28" s="290">
        <f t="shared" si="160"/>
        <v>3.2000000000000001E-2</v>
      </c>
      <c r="HM28" s="290">
        <f t="shared" si="161"/>
        <v>1.9199999999999998E-2</v>
      </c>
      <c r="HN28" s="290">
        <f t="shared" si="162"/>
        <v>0</v>
      </c>
      <c r="HO28" s="291">
        <f t="shared" si="163"/>
        <v>11.52</v>
      </c>
      <c r="HP28" s="291">
        <f t="shared" si="164"/>
        <v>10.24</v>
      </c>
      <c r="HQ28" s="291">
        <f t="shared" si="165"/>
        <v>8.48</v>
      </c>
      <c r="HR28" s="292">
        <f t="shared" si="166"/>
        <v>42.88</v>
      </c>
      <c r="HS28" s="999">
        <v>15</v>
      </c>
      <c r="HT28" s="286">
        <f t="shared" si="305"/>
        <v>44119</v>
      </c>
      <c r="HU28" s="287">
        <f t="shared" si="29"/>
        <v>44119</v>
      </c>
      <c r="HV28" s="288" t="str">
        <f>'दैनिक माहिती'!H212</f>
        <v>मुगडाळ</v>
      </c>
      <c r="HW28" s="289">
        <f>'दैनिक माहिती'!E212</f>
        <v>22</v>
      </c>
      <c r="HX28" s="289">
        <f>'दैनिक माहिती'!F212</f>
        <v>22</v>
      </c>
      <c r="HY28" s="289">
        <f>'दैनिक माहिती'!G212</f>
        <v>22</v>
      </c>
      <c r="HZ28" s="290">
        <f t="shared" si="167"/>
        <v>2.2000000000000002</v>
      </c>
      <c r="IA28" s="290">
        <f t="shared" si="168"/>
        <v>0.44</v>
      </c>
      <c r="IB28" s="290">
        <f t="shared" si="169"/>
        <v>0</v>
      </c>
      <c r="IC28" s="290">
        <f t="shared" si="170"/>
        <v>0</v>
      </c>
      <c r="ID28" s="290">
        <f t="shared" si="171"/>
        <v>0</v>
      </c>
      <c r="IE28" s="290">
        <f t="shared" si="172"/>
        <v>0</v>
      </c>
      <c r="IF28" s="290">
        <f t="shared" si="173"/>
        <v>0</v>
      </c>
      <c r="IG28" s="290">
        <f t="shared" si="174"/>
        <v>0</v>
      </c>
      <c r="IH28" s="290">
        <f t="shared" si="175"/>
        <v>0</v>
      </c>
      <c r="II28" s="290">
        <f t="shared" si="176"/>
        <v>6.5999999999999991E-3</v>
      </c>
      <c r="IJ28" s="290">
        <f t="shared" si="177"/>
        <v>1.0999999999999999E-2</v>
      </c>
      <c r="IK28" s="290">
        <f t="shared" si="178"/>
        <v>6.5999999999999991E-3</v>
      </c>
      <c r="IL28" s="290">
        <f t="shared" si="179"/>
        <v>0</v>
      </c>
      <c r="IM28" s="290">
        <f t="shared" si="180"/>
        <v>0</v>
      </c>
      <c r="IN28" s="290">
        <f t="shared" si="181"/>
        <v>0.11</v>
      </c>
      <c r="IO28" s="290">
        <f t="shared" si="182"/>
        <v>4.3999999999999997E-2</v>
      </c>
      <c r="IP28" s="290">
        <f t="shared" si="183"/>
        <v>2.6399999999999996E-2</v>
      </c>
      <c r="IQ28" s="290">
        <f t="shared" si="184"/>
        <v>0</v>
      </c>
      <c r="IR28" s="291">
        <f t="shared" si="185"/>
        <v>15.62</v>
      </c>
      <c r="IS28" s="291">
        <f t="shared" si="186"/>
        <v>17.380000000000003</v>
      </c>
      <c r="IT28" s="291">
        <f t="shared" si="187"/>
        <v>12.76</v>
      </c>
      <c r="IU28" s="292">
        <f t="shared" si="188"/>
        <v>63.14</v>
      </c>
      <c r="IV28" s="999">
        <v>15</v>
      </c>
      <c r="IW28" s="286">
        <f t="shared" si="306"/>
        <v>44150</v>
      </c>
      <c r="IX28" s="287">
        <f t="shared" si="30"/>
        <v>44150</v>
      </c>
      <c r="IY28" s="288" t="str">
        <f>'दैनिक माहिती'!H244</f>
        <v>हरभरा</v>
      </c>
      <c r="IZ28" s="289">
        <f>'दैनिक माहिती'!E244</f>
        <v>22</v>
      </c>
      <c r="JA28" s="289">
        <f>'दैनिक माहिती'!F244</f>
        <v>22</v>
      </c>
      <c r="JB28" s="289">
        <f>'दैनिक माहिती'!G244</f>
        <v>22</v>
      </c>
      <c r="JC28" s="290">
        <f t="shared" si="189"/>
        <v>2.2000000000000002</v>
      </c>
      <c r="JD28" s="290">
        <f t="shared" si="190"/>
        <v>0</v>
      </c>
      <c r="JE28" s="290">
        <f t="shared" si="191"/>
        <v>0</v>
      </c>
      <c r="JF28" s="290">
        <f t="shared" si="192"/>
        <v>0</v>
      </c>
      <c r="JG28" s="290">
        <f t="shared" si="193"/>
        <v>0</v>
      </c>
      <c r="JH28" s="290">
        <f t="shared" si="194"/>
        <v>0</v>
      </c>
      <c r="JI28" s="290">
        <f t="shared" si="195"/>
        <v>0</v>
      </c>
      <c r="JJ28" s="290">
        <f t="shared" si="196"/>
        <v>0.44</v>
      </c>
      <c r="JK28" s="290">
        <f t="shared" si="197"/>
        <v>0</v>
      </c>
      <c r="JL28" s="290">
        <f t="shared" si="198"/>
        <v>6.5999999999999991E-3</v>
      </c>
      <c r="JM28" s="290">
        <f t="shared" si="199"/>
        <v>1.0999999999999999E-2</v>
      </c>
      <c r="JN28" s="290">
        <f t="shared" si="200"/>
        <v>6.5999999999999991E-3</v>
      </c>
      <c r="JO28" s="290">
        <f t="shared" si="201"/>
        <v>0</v>
      </c>
      <c r="JP28" s="290">
        <f t="shared" si="202"/>
        <v>0</v>
      </c>
      <c r="JQ28" s="290">
        <f t="shared" si="203"/>
        <v>0.11</v>
      </c>
      <c r="JR28" s="290">
        <f t="shared" si="204"/>
        <v>4.3999999999999997E-2</v>
      </c>
      <c r="JS28" s="290">
        <f t="shared" si="205"/>
        <v>2.6399999999999996E-2</v>
      </c>
      <c r="JT28" s="290">
        <f t="shared" si="206"/>
        <v>0</v>
      </c>
      <c r="JU28" s="291">
        <f t="shared" si="207"/>
        <v>15.62</v>
      </c>
      <c r="JV28" s="291">
        <f t="shared" si="208"/>
        <v>17.380000000000003</v>
      </c>
      <c r="JW28" s="291">
        <f t="shared" si="209"/>
        <v>12.76</v>
      </c>
      <c r="JX28" s="292">
        <f t="shared" si="210"/>
        <v>63.14</v>
      </c>
      <c r="JY28" s="999">
        <v>15</v>
      </c>
      <c r="JZ28" s="286">
        <f t="shared" si="307"/>
        <v>44180</v>
      </c>
      <c r="KA28" s="287">
        <f t="shared" si="31"/>
        <v>44180</v>
      </c>
      <c r="KB28" s="288" t="str">
        <f>'दैनिक माहिती'!H275</f>
        <v>हरभरा</v>
      </c>
      <c r="KC28" s="289">
        <f>'दैनिक माहिती'!E275</f>
        <v>21</v>
      </c>
      <c r="KD28" s="289">
        <f>'दैनिक माहिती'!F275</f>
        <v>21</v>
      </c>
      <c r="KE28" s="289">
        <f>'दैनिक माहिती'!G275</f>
        <v>21</v>
      </c>
      <c r="KF28" s="290">
        <f t="shared" si="211"/>
        <v>2.1</v>
      </c>
      <c r="KG28" s="290">
        <f t="shared" si="212"/>
        <v>0</v>
      </c>
      <c r="KH28" s="290">
        <f t="shared" si="213"/>
        <v>0</v>
      </c>
      <c r="KI28" s="290">
        <f t="shared" si="214"/>
        <v>0</v>
      </c>
      <c r="KJ28" s="290">
        <f t="shared" si="215"/>
        <v>0</v>
      </c>
      <c r="KK28" s="290">
        <f t="shared" si="216"/>
        <v>0</v>
      </c>
      <c r="KL28" s="290">
        <f t="shared" si="217"/>
        <v>0</v>
      </c>
      <c r="KM28" s="290">
        <f t="shared" si="218"/>
        <v>0.42</v>
      </c>
      <c r="KN28" s="290">
        <f t="shared" si="219"/>
        <v>0</v>
      </c>
      <c r="KO28" s="290">
        <f t="shared" si="220"/>
        <v>6.2999999999999992E-3</v>
      </c>
      <c r="KP28" s="290">
        <f t="shared" si="221"/>
        <v>1.0500000000000001E-2</v>
      </c>
      <c r="KQ28" s="290">
        <f t="shared" si="222"/>
        <v>6.2999999999999992E-3</v>
      </c>
      <c r="KR28" s="290">
        <f t="shared" si="223"/>
        <v>0</v>
      </c>
      <c r="KS28" s="290">
        <f t="shared" si="224"/>
        <v>0</v>
      </c>
      <c r="KT28" s="290">
        <f t="shared" si="225"/>
        <v>0.105</v>
      </c>
      <c r="KU28" s="290">
        <f t="shared" si="226"/>
        <v>4.2000000000000003E-2</v>
      </c>
      <c r="KV28" s="290">
        <f t="shared" si="227"/>
        <v>2.5199999999999997E-2</v>
      </c>
      <c r="KW28" s="290">
        <f t="shared" si="228"/>
        <v>0</v>
      </c>
      <c r="KX28" s="291">
        <f t="shared" si="229"/>
        <v>14.91</v>
      </c>
      <c r="KY28" s="291">
        <f t="shared" si="230"/>
        <v>16.59</v>
      </c>
      <c r="KZ28" s="291">
        <f t="shared" si="231"/>
        <v>12.18</v>
      </c>
      <c r="LA28" s="292">
        <f t="shared" si="232"/>
        <v>60.27</v>
      </c>
      <c r="LB28" s="999">
        <v>15</v>
      </c>
      <c r="LC28" s="286">
        <f t="shared" si="308"/>
        <v>44211</v>
      </c>
      <c r="LD28" s="287">
        <f t="shared" si="32"/>
        <v>44211</v>
      </c>
      <c r="LE28" s="288">
        <f>'दैनिक माहिती'!H307</f>
        <v>0</v>
      </c>
      <c r="LF28" s="289">
        <f>'दैनिक माहिती'!E307</f>
        <v>0</v>
      </c>
      <c r="LG28" s="289">
        <f>'दैनिक माहिती'!F307</f>
        <v>0</v>
      </c>
      <c r="LH28" s="289">
        <f>'दैनिक माहिती'!G307</f>
        <v>0</v>
      </c>
      <c r="LI28" s="290">
        <f t="shared" si="233"/>
        <v>0</v>
      </c>
      <c r="LJ28" s="290">
        <f t="shared" si="234"/>
        <v>0</v>
      </c>
      <c r="LK28" s="290">
        <f t="shared" si="235"/>
        <v>0</v>
      </c>
      <c r="LL28" s="290">
        <f t="shared" si="236"/>
        <v>0</v>
      </c>
      <c r="LM28" s="290">
        <f t="shared" si="237"/>
        <v>0</v>
      </c>
      <c r="LN28" s="290">
        <f t="shared" si="238"/>
        <v>0</v>
      </c>
      <c r="LO28" s="290">
        <f t="shared" si="239"/>
        <v>0</v>
      </c>
      <c r="LP28" s="290">
        <f t="shared" si="240"/>
        <v>0</v>
      </c>
      <c r="LQ28" s="290">
        <f t="shared" si="241"/>
        <v>0</v>
      </c>
      <c r="LR28" s="290">
        <f t="shared" si="242"/>
        <v>0</v>
      </c>
      <c r="LS28" s="290">
        <f t="shared" si="243"/>
        <v>0</v>
      </c>
      <c r="LT28" s="290">
        <f t="shared" si="244"/>
        <v>0</v>
      </c>
      <c r="LU28" s="290">
        <f t="shared" si="245"/>
        <v>0</v>
      </c>
      <c r="LV28" s="290">
        <f t="shared" si="246"/>
        <v>0</v>
      </c>
      <c r="LW28" s="290">
        <f t="shared" si="247"/>
        <v>0</v>
      </c>
      <c r="LX28" s="290">
        <f t="shared" si="248"/>
        <v>0</v>
      </c>
      <c r="LY28" s="290">
        <f t="shared" si="249"/>
        <v>0</v>
      </c>
      <c r="LZ28" s="290">
        <f t="shared" si="250"/>
        <v>0</v>
      </c>
      <c r="MA28" s="291">
        <f t="shared" si="251"/>
        <v>0</v>
      </c>
      <c r="MB28" s="291">
        <f t="shared" si="252"/>
        <v>0</v>
      </c>
      <c r="MC28" s="291">
        <f t="shared" si="253"/>
        <v>0</v>
      </c>
      <c r="MD28" s="292">
        <f t="shared" si="254"/>
        <v>0</v>
      </c>
      <c r="ME28" s="999">
        <v>15</v>
      </c>
      <c r="MF28" s="286">
        <f t="shared" si="309"/>
        <v>44242</v>
      </c>
      <c r="MG28" s="287">
        <f t="shared" si="33"/>
        <v>44242</v>
      </c>
      <c r="MH28" s="288">
        <f>'दैनिक माहिती'!H339</f>
        <v>0</v>
      </c>
      <c r="MI28" s="289">
        <f>'दैनिक माहिती'!E339</f>
        <v>0</v>
      </c>
      <c r="MJ28" s="289">
        <f>'दैनिक माहिती'!F339</f>
        <v>0</v>
      </c>
      <c r="MK28" s="289">
        <f>'दैनिक माहिती'!G339</f>
        <v>0</v>
      </c>
      <c r="ML28" s="290">
        <f t="shared" si="255"/>
        <v>0</v>
      </c>
      <c r="MM28" s="290">
        <f t="shared" si="256"/>
        <v>0</v>
      </c>
      <c r="MN28" s="290">
        <f t="shared" si="257"/>
        <v>0</v>
      </c>
      <c r="MO28" s="290">
        <f t="shared" si="258"/>
        <v>0</v>
      </c>
      <c r="MP28" s="290">
        <f t="shared" si="259"/>
        <v>0</v>
      </c>
      <c r="MQ28" s="290">
        <f t="shared" si="260"/>
        <v>0</v>
      </c>
      <c r="MR28" s="290">
        <f t="shared" si="261"/>
        <v>0</v>
      </c>
      <c r="MS28" s="290">
        <f t="shared" si="262"/>
        <v>0</v>
      </c>
      <c r="MT28" s="290">
        <f t="shared" si="263"/>
        <v>0</v>
      </c>
      <c r="MU28" s="290">
        <f t="shared" si="264"/>
        <v>0</v>
      </c>
      <c r="MV28" s="290">
        <f t="shared" si="265"/>
        <v>0</v>
      </c>
      <c r="MW28" s="290">
        <f t="shared" si="266"/>
        <v>0</v>
      </c>
      <c r="MX28" s="290">
        <f t="shared" si="267"/>
        <v>0</v>
      </c>
      <c r="MY28" s="290">
        <f t="shared" si="268"/>
        <v>0</v>
      </c>
      <c r="MZ28" s="290">
        <f t="shared" si="269"/>
        <v>0</v>
      </c>
      <c r="NA28" s="290">
        <f t="shared" si="270"/>
        <v>0</v>
      </c>
      <c r="NB28" s="290">
        <f t="shared" si="271"/>
        <v>0</v>
      </c>
      <c r="NC28" s="290">
        <f t="shared" si="272"/>
        <v>0</v>
      </c>
      <c r="ND28" s="291">
        <f t="shared" si="273"/>
        <v>0</v>
      </c>
      <c r="NE28" s="291">
        <f t="shared" si="274"/>
        <v>0</v>
      </c>
      <c r="NF28" s="291">
        <f t="shared" si="275"/>
        <v>0</v>
      </c>
      <c r="NG28" s="292">
        <f t="shared" si="276"/>
        <v>0</v>
      </c>
      <c r="NH28" s="999">
        <v>15</v>
      </c>
      <c r="NI28" s="286">
        <f t="shared" si="310"/>
        <v>44270</v>
      </c>
      <c r="NJ28" s="287">
        <f t="shared" si="34"/>
        <v>44270</v>
      </c>
      <c r="NK28" s="288">
        <f>'दैनिक माहिती'!H369</f>
        <v>0</v>
      </c>
      <c r="NL28" s="289">
        <f>'दैनिक माहिती'!E369</f>
        <v>0</v>
      </c>
      <c r="NM28" s="289">
        <f>'दैनिक माहिती'!F369</f>
        <v>0</v>
      </c>
      <c r="NN28" s="289">
        <f>'दैनिक माहिती'!G369</f>
        <v>0</v>
      </c>
      <c r="NO28" s="290">
        <f t="shared" si="277"/>
        <v>0</v>
      </c>
      <c r="NP28" s="290">
        <f t="shared" si="278"/>
        <v>0</v>
      </c>
      <c r="NQ28" s="290">
        <f t="shared" si="279"/>
        <v>0</v>
      </c>
      <c r="NR28" s="290">
        <f t="shared" si="280"/>
        <v>0</v>
      </c>
      <c r="NS28" s="290">
        <f t="shared" si="281"/>
        <v>0</v>
      </c>
      <c r="NT28" s="290">
        <f t="shared" si="282"/>
        <v>0</v>
      </c>
      <c r="NU28" s="290">
        <f t="shared" si="283"/>
        <v>0</v>
      </c>
      <c r="NV28" s="290">
        <f t="shared" si="284"/>
        <v>0</v>
      </c>
      <c r="NW28" s="290">
        <f t="shared" si="285"/>
        <v>0</v>
      </c>
      <c r="NX28" s="290">
        <f t="shared" si="286"/>
        <v>0</v>
      </c>
      <c r="NY28" s="290">
        <f t="shared" si="287"/>
        <v>0</v>
      </c>
      <c r="NZ28" s="290">
        <f t="shared" si="288"/>
        <v>0</v>
      </c>
      <c r="OA28" s="290">
        <f t="shared" si="289"/>
        <v>0</v>
      </c>
      <c r="OB28" s="290">
        <f t="shared" si="290"/>
        <v>0</v>
      </c>
      <c r="OC28" s="290">
        <f t="shared" si="291"/>
        <v>0</v>
      </c>
      <c r="OD28" s="290">
        <f t="shared" si="292"/>
        <v>0</v>
      </c>
      <c r="OE28" s="290">
        <f t="shared" si="293"/>
        <v>0</v>
      </c>
      <c r="OF28" s="290">
        <f t="shared" si="294"/>
        <v>0</v>
      </c>
      <c r="OG28" s="291">
        <f t="shared" si="295"/>
        <v>0</v>
      </c>
      <c r="OH28" s="291">
        <f t="shared" si="296"/>
        <v>0</v>
      </c>
      <c r="OI28" s="291">
        <f t="shared" si="297"/>
        <v>0</v>
      </c>
      <c r="OJ28" s="292">
        <f t="shared" si="298"/>
        <v>0</v>
      </c>
    </row>
    <row r="29" spans="2:400" ht="29.25" customHeight="1" x14ac:dyDescent="0.3">
      <c r="BA29" s="999">
        <v>16</v>
      </c>
      <c r="BB29" s="286">
        <f t="shared" si="299"/>
        <v>43937</v>
      </c>
      <c r="BC29" s="287">
        <f t="shared" si="23"/>
        <v>43937</v>
      </c>
      <c r="BD29" s="288" t="str">
        <f>'दैनिक माहिती'!H24</f>
        <v>मुगडाळ</v>
      </c>
      <c r="BE29" s="289">
        <f>'दैनिक माहिती'!E24</f>
        <v>22</v>
      </c>
      <c r="BF29" s="289">
        <f>'दैनिक माहिती'!F24</f>
        <v>22</v>
      </c>
      <c r="BG29" s="289">
        <f>'दैनिक माहिती'!G24</f>
        <v>22</v>
      </c>
      <c r="BH29" s="290">
        <f t="shared" si="35"/>
        <v>2.2000000000000002</v>
      </c>
      <c r="BI29" s="290">
        <f t="shared" si="36"/>
        <v>0.44</v>
      </c>
      <c r="BJ29" s="290">
        <f t="shared" si="37"/>
        <v>0</v>
      </c>
      <c r="BK29" s="290">
        <f t="shared" si="38"/>
        <v>0</v>
      </c>
      <c r="BL29" s="290">
        <f t="shared" si="39"/>
        <v>0</v>
      </c>
      <c r="BM29" s="290">
        <f t="shared" si="40"/>
        <v>0</v>
      </c>
      <c r="BN29" s="290">
        <f t="shared" si="41"/>
        <v>0</v>
      </c>
      <c r="BO29" s="290">
        <f t="shared" si="42"/>
        <v>0</v>
      </c>
      <c r="BP29" s="290">
        <f t="shared" si="43"/>
        <v>0</v>
      </c>
      <c r="BQ29" s="290">
        <f t="shared" si="44"/>
        <v>6.5999999999999991E-3</v>
      </c>
      <c r="BR29" s="290">
        <f t="shared" si="45"/>
        <v>1.0999999999999999E-2</v>
      </c>
      <c r="BS29" s="290">
        <f t="shared" si="46"/>
        <v>6.5999999999999991E-3</v>
      </c>
      <c r="BT29" s="290">
        <f t="shared" si="47"/>
        <v>0</v>
      </c>
      <c r="BU29" s="290">
        <f t="shared" si="48"/>
        <v>0</v>
      </c>
      <c r="BV29" s="290">
        <f t="shared" si="49"/>
        <v>0.11</v>
      </c>
      <c r="BW29" s="290">
        <f t="shared" si="50"/>
        <v>4.3999999999999997E-2</v>
      </c>
      <c r="BX29" s="290">
        <f t="shared" si="51"/>
        <v>2.6399999999999996E-2</v>
      </c>
      <c r="BY29" s="290">
        <f t="shared" si="52"/>
        <v>0</v>
      </c>
      <c r="BZ29" s="291">
        <f t="shared" si="53"/>
        <v>15.84</v>
      </c>
      <c r="CA29" s="291">
        <f t="shared" si="54"/>
        <v>14.08</v>
      </c>
      <c r="CB29" s="291">
        <f t="shared" si="55"/>
        <v>11.66</v>
      </c>
      <c r="CC29" s="292">
        <f t="shared" si="56"/>
        <v>58.96</v>
      </c>
      <c r="CD29" s="999">
        <v>16</v>
      </c>
      <c r="CE29" s="286">
        <f t="shared" si="300"/>
        <v>43967</v>
      </c>
      <c r="CF29" s="287">
        <f t="shared" si="24"/>
        <v>43967</v>
      </c>
      <c r="CG29" s="288">
        <f>'दैनिक माहिती'!H55</f>
        <v>0</v>
      </c>
      <c r="CH29" s="289">
        <f>'दैनिक माहिती'!E55</f>
        <v>0</v>
      </c>
      <c r="CI29" s="289">
        <f>'दैनिक माहिती'!F55</f>
        <v>0</v>
      </c>
      <c r="CJ29" s="289">
        <f>'दैनिक माहिती'!G55</f>
        <v>0</v>
      </c>
      <c r="CK29" s="290">
        <f t="shared" si="57"/>
        <v>0</v>
      </c>
      <c r="CL29" s="290">
        <f t="shared" si="58"/>
        <v>0</v>
      </c>
      <c r="CM29" s="290">
        <f t="shared" si="59"/>
        <v>0</v>
      </c>
      <c r="CN29" s="290">
        <f t="shared" si="60"/>
        <v>0</v>
      </c>
      <c r="CO29" s="290">
        <f t="shared" si="61"/>
        <v>0</v>
      </c>
      <c r="CP29" s="290">
        <f t="shared" si="62"/>
        <v>0</v>
      </c>
      <c r="CQ29" s="290">
        <f t="shared" si="63"/>
        <v>0</v>
      </c>
      <c r="CR29" s="290">
        <f t="shared" si="64"/>
        <v>0</v>
      </c>
      <c r="CS29" s="290">
        <f t="shared" si="65"/>
        <v>0</v>
      </c>
      <c r="CT29" s="290">
        <f t="shared" si="66"/>
        <v>0</v>
      </c>
      <c r="CU29" s="290">
        <f t="shared" si="67"/>
        <v>0</v>
      </c>
      <c r="CV29" s="290">
        <f t="shared" si="68"/>
        <v>0</v>
      </c>
      <c r="CW29" s="290">
        <f t="shared" si="69"/>
        <v>0</v>
      </c>
      <c r="CX29" s="290">
        <f t="shared" si="70"/>
        <v>0</v>
      </c>
      <c r="CY29" s="290">
        <f t="shared" si="71"/>
        <v>0</v>
      </c>
      <c r="CZ29" s="290">
        <f t="shared" si="72"/>
        <v>0</v>
      </c>
      <c r="DA29" s="290">
        <f t="shared" si="73"/>
        <v>0</v>
      </c>
      <c r="DB29" s="290">
        <f t="shared" si="74"/>
        <v>0</v>
      </c>
      <c r="DC29" s="291">
        <f t="shared" si="75"/>
        <v>0</v>
      </c>
      <c r="DD29" s="291">
        <f t="shared" si="76"/>
        <v>0</v>
      </c>
      <c r="DE29" s="291">
        <f t="shared" si="77"/>
        <v>0</v>
      </c>
      <c r="DF29" s="292">
        <f t="shared" si="78"/>
        <v>0</v>
      </c>
      <c r="DG29" s="999">
        <v>16</v>
      </c>
      <c r="DH29" s="286">
        <f t="shared" si="301"/>
        <v>43998</v>
      </c>
      <c r="DI29" s="287">
        <f t="shared" si="25"/>
        <v>43998</v>
      </c>
      <c r="DJ29" s="288" t="str">
        <f>'दैनिक माहिती'!H87</f>
        <v>हरभरा</v>
      </c>
      <c r="DK29" s="289">
        <f>'दैनिक माहिती'!E87</f>
        <v>16</v>
      </c>
      <c r="DL29" s="289">
        <f>'दैनिक माहिती'!F87</f>
        <v>16</v>
      </c>
      <c r="DM29" s="289">
        <f>'दैनिक माहिती'!G87</f>
        <v>16</v>
      </c>
      <c r="DN29" s="290">
        <f t="shared" si="79"/>
        <v>1.6</v>
      </c>
      <c r="DO29" s="290">
        <f t="shared" si="80"/>
        <v>0</v>
      </c>
      <c r="DP29" s="290">
        <f t="shared" si="81"/>
        <v>0</v>
      </c>
      <c r="DQ29" s="290">
        <f t="shared" si="82"/>
        <v>0</v>
      </c>
      <c r="DR29" s="290">
        <f t="shared" si="83"/>
        <v>0</v>
      </c>
      <c r="DS29" s="290">
        <f t="shared" si="84"/>
        <v>0</v>
      </c>
      <c r="DT29" s="290">
        <f t="shared" si="85"/>
        <v>0</v>
      </c>
      <c r="DU29" s="290">
        <f t="shared" si="86"/>
        <v>0.32</v>
      </c>
      <c r="DV29" s="290">
        <f t="shared" si="87"/>
        <v>0</v>
      </c>
      <c r="DW29" s="290">
        <f t="shared" si="88"/>
        <v>4.7999999999999996E-3</v>
      </c>
      <c r="DX29" s="290">
        <f t="shared" si="89"/>
        <v>8.0000000000000002E-3</v>
      </c>
      <c r="DY29" s="290">
        <f t="shared" si="90"/>
        <v>4.7999999999999996E-3</v>
      </c>
      <c r="DZ29" s="290">
        <f t="shared" si="91"/>
        <v>0</v>
      </c>
      <c r="EA29" s="290">
        <f t="shared" si="92"/>
        <v>0</v>
      </c>
      <c r="EB29" s="290">
        <f t="shared" si="93"/>
        <v>0.08</v>
      </c>
      <c r="EC29" s="290">
        <f t="shared" si="94"/>
        <v>3.2000000000000001E-2</v>
      </c>
      <c r="ED29" s="290">
        <f t="shared" si="95"/>
        <v>1.9199999999999998E-2</v>
      </c>
      <c r="EE29" s="290">
        <f t="shared" si="96"/>
        <v>0</v>
      </c>
      <c r="EF29" s="291">
        <f t="shared" si="97"/>
        <v>11.52</v>
      </c>
      <c r="EG29" s="291">
        <f t="shared" si="98"/>
        <v>10.24</v>
      </c>
      <c r="EH29" s="291">
        <f t="shared" si="99"/>
        <v>8.48</v>
      </c>
      <c r="EI29" s="292">
        <f t="shared" si="100"/>
        <v>42.88</v>
      </c>
      <c r="EJ29" s="999">
        <v>16</v>
      </c>
      <c r="EK29" s="286">
        <f t="shared" si="302"/>
        <v>44028</v>
      </c>
      <c r="EL29" s="287">
        <f t="shared" si="26"/>
        <v>44028</v>
      </c>
      <c r="EM29" s="288" t="str">
        <f>'दैनिक माहिती'!H118</f>
        <v>मुगडाळ</v>
      </c>
      <c r="EN29" s="289">
        <f>'दैनिक माहिती'!E118</f>
        <v>17</v>
      </c>
      <c r="EO29" s="289">
        <f>'दैनिक माहिती'!F118</f>
        <v>17</v>
      </c>
      <c r="EP29" s="289">
        <f>'दैनिक माहिती'!G118</f>
        <v>17</v>
      </c>
      <c r="EQ29" s="290">
        <f t="shared" si="101"/>
        <v>1.7000000000000002</v>
      </c>
      <c r="ER29" s="290">
        <f t="shared" si="102"/>
        <v>0.34</v>
      </c>
      <c r="ES29" s="290">
        <f t="shared" si="103"/>
        <v>0</v>
      </c>
      <c r="ET29" s="290">
        <f t="shared" si="104"/>
        <v>0</v>
      </c>
      <c r="EU29" s="290">
        <f t="shared" si="105"/>
        <v>0</v>
      </c>
      <c r="EV29" s="290">
        <f t="shared" si="106"/>
        <v>0</v>
      </c>
      <c r="EW29" s="290">
        <f t="shared" si="107"/>
        <v>0</v>
      </c>
      <c r="EX29" s="290">
        <f t="shared" si="108"/>
        <v>0</v>
      </c>
      <c r="EY29" s="290">
        <f t="shared" si="109"/>
        <v>0</v>
      </c>
      <c r="EZ29" s="290">
        <f t="shared" si="110"/>
        <v>5.0999999999999995E-3</v>
      </c>
      <c r="FA29" s="290">
        <f t="shared" si="111"/>
        <v>8.5000000000000006E-3</v>
      </c>
      <c r="FB29" s="290">
        <f t="shared" si="112"/>
        <v>5.0999999999999995E-3</v>
      </c>
      <c r="FC29" s="290">
        <f t="shared" si="113"/>
        <v>0</v>
      </c>
      <c r="FD29" s="290">
        <f t="shared" si="114"/>
        <v>0</v>
      </c>
      <c r="FE29" s="290">
        <f t="shared" si="115"/>
        <v>8.5000000000000006E-2</v>
      </c>
      <c r="FF29" s="290">
        <f t="shared" si="116"/>
        <v>3.4000000000000002E-2</v>
      </c>
      <c r="FG29" s="290">
        <f t="shared" si="117"/>
        <v>2.0399999999999998E-2</v>
      </c>
      <c r="FH29" s="290">
        <f t="shared" si="118"/>
        <v>0</v>
      </c>
      <c r="FI29" s="291">
        <f t="shared" si="119"/>
        <v>12.24</v>
      </c>
      <c r="FJ29" s="291">
        <f t="shared" si="120"/>
        <v>10.88</v>
      </c>
      <c r="FK29" s="291">
        <f t="shared" si="121"/>
        <v>9.01</v>
      </c>
      <c r="FL29" s="292">
        <f t="shared" si="122"/>
        <v>45.56</v>
      </c>
      <c r="FM29" s="999">
        <v>16</v>
      </c>
      <c r="FN29" s="286">
        <f t="shared" si="303"/>
        <v>44059</v>
      </c>
      <c r="FO29" s="287">
        <f t="shared" si="27"/>
        <v>44059</v>
      </c>
      <c r="FP29" s="288">
        <f>'दैनिक माहिती'!H150</f>
        <v>0</v>
      </c>
      <c r="FQ29" s="289">
        <f>'दैनिक माहिती'!E150</f>
        <v>0</v>
      </c>
      <c r="FR29" s="289">
        <f>'दैनिक माहिती'!F150</f>
        <v>0</v>
      </c>
      <c r="FS29" s="289">
        <f>'दैनिक माहिती'!G150</f>
        <v>0</v>
      </c>
      <c r="FT29" s="290">
        <f t="shared" si="123"/>
        <v>0</v>
      </c>
      <c r="FU29" s="290">
        <f t="shared" si="124"/>
        <v>0</v>
      </c>
      <c r="FV29" s="290">
        <f t="shared" si="125"/>
        <v>0</v>
      </c>
      <c r="FW29" s="290">
        <f t="shared" si="126"/>
        <v>0</v>
      </c>
      <c r="FX29" s="290">
        <f t="shared" si="127"/>
        <v>0</v>
      </c>
      <c r="FY29" s="290">
        <f t="shared" si="128"/>
        <v>0</v>
      </c>
      <c r="FZ29" s="290">
        <f t="shared" si="129"/>
        <v>0</v>
      </c>
      <c r="GA29" s="290">
        <f t="shared" si="130"/>
        <v>0</v>
      </c>
      <c r="GB29" s="290">
        <f t="shared" si="131"/>
        <v>0</v>
      </c>
      <c r="GC29" s="290">
        <f t="shared" si="132"/>
        <v>0</v>
      </c>
      <c r="GD29" s="290">
        <f t="shared" si="133"/>
        <v>0</v>
      </c>
      <c r="GE29" s="290">
        <f t="shared" si="134"/>
        <v>0</v>
      </c>
      <c r="GF29" s="290">
        <f t="shared" si="135"/>
        <v>0</v>
      </c>
      <c r="GG29" s="290">
        <f t="shared" si="136"/>
        <v>0</v>
      </c>
      <c r="GH29" s="290">
        <f t="shared" si="137"/>
        <v>0</v>
      </c>
      <c r="GI29" s="290">
        <f t="shared" si="138"/>
        <v>0</v>
      </c>
      <c r="GJ29" s="290">
        <f t="shared" si="139"/>
        <v>0</v>
      </c>
      <c r="GK29" s="290">
        <f t="shared" si="140"/>
        <v>0</v>
      </c>
      <c r="GL29" s="291">
        <f t="shared" si="141"/>
        <v>0</v>
      </c>
      <c r="GM29" s="291">
        <f t="shared" si="142"/>
        <v>0</v>
      </c>
      <c r="GN29" s="291">
        <f t="shared" si="143"/>
        <v>0</v>
      </c>
      <c r="GO29" s="292">
        <f t="shared" si="144"/>
        <v>0</v>
      </c>
      <c r="GP29" s="999">
        <v>16</v>
      </c>
      <c r="GQ29" s="286">
        <f t="shared" si="304"/>
        <v>44090</v>
      </c>
      <c r="GR29" s="287">
        <f t="shared" si="28"/>
        <v>44090</v>
      </c>
      <c r="GS29" s="288" t="str">
        <f>'दैनिक माहिती'!H182</f>
        <v>वाटाणा</v>
      </c>
      <c r="GT29" s="289">
        <f>'दैनिक माहिती'!E182</f>
        <v>16</v>
      </c>
      <c r="GU29" s="289">
        <f>'दैनिक माहिती'!F182</f>
        <v>16</v>
      </c>
      <c r="GV29" s="289">
        <f>'दैनिक माहिती'!G182</f>
        <v>16</v>
      </c>
      <c r="GW29" s="290">
        <f t="shared" si="145"/>
        <v>1.6</v>
      </c>
      <c r="GX29" s="290">
        <f t="shared" si="146"/>
        <v>0</v>
      </c>
      <c r="GY29" s="290">
        <f t="shared" si="147"/>
        <v>0</v>
      </c>
      <c r="GZ29" s="290">
        <f t="shared" si="148"/>
        <v>0</v>
      </c>
      <c r="HA29" s="290">
        <f t="shared" si="149"/>
        <v>0</v>
      </c>
      <c r="HB29" s="290">
        <f t="shared" si="150"/>
        <v>0</v>
      </c>
      <c r="HC29" s="290">
        <f t="shared" si="151"/>
        <v>0</v>
      </c>
      <c r="HD29" s="290">
        <f t="shared" si="152"/>
        <v>0</v>
      </c>
      <c r="HE29" s="290">
        <f t="shared" si="153"/>
        <v>0.32</v>
      </c>
      <c r="HF29" s="290">
        <f t="shared" si="154"/>
        <v>4.7999999999999996E-3</v>
      </c>
      <c r="HG29" s="290">
        <f t="shared" si="155"/>
        <v>8.0000000000000002E-3</v>
      </c>
      <c r="HH29" s="290">
        <f t="shared" si="156"/>
        <v>4.7999999999999996E-3</v>
      </c>
      <c r="HI29" s="290">
        <f t="shared" si="157"/>
        <v>0</v>
      </c>
      <c r="HJ29" s="290">
        <f t="shared" si="158"/>
        <v>0</v>
      </c>
      <c r="HK29" s="290">
        <f t="shared" si="159"/>
        <v>0.08</v>
      </c>
      <c r="HL29" s="290">
        <f t="shared" si="160"/>
        <v>3.2000000000000001E-2</v>
      </c>
      <c r="HM29" s="290">
        <f t="shared" si="161"/>
        <v>1.9199999999999998E-2</v>
      </c>
      <c r="HN29" s="290">
        <f t="shared" si="162"/>
        <v>0</v>
      </c>
      <c r="HO29" s="291">
        <f t="shared" si="163"/>
        <v>11.52</v>
      </c>
      <c r="HP29" s="291">
        <f t="shared" si="164"/>
        <v>10.24</v>
      </c>
      <c r="HQ29" s="291">
        <f t="shared" si="165"/>
        <v>8.48</v>
      </c>
      <c r="HR29" s="292">
        <f t="shared" si="166"/>
        <v>42.88</v>
      </c>
      <c r="HS29" s="999">
        <v>16</v>
      </c>
      <c r="HT29" s="286">
        <f t="shared" si="305"/>
        <v>44120</v>
      </c>
      <c r="HU29" s="287">
        <f t="shared" si="29"/>
        <v>44120</v>
      </c>
      <c r="HV29" s="288">
        <f>'दैनिक माहिती'!H213</f>
        <v>0</v>
      </c>
      <c r="HW29" s="289">
        <f>'दैनिक माहिती'!E213</f>
        <v>0</v>
      </c>
      <c r="HX29" s="289">
        <f>'दैनिक माहिती'!F213</f>
        <v>0</v>
      </c>
      <c r="HY29" s="289">
        <f>'दैनिक माहिती'!G213</f>
        <v>0</v>
      </c>
      <c r="HZ29" s="290">
        <f t="shared" si="167"/>
        <v>0</v>
      </c>
      <c r="IA29" s="290">
        <f t="shared" si="168"/>
        <v>0</v>
      </c>
      <c r="IB29" s="290">
        <f t="shared" si="169"/>
        <v>0</v>
      </c>
      <c r="IC29" s="290">
        <f t="shared" si="170"/>
        <v>0</v>
      </c>
      <c r="ID29" s="290">
        <f t="shared" si="171"/>
        <v>0</v>
      </c>
      <c r="IE29" s="290">
        <f t="shared" si="172"/>
        <v>0</v>
      </c>
      <c r="IF29" s="290">
        <f t="shared" si="173"/>
        <v>0</v>
      </c>
      <c r="IG29" s="290">
        <f t="shared" si="174"/>
        <v>0</v>
      </c>
      <c r="IH29" s="290">
        <f t="shared" si="175"/>
        <v>0</v>
      </c>
      <c r="II29" s="290">
        <f t="shared" si="176"/>
        <v>0</v>
      </c>
      <c r="IJ29" s="290">
        <f t="shared" si="177"/>
        <v>0</v>
      </c>
      <c r="IK29" s="290">
        <f t="shared" si="178"/>
        <v>0</v>
      </c>
      <c r="IL29" s="290">
        <f t="shared" si="179"/>
        <v>0</v>
      </c>
      <c r="IM29" s="290">
        <f t="shared" si="180"/>
        <v>0</v>
      </c>
      <c r="IN29" s="290">
        <f t="shared" si="181"/>
        <v>0</v>
      </c>
      <c r="IO29" s="290">
        <f t="shared" si="182"/>
        <v>0</v>
      </c>
      <c r="IP29" s="290">
        <f t="shared" si="183"/>
        <v>0</v>
      </c>
      <c r="IQ29" s="290">
        <f t="shared" si="184"/>
        <v>0</v>
      </c>
      <c r="IR29" s="291">
        <f t="shared" si="185"/>
        <v>0</v>
      </c>
      <c r="IS29" s="291">
        <f t="shared" si="186"/>
        <v>0</v>
      </c>
      <c r="IT29" s="291">
        <f t="shared" si="187"/>
        <v>0</v>
      </c>
      <c r="IU29" s="292">
        <f t="shared" si="188"/>
        <v>0</v>
      </c>
      <c r="IV29" s="999">
        <v>16</v>
      </c>
      <c r="IW29" s="286">
        <f t="shared" si="306"/>
        <v>44151</v>
      </c>
      <c r="IX29" s="287">
        <f t="shared" si="30"/>
        <v>44151</v>
      </c>
      <c r="IY29" s="288" t="str">
        <f>'दैनिक माहिती'!H245</f>
        <v>वाटाणा</v>
      </c>
      <c r="IZ29" s="289">
        <f>'दैनिक माहिती'!E245</f>
        <v>22</v>
      </c>
      <c r="JA29" s="289">
        <f>'दैनिक माहिती'!F245</f>
        <v>22</v>
      </c>
      <c r="JB29" s="289">
        <f>'दैनिक माहिती'!G245</f>
        <v>22</v>
      </c>
      <c r="JC29" s="290">
        <f t="shared" si="189"/>
        <v>2.2000000000000002</v>
      </c>
      <c r="JD29" s="290">
        <f t="shared" si="190"/>
        <v>0</v>
      </c>
      <c r="JE29" s="290">
        <f t="shared" si="191"/>
        <v>0</v>
      </c>
      <c r="JF29" s="290">
        <f t="shared" si="192"/>
        <v>0</v>
      </c>
      <c r="JG29" s="290">
        <f t="shared" si="193"/>
        <v>0</v>
      </c>
      <c r="JH29" s="290">
        <f t="shared" si="194"/>
        <v>0</v>
      </c>
      <c r="JI29" s="290">
        <f t="shared" si="195"/>
        <v>0</v>
      </c>
      <c r="JJ29" s="290">
        <f t="shared" si="196"/>
        <v>0</v>
      </c>
      <c r="JK29" s="290">
        <f t="shared" si="197"/>
        <v>0.44</v>
      </c>
      <c r="JL29" s="290">
        <f t="shared" si="198"/>
        <v>6.5999999999999991E-3</v>
      </c>
      <c r="JM29" s="290">
        <f t="shared" si="199"/>
        <v>1.0999999999999999E-2</v>
      </c>
      <c r="JN29" s="290">
        <f t="shared" si="200"/>
        <v>6.5999999999999991E-3</v>
      </c>
      <c r="JO29" s="290">
        <f t="shared" si="201"/>
        <v>0</v>
      </c>
      <c r="JP29" s="290">
        <f t="shared" si="202"/>
        <v>0</v>
      </c>
      <c r="JQ29" s="290">
        <f t="shared" si="203"/>
        <v>0.11</v>
      </c>
      <c r="JR29" s="290">
        <f t="shared" si="204"/>
        <v>4.3999999999999997E-2</v>
      </c>
      <c r="JS29" s="290">
        <f t="shared" si="205"/>
        <v>2.6399999999999996E-2</v>
      </c>
      <c r="JT29" s="290">
        <f t="shared" si="206"/>
        <v>0</v>
      </c>
      <c r="JU29" s="291">
        <f t="shared" si="207"/>
        <v>15.62</v>
      </c>
      <c r="JV29" s="291">
        <f t="shared" si="208"/>
        <v>17.380000000000003</v>
      </c>
      <c r="JW29" s="291">
        <f t="shared" si="209"/>
        <v>12.76</v>
      </c>
      <c r="JX29" s="292">
        <f t="shared" si="210"/>
        <v>63.14</v>
      </c>
      <c r="JY29" s="999">
        <v>16</v>
      </c>
      <c r="JZ29" s="286">
        <f t="shared" si="307"/>
        <v>44181</v>
      </c>
      <c r="KA29" s="287">
        <f t="shared" si="31"/>
        <v>44181</v>
      </c>
      <c r="KB29" s="288" t="str">
        <f>'दैनिक माहिती'!H276</f>
        <v>वाटाणा</v>
      </c>
      <c r="KC29" s="289">
        <f>'दैनिक माहिती'!E276</f>
        <v>21</v>
      </c>
      <c r="KD29" s="289">
        <f>'दैनिक माहिती'!F276</f>
        <v>21</v>
      </c>
      <c r="KE29" s="289">
        <f>'दैनिक माहिती'!G276</f>
        <v>21</v>
      </c>
      <c r="KF29" s="290">
        <f t="shared" si="211"/>
        <v>2.1</v>
      </c>
      <c r="KG29" s="290">
        <f t="shared" si="212"/>
        <v>0</v>
      </c>
      <c r="KH29" s="290">
        <f t="shared" si="213"/>
        <v>0</v>
      </c>
      <c r="KI29" s="290">
        <f t="shared" si="214"/>
        <v>0</v>
      </c>
      <c r="KJ29" s="290">
        <f t="shared" si="215"/>
        <v>0</v>
      </c>
      <c r="KK29" s="290">
        <f t="shared" si="216"/>
        <v>0</v>
      </c>
      <c r="KL29" s="290">
        <f t="shared" si="217"/>
        <v>0</v>
      </c>
      <c r="KM29" s="290">
        <f t="shared" si="218"/>
        <v>0</v>
      </c>
      <c r="KN29" s="290">
        <f t="shared" si="219"/>
        <v>0.42</v>
      </c>
      <c r="KO29" s="290">
        <f t="shared" si="220"/>
        <v>6.2999999999999992E-3</v>
      </c>
      <c r="KP29" s="290">
        <f t="shared" si="221"/>
        <v>1.0500000000000001E-2</v>
      </c>
      <c r="KQ29" s="290">
        <f t="shared" si="222"/>
        <v>6.2999999999999992E-3</v>
      </c>
      <c r="KR29" s="290">
        <f t="shared" si="223"/>
        <v>0</v>
      </c>
      <c r="KS29" s="290">
        <f t="shared" si="224"/>
        <v>0</v>
      </c>
      <c r="KT29" s="290">
        <f t="shared" si="225"/>
        <v>0.105</v>
      </c>
      <c r="KU29" s="290">
        <f t="shared" si="226"/>
        <v>4.2000000000000003E-2</v>
      </c>
      <c r="KV29" s="290">
        <f t="shared" si="227"/>
        <v>2.5199999999999997E-2</v>
      </c>
      <c r="KW29" s="290">
        <f t="shared" si="228"/>
        <v>0</v>
      </c>
      <c r="KX29" s="291">
        <f t="shared" si="229"/>
        <v>14.91</v>
      </c>
      <c r="KY29" s="291">
        <f t="shared" si="230"/>
        <v>16.59</v>
      </c>
      <c r="KZ29" s="291">
        <f t="shared" si="231"/>
        <v>12.18</v>
      </c>
      <c r="LA29" s="292">
        <f t="shared" si="232"/>
        <v>60.27</v>
      </c>
      <c r="LB29" s="999">
        <v>16</v>
      </c>
      <c r="LC29" s="286">
        <f t="shared" si="308"/>
        <v>44212</v>
      </c>
      <c r="LD29" s="287">
        <f t="shared" si="32"/>
        <v>44212</v>
      </c>
      <c r="LE29" s="288">
        <f>'दैनिक माहिती'!H308</f>
        <v>0</v>
      </c>
      <c r="LF29" s="289">
        <f>'दैनिक माहिती'!E308</f>
        <v>0</v>
      </c>
      <c r="LG29" s="289">
        <f>'दैनिक माहिती'!F308</f>
        <v>0</v>
      </c>
      <c r="LH29" s="289">
        <f>'दैनिक माहिती'!G308</f>
        <v>0</v>
      </c>
      <c r="LI29" s="290">
        <f t="shared" si="233"/>
        <v>0</v>
      </c>
      <c r="LJ29" s="290">
        <f t="shared" si="234"/>
        <v>0</v>
      </c>
      <c r="LK29" s="290">
        <f t="shared" si="235"/>
        <v>0</v>
      </c>
      <c r="LL29" s="290">
        <f t="shared" si="236"/>
        <v>0</v>
      </c>
      <c r="LM29" s="290">
        <f t="shared" si="237"/>
        <v>0</v>
      </c>
      <c r="LN29" s="290">
        <f t="shared" si="238"/>
        <v>0</v>
      </c>
      <c r="LO29" s="290">
        <f t="shared" si="239"/>
        <v>0</v>
      </c>
      <c r="LP29" s="290">
        <f t="shared" si="240"/>
        <v>0</v>
      </c>
      <c r="LQ29" s="290">
        <f t="shared" si="241"/>
        <v>0</v>
      </c>
      <c r="LR29" s="290">
        <f t="shared" si="242"/>
        <v>0</v>
      </c>
      <c r="LS29" s="290">
        <f t="shared" si="243"/>
        <v>0</v>
      </c>
      <c r="LT29" s="290">
        <f t="shared" si="244"/>
        <v>0</v>
      </c>
      <c r="LU29" s="290">
        <f t="shared" si="245"/>
        <v>0</v>
      </c>
      <c r="LV29" s="290">
        <f t="shared" si="246"/>
        <v>0</v>
      </c>
      <c r="LW29" s="290">
        <f t="shared" si="247"/>
        <v>0</v>
      </c>
      <c r="LX29" s="290">
        <f t="shared" si="248"/>
        <v>0</v>
      </c>
      <c r="LY29" s="290">
        <f t="shared" si="249"/>
        <v>0</v>
      </c>
      <c r="LZ29" s="290">
        <f t="shared" si="250"/>
        <v>0</v>
      </c>
      <c r="MA29" s="291">
        <f t="shared" si="251"/>
        <v>0</v>
      </c>
      <c r="MB29" s="291">
        <f t="shared" si="252"/>
        <v>0</v>
      </c>
      <c r="MC29" s="291">
        <f t="shared" si="253"/>
        <v>0</v>
      </c>
      <c r="MD29" s="292">
        <f t="shared" si="254"/>
        <v>0</v>
      </c>
      <c r="ME29" s="999">
        <v>16</v>
      </c>
      <c r="MF29" s="286">
        <f t="shared" si="309"/>
        <v>44243</v>
      </c>
      <c r="MG29" s="287">
        <f t="shared" si="33"/>
        <v>44243</v>
      </c>
      <c r="MH29" s="288">
        <f>'दैनिक माहिती'!H340</f>
        <v>0</v>
      </c>
      <c r="MI29" s="289">
        <f>'दैनिक माहिती'!E340</f>
        <v>0</v>
      </c>
      <c r="MJ29" s="289">
        <f>'दैनिक माहिती'!F340</f>
        <v>0</v>
      </c>
      <c r="MK29" s="289">
        <f>'दैनिक माहिती'!G340</f>
        <v>0</v>
      </c>
      <c r="ML29" s="290">
        <f t="shared" si="255"/>
        <v>0</v>
      </c>
      <c r="MM29" s="290">
        <f t="shared" si="256"/>
        <v>0</v>
      </c>
      <c r="MN29" s="290">
        <f t="shared" si="257"/>
        <v>0</v>
      </c>
      <c r="MO29" s="290">
        <f t="shared" si="258"/>
        <v>0</v>
      </c>
      <c r="MP29" s="290">
        <f t="shared" si="259"/>
        <v>0</v>
      </c>
      <c r="MQ29" s="290">
        <f t="shared" si="260"/>
        <v>0</v>
      </c>
      <c r="MR29" s="290">
        <f t="shared" si="261"/>
        <v>0</v>
      </c>
      <c r="MS29" s="290">
        <f t="shared" si="262"/>
        <v>0</v>
      </c>
      <c r="MT29" s="290">
        <f t="shared" si="263"/>
        <v>0</v>
      </c>
      <c r="MU29" s="290">
        <f t="shared" si="264"/>
        <v>0</v>
      </c>
      <c r="MV29" s="290">
        <f t="shared" si="265"/>
        <v>0</v>
      </c>
      <c r="MW29" s="290">
        <f t="shared" si="266"/>
        <v>0</v>
      </c>
      <c r="MX29" s="290">
        <f t="shared" si="267"/>
        <v>0</v>
      </c>
      <c r="MY29" s="290">
        <f t="shared" si="268"/>
        <v>0</v>
      </c>
      <c r="MZ29" s="290">
        <f t="shared" si="269"/>
        <v>0</v>
      </c>
      <c r="NA29" s="290">
        <f t="shared" si="270"/>
        <v>0</v>
      </c>
      <c r="NB29" s="290">
        <f t="shared" si="271"/>
        <v>0</v>
      </c>
      <c r="NC29" s="290">
        <f t="shared" si="272"/>
        <v>0</v>
      </c>
      <c r="ND29" s="291">
        <f t="shared" si="273"/>
        <v>0</v>
      </c>
      <c r="NE29" s="291">
        <f t="shared" si="274"/>
        <v>0</v>
      </c>
      <c r="NF29" s="291">
        <f t="shared" si="275"/>
        <v>0</v>
      </c>
      <c r="NG29" s="292">
        <f t="shared" si="276"/>
        <v>0</v>
      </c>
      <c r="NH29" s="999">
        <v>16</v>
      </c>
      <c r="NI29" s="286">
        <f t="shared" si="310"/>
        <v>44271</v>
      </c>
      <c r="NJ29" s="287">
        <f t="shared" si="34"/>
        <v>44271</v>
      </c>
      <c r="NK29" s="288">
        <f>'दैनिक माहिती'!H370</f>
        <v>0</v>
      </c>
      <c r="NL29" s="289">
        <f>'दैनिक माहिती'!E370</f>
        <v>0</v>
      </c>
      <c r="NM29" s="289">
        <f>'दैनिक माहिती'!F370</f>
        <v>0</v>
      </c>
      <c r="NN29" s="289">
        <f>'दैनिक माहिती'!G370</f>
        <v>0</v>
      </c>
      <c r="NO29" s="290">
        <f t="shared" si="277"/>
        <v>0</v>
      </c>
      <c r="NP29" s="290">
        <f t="shared" si="278"/>
        <v>0</v>
      </c>
      <c r="NQ29" s="290">
        <f t="shared" si="279"/>
        <v>0</v>
      </c>
      <c r="NR29" s="290">
        <f t="shared" si="280"/>
        <v>0</v>
      </c>
      <c r="NS29" s="290">
        <f t="shared" si="281"/>
        <v>0</v>
      </c>
      <c r="NT29" s="290">
        <f t="shared" si="282"/>
        <v>0</v>
      </c>
      <c r="NU29" s="290">
        <f t="shared" si="283"/>
        <v>0</v>
      </c>
      <c r="NV29" s="290">
        <f t="shared" si="284"/>
        <v>0</v>
      </c>
      <c r="NW29" s="290">
        <f t="shared" si="285"/>
        <v>0</v>
      </c>
      <c r="NX29" s="290">
        <f t="shared" si="286"/>
        <v>0</v>
      </c>
      <c r="NY29" s="290">
        <f t="shared" si="287"/>
        <v>0</v>
      </c>
      <c r="NZ29" s="290">
        <f t="shared" si="288"/>
        <v>0</v>
      </c>
      <c r="OA29" s="290">
        <f t="shared" si="289"/>
        <v>0</v>
      </c>
      <c r="OB29" s="290">
        <f t="shared" si="290"/>
        <v>0</v>
      </c>
      <c r="OC29" s="290">
        <f t="shared" si="291"/>
        <v>0</v>
      </c>
      <c r="OD29" s="290">
        <f t="shared" si="292"/>
        <v>0</v>
      </c>
      <c r="OE29" s="290">
        <f t="shared" si="293"/>
        <v>0</v>
      </c>
      <c r="OF29" s="290">
        <f t="shared" si="294"/>
        <v>0</v>
      </c>
      <c r="OG29" s="291">
        <f t="shared" si="295"/>
        <v>0</v>
      </c>
      <c r="OH29" s="291">
        <f t="shared" si="296"/>
        <v>0</v>
      </c>
      <c r="OI29" s="291">
        <f t="shared" si="297"/>
        <v>0</v>
      </c>
      <c r="OJ29" s="292">
        <f t="shared" si="298"/>
        <v>0</v>
      </c>
    </row>
    <row r="30" spans="2:400" ht="29.25" customHeight="1" x14ac:dyDescent="0.3">
      <c r="BA30" s="999">
        <v>17</v>
      </c>
      <c r="BB30" s="286">
        <f t="shared" si="299"/>
        <v>43938</v>
      </c>
      <c r="BC30" s="293">
        <f t="shared" si="23"/>
        <v>43938</v>
      </c>
      <c r="BD30" s="288">
        <f>'दैनिक माहिती'!H25</f>
        <v>0</v>
      </c>
      <c r="BE30" s="289">
        <f>'दैनिक माहिती'!E25</f>
        <v>0</v>
      </c>
      <c r="BF30" s="289">
        <f>'दैनिक माहिती'!F25</f>
        <v>0</v>
      </c>
      <c r="BG30" s="289">
        <f>'दैनिक माहिती'!G25</f>
        <v>0</v>
      </c>
      <c r="BH30" s="290">
        <f t="shared" si="35"/>
        <v>0</v>
      </c>
      <c r="BI30" s="290">
        <f t="shared" si="36"/>
        <v>0</v>
      </c>
      <c r="BJ30" s="290">
        <f t="shared" si="37"/>
        <v>0</v>
      </c>
      <c r="BK30" s="290">
        <f t="shared" si="38"/>
        <v>0</v>
      </c>
      <c r="BL30" s="290">
        <f t="shared" si="39"/>
        <v>0</v>
      </c>
      <c r="BM30" s="290">
        <f t="shared" si="40"/>
        <v>0</v>
      </c>
      <c r="BN30" s="290">
        <f t="shared" si="41"/>
        <v>0</v>
      </c>
      <c r="BO30" s="290">
        <f t="shared" si="42"/>
        <v>0</v>
      </c>
      <c r="BP30" s="290">
        <f t="shared" si="43"/>
        <v>0</v>
      </c>
      <c r="BQ30" s="290">
        <f t="shared" si="44"/>
        <v>0</v>
      </c>
      <c r="BR30" s="290">
        <f t="shared" si="45"/>
        <v>0</v>
      </c>
      <c r="BS30" s="290">
        <f t="shared" si="46"/>
        <v>0</v>
      </c>
      <c r="BT30" s="290">
        <f t="shared" si="47"/>
        <v>0</v>
      </c>
      <c r="BU30" s="290">
        <f t="shared" si="48"/>
        <v>0</v>
      </c>
      <c r="BV30" s="290">
        <f t="shared" si="49"/>
        <v>0</v>
      </c>
      <c r="BW30" s="290">
        <f t="shared" si="50"/>
        <v>0</v>
      </c>
      <c r="BX30" s="290">
        <f t="shared" si="51"/>
        <v>0</v>
      </c>
      <c r="BY30" s="290">
        <f t="shared" si="52"/>
        <v>0</v>
      </c>
      <c r="BZ30" s="291">
        <f t="shared" si="53"/>
        <v>0</v>
      </c>
      <c r="CA30" s="291">
        <f t="shared" si="54"/>
        <v>0</v>
      </c>
      <c r="CB30" s="291">
        <f t="shared" si="55"/>
        <v>0</v>
      </c>
      <c r="CC30" s="292">
        <f t="shared" si="56"/>
        <v>0</v>
      </c>
      <c r="CD30" s="999">
        <v>17</v>
      </c>
      <c r="CE30" s="286">
        <f t="shared" si="300"/>
        <v>43968</v>
      </c>
      <c r="CF30" s="293">
        <f t="shared" si="24"/>
        <v>43968</v>
      </c>
      <c r="CG30" s="288">
        <f>'दैनिक माहिती'!H56</f>
        <v>0</v>
      </c>
      <c r="CH30" s="289">
        <f>'दैनिक माहिती'!E56</f>
        <v>0</v>
      </c>
      <c r="CI30" s="289">
        <f>'दैनिक माहिती'!F56</f>
        <v>0</v>
      </c>
      <c r="CJ30" s="289">
        <f>'दैनिक माहिती'!G56</f>
        <v>0</v>
      </c>
      <c r="CK30" s="290">
        <f t="shared" si="57"/>
        <v>0</v>
      </c>
      <c r="CL30" s="290">
        <f t="shared" si="58"/>
        <v>0</v>
      </c>
      <c r="CM30" s="290">
        <f t="shared" si="59"/>
        <v>0</v>
      </c>
      <c r="CN30" s="290">
        <f t="shared" si="60"/>
        <v>0</v>
      </c>
      <c r="CO30" s="290">
        <f t="shared" si="61"/>
        <v>0</v>
      </c>
      <c r="CP30" s="290">
        <f t="shared" si="62"/>
        <v>0</v>
      </c>
      <c r="CQ30" s="290">
        <f t="shared" si="63"/>
        <v>0</v>
      </c>
      <c r="CR30" s="290">
        <f t="shared" si="64"/>
        <v>0</v>
      </c>
      <c r="CS30" s="290">
        <f t="shared" si="65"/>
        <v>0</v>
      </c>
      <c r="CT30" s="290">
        <f t="shared" si="66"/>
        <v>0</v>
      </c>
      <c r="CU30" s="290">
        <f t="shared" si="67"/>
        <v>0</v>
      </c>
      <c r="CV30" s="290">
        <f t="shared" si="68"/>
        <v>0</v>
      </c>
      <c r="CW30" s="290">
        <f t="shared" si="69"/>
        <v>0</v>
      </c>
      <c r="CX30" s="290">
        <f t="shared" si="70"/>
        <v>0</v>
      </c>
      <c r="CY30" s="290">
        <f t="shared" si="71"/>
        <v>0</v>
      </c>
      <c r="CZ30" s="290">
        <f t="shared" si="72"/>
        <v>0</v>
      </c>
      <c r="DA30" s="290">
        <f t="shared" si="73"/>
        <v>0</v>
      </c>
      <c r="DB30" s="290">
        <f t="shared" si="74"/>
        <v>0</v>
      </c>
      <c r="DC30" s="291">
        <f t="shared" si="75"/>
        <v>0</v>
      </c>
      <c r="DD30" s="291">
        <f t="shared" si="76"/>
        <v>0</v>
      </c>
      <c r="DE30" s="291">
        <f t="shared" si="77"/>
        <v>0</v>
      </c>
      <c r="DF30" s="292">
        <f t="shared" si="78"/>
        <v>0</v>
      </c>
      <c r="DG30" s="999">
        <v>17</v>
      </c>
      <c r="DH30" s="286">
        <f t="shared" si="301"/>
        <v>43999</v>
      </c>
      <c r="DI30" s="293">
        <f t="shared" si="25"/>
        <v>43999</v>
      </c>
      <c r="DJ30" s="288" t="str">
        <f>'दैनिक माहिती'!H88</f>
        <v>वाटाणा</v>
      </c>
      <c r="DK30" s="289">
        <f>'दैनिक माहिती'!E88</f>
        <v>16</v>
      </c>
      <c r="DL30" s="289">
        <f>'दैनिक माहिती'!F88</f>
        <v>16</v>
      </c>
      <c r="DM30" s="289">
        <f>'दैनिक माहिती'!G88</f>
        <v>16</v>
      </c>
      <c r="DN30" s="290">
        <f t="shared" si="79"/>
        <v>1.6</v>
      </c>
      <c r="DO30" s="290">
        <f t="shared" si="80"/>
        <v>0</v>
      </c>
      <c r="DP30" s="290">
        <f t="shared" si="81"/>
        <v>0</v>
      </c>
      <c r="DQ30" s="290">
        <f t="shared" si="82"/>
        <v>0</v>
      </c>
      <c r="DR30" s="290">
        <f t="shared" si="83"/>
        <v>0</v>
      </c>
      <c r="DS30" s="290">
        <f t="shared" si="84"/>
        <v>0</v>
      </c>
      <c r="DT30" s="290">
        <f t="shared" si="85"/>
        <v>0</v>
      </c>
      <c r="DU30" s="290">
        <f t="shared" si="86"/>
        <v>0</v>
      </c>
      <c r="DV30" s="290">
        <f t="shared" si="87"/>
        <v>0.32</v>
      </c>
      <c r="DW30" s="290">
        <f t="shared" si="88"/>
        <v>4.7999999999999996E-3</v>
      </c>
      <c r="DX30" s="290">
        <f t="shared" si="89"/>
        <v>8.0000000000000002E-3</v>
      </c>
      <c r="DY30" s="290">
        <f t="shared" si="90"/>
        <v>4.7999999999999996E-3</v>
      </c>
      <c r="DZ30" s="290">
        <f t="shared" si="91"/>
        <v>0</v>
      </c>
      <c r="EA30" s="290">
        <f t="shared" si="92"/>
        <v>0</v>
      </c>
      <c r="EB30" s="290">
        <f t="shared" si="93"/>
        <v>0.08</v>
      </c>
      <c r="EC30" s="290">
        <f t="shared" si="94"/>
        <v>3.2000000000000001E-2</v>
      </c>
      <c r="ED30" s="290">
        <f t="shared" si="95"/>
        <v>1.9199999999999998E-2</v>
      </c>
      <c r="EE30" s="290">
        <f t="shared" si="96"/>
        <v>0</v>
      </c>
      <c r="EF30" s="291">
        <f t="shared" si="97"/>
        <v>11.52</v>
      </c>
      <c r="EG30" s="291">
        <f t="shared" si="98"/>
        <v>10.24</v>
      </c>
      <c r="EH30" s="291">
        <f t="shared" si="99"/>
        <v>8.48</v>
      </c>
      <c r="EI30" s="292">
        <f t="shared" si="100"/>
        <v>42.88</v>
      </c>
      <c r="EJ30" s="999">
        <v>17</v>
      </c>
      <c r="EK30" s="286">
        <f t="shared" si="302"/>
        <v>44029</v>
      </c>
      <c r="EL30" s="293">
        <f t="shared" si="26"/>
        <v>44029</v>
      </c>
      <c r="EM30" s="288">
        <f>'दैनिक माहिती'!H119</f>
        <v>0</v>
      </c>
      <c r="EN30" s="289">
        <f>'दैनिक माहिती'!E119</f>
        <v>0</v>
      </c>
      <c r="EO30" s="289">
        <f>'दैनिक माहिती'!F119</f>
        <v>0</v>
      </c>
      <c r="EP30" s="289">
        <f>'दैनिक माहिती'!G119</f>
        <v>0</v>
      </c>
      <c r="EQ30" s="290">
        <f t="shared" si="101"/>
        <v>0</v>
      </c>
      <c r="ER30" s="290">
        <f t="shared" si="102"/>
        <v>0</v>
      </c>
      <c r="ES30" s="290">
        <f t="shared" si="103"/>
        <v>0</v>
      </c>
      <c r="ET30" s="290">
        <f t="shared" si="104"/>
        <v>0</v>
      </c>
      <c r="EU30" s="290">
        <f t="shared" si="105"/>
        <v>0</v>
      </c>
      <c r="EV30" s="290">
        <f t="shared" si="106"/>
        <v>0</v>
      </c>
      <c r="EW30" s="290">
        <f t="shared" si="107"/>
        <v>0</v>
      </c>
      <c r="EX30" s="290">
        <f t="shared" si="108"/>
        <v>0</v>
      </c>
      <c r="EY30" s="290">
        <f t="shared" si="109"/>
        <v>0</v>
      </c>
      <c r="EZ30" s="290">
        <f t="shared" si="110"/>
        <v>0</v>
      </c>
      <c r="FA30" s="290">
        <f t="shared" si="111"/>
        <v>0</v>
      </c>
      <c r="FB30" s="290">
        <f t="shared" si="112"/>
        <v>0</v>
      </c>
      <c r="FC30" s="290">
        <f t="shared" si="113"/>
        <v>0</v>
      </c>
      <c r="FD30" s="290">
        <f t="shared" si="114"/>
        <v>0</v>
      </c>
      <c r="FE30" s="290">
        <f t="shared" si="115"/>
        <v>0</v>
      </c>
      <c r="FF30" s="290">
        <f t="shared" si="116"/>
        <v>0</v>
      </c>
      <c r="FG30" s="290">
        <f t="shared" si="117"/>
        <v>0</v>
      </c>
      <c r="FH30" s="290">
        <f t="shared" si="118"/>
        <v>0</v>
      </c>
      <c r="FI30" s="291">
        <f t="shared" si="119"/>
        <v>0</v>
      </c>
      <c r="FJ30" s="291">
        <f t="shared" si="120"/>
        <v>0</v>
      </c>
      <c r="FK30" s="291">
        <f t="shared" si="121"/>
        <v>0</v>
      </c>
      <c r="FL30" s="292">
        <f t="shared" si="122"/>
        <v>0</v>
      </c>
      <c r="FM30" s="999">
        <v>17</v>
      </c>
      <c r="FN30" s="286">
        <f t="shared" si="303"/>
        <v>44060</v>
      </c>
      <c r="FO30" s="293">
        <f t="shared" si="27"/>
        <v>44060</v>
      </c>
      <c r="FP30" s="288" t="str">
        <f>'दैनिक माहिती'!H151</f>
        <v>वाटाणा</v>
      </c>
      <c r="FQ30" s="289">
        <f>'दैनिक माहिती'!E151</f>
        <v>15</v>
      </c>
      <c r="FR30" s="289">
        <f>'दैनिक माहिती'!F151</f>
        <v>15</v>
      </c>
      <c r="FS30" s="289">
        <f>'दैनिक माहिती'!G151</f>
        <v>15</v>
      </c>
      <c r="FT30" s="290">
        <f t="shared" si="123"/>
        <v>1.5</v>
      </c>
      <c r="FU30" s="290">
        <f t="shared" si="124"/>
        <v>0</v>
      </c>
      <c r="FV30" s="290">
        <f t="shared" si="125"/>
        <v>0</v>
      </c>
      <c r="FW30" s="290">
        <f t="shared" si="126"/>
        <v>0</v>
      </c>
      <c r="FX30" s="290">
        <f t="shared" si="127"/>
        <v>0</v>
      </c>
      <c r="FY30" s="290">
        <f t="shared" si="128"/>
        <v>0</v>
      </c>
      <c r="FZ30" s="290">
        <f t="shared" si="129"/>
        <v>0</v>
      </c>
      <c r="GA30" s="290">
        <f t="shared" si="130"/>
        <v>0</v>
      </c>
      <c r="GB30" s="290">
        <f t="shared" si="131"/>
        <v>0.3</v>
      </c>
      <c r="GC30" s="290">
        <f t="shared" si="132"/>
        <v>4.4999999999999997E-3</v>
      </c>
      <c r="GD30" s="290">
        <f t="shared" si="133"/>
        <v>7.4999999999999997E-3</v>
      </c>
      <c r="GE30" s="290">
        <f t="shared" si="134"/>
        <v>4.4999999999999997E-3</v>
      </c>
      <c r="GF30" s="290">
        <f t="shared" si="135"/>
        <v>0</v>
      </c>
      <c r="GG30" s="290">
        <f t="shared" si="136"/>
        <v>0</v>
      </c>
      <c r="GH30" s="290">
        <f t="shared" si="137"/>
        <v>7.4999999999999997E-2</v>
      </c>
      <c r="GI30" s="290">
        <f t="shared" si="138"/>
        <v>0.03</v>
      </c>
      <c r="GJ30" s="290">
        <f t="shared" si="139"/>
        <v>1.7999999999999999E-2</v>
      </c>
      <c r="GK30" s="290">
        <f t="shared" si="140"/>
        <v>0</v>
      </c>
      <c r="GL30" s="291">
        <f t="shared" si="141"/>
        <v>10.799999999999999</v>
      </c>
      <c r="GM30" s="291">
        <f t="shared" si="142"/>
        <v>9.6</v>
      </c>
      <c r="GN30" s="291">
        <f t="shared" si="143"/>
        <v>7.95</v>
      </c>
      <c r="GO30" s="292">
        <f t="shared" si="144"/>
        <v>40.200000000000003</v>
      </c>
      <c r="GP30" s="999">
        <v>17</v>
      </c>
      <c r="GQ30" s="286">
        <f t="shared" si="304"/>
        <v>44091</v>
      </c>
      <c r="GR30" s="293">
        <f t="shared" si="28"/>
        <v>44091</v>
      </c>
      <c r="GS30" s="288">
        <f>'दैनिक माहिती'!H183</f>
        <v>0</v>
      </c>
      <c r="GT30" s="289">
        <f>'दैनिक माहिती'!E183</f>
        <v>0</v>
      </c>
      <c r="GU30" s="289">
        <f>'दैनिक माहिती'!F183</f>
        <v>0</v>
      </c>
      <c r="GV30" s="289">
        <f>'दैनिक माहिती'!G183</f>
        <v>0</v>
      </c>
      <c r="GW30" s="290">
        <f t="shared" si="145"/>
        <v>0</v>
      </c>
      <c r="GX30" s="290">
        <f t="shared" si="146"/>
        <v>0</v>
      </c>
      <c r="GY30" s="290">
        <f t="shared" si="147"/>
        <v>0</v>
      </c>
      <c r="GZ30" s="290">
        <f t="shared" si="148"/>
        <v>0</v>
      </c>
      <c r="HA30" s="290">
        <f t="shared" si="149"/>
        <v>0</v>
      </c>
      <c r="HB30" s="290">
        <f t="shared" si="150"/>
        <v>0</v>
      </c>
      <c r="HC30" s="290">
        <f t="shared" si="151"/>
        <v>0</v>
      </c>
      <c r="HD30" s="290">
        <f t="shared" si="152"/>
        <v>0</v>
      </c>
      <c r="HE30" s="290">
        <f t="shared" si="153"/>
        <v>0</v>
      </c>
      <c r="HF30" s="290">
        <f t="shared" si="154"/>
        <v>0</v>
      </c>
      <c r="HG30" s="290">
        <f t="shared" si="155"/>
        <v>0</v>
      </c>
      <c r="HH30" s="290">
        <f t="shared" si="156"/>
        <v>0</v>
      </c>
      <c r="HI30" s="290">
        <f t="shared" si="157"/>
        <v>0</v>
      </c>
      <c r="HJ30" s="290">
        <f t="shared" si="158"/>
        <v>0</v>
      </c>
      <c r="HK30" s="290">
        <f t="shared" si="159"/>
        <v>0</v>
      </c>
      <c r="HL30" s="290">
        <f t="shared" si="160"/>
        <v>0</v>
      </c>
      <c r="HM30" s="290">
        <f t="shared" si="161"/>
        <v>0</v>
      </c>
      <c r="HN30" s="290">
        <f t="shared" si="162"/>
        <v>0</v>
      </c>
      <c r="HO30" s="291">
        <f t="shared" si="163"/>
        <v>0</v>
      </c>
      <c r="HP30" s="291">
        <f t="shared" si="164"/>
        <v>0</v>
      </c>
      <c r="HQ30" s="291">
        <f t="shared" si="165"/>
        <v>0</v>
      </c>
      <c r="HR30" s="292">
        <f t="shared" si="166"/>
        <v>0</v>
      </c>
      <c r="HS30" s="999">
        <v>17</v>
      </c>
      <c r="HT30" s="286">
        <f t="shared" si="305"/>
        <v>44121</v>
      </c>
      <c r="HU30" s="293">
        <f t="shared" si="29"/>
        <v>44121</v>
      </c>
      <c r="HV30" s="288">
        <f>'दैनिक माहिती'!H214</f>
        <v>0</v>
      </c>
      <c r="HW30" s="289">
        <f>'दैनिक माहिती'!E214</f>
        <v>0</v>
      </c>
      <c r="HX30" s="289">
        <f>'दैनिक माहिती'!F214</f>
        <v>0</v>
      </c>
      <c r="HY30" s="289">
        <f>'दैनिक माहिती'!G214</f>
        <v>0</v>
      </c>
      <c r="HZ30" s="290">
        <f t="shared" si="167"/>
        <v>0</v>
      </c>
      <c r="IA30" s="290">
        <f t="shared" si="168"/>
        <v>0</v>
      </c>
      <c r="IB30" s="290">
        <f t="shared" si="169"/>
        <v>0</v>
      </c>
      <c r="IC30" s="290">
        <f t="shared" si="170"/>
        <v>0</v>
      </c>
      <c r="ID30" s="290">
        <f t="shared" si="171"/>
        <v>0</v>
      </c>
      <c r="IE30" s="290">
        <f t="shared" si="172"/>
        <v>0</v>
      </c>
      <c r="IF30" s="290">
        <f t="shared" si="173"/>
        <v>0</v>
      </c>
      <c r="IG30" s="290">
        <f t="shared" si="174"/>
        <v>0</v>
      </c>
      <c r="IH30" s="290">
        <f t="shared" si="175"/>
        <v>0</v>
      </c>
      <c r="II30" s="290">
        <f t="shared" si="176"/>
        <v>0</v>
      </c>
      <c r="IJ30" s="290">
        <f t="shared" si="177"/>
        <v>0</v>
      </c>
      <c r="IK30" s="290">
        <f t="shared" si="178"/>
        <v>0</v>
      </c>
      <c r="IL30" s="290">
        <f t="shared" si="179"/>
        <v>0</v>
      </c>
      <c r="IM30" s="290">
        <f t="shared" si="180"/>
        <v>0</v>
      </c>
      <c r="IN30" s="290">
        <f t="shared" si="181"/>
        <v>0</v>
      </c>
      <c r="IO30" s="290">
        <f t="shared" si="182"/>
        <v>0</v>
      </c>
      <c r="IP30" s="290">
        <f t="shared" si="183"/>
        <v>0</v>
      </c>
      <c r="IQ30" s="290">
        <f t="shared" si="184"/>
        <v>0</v>
      </c>
      <c r="IR30" s="291">
        <f t="shared" si="185"/>
        <v>0</v>
      </c>
      <c r="IS30" s="291">
        <f t="shared" si="186"/>
        <v>0</v>
      </c>
      <c r="IT30" s="291">
        <f t="shared" si="187"/>
        <v>0</v>
      </c>
      <c r="IU30" s="292">
        <f t="shared" si="188"/>
        <v>0</v>
      </c>
      <c r="IV30" s="999">
        <v>17</v>
      </c>
      <c r="IW30" s="286">
        <f t="shared" si="306"/>
        <v>44152</v>
      </c>
      <c r="IX30" s="293">
        <f t="shared" si="30"/>
        <v>44152</v>
      </c>
      <c r="IY30" s="288" t="str">
        <f>'दैनिक माहिती'!H246</f>
        <v>हरभरा</v>
      </c>
      <c r="IZ30" s="289">
        <f>'दैनिक माहिती'!E246</f>
        <v>22</v>
      </c>
      <c r="JA30" s="289">
        <f>'दैनिक माहिती'!F246</f>
        <v>22</v>
      </c>
      <c r="JB30" s="289">
        <f>'दैनिक माहिती'!G246</f>
        <v>22</v>
      </c>
      <c r="JC30" s="290">
        <f t="shared" si="189"/>
        <v>2.2000000000000002</v>
      </c>
      <c r="JD30" s="290">
        <f t="shared" si="190"/>
        <v>0</v>
      </c>
      <c r="JE30" s="290">
        <f t="shared" si="191"/>
        <v>0</v>
      </c>
      <c r="JF30" s="290">
        <f t="shared" si="192"/>
        <v>0</v>
      </c>
      <c r="JG30" s="290">
        <f t="shared" si="193"/>
        <v>0</v>
      </c>
      <c r="JH30" s="290">
        <f t="shared" si="194"/>
        <v>0</v>
      </c>
      <c r="JI30" s="290">
        <f t="shared" si="195"/>
        <v>0</v>
      </c>
      <c r="JJ30" s="290">
        <f t="shared" si="196"/>
        <v>0.44</v>
      </c>
      <c r="JK30" s="290">
        <f t="shared" si="197"/>
        <v>0</v>
      </c>
      <c r="JL30" s="290">
        <f t="shared" si="198"/>
        <v>6.5999999999999991E-3</v>
      </c>
      <c r="JM30" s="290">
        <f t="shared" si="199"/>
        <v>1.0999999999999999E-2</v>
      </c>
      <c r="JN30" s="290">
        <f t="shared" si="200"/>
        <v>6.5999999999999991E-3</v>
      </c>
      <c r="JO30" s="290">
        <f t="shared" si="201"/>
        <v>0</v>
      </c>
      <c r="JP30" s="290">
        <f t="shared" si="202"/>
        <v>0</v>
      </c>
      <c r="JQ30" s="290">
        <f t="shared" si="203"/>
        <v>0.11</v>
      </c>
      <c r="JR30" s="290">
        <f t="shared" si="204"/>
        <v>4.3999999999999997E-2</v>
      </c>
      <c r="JS30" s="290">
        <f t="shared" si="205"/>
        <v>2.6399999999999996E-2</v>
      </c>
      <c r="JT30" s="290">
        <f t="shared" si="206"/>
        <v>0</v>
      </c>
      <c r="JU30" s="291">
        <f t="shared" si="207"/>
        <v>15.62</v>
      </c>
      <c r="JV30" s="291">
        <f t="shared" si="208"/>
        <v>17.380000000000003</v>
      </c>
      <c r="JW30" s="291">
        <f t="shared" si="209"/>
        <v>12.76</v>
      </c>
      <c r="JX30" s="292">
        <f t="shared" si="210"/>
        <v>63.14</v>
      </c>
      <c r="JY30" s="999">
        <v>17</v>
      </c>
      <c r="JZ30" s="286">
        <f t="shared" si="307"/>
        <v>44182</v>
      </c>
      <c r="KA30" s="293">
        <f t="shared" si="31"/>
        <v>44182</v>
      </c>
      <c r="KB30" s="288" t="str">
        <f>'दैनिक माहिती'!H277</f>
        <v>मुगडाळ</v>
      </c>
      <c r="KC30" s="289">
        <f>'दैनिक माहिती'!E277</f>
        <v>21</v>
      </c>
      <c r="KD30" s="289">
        <f>'दैनिक माहिती'!F277</f>
        <v>21</v>
      </c>
      <c r="KE30" s="289">
        <f>'दैनिक माहिती'!G277</f>
        <v>21</v>
      </c>
      <c r="KF30" s="290">
        <f t="shared" si="211"/>
        <v>2.1</v>
      </c>
      <c r="KG30" s="290">
        <f t="shared" si="212"/>
        <v>0.42</v>
      </c>
      <c r="KH30" s="290">
        <f t="shared" si="213"/>
        <v>0</v>
      </c>
      <c r="KI30" s="290">
        <f t="shared" si="214"/>
        <v>0</v>
      </c>
      <c r="KJ30" s="290">
        <f t="shared" si="215"/>
        <v>0</v>
      </c>
      <c r="KK30" s="290">
        <f t="shared" si="216"/>
        <v>0</v>
      </c>
      <c r="KL30" s="290">
        <f t="shared" si="217"/>
        <v>0</v>
      </c>
      <c r="KM30" s="290">
        <f t="shared" si="218"/>
        <v>0</v>
      </c>
      <c r="KN30" s="290">
        <f t="shared" si="219"/>
        <v>0</v>
      </c>
      <c r="KO30" s="290">
        <f t="shared" si="220"/>
        <v>6.2999999999999992E-3</v>
      </c>
      <c r="KP30" s="290">
        <f t="shared" si="221"/>
        <v>1.0500000000000001E-2</v>
      </c>
      <c r="KQ30" s="290">
        <f t="shared" si="222"/>
        <v>6.2999999999999992E-3</v>
      </c>
      <c r="KR30" s="290">
        <f t="shared" si="223"/>
        <v>0</v>
      </c>
      <c r="KS30" s="290">
        <f t="shared" si="224"/>
        <v>0</v>
      </c>
      <c r="KT30" s="290">
        <f t="shared" si="225"/>
        <v>0.105</v>
      </c>
      <c r="KU30" s="290">
        <f t="shared" si="226"/>
        <v>4.2000000000000003E-2</v>
      </c>
      <c r="KV30" s="290">
        <f t="shared" si="227"/>
        <v>2.5199999999999997E-2</v>
      </c>
      <c r="KW30" s="290">
        <f t="shared" si="228"/>
        <v>0</v>
      </c>
      <c r="KX30" s="291">
        <f t="shared" si="229"/>
        <v>14.91</v>
      </c>
      <c r="KY30" s="291">
        <f t="shared" si="230"/>
        <v>16.59</v>
      </c>
      <c r="KZ30" s="291">
        <f t="shared" si="231"/>
        <v>12.18</v>
      </c>
      <c r="LA30" s="292">
        <f t="shared" si="232"/>
        <v>60.27</v>
      </c>
      <c r="LB30" s="999">
        <v>17</v>
      </c>
      <c r="LC30" s="286">
        <f t="shared" si="308"/>
        <v>44213</v>
      </c>
      <c r="LD30" s="293">
        <f t="shared" si="32"/>
        <v>44213</v>
      </c>
      <c r="LE30" s="288">
        <f>'दैनिक माहिती'!H309</f>
        <v>0</v>
      </c>
      <c r="LF30" s="289">
        <f>'दैनिक माहिती'!E309</f>
        <v>0</v>
      </c>
      <c r="LG30" s="289">
        <f>'दैनिक माहिती'!F309</f>
        <v>0</v>
      </c>
      <c r="LH30" s="289">
        <f>'दैनिक माहिती'!G309</f>
        <v>0</v>
      </c>
      <c r="LI30" s="290">
        <f t="shared" si="233"/>
        <v>0</v>
      </c>
      <c r="LJ30" s="290">
        <f t="shared" si="234"/>
        <v>0</v>
      </c>
      <c r="LK30" s="290">
        <f t="shared" si="235"/>
        <v>0</v>
      </c>
      <c r="LL30" s="290">
        <f t="shared" si="236"/>
        <v>0</v>
      </c>
      <c r="LM30" s="290">
        <f t="shared" si="237"/>
        <v>0</v>
      </c>
      <c r="LN30" s="290">
        <f t="shared" si="238"/>
        <v>0</v>
      </c>
      <c r="LO30" s="290">
        <f t="shared" si="239"/>
        <v>0</v>
      </c>
      <c r="LP30" s="290">
        <f t="shared" si="240"/>
        <v>0</v>
      </c>
      <c r="LQ30" s="290">
        <f t="shared" si="241"/>
        <v>0</v>
      </c>
      <c r="LR30" s="290">
        <f t="shared" si="242"/>
        <v>0</v>
      </c>
      <c r="LS30" s="290">
        <f t="shared" si="243"/>
        <v>0</v>
      </c>
      <c r="LT30" s="290">
        <f t="shared" si="244"/>
        <v>0</v>
      </c>
      <c r="LU30" s="290">
        <f t="shared" si="245"/>
        <v>0</v>
      </c>
      <c r="LV30" s="290">
        <f t="shared" si="246"/>
        <v>0</v>
      </c>
      <c r="LW30" s="290">
        <f t="shared" si="247"/>
        <v>0</v>
      </c>
      <c r="LX30" s="290">
        <f t="shared" si="248"/>
        <v>0</v>
      </c>
      <c r="LY30" s="290">
        <f t="shared" si="249"/>
        <v>0</v>
      </c>
      <c r="LZ30" s="290">
        <f t="shared" si="250"/>
        <v>0</v>
      </c>
      <c r="MA30" s="291">
        <f t="shared" si="251"/>
        <v>0</v>
      </c>
      <c r="MB30" s="291">
        <f t="shared" si="252"/>
        <v>0</v>
      </c>
      <c r="MC30" s="291">
        <f t="shared" si="253"/>
        <v>0</v>
      </c>
      <c r="MD30" s="292">
        <f t="shared" si="254"/>
        <v>0</v>
      </c>
      <c r="ME30" s="999">
        <v>17</v>
      </c>
      <c r="MF30" s="286">
        <f t="shared" si="309"/>
        <v>44244</v>
      </c>
      <c r="MG30" s="293">
        <f t="shared" si="33"/>
        <v>44244</v>
      </c>
      <c r="MH30" s="288">
        <f>'दैनिक माहिती'!H341</f>
        <v>0</v>
      </c>
      <c r="MI30" s="289">
        <f>'दैनिक माहिती'!E341</f>
        <v>0</v>
      </c>
      <c r="MJ30" s="289">
        <f>'दैनिक माहिती'!F341</f>
        <v>0</v>
      </c>
      <c r="MK30" s="289">
        <f>'दैनिक माहिती'!G341</f>
        <v>0</v>
      </c>
      <c r="ML30" s="290">
        <f t="shared" si="255"/>
        <v>0</v>
      </c>
      <c r="MM30" s="290">
        <f t="shared" si="256"/>
        <v>0</v>
      </c>
      <c r="MN30" s="290">
        <f t="shared" si="257"/>
        <v>0</v>
      </c>
      <c r="MO30" s="290">
        <f t="shared" si="258"/>
        <v>0</v>
      </c>
      <c r="MP30" s="290">
        <f t="shared" si="259"/>
        <v>0</v>
      </c>
      <c r="MQ30" s="290">
        <f t="shared" si="260"/>
        <v>0</v>
      </c>
      <c r="MR30" s="290">
        <f t="shared" si="261"/>
        <v>0</v>
      </c>
      <c r="MS30" s="290">
        <f t="shared" si="262"/>
        <v>0</v>
      </c>
      <c r="MT30" s="290">
        <f t="shared" si="263"/>
        <v>0</v>
      </c>
      <c r="MU30" s="290">
        <f t="shared" si="264"/>
        <v>0</v>
      </c>
      <c r="MV30" s="290">
        <f t="shared" si="265"/>
        <v>0</v>
      </c>
      <c r="MW30" s="290">
        <f t="shared" si="266"/>
        <v>0</v>
      </c>
      <c r="MX30" s="290">
        <f t="shared" si="267"/>
        <v>0</v>
      </c>
      <c r="MY30" s="290">
        <f t="shared" si="268"/>
        <v>0</v>
      </c>
      <c r="MZ30" s="290">
        <f t="shared" si="269"/>
        <v>0</v>
      </c>
      <c r="NA30" s="290">
        <f t="shared" si="270"/>
        <v>0</v>
      </c>
      <c r="NB30" s="290">
        <f t="shared" si="271"/>
        <v>0</v>
      </c>
      <c r="NC30" s="290">
        <f t="shared" si="272"/>
        <v>0</v>
      </c>
      <c r="ND30" s="291">
        <f t="shared" si="273"/>
        <v>0</v>
      </c>
      <c r="NE30" s="291">
        <f t="shared" si="274"/>
        <v>0</v>
      </c>
      <c r="NF30" s="291">
        <f t="shared" si="275"/>
        <v>0</v>
      </c>
      <c r="NG30" s="292">
        <f t="shared" si="276"/>
        <v>0</v>
      </c>
      <c r="NH30" s="999">
        <v>17</v>
      </c>
      <c r="NI30" s="286">
        <f t="shared" si="310"/>
        <v>44272</v>
      </c>
      <c r="NJ30" s="293">
        <f t="shared" si="34"/>
        <v>44272</v>
      </c>
      <c r="NK30" s="288">
        <f>'दैनिक माहिती'!H371</f>
        <v>0</v>
      </c>
      <c r="NL30" s="289">
        <f>'दैनिक माहिती'!E371</f>
        <v>0</v>
      </c>
      <c r="NM30" s="289">
        <f>'दैनिक माहिती'!F371</f>
        <v>0</v>
      </c>
      <c r="NN30" s="289">
        <f>'दैनिक माहिती'!G371</f>
        <v>0</v>
      </c>
      <c r="NO30" s="290">
        <f t="shared" si="277"/>
        <v>0</v>
      </c>
      <c r="NP30" s="290">
        <f t="shared" si="278"/>
        <v>0</v>
      </c>
      <c r="NQ30" s="290">
        <f t="shared" si="279"/>
        <v>0</v>
      </c>
      <c r="NR30" s="290">
        <f t="shared" si="280"/>
        <v>0</v>
      </c>
      <c r="NS30" s="290">
        <f t="shared" si="281"/>
        <v>0</v>
      </c>
      <c r="NT30" s="290">
        <f t="shared" si="282"/>
        <v>0</v>
      </c>
      <c r="NU30" s="290">
        <f t="shared" si="283"/>
        <v>0</v>
      </c>
      <c r="NV30" s="290">
        <f t="shared" si="284"/>
        <v>0</v>
      </c>
      <c r="NW30" s="290">
        <f t="shared" si="285"/>
        <v>0</v>
      </c>
      <c r="NX30" s="290">
        <f t="shared" si="286"/>
        <v>0</v>
      </c>
      <c r="NY30" s="290">
        <f t="shared" si="287"/>
        <v>0</v>
      </c>
      <c r="NZ30" s="290">
        <f t="shared" si="288"/>
        <v>0</v>
      </c>
      <c r="OA30" s="290">
        <f t="shared" si="289"/>
        <v>0</v>
      </c>
      <c r="OB30" s="290">
        <f t="shared" si="290"/>
        <v>0</v>
      </c>
      <c r="OC30" s="290">
        <f t="shared" si="291"/>
        <v>0</v>
      </c>
      <c r="OD30" s="290">
        <f t="shared" si="292"/>
        <v>0</v>
      </c>
      <c r="OE30" s="290">
        <f t="shared" si="293"/>
        <v>0</v>
      </c>
      <c r="OF30" s="290">
        <f t="shared" si="294"/>
        <v>0</v>
      </c>
      <c r="OG30" s="291">
        <f t="shared" si="295"/>
        <v>0</v>
      </c>
      <c r="OH30" s="291">
        <f t="shared" si="296"/>
        <v>0</v>
      </c>
      <c r="OI30" s="291">
        <f t="shared" si="297"/>
        <v>0</v>
      </c>
      <c r="OJ30" s="292">
        <f t="shared" si="298"/>
        <v>0</v>
      </c>
    </row>
    <row r="31" spans="2:400" ht="29.25" customHeight="1" x14ac:dyDescent="0.3">
      <c r="BA31" s="999">
        <v>18</v>
      </c>
      <c r="BB31" s="286">
        <f t="shared" si="299"/>
        <v>43939</v>
      </c>
      <c r="BC31" s="287">
        <f t="shared" si="23"/>
        <v>43939</v>
      </c>
      <c r="BD31" s="288" t="str">
        <f>'दैनिक माहिती'!H26</f>
        <v>मुगडाळ</v>
      </c>
      <c r="BE31" s="289">
        <f>'दैनिक माहिती'!E26</f>
        <v>22</v>
      </c>
      <c r="BF31" s="289">
        <f>'दैनिक माहिती'!F26</f>
        <v>22</v>
      </c>
      <c r="BG31" s="289">
        <f>'दैनिक माहिती'!G26</f>
        <v>22</v>
      </c>
      <c r="BH31" s="290">
        <f t="shared" si="35"/>
        <v>2.2000000000000002</v>
      </c>
      <c r="BI31" s="290">
        <f t="shared" si="36"/>
        <v>0.44</v>
      </c>
      <c r="BJ31" s="290">
        <f t="shared" si="37"/>
        <v>0</v>
      </c>
      <c r="BK31" s="290">
        <f t="shared" si="38"/>
        <v>0</v>
      </c>
      <c r="BL31" s="290">
        <f t="shared" si="39"/>
        <v>0</v>
      </c>
      <c r="BM31" s="290">
        <f t="shared" si="40"/>
        <v>0</v>
      </c>
      <c r="BN31" s="290">
        <f t="shared" si="41"/>
        <v>0</v>
      </c>
      <c r="BO31" s="290">
        <f t="shared" si="42"/>
        <v>0</v>
      </c>
      <c r="BP31" s="290">
        <f t="shared" si="43"/>
        <v>0</v>
      </c>
      <c r="BQ31" s="290">
        <f t="shared" si="44"/>
        <v>6.5999999999999991E-3</v>
      </c>
      <c r="BR31" s="290">
        <f t="shared" si="45"/>
        <v>1.0999999999999999E-2</v>
      </c>
      <c r="BS31" s="290">
        <f t="shared" si="46"/>
        <v>6.5999999999999991E-3</v>
      </c>
      <c r="BT31" s="290">
        <f t="shared" si="47"/>
        <v>0</v>
      </c>
      <c r="BU31" s="290">
        <f t="shared" si="48"/>
        <v>0</v>
      </c>
      <c r="BV31" s="290">
        <f t="shared" si="49"/>
        <v>0.11</v>
      </c>
      <c r="BW31" s="290">
        <f t="shared" si="50"/>
        <v>4.3999999999999997E-2</v>
      </c>
      <c r="BX31" s="290">
        <f t="shared" si="51"/>
        <v>2.6399999999999996E-2</v>
      </c>
      <c r="BY31" s="290">
        <f t="shared" si="52"/>
        <v>0</v>
      </c>
      <c r="BZ31" s="291">
        <f t="shared" si="53"/>
        <v>15.84</v>
      </c>
      <c r="CA31" s="291">
        <f t="shared" si="54"/>
        <v>14.08</v>
      </c>
      <c r="CB31" s="291">
        <f t="shared" si="55"/>
        <v>11.66</v>
      </c>
      <c r="CC31" s="292">
        <f t="shared" si="56"/>
        <v>58.96</v>
      </c>
      <c r="CD31" s="999">
        <v>18</v>
      </c>
      <c r="CE31" s="286">
        <f t="shared" si="300"/>
        <v>43969</v>
      </c>
      <c r="CF31" s="287">
        <f t="shared" si="24"/>
        <v>43969</v>
      </c>
      <c r="CG31" s="288">
        <f>'दैनिक माहिती'!H57</f>
        <v>0</v>
      </c>
      <c r="CH31" s="289">
        <f>'दैनिक माहिती'!E57</f>
        <v>0</v>
      </c>
      <c r="CI31" s="289">
        <f>'दैनिक माहिती'!F57</f>
        <v>0</v>
      </c>
      <c r="CJ31" s="289">
        <f>'दैनिक माहिती'!G57</f>
        <v>0</v>
      </c>
      <c r="CK31" s="290">
        <f t="shared" si="57"/>
        <v>0</v>
      </c>
      <c r="CL31" s="290">
        <f t="shared" si="58"/>
        <v>0</v>
      </c>
      <c r="CM31" s="290">
        <f t="shared" si="59"/>
        <v>0</v>
      </c>
      <c r="CN31" s="290">
        <f t="shared" si="60"/>
        <v>0</v>
      </c>
      <c r="CO31" s="290">
        <f t="shared" si="61"/>
        <v>0</v>
      </c>
      <c r="CP31" s="290">
        <f t="shared" si="62"/>
        <v>0</v>
      </c>
      <c r="CQ31" s="290">
        <f t="shared" si="63"/>
        <v>0</v>
      </c>
      <c r="CR31" s="290">
        <f t="shared" si="64"/>
        <v>0</v>
      </c>
      <c r="CS31" s="290">
        <f t="shared" si="65"/>
        <v>0</v>
      </c>
      <c r="CT31" s="290">
        <f t="shared" si="66"/>
        <v>0</v>
      </c>
      <c r="CU31" s="290">
        <f t="shared" si="67"/>
        <v>0</v>
      </c>
      <c r="CV31" s="290">
        <f t="shared" si="68"/>
        <v>0</v>
      </c>
      <c r="CW31" s="290">
        <f t="shared" si="69"/>
        <v>0</v>
      </c>
      <c r="CX31" s="290">
        <f t="shared" si="70"/>
        <v>0</v>
      </c>
      <c r="CY31" s="290">
        <f t="shared" si="71"/>
        <v>0</v>
      </c>
      <c r="CZ31" s="290">
        <f t="shared" si="72"/>
        <v>0</v>
      </c>
      <c r="DA31" s="290">
        <f t="shared" si="73"/>
        <v>0</v>
      </c>
      <c r="DB31" s="290">
        <f t="shared" si="74"/>
        <v>0</v>
      </c>
      <c r="DC31" s="291">
        <f t="shared" si="75"/>
        <v>0</v>
      </c>
      <c r="DD31" s="291">
        <f t="shared" si="76"/>
        <v>0</v>
      </c>
      <c r="DE31" s="291">
        <f t="shared" si="77"/>
        <v>0</v>
      </c>
      <c r="DF31" s="292">
        <f t="shared" si="78"/>
        <v>0</v>
      </c>
      <c r="DG31" s="999">
        <v>18</v>
      </c>
      <c r="DH31" s="286">
        <f t="shared" si="301"/>
        <v>44000</v>
      </c>
      <c r="DI31" s="287">
        <f t="shared" si="25"/>
        <v>44000</v>
      </c>
      <c r="DJ31" s="288" t="str">
        <f>'दैनिक माहिती'!H89</f>
        <v>मुगडाळ</v>
      </c>
      <c r="DK31" s="289">
        <f>'दैनिक माहिती'!E89</f>
        <v>16</v>
      </c>
      <c r="DL31" s="289">
        <f>'दैनिक माहिती'!F89</f>
        <v>16</v>
      </c>
      <c r="DM31" s="289">
        <f>'दैनिक माहिती'!G89</f>
        <v>16</v>
      </c>
      <c r="DN31" s="290">
        <f t="shared" si="79"/>
        <v>1.6</v>
      </c>
      <c r="DO31" s="290">
        <f t="shared" si="80"/>
        <v>0.32</v>
      </c>
      <c r="DP31" s="290">
        <f t="shared" si="81"/>
        <v>0</v>
      </c>
      <c r="DQ31" s="290">
        <f t="shared" si="82"/>
        <v>0</v>
      </c>
      <c r="DR31" s="290">
        <f t="shared" si="83"/>
        <v>0</v>
      </c>
      <c r="DS31" s="290">
        <f t="shared" si="84"/>
        <v>0</v>
      </c>
      <c r="DT31" s="290">
        <f t="shared" si="85"/>
        <v>0</v>
      </c>
      <c r="DU31" s="290">
        <f t="shared" si="86"/>
        <v>0</v>
      </c>
      <c r="DV31" s="290">
        <f t="shared" si="87"/>
        <v>0</v>
      </c>
      <c r="DW31" s="290">
        <f t="shared" si="88"/>
        <v>4.7999999999999996E-3</v>
      </c>
      <c r="DX31" s="290">
        <f t="shared" si="89"/>
        <v>8.0000000000000002E-3</v>
      </c>
      <c r="DY31" s="290">
        <f t="shared" si="90"/>
        <v>4.7999999999999996E-3</v>
      </c>
      <c r="DZ31" s="290">
        <f t="shared" si="91"/>
        <v>0</v>
      </c>
      <c r="EA31" s="290">
        <f t="shared" si="92"/>
        <v>0</v>
      </c>
      <c r="EB31" s="290">
        <f t="shared" si="93"/>
        <v>0.08</v>
      </c>
      <c r="EC31" s="290">
        <f t="shared" si="94"/>
        <v>3.2000000000000001E-2</v>
      </c>
      <c r="ED31" s="290">
        <f t="shared" si="95"/>
        <v>1.9199999999999998E-2</v>
      </c>
      <c r="EE31" s="290">
        <f t="shared" si="96"/>
        <v>0</v>
      </c>
      <c r="EF31" s="291">
        <f t="shared" si="97"/>
        <v>11.52</v>
      </c>
      <c r="EG31" s="291">
        <f t="shared" si="98"/>
        <v>10.24</v>
      </c>
      <c r="EH31" s="291">
        <f t="shared" si="99"/>
        <v>8.48</v>
      </c>
      <c r="EI31" s="292">
        <f t="shared" si="100"/>
        <v>42.88</v>
      </c>
      <c r="EJ31" s="999">
        <v>18</v>
      </c>
      <c r="EK31" s="286">
        <f t="shared" si="302"/>
        <v>44030</v>
      </c>
      <c r="EL31" s="287">
        <f t="shared" si="26"/>
        <v>44030</v>
      </c>
      <c r="EM31" s="288" t="str">
        <f>'दैनिक माहिती'!H120</f>
        <v>मुगडाळ</v>
      </c>
      <c r="EN31" s="289">
        <f>'दैनिक माहिती'!E120</f>
        <v>17</v>
      </c>
      <c r="EO31" s="289">
        <f>'दैनिक माहिती'!F120</f>
        <v>17</v>
      </c>
      <c r="EP31" s="289">
        <f>'दैनिक माहिती'!G120</f>
        <v>17</v>
      </c>
      <c r="EQ31" s="290">
        <f t="shared" si="101"/>
        <v>1.7000000000000002</v>
      </c>
      <c r="ER31" s="290">
        <f t="shared" si="102"/>
        <v>0.34</v>
      </c>
      <c r="ES31" s="290">
        <f t="shared" si="103"/>
        <v>0</v>
      </c>
      <c r="ET31" s="290">
        <f t="shared" si="104"/>
        <v>0</v>
      </c>
      <c r="EU31" s="290">
        <f t="shared" si="105"/>
        <v>0</v>
      </c>
      <c r="EV31" s="290">
        <f t="shared" si="106"/>
        <v>0</v>
      </c>
      <c r="EW31" s="290">
        <f t="shared" si="107"/>
        <v>0</v>
      </c>
      <c r="EX31" s="290">
        <f t="shared" si="108"/>
        <v>0</v>
      </c>
      <c r="EY31" s="290">
        <f t="shared" si="109"/>
        <v>0</v>
      </c>
      <c r="EZ31" s="290">
        <f t="shared" si="110"/>
        <v>5.0999999999999995E-3</v>
      </c>
      <c r="FA31" s="290">
        <f t="shared" si="111"/>
        <v>8.5000000000000006E-3</v>
      </c>
      <c r="FB31" s="290">
        <f t="shared" si="112"/>
        <v>5.0999999999999995E-3</v>
      </c>
      <c r="FC31" s="290">
        <f t="shared" si="113"/>
        <v>0</v>
      </c>
      <c r="FD31" s="290">
        <f t="shared" si="114"/>
        <v>0</v>
      </c>
      <c r="FE31" s="290">
        <f t="shared" si="115"/>
        <v>8.5000000000000006E-2</v>
      </c>
      <c r="FF31" s="290">
        <f t="shared" si="116"/>
        <v>3.4000000000000002E-2</v>
      </c>
      <c r="FG31" s="290">
        <f t="shared" si="117"/>
        <v>2.0399999999999998E-2</v>
      </c>
      <c r="FH31" s="290">
        <f t="shared" si="118"/>
        <v>0</v>
      </c>
      <c r="FI31" s="291">
        <f t="shared" si="119"/>
        <v>12.24</v>
      </c>
      <c r="FJ31" s="291">
        <f t="shared" si="120"/>
        <v>10.88</v>
      </c>
      <c r="FK31" s="291">
        <f t="shared" si="121"/>
        <v>9.01</v>
      </c>
      <c r="FL31" s="292">
        <f t="shared" si="122"/>
        <v>45.56</v>
      </c>
      <c r="FM31" s="999">
        <v>18</v>
      </c>
      <c r="FN31" s="286">
        <f t="shared" si="303"/>
        <v>44061</v>
      </c>
      <c r="FO31" s="287">
        <f t="shared" si="27"/>
        <v>44061</v>
      </c>
      <c r="FP31" s="288" t="str">
        <f>'दैनिक माहिती'!H152</f>
        <v>हरभरा</v>
      </c>
      <c r="FQ31" s="289">
        <f>'दैनिक माहिती'!E152</f>
        <v>15</v>
      </c>
      <c r="FR31" s="289">
        <f>'दैनिक माहिती'!F152</f>
        <v>15</v>
      </c>
      <c r="FS31" s="289">
        <f>'दैनिक माहिती'!G152</f>
        <v>15</v>
      </c>
      <c r="FT31" s="290">
        <f t="shared" si="123"/>
        <v>1.5</v>
      </c>
      <c r="FU31" s="290">
        <f t="shared" si="124"/>
        <v>0</v>
      </c>
      <c r="FV31" s="290">
        <f t="shared" si="125"/>
        <v>0</v>
      </c>
      <c r="FW31" s="290">
        <f t="shared" si="126"/>
        <v>0</v>
      </c>
      <c r="FX31" s="290">
        <f t="shared" si="127"/>
        <v>0</v>
      </c>
      <c r="FY31" s="290">
        <f t="shared" si="128"/>
        <v>0</v>
      </c>
      <c r="FZ31" s="290">
        <f t="shared" si="129"/>
        <v>0</v>
      </c>
      <c r="GA31" s="290">
        <f t="shared" si="130"/>
        <v>0.3</v>
      </c>
      <c r="GB31" s="290">
        <f t="shared" si="131"/>
        <v>0</v>
      </c>
      <c r="GC31" s="290">
        <f t="shared" si="132"/>
        <v>4.4999999999999997E-3</v>
      </c>
      <c r="GD31" s="290">
        <f t="shared" si="133"/>
        <v>7.4999999999999997E-3</v>
      </c>
      <c r="GE31" s="290">
        <f t="shared" si="134"/>
        <v>4.4999999999999997E-3</v>
      </c>
      <c r="GF31" s="290">
        <f t="shared" si="135"/>
        <v>0</v>
      </c>
      <c r="GG31" s="290">
        <f t="shared" si="136"/>
        <v>0</v>
      </c>
      <c r="GH31" s="290">
        <f t="shared" si="137"/>
        <v>7.4999999999999997E-2</v>
      </c>
      <c r="GI31" s="290">
        <f t="shared" si="138"/>
        <v>0.03</v>
      </c>
      <c r="GJ31" s="290">
        <f t="shared" si="139"/>
        <v>1.7999999999999999E-2</v>
      </c>
      <c r="GK31" s="290">
        <f t="shared" si="140"/>
        <v>0</v>
      </c>
      <c r="GL31" s="291">
        <f t="shared" si="141"/>
        <v>10.799999999999999</v>
      </c>
      <c r="GM31" s="291">
        <f t="shared" si="142"/>
        <v>9.6</v>
      </c>
      <c r="GN31" s="291">
        <f t="shared" si="143"/>
        <v>7.95</v>
      </c>
      <c r="GO31" s="292">
        <f t="shared" si="144"/>
        <v>40.200000000000003</v>
      </c>
      <c r="GP31" s="999">
        <v>18</v>
      </c>
      <c r="GQ31" s="286">
        <f t="shared" si="304"/>
        <v>44092</v>
      </c>
      <c r="GR31" s="287">
        <f t="shared" si="28"/>
        <v>44092</v>
      </c>
      <c r="GS31" s="288">
        <f>'दैनिक माहिती'!H184</f>
        <v>0</v>
      </c>
      <c r="GT31" s="289">
        <f>'दैनिक माहिती'!E184</f>
        <v>0</v>
      </c>
      <c r="GU31" s="289">
        <f>'दैनिक माहिती'!F184</f>
        <v>0</v>
      </c>
      <c r="GV31" s="289">
        <f>'दैनिक माहिती'!G184</f>
        <v>0</v>
      </c>
      <c r="GW31" s="290">
        <f t="shared" si="145"/>
        <v>0</v>
      </c>
      <c r="GX31" s="290">
        <f t="shared" si="146"/>
        <v>0</v>
      </c>
      <c r="GY31" s="290">
        <f t="shared" si="147"/>
        <v>0</v>
      </c>
      <c r="GZ31" s="290">
        <f t="shared" si="148"/>
        <v>0</v>
      </c>
      <c r="HA31" s="290">
        <f t="shared" si="149"/>
        <v>0</v>
      </c>
      <c r="HB31" s="290">
        <f t="shared" si="150"/>
        <v>0</v>
      </c>
      <c r="HC31" s="290">
        <f t="shared" si="151"/>
        <v>0</v>
      </c>
      <c r="HD31" s="290">
        <f t="shared" si="152"/>
        <v>0</v>
      </c>
      <c r="HE31" s="290">
        <f t="shared" si="153"/>
        <v>0</v>
      </c>
      <c r="HF31" s="290">
        <f t="shared" si="154"/>
        <v>0</v>
      </c>
      <c r="HG31" s="290">
        <f t="shared" si="155"/>
        <v>0</v>
      </c>
      <c r="HH31" s="290">
        <f t="shared" si="156"/>
        <v>0</v>
      </c>
      <c r="HI31" s="290">
        <f t="shared" si="157"/>
        <v>0</v>
      </c>
      <c r="HJ31" s="290">
        <f t="shared" si="158"/>
        <v>0</v>
      </c>
      <c r="HK31" s="290">
        <f t="shared" si="159"/>
        <v>0</v>
      </c>
      <c r="HL31" s="290">
        <f t="shared" si="160"/>
        <v>0</v>
      </c>
      <c r="HM31" s="290">
        <f t="shared" si="161"/>
        <v>0</v>
      </c>
      <c r="HN31" s="290">
        <f t="shared" si="162"/>
        <v>0</v>
      </c>
      <c r="HO31" s="291">
        <f t="shared" si="163"/>
        <v>0</v>
      </c>
      <c r="HP31" s="291">
        <f t="shared" si="164"/>
        <v>0</v>
      </c>
      <c r="HQ31" s="291">
        <f t="shared" si="165"/>
        <v>0</v>
      </c>
      <c r="HR31" s="292">
        <f t="shared" si="166"/>
        <v>0</v>
      </c>
      <c r="HS31" s="999">
        <v>18</v>
      </c>
      <c r="HT31" s="286">
        <f t="shared" si="305"/>
        <v>44122</v>
      </c>
      <c r="HU31" s="287">
        <f t="shared" si="29"/>
        <v>44122</v>
      </c>
      <c r="HV31" s="288">
        <f>'दैनिक माहिती'!H215</f>
        <v>0</v>
      </c>
      <c r="HW31" s="289">
        <f>'दैनिक माहिती'!E215</f>
        <v>0</v>
      </c>
      <c r="HX31" s="289">
        <f>'दैनिक माहिती'!F215</f>
        <v>0</v>
      </c>
      <c r="HY31" s="289">
        <f>'दैनिक माहिती'!G215</f>
        <v>0</v>
      </c>
      <c r="HZ31" s="290">
        <f t="shared" si="167"/>
        <v>0</v>
      </c>
      <c r="IA31" s="290">
        <f t="shared" si="168"/>
        <v>0</v>
      </c>
      <c r="IB31" s="290">
        <f t="shared" si="169"/>
        <v>0</v>
      </c>
      <c r="IC31" s="290">
        <f t="shared" si="170"/>
        <v>0</v>
      </c>
      <c r="ID31" s="290">
        <f t="shared" si="171"/>
        <v>0</v>
      </c>
      <c r="IE31" s="290">
        <f t="shared" si="172"/>
        <v>0</v>
      </c>
      <c r="IF31" s="290">
        <f t="shared" si="173"/>
        <v>0</v>
      </c>
      <c r="IG31" s="290">
        <f t="shared" si="174"/>
        <v>0</v>
      </c>
      <c r="IH31" s="290">
        <f t="shared" si="175"/>
        <v>0</v>
      </c>
      <c r="II31" s="290">
        <f t="shared" si="176"/>
        <v>0</v>
      </c>
      <c r="IJ31" s="290">
        <f t="shared" si="177"/>
        <v>0</v>
      </c>
      <c r="IK31" s="290">
        <f t="shared" si="178"/>
        <v>0</v>
      </c>
      <c r="IL31" s="290">
        <f t="shared" si="179"/>
        <v>0</v>
      </c>
      <c r="IM31" s="290">
        <f t="shared" si="180"/>
        <v>0</v>
      </c>
      <c r="IN31" s="290">
        <f t="shared" si="181"/>
        <v>0</v>
      </c>
      <c r="IO31" s="290">
        <f t="shared" si="182"/>
        <v>0</v>
      </c>
      <c r="IP31" s="290">
        <f t="shared" si="183"/>
        <v>0</v>
      </c>
      <c r="IQ31" s="290">
        <f t="shared" si="184"/>
        <v>0</v>
      </c>
      <c r="IR31" s="291">
        <f t="shared" si="185"/>
        <v>0</v>
      </c>
      <c r="IS31" s="291">
        <f t="shared" si="186"/>
        <v>0</v>
      </c>
      <c r="IT31" s="291">
        <f t="shared" si="187"/>
        <v>0</v>
      </c>
      <c r="IU31" s="292">
        <f t="shared" si="188"/>
        <v>0</v>
      </c>
      <c r="IV31" s="999">
        <v>18</v>
      </c>
      <c r="IW31" s="286">
        <f t="shared" si="306"/>
        <v>44153</v>
      </c>
      <c r="IX31" s="287">
        <f t="shared" si="30"/>
        <v>44153</v>
      </c>
      <c r="IY31" s="288" t="str">
        <f>'दैनिक माहिती'!H247</f>
        <v>वाटाणा</v>
      </c>
      <c r="IZ31" s="289">
        <f>'दैनिक माहिती'!E247</f>
        <v>22</v>
      </c>
      <c r="JA31" s="289">
        <f>'दैनिक माहिती'!F247</f>
        <v>22</v>
      </c>
      <c r="JB31" s="289">
        <f>'दैनिक माहिती'!G247</f>
        <v>22</v>
      </c>
      <c r="JC31" s="290">
        <f t="shared" si="189"/>
        <v>2.2000000000000002</v>
      </c>
      <c r="JD31" s="290">
        <f t="shared" si="190"/>
        <v>0</v>
      </c>
      <c r="JE31" s="290">
        <f t="shared" si="191"/>
        <v>0</v>
      </c>
      <c r="JF31" s="290">
        <f t="shared" si="192"/>
        <v>0</v>
      </c>
      <c r="JG31" s="290">
        <f t="shared" si="193"/>
        <v>0</v>
      </c>
      <c r="JH31" s="290">
        <f t="shared" si="194"/>
        <v>0</v>
      </c>
      <c r="JI31" s="290">
        <f t="shared" si="195"/>
        <v>0</v>
      </c>
      <c r="JJ31" s="290">
        <f t="shared" si="196"/>
        <v>0</v>
      </c>
      <c r="JK31" s="290">
        <f t="shared" si="197"/>
        <v>0.44</v>
      </c>
      <c r="JL31" s="290">
        <f t="shared" si="198"/>
        <v>6.5999999999999991E-3</v>
      </c>
      <c r="JM31" s="290">
        <f t="shared" si="199"/>
        <v>1.0999999999999999E-2</v>
      </c>
      <c r="JN31" s="290">
        <f t="shared" si="200"/>
        <v>6.5999999999999991E-3</v>
      </c>
      <c r="JO31" s="290">
        <f t="shared" si="201"/>
        <v>0</v>
      </c>
      <c r="JP31" s="290">
        <f t="shared" si="202"/>
        <v>0</v>
      </c>
      <c r="JQ31" s="290">
        <f t="shared" si="203"/>
        <v>0.11</v>
      </c>
      <c r="JR31" s="290">
        <f t="shared" si="204"/>
        <v>4.3999999999999997E-2</v>
      </c>
      <c r="JS31" s="290">
        <f t="shared" si="205"/>
        <v>2.6399999999999996E-2</v>
      </c>
      <c r="JT31" s="290">
        <f t="shared" si="206"/>
        <v>0</v>
      </c>
      <c r="JU31" s="291">
        <f t="shared" si="207"/>
        <v>15.62</v>
      </c>
      <c r="JV31" s="291">
        <f t="shared" si="208"/>
        <v>17.380000000000003</v>
      </c>
      <c r="JW31" s="291">
        <f t="shared" si="209"/>
        <v>12.76</v>
      </c>
      <c r="JX31" s="292">
        <f t="shared" si="210"/>
        <v>63.14</v>
      </c>
      <c r="JY31" s="999">
        <v>18</v>
      </c>
      <c r="JZ31" s="286">
        <f t="shared" si="307"/>
        <v>44183</v>
      </c>
      <c r="KA31" s="287">
        <f t="shared" si="31"/>
        <v>44183</v>
      </c>
      <c r="KB31" s="288">
        <f>'दैनिक माहिती'!H278</f>
        <v>0</v>
      </c>
      <c r="KC31" s="289">
        <f>'दैनिक माहिती'!E278</f>
        <v>0</v>
      </c>
      <c r="KD31" s="289">
        <f>'दैनिक माहिती'!F278</f>
        <v>0</v>
      </c>
      <c r="KE31" s="289">
        <f>'दैनिक माहिती'!G278</f>
        <v>0</v>
      </c>
      <c r="KF31" s="290">
        <f t="shared" si="211"/>
        <v>0</v>
      </c>
      <c r="KG31" s="290">
        <f t="shared" si="212"/>
        <v>0</v>
      </c>
      <c r="KH31" s="290">
        <f t="shared" si="213"/>
        <v>0</v>
      </c>
      <c r="KI31" s="290">
        <f t="shared" si="214"/>
        <v>0</v>
      </c>
      <c r="KJ31" s="290">
        <f t="shared" si="215"/>
        <v>0</v>
      </c>
      <c r="KK31" s="290">
        <f t="shared" si="216"/>
        <v>0</v>
      </c>
      <c r="KL31" s="290">
        <f t="shared" si="217"/>
        <v>0</v>
      </c>
      <c r="KM31" s="290">
        <f t="shared" si="218"/>
        <v>0</v>
      </c>
      <c r="KN31" s="290">
        <f t="shared" si="219"/>
        <v>0</v>
      </c>
      <c r="KO31" s="290">
        <f t="shared" si="220"/>
        <v>0</v>
      </c>
      <c r="KP31" s="290">
        <f t="shared" si="221"/>
        <v>0</v>
      </c>
      <c r="KQ31" s="290">
        <f t="shared" si="222"/>
        <v>0</v>
      </c>
      <c r="KR31" s="290">
        <f t="shared" si="223"/>
        <v>0</v>
      </c>
      <c r="KS31" s="290">
        <f t="shared" si="224"/>
        <v>0</v>
      </c>
      <c r="KT31" s="290">
        <f t="shared" si="225"/>
        <v>0</v>
      </c>
      <c r="KU31" s="290">
        <f t="shared" si="226"/>
        <v>0</v>
      </c>
      <c r="KV31" s="290">
        <f t="shared" si="227"/>
        <v>0</v>
      </c>
      <c r="KW31" s="290">
        <f t="shared" si="228"/>
        <v>0</v>
      </c>
      <c r="KX31" s="291">
        <f t="shared" si="229"/>
        <v>0</v>
      </c>
      <c r="KY31" s="291">
        <f t="shared" si="230"/>
        <v>0</v>
      </c>
      <c r="KZ31" s="291">
        <f t="shared" si="231"/>
        <v>0</v>
      </c>
      <c r="LA31" s="292">
        <f t="shared" si="232"/>
        <v>0</v>
      </c>
      <c r="LB31" s="999">
        <v>18</v>
      </c>
      <c r="LC31" s="286">
        <f t="shared" si="308"/>
        <v>44214</v>
      </c>
      <c r="LD31" s="287">
        <f t="shared" si="32"/>
        <v>44214</v>
      </c>
      <c r="LE31" s="288">
        <f>'दैनिक माहिती'!H310</f>
        <v>0</v>
      </c>
      <c r="LF31" s="289">
        <f>'दैनिक माहिती'!E310</f>
        <v>0</v>
      </c>
      <c r="LG31" s="289">
        <f>'दैनिक माहिती'!F310</f>
        <v>0</v>
      </c>
      <c r="LH31" s="289">
        <f>'दैनिक माहिती'!G310</f>
        <v>0</v>
      </c>
      <c r="LI31" s="290">
        <f t="shared" si="233"/>
        <v>0</v>
      </c>
      <c r="LJ31" s="290">
        <f t="shared" si="234"/>
        <v>0</v>
      </c>
      <c r="LK31" s="290">
        <f t="shared" si="235"/>
        <v>0</v>
      </c>
      <c r="LL31" s="290">
        <f t="shared" si="236"/>
        <v>0</v>
      </c>
      <c r="LM31" s="290">
        <f t="shared" si="237"/>
        <v>0</v>
      </c>
      <c r="LN31" s="290">
        <f t="shared" si="238"/>
        <v>0</v>
      </c>
      <c r="LO31" s="290">
        <f t="shared" si="239"/>
        <v>0</v>
      </c>
      <c r="LP31" s="290">
        <f t="shared" si="240"/>
        <v>0</v>
      </c>
      <c r="LQ31" s="290">
        <f t="shared" si="241"/>
        <v>0</v>
      </c>
      <c r="LR31" s="290">
        <f t="shared" si="242"/>
        <v>0</v>
      </c>
      <c r="LS31" s="290">
        <f t="shared" si="243"/>
        <v>0</v>
      </c>
      <c r="LT31" s="290">
        <f t="shared" si="244"/>
        <v>0</v>
      </c>
      <c r="LU31" s="290">
        <f t="shared" si="245"/>
        <v>0</v>
      </c>
      <c r="LV31" s="290">
        <f t="shared" si="246"/>
        <v>0</v>
      </c>
      <c r="LW31" s="290">
        <f t="shared" si="247"/>
        <v>0</v>
      </c>
      <c r="LX31" s="290">
        <f t="shared" si="248"/>
        <v>0</v>
      </c>
      <c r="LY31" s="290">
        <f t="shared" si="249"/>
        <v>0</v>
      </c>
      <c r="LZ31" s="290">
        <f t="shared" si="250"/>
        <v>0</v>
      </c>
      <c r="MA31" s="291">
        <f t="shared" si="251"/>
        <v>0</v>
      </c>
      <c r="MB31" s="291">
        <f t="shared" si="252"/>
        <v>0</v>
      </c>
      <c r="MC31" s="291">
        <f t="shared" si="253"/>
        <v>0</v>
      </c>
      <c r="MD31" s="292">
        <f t="shared" si="254"/>
        <v>0</v>
      </c>
      <c r="ME31" s="999">
        <v>18</v>
      </c>
      <c r="MF31" s="286">
        <f t="shared" si="309"/>
        <v>44245</v>
      </c>
      <c r="MG31" s="287">
        <f t="shared" si="33"/>
        <v>44245</v>
      </c>
      <c r="MH31" s="288">
        <f>'दैनिक माहिती'!H342</f>
        <v>0</v>
      </c>
      <c r="MI31" s="289">
        <f>'दैनिक माहिती'!E342</f>
        <v>0</v>
      </c>
      <c r="MJ31" s="289">
        <f>'दैनिक माहिती'!F342</f>
        <v>0</v>
      </c>
      <c r="MK31" s="289">
        <f>'दैनिक माहिती'!G342</f>
        <v>0</v>
      </c>
      <c r="ML31" s="290">
        <f t="shared" si="255"/>
        <v>0</v>
      </c>
      <c r="MM31" s="290">
        <f t="shared" si="256"/>
        <v>0</v>
      </c>
      <c r="MN31" s="290">
        <f t="shared" si="257"/>
        <v>0</v>
      </c>
      <c r="MO31" s="290">
        <f t="shared" si="258"/>
        <v>0</v>
      </c>
      <c r="MP31" s="290">
        <f t="shared" si="259"/>
        <v>0</v>
      </c>
      <c r="MQ31" s="290">
        <f t="shared" si="260"/>
        <v>0</v>
      </c>
      <c r="MR31" s="290">
        <f t="shared" si="261"/>
        <v>0</v>
      </c>
      <c r="MS31" s="290">
        <f t="shared" si="262"/>
        <v>0</v>
      </c>
      <c r="MT31" s="290">
        <f t="shared" si="263"/>
        <v>0</v>
      </c>
      <c r="MU31" s="290">
        <f t="shared" si="264"/>
        <v>0</v>
      </c>
      <c r="MV31" s="290">
        <f t="shared" si="265"/>
        <v>0</v>
      </c>
      <c r="MW31" s="290">
        <f t="shared" si="266"/>
        <v>0</v>
      </c>
      <c r="MX31" s="290">
        <f t="shared" si="267"/>
        <v>0</v>
      </c>
      <c r="MY31" s="290">
        <f t="shared" si="268"/>
        <v>0</v>
      </c>
      <c r="MZ31" s="290">
        <f t="shared" si="269"/>
        <v>0</v>
      </c>
      <c r="NA31" s="290">
        <f t="shared" si="270"/>
        <v>0</v>
      </c>
      <c r="NB31" s="290">
        <f t="shared" si="271"/>
        <v>0</v>
      </c>
      <c r="NC31" s="290">
        <f t="shared" si="272"/>
        <v>0</v>
      </c>
      <c r="ND31" s="291">
        <f t="shared" si="273"/>
        <v>0</v>
      </c>
      <c r="NE31" s="291">
        <f t="shared" si="274"/>
        <v>0</v>
      </c>
      <c r="NF31" s="291">
        <f t="shared" si="275"/>
        <v>0</v>
      </c>
      <c r="NG31" s="292">
        <f t="shared" si="276"/>
        <v>0</v>
      </c>
      <c r="NH31" s="999">
        <v>18</v>
      </c>
      <c r="NI31" s="286">
        <f t="shared" si="310"/>
        <v>44273</v>
      </c>
      <c r="NJ31" s="287">
        <f t="shared" si="34"/>
        <v>44273</v>
      </c>
      <c r="NK31" s="288">
        <f>'दैनिक माहिती'!H372</f>
        <v>0</v>
      </c>
      <c r="NL31" s="289">
        <f>'दैनिक माहिती'!E372</f>
        <v>0</v>
      </c>
      <c r="NM31" s="289">
        <f>'दैनिक माहिती'!F372</f>
        <v>0</v>
      </c>
      <c r="NN31" s="289">
        <f>'दैनिक माहिती'!G372</f>
        <v>0</v>
      </c>
      <c r="NO31" s="290">
        <f t="shared" si="277"/>
        <v>0</v>
      </c>
      <c r="NP31" s="290">
        <f t="shared" si="278"/>
        <v>0</v>
      </c>
      <c r="NQ31" s="290">
        <f t="shared" si="279"/>
        <v>0</v>
      </c>
      <c r="NR31" s="290">
        <f t="shared" si="280"/>
        <v>0</v>
      </c>
      <c r="NS31" s="290">
        <f t="shared" si="281"/>
        <v>0</v>
      </c>
      <c r="NT31" s="290">
        <f t="shared" si="282"/>
        <v>0</v>
      </c>
      <c r="NU31" s="290">
        <f t="shared" si="283"/>
        <v>0</v>
      </c>
      <c r="NV31" s="290">
        <f t="shared" si="284"/>
        <v>0</v>
      </c>
      <c r="NW31" s="290">
        <f t="shared" si="285"/>
        <v>0</v>
      </c>
      <c r="NX31" s="290">
        <f t="shared" si="286"/>
        <v>0</v>
      </c>
      <c r="NY31" s="290">
        <f t="shared" si="287"/>
        <v>0</v>
      </c>
      <c r="NZ31" s="290">
        <f t="shared" si="288"/>
        <v>0</v>
      </c>
      <c r="OA31" s="290">
        <f t="shared" si="289"/>
        <v>0</v>
      </c>
      <c r="OB31" s="290">
        <f t="shared" si="290"/>
        <v>0</v>
      </c>
      <c r="OC31" s="290">
        <f t="shared" si="291"/>
        <v>0</v>
      </c>
      <c r="OD31" s="290">
        <f t="shared" si="292"/>
        <v>0</v>
      </c>
      <c r="OE31" s="290">
        <f t="shared" si="293"/>
        <v>0</v>
      </c>
      <c r="OF31" s="290">
        <f t="shared" si="294"/>
        <v>0</v>
      </c>
      <c r="OG31" s="291">
        <f t="shared" si="295"/>
        <v>0</v>
      </c>
      <c r="OH31" s="291">
        <f t="shared" si="296"/>
        <v>0</v>
      </c>
      <c r="OI31" s="291">
        <f t="shared" si="297"/>
        <v>0</v>
      </c>
      <c r="OJ31" s="292">
        <f t="shared" si="298"/>
        <v>0</v>
      </c>
    </row>
    <row r="32" spans="2:400" ht="29.25" customHeight="1" x14ac:dyDescent="0.3">
      <c r="BA32" s="999">
        <v>19</v>
      </c>
      <c r="BB32" s="286">
        <f t="shared" si="299"/>
        <v>43940</v>
      </c>
      <c r="BC32" s="293">
        <f t="shared" si="23"/>
        <v>43940</v>
      </c>
      <c r="BD32" s="288" t="str">
        <f>'दैनिक माहिती'!H27</f>
        <v>हरभरा</v>
      </c>
      <c r="BE32" s="289">
        <f>'दैनिक माहिती'!E27</f>
        <v>22</v>
      </c>
      <c r="BF32" s="289">
        <f>'दैनिक माहिती'!F27</f>
        <v>22</v>
      </c>
      <c r="BG32" s="289">
        <f>'दैनिक माहिती'!G27</f>
        <v>22</v>
      </c>
      <c r="BH32" s="290">
        <f t="shared" si="35"/>
        <v>2.2000000000000002</v>
      </c>
      <c r="BI32" s="290">
        <f t="shared" si="36"/>
        <v>0</v>
      </c>
      <c r="BJ32" s="290">
        <f t="shared" si="37"/>
        <v>0</v>
      </c>
      <c r="BK32" s="290">
        <f t="shared" si="38"/>
        <v>0</v>
      </c>
      <c r="BL32" s="290">
        <f t="shared" si="39"/>
        <v>0</v>
      </c>
      <c r="BM32" s="290">
        <f t="shared" si="40"/>
        <v>0</v>
      </c>
      <c r="BN32" s="290">
        <f t="shared" si="41"/>
        <v>0</v>
      </c>
      <c r="BO32" s="290">
        <f t="shared" si="42"/>
        <v>0.44</v>
      </c>
      <c r="BP32" s="290">
        <f t="shared" si="43"/>
        <v>0</v>
      </c>
      <c r="BQ32" s="290">
        <f t="shared" si="44"/>
        <v>6.5999999999999991E-3</v>
      </c>
      <c r="BR32" s="290">
        <f t="shared" si="45"/>
        <v>1.0999999999999999E-2</v>
      </c>
      <c r="BS32" s="290">
        <f t="shared" si="46"/>
        <v>6.5999999999999991E-3</v>
      </c>
      <c r="BT32" s="290">
        <f t="shared" si="47"/>
        <v>0</v>
      </c>
      <c r="BU32" s="290">
        <f t="shared" si="48"/>
        <v>0</v>
      </c>
      <c r="BV32" s="290">
        <f t="shared" si="49"/>
        <v>0.11</v>
      </c>
      <c r="BW32" s="290">
        <f t="shared" si="50"/>
        <v>4.3999999999999997E-2</v>
      </c>
      <c r="BX32" s="290">
        <f t="shared" si="51"/>
        <v>2.6399999999999996E-2</v>
      </c>
      <c r="BY32" s="290">
        <f t="shared" si="52"/>
        <v>0</v>
      </c>
      <c r="BZ32" s="291">
        <f t="shared" si="53"/>
        <v>15.84</v>
      </c>
      <c r="CA32" s="291">
        <f t="shared" si="54"/>
        <v>14.08</v>
      </c>
      <c r="CB32" s="291">
        <f t="shared" si="55"/>
        <v>11.66</v>
      </c>
      <c r="CC32" s="292">
        <f t="shared" si="56"/>
        <v>58.96</v>
      </c>
      <c r="CD32" s="999">
        <v>19</v>
      </c>
      <c r="CE32" s="286">
        <f t="shared" si="300"/>
        <v>43970</v>
      </c>
      <c r="CF32" s="293">
        <f t="shared" si="24"/>
        <v>43970</v>
      </c>
      <c r="CG32" s="288">
        <f>'दैनिक माहिती'!H58</f>
        <v>0</v>
      </c>
      <c r="CH32" s="289">
        <f>'दैनिक माहिती'!E58</f>
        <v>0</v>
      </c>
      <c r="CI32" s="289">
        <f>'दैनिक माहिती'!F58</f>
        <v>0</v>
      </c>
      <c r="CJ32" s="289">
        <f>'दैनिक माहिती'!G58</f>
        <v>0</v>
      </c>
      <c r="CK32" s="290">
        <f t="shared" si="57"/>
        <v>0</v>
      </c>
      <c r="CL32" s="290">
        <f t="shared" si="58"/>
        <v>0</v>
      </c>
      <c r="CM32" s="290">
        <f t="shared" si="59"/>
        <v>0</v>
      </c>
      <c r="CN32" s="290">
        <f t="shared" si="60"/>
        <v>0</v>
      </c>
      <c r="CO32" s="290">
        <f t="shared" si="61"/>
        <v>0</v>
      </c>
      <c r="CP32" s="290">
        <f t="shared" si="62"/>
        <v>0</v>
      </c>
      <c r="CQ32" s="290">
        <f t="shared" si="63"/>
        <v>0</v>
      </c>
      <c r="CR32" s="290">
        <f t="shared" si="64"/>
        <v>0</v>
      </c>
      <c r="CS32" s="290">
        <f t="shared" si="65"/>
        <v>0</v>
      </c>
      <c r="CT32" s="290">
        <f t="shared" si="66"/>
        <v>0</v>
      </c>
      <c r="CU32" s="290">
        <f t="shared" si="67"/>
        <v>0</v>
      </c>
      <c r="CV32" s="290">
        <f t="shared" si="68"/>
        <v>0</v>
      </c>
      <c r="CW32" s="290">
        <f t="shared" si="69"/>
        <v>0</v>
      </c>
      <c r="CX32" s="290">
        <f t="shared" si="70"/>
        <v>0</v>
      </c>
      <c r="CY32" s="290">
        <f t="shared" si="71"/>
        <v>0</v>
      </c>
      <c r="CZ32" s="290">
        <f t="shared" si="72"/>
        <v>0</v>
      </c>
      <c r="DA32" s="290">
        <f t="shared" si="73"/>
        <v>0</v>
      </c>
      <c r="DB32" s="290">
        <f t="shared" si="74"/>
        <v>0</v>
      </c>
      <c r="DC32" s="291">
        <f t="shared" si="75"/>
        <v>0</v>
      </c>
      <c r="DD32" s="291">
        <f t="shared" si="76"/>
        <v>0</v>
      </c>
      <c r="DE32" s="291">
        <f t="shared" si="77"/>
        <v>0</v>
      </c>
      <c r="DF32" s="292">
        <f t="shared" si="78"/>
        <v>0</v>
      </c>
      <c r="DG32" s="999">
        <v>19</v>
      </c>
      <c r="DH32" s="286">
        <f t="shared" si="301"/>
        <v>44001</v>
      </c>
      <c r="DI32" s="293">
        <f t="shared" si="25"/>
        <v>44001</v>
      </c>
      <c r="DJ32" s="288">
        <f>'दैनिक माहिती'!H90</f>
        <v>0</v>
      </c>
      <c r="DK32" s="289">
        <f>'दैनिक माहिती'!E90</f>
        <v>0</v>
      </c>
      <c r="DL32" s="289">
        <f>'दैनिक माहिती'!F90</f>
        <v>0</v>
      </c>
      <c r="DM32" s="289">
        <f>'दैनिक माहिती'!G90</f>
        <v>0</v>
      </c>
      <c r="DN32" s="290">
        <f t="shared" si="79"/>
        <v>0</v>
      </c>
      <c r="DO32" s="290">
        <f t="shared" si="80"/>
        <v>0</v>
      </c>
      <c r="DP32" s="290">
        <f t="shared" si="81"/>
        <v>0</v>
      </c>
      <c r="DQ32" s="290">
        <f t="shared" si="82"/>
        <v>0</v>
      </c>
      <c r="DR32" s="290">
        <f t="shared" si="83"/>
        <v>0</v>
      </c>
      <c r="DS32" s="290">
        <f t="shared" si="84"/>
        <v>0</v>
      </c>
      <c r="DT32" s="290">
        <f t="shared" si="85"/>
        <v>0</v>
      </c>
      <c r="DU32" s="290">
        <f t="shared" si="86"/>
        <v>0</v>
      </c>
      <c r="DV32" s="290">
        <f t="shared" si="87"/>
        <v>0</v>
      </c>
      <c r="DW32" s="290">
        <f t="shared" si="88"/>
        <v>0</v>
      </c>
      <c r="DX32" s="290">
        <f t="shared" si="89"/>
        <v>0</v>
      </c>
      <c r="DY32" s="290">
        <f t="shared" si="90"/>
        <v>0</v>
      </c>
      <c r="DZ32" s="290">
        <f t="shared" si="91"/>
        <v>0</v>
      </c>
      <c r="EA32" s="290">
        <f t="shared" si="92"/>
        <v>0</v>
      </c>
      <c r="EB32" s="290">
        <f t="shared" si="93"/>
        <v>0</v>
      </c>
      <c r="EC32" s="290">
        <f t="shared" si="94"/>
        <v>0</v>
      </c>
      <c r="ED32" s="290">
        <f t="shared" si="95"/>
        <v>0</v>
      </c>
      <c r="EE32" s="290">
        <f t="shared" si="96"/>
        <v>0</v>
      </c>
      <c r="EF32" s="291">
        <f t="shared" si="97"/>
        <v>0</v>
      </c>
      <c r="EG32" s="291">
        <f t="shared" si="98"/>
        <v>0</v>
      </c>
      <c r="EH32" s="291">
        <f t="shared" si="99"/>
        <v>0</v>
      </c>
      <c r="EI32" s="292">
        <f t="shared" si="100"/>
        <v>0</v>
      </c>
      <c r="EJ32" s="999">
        <v>19</v>
      </c>
      <c r="EK32" s="286">
        <f t="shared" si="302"/>
        <v>44031</v>
      </c>
      <c r="EL32" s="293">
        <f t="shared" si="26"/>
        <v>44031</v>
      </c>
      <c r="EM32" s="288" t="str">
        <f>'दैनिक माहिती'!H121</f>
        <v>हरभरा</v>
      </c>
      <c r="EN32" s="289">
        <f>'दैनिक माहिती'!E121</f>
        <v>17</v>
      </c>
      <c r="EO32" s="289">
        <f>'दैनिक माहिती'!F121</f>
        <v>17</v>
      </c>
      <c r="EP32" s="289">
        <f>'दैनिक माहिती'!G121</f>
        <v>17</v>
      </c>
      <c r="EQ32" s="290">
        <f t="shared" si="101"/>
        <v>1.7000000000000002</v>
      </c>
      <c r="ER32" s="290">
        <f t="shared" si="102"/>
        <v>0</v>
      </c>
      <c r="ES32" s="290">
        <f t="shared" si="103"/>
        <v>0</v>
      </c>
      <c r="ET32" s="290">
        <f t="shared" si="104"/>
        <v>0</v>
      </c>
      <c r="EU32" s="290">
        <f t="shared" si="105"/>
        <v>0</v>
      </c>
      <c r="EV32" s="290">
        <f t="shared" si="106"/>
        <v>0</v>
      </c>
      <c r="EW32" s="290">
        <f t="shared" si="107"/>
        <v>0</v>
      </c>
      <c r="EX32" s="290">
        <f t="shared" si="108"/>
        <v>0.34</v>
      </c>
      <c r="EY32" s="290">
        <f t="shared" si="109"/>
        <v>0</v>
      </c>
      <c r="EZ32" s="290">
        <f t="shared" si="110"/>
        <v>5.0999999999999995E-3</v>
      </c>
      <c r="FA32" s="290">
        <f t="shared" si="111"/>
        <v>8.5000000000000006E-3</v>
      </c>
      <c r="FB32" s="290">
        <f t="shared" si="112"/>
        <v>5.0999999999999995E-3</v>
      </c>
      <c r="FC32" s="290">
        <f t="shared" si="113"/>
        <v>0</v>
      </c>
      <c r="FD32" s="290">
        <f t="shared" si="114"/>
        <v>0</v>
      </c>
      <c r="FE32" s="290">
        <f t="shared" si="115"/>
        <v>8.5000000000000006E-2</v>
      </c>
      <c r="FF32" s="290">
        <f t="shared" si="116"/>
        <v>3.4000000000000002E-2</v>
      </c>
      <c r="FG32" s="290">
        <f t="shared" si="117"/>
        <v>2.0399999999999998E-2</v>
      </c>
      <c r="FH32" s="290">
        <f t="shared" si="118"/>
        <v>0</v>
      </c>
      <c r="FI32" s="291">
        <f t="shared" si="119"/>
        <v>12.24</v>
      </c>
      <c r="FJ32" s="291">
        <f t="shared" si="120"/>
        <v>10.88</v>
      </c>
      <c r="FK32" s="291">
        <f t="shared" si="121"/>
        <v>9.01</v>
      </c>
      <c r="FL32" s="292">
        <f t="shared" si="122"/>
        <v>45.56</v>
      </c>
      <c r="FM32" s="999">
        <v>19</v>
      </c>
      <c r="FN32" s="286">
        <f t="shared" si="303"/>
        <v>44062</v>
      </c>
      <c r="FO32" s="293">
        <f t="shared" si="27"/>
        <v>44062</v>
      </c>
      <c r="FP32" s="288" t="str">
        <f>'दैनिक माहिती'!H153</f>
        <v>वाटाणा</v>
      </c>
      <c r="FQ32" s="289">
        <f>'दैनिक माहिती'!E153</f>
        <v>15</v>
      </c>
      <c r="FR32" s="289">
        <f>'दैनिक माहिती'!F153</f>
        <v>15</v>
      </c>
      <c r="FS32" s="289">
        <f>'दैनिक माहिती'!G153</f>
        <v>15</v>
      </c>
      <c r="FT32" s="290">
        <f t="shared" si="123"/>
        <v>1.5</v>
      </c>
      <c r="FU32" s="290">
        <f t="shared" si="124"/>
        <v>0</v>
      </c>
      <c r="FV32" s="290">
        <f t="shared" si="125"/>
        <v>0</v>
      </c>
      <c r="FW32" s="290">
        <f t="shared" si="126"/>
        <v>0</v>
      </c>
      <c r="FX32" s="290">
        <f t="shared" si="127"/>
        <v>0</v>
      </c>
      <c r="FY32" s="290">
        <f t="shared" si="128"/>
        <v>0</v>
      </c>
      <c r="FZ32" s="290">
        <f t="shared" si="129"/>
        <v>0</v>
      </c>
      <c r="GA32" s="290">
        <f t="shared" si="130"/>
        <v>0</v>
      </c>
      <c r="GB32" s="290">
        <f t="shared" si="131"/>
        <v>0.3</v>
      </c>
      <c r="GC32" s="290">
        <f t="shared" si="132"/>
        <v>4.4999999999999997E-3</v>
      </c>
      <c r="GD32" s="290">
        <f t="shared" si="133"/>
        <v>7.4999999999999997E-3</v>
      </c>
      <c r="GE32" s="290">
        <f t="shared" si="134"/>
        <v>4.4999999999999997E-3</v>
      </c>
      <c r="GF32" s="290">
        <f t="shared" si="135"/>
        <v>0</v>
      </c>
      <c r="GG32" s="290">
        <f t="shared" si="136"/>
        <v>0</v>
      </c>
      <c r="GH32" s="290">
        <f t="shared" si="137"/>
        <v>7.4999999999999997E-2</v>
      </c>
      <c r="GI32" s="290">
        <f t="shared" si="138"/>
        <v>0.03</v>
      </c>
      <c r="GJ32" s="290">
        <f t="shared" si="139"/>
        <v>1.7999999999999999E-2</v>
      </c>
      <c r="GK32" s="290">
        <f t="shared" si="140"/>
        <v>0</v>
      </c>
      <c r="GL32" s="291">
        <f t="shared" si="141"/>
        <v>10.799999999999999</v>
      </c>
      <c r="GM32" s="291">
        <f t="shared" si="142"/>
        <v>9.6</v>
      </c>
      <c r="GN32" s="291">
        <f t="shared" si="143"/>
        <v>7.95</v>
      </c>
      <c r="GO32" s="292">
        <f t="shared" si="144"/>
        <v>40.200000000000003</v>
      </c>
      <c r="GP32" s="999">
        <v>19</v>
      </c>
      <c r="GQ32" s="286">
        <f t="shared" si="304"/>
        <v>44093</v>
      </c>
      <c r="GR32" s="293">
        <f t="shared" si="28"/>
        <v>44093</v>
      </c>
      <c r="GS32" s="288" t="str">
        <f>'दैनिक माहिती'!H185</f>
        <v>मुगडाळ</v>
      </c>
      <c r="GT32" s="289">
        <f>'दैनिक माहिती'!E185</f>
        <v>16</v>
      </c>
      <c r="GU32" s="289">
        <f>'दैनिक माहिती'!F185</f>
        <v>16</v>
      </c>
      <c r="GV32" s="289">
        <f>'दैनिक माहिती'!G185</f>
        <v>16</v>
      </c>
      <c r="GW32" s="290">
        <f t="shared" si="145"/>
        <v>1.6</v>
      </c>
      <c r="GX32" s="290">
        <f t="shared" si="146"/>
        <v>0.32</v>
      </c>
      <c r="GY32" s="290">
        <f t="shared" si="147"/>
        <v>0</v>
      </c>
      <c r="GZ32" s="290">
        <f t="shared" si="148"/>
        <v>0</v>
      </c>
      <c r="HA32" s="290">
        <f t="shared" si="149"/>
        <v>0</v>
      </c>
      <c r="HB32" s="290">
        <f t="shared" si="150"/>
        <v>0</v>
      </c>
      <c r="HC32" s="290">
        <f t="shared" si="151"/>
        <v>0</v>
      </c>
      <c r="HD32" s="290">
        <f t="shared" si="152"/>
        <v>0</v>
      </c>
      <c r="HE32" s="290">
        <f t="shared" si="153"/>
        <v>0</v>
      </c>
      <c r="HF32" s="290">
        <f t="shared" si="154"/>
        <v>4.7999999999999996E-3</v>
      </c>
      <c r="HG32" s="290">
        <f t="shared" si="155"/>
        <v>8.0000000000000002E-3</v>
      </c>
      <c r="HH32" s="290">
        <f t="shared" si="156"/>
        <v>4.7999999999999996E-3</v>
      </c>
      <c r="HI32" s="290">
        <f t="shared" si="157"/>
        <v>0</v>
      </c>
      <c r="HJ32" s="290">
        <f t="shared" si="158"/>
        <v>0</v>
      </c>
      <c r="HK32" s="290">
        <f t="shared" si="159"/>
        <v>0.08</v>
      </c>
      <c r="HL32" s="290">
        <f t="shared" si="160"/>
        <v>3.2000000000000001E-2</v>
      </c>
      <c r="HM32" s="290">
        <f t="shared" si="161"/>
        <v>1.9199999999999998E-2</v>
      </c>
      <c r="HN32" s="290">
        <f t="shared" si="162"/>
        <v>0</v>
      </c>
      <c r="HO32" s="291">
        <f t="shared" si="163"/>
        <v>11.52</v>
      </c>
      <c r="HP32" s="291">
        <f t="shared" si="164"/>
        <v>10.24</v>
      </c>
      <c r="HQ32" s="291">
        <f t="shared" si="165"/>
        <v>8.48</v>
      </c>
      <c r="HR32" s="292">
        <f t="shared" si="166"/>
        <v>42.88</v>
      </c>
      <c r="HS32" s="999">
        <v>19</v>
      </c>
      <c r="HT32" s="286">
        <f t="shared" si="305"/>
        <v>44123</v>
      </c>
      <c r="HU32" s="293">
        <f t="shared" si="29"/>
        <v>44123</v>
      </c>
      <c r="HV32" s="288">
        <f>'दैनिक माहिती'!H216</f>
        <v>0</v>
      </c>
      <c r="HW32" s="289">
        <f>'दैनिक माहिती'!E216</f>
        <v>0</v>
      </c>
      <c r="HX32" s="289">
        <f>'दैनिक माहिती'!F216</f>
        <v>0</v>
      </c>
      <c r="HY32" s="289">
        <f>'दैनिक माहिती'!G216</f>
        <v>0</v>
      </c>
      <c r="HZ32" s="290">
        <f t="shared" si="167"/>
        <v>0</v>
      </c>
      <c r="IA32" s="290">
        <f t="shared" si="168"/>
        <v>0</v>
      </c>
      <c r="IB32" s="290">
        <f t="shared" si="169"/>
        <v>0</v>
      </c>
      <c r="IC32" s="290">
        <f t="shared" si="170"/>
        <v>0</v>
      </c>
      <c r="ID32" s="290">
        <f t="shared" si="171"/>
        <v>0</v>
      </c>
      <c r="IE32" s="290">
        <f t="shared" si="172"/>
        <v>0</v>
      </c>
      <c r="IF32" s="290">
        <f t="shared" si="173"/>
        <v>0</v>
      </c>
      <c r="IG32" s="290">
        <f t="shared" si="174"/>
        <v>0</v>
      </c>
      <c r="IH32" s="290">
        <f t="shared" si="175"/>
        <v>0</v>
      </c>
      <c r="II32" s="290">
        <f t="shared" si="176"/>
        <v>0</v>
      </c>
      <c r="IJ32" s="290">
        <f t="shared" si="177"/>
        <v>0</v>
      </c>
      <c r="IK32" s="290">
        <f t="shared" si="178"/>
        <v>0</v>
      </c>
      <c r="IL32" s="290">
        <f t="shared" si="179"/>
        <v>0</v>
      </c>
      <c r="IM32" s="290">
        <f t="shared" si="180"/>
        <v>0</v>
      </c>
      <c r="IN32" s="290">
        <f t="shared" si="181"/>
        <v>0</v>
      </c>
      <c r="IO32" s="290">
        <f t="shared" si="182"/>
        <v>0</v>
      </c>
      <c r="IP32" s="290">
        <f t="shared" si="183"/>
        <v>0</v>
      </c>
      <c r="IQ32" s="290">
        <f t="shared" si="184"/>
        <v>0</v>
      </c>
      <c r="IR32" s="291">
        <f t="shared" si="185"/>
        <v>0</v>
      </c>
      <c r="IS32" s="291">
        <f t="shared" si="186"/>
        <v>0</v>
      </c>
      <c r="IT32" s="291">
        <f t="shared" si="187"/>
        <v>0</v>
      </c>
      <c r="IU32" s="292">
        <f t="shared" si="188"/>
        <v>0</v>
      </c>
      <c r="IV32" s="999">
        <v>19</v>
      </c>
      <c r="IW32" s="286">
        <f t="shared" si="306"/>
        <v>44154</v>
      </c>
      <c r="IX32" s="293">
        <f t="shared" si="30"/>
        <v>44154</v>
      </c>
      <c r="IY32" s="288" t="str">
        <f>'दैनिक माहिती'!H248</f>
        <v>मुगडाळ</v>
      </c>
      <c r="IZ32" s="289">
        <f>'दैनिक माहिती'!E248</f>
        <v>22</v>
      </c>
      <c r="JA32" s="289">
        <f>'दैनिक माहिती'!F248</f>
        <v>22</v>
      </c>
      <c r="JB32" s="289">
        <f>'दैनिक माहिती'!G248</f>
        <v>22</v>
      </c>
      <c r="JC32" s="290">
        <f t="shared" si="189"/>
        <v>2.2000000000000002</v>
      </c>
      <c r="JD32" s="290">
        <f t="shared" si="190"/>
        <v>0.44</v>
      </c>
      <c r="JE32" s="290">
        <f t="shared" si="191"/>
        <v>0</v>
      </c>
      <c r="JF32" s="290">
        <f t="shared" si="192"/>
        <v>0</v>
      </c>
      <c r="JG32" s="290">
        <f t="shared" si="193"/>
        <v>0</v>
      </c>
      <c r="JH32" s="290">
        <f t="shared" si="194"/>
        <v>0</v>
      </c>
      <c r="JI32" s="290">
        <f t="shared" si="195"/>
        <v>0</v>
      </c>
      <c r="JJ32" s="290">
        <f t="shared" si="196"/>
        <v>0</v>
      </c>
      <c r="JK32" s="290">
        <f t="shared" si="197"/>
        <v>0</v>
      </c>
      <c r="JL32" s="290">
        <f t="shared" si="198"/>
        <v>6.5999999999999991E-3</v>
      </c>
      <c r="JM32" s="290">
        <f t="shared" si="199"/>
        <v>1.0999999999999999E-2</v>
      </c>
      <c r="JN32" s="290">
        <f t="shared" si="200"/>
        <v>6.5999999999999991E-3</v>
      </c>
      <c r="JO32" s="290">
        <f t="shared" si="201"/>
        <v>0</v>
      </c>
      <c r="JP32" s="290">
        <f t="shared" si="202"/>
        <v>0</v>
      </c>
      <c r="JQ32" s="290">
        <f t="shared" si="203"/>
        <v>0.11</v>
      </c>
      <c r="JR32" s="290">
        <f t="shared" si="204"/>
        <v>4.3999999999999997E-2</v>
      </c>
      <c r="JS32" s="290">
        <f t="shared" si="205"/>
        <v>2.6399999999999996E-2</v>
      </c>
      <c r="JT32" s="290">
        <f t="shared" si="206"/>
        <v>0</v>
      </c>
      <c r="JU32" s="291">
        <f t="shared" si="207"/>
        <v>15.62</v>
      </c>
      <c r="JV32" s="291">
        <f t="shared" si="208"/>
        <v>17.380000000000003</v>
      </c>
      <c r="JW32" s="291">
        <f t="shared" si="209"/>
        <v>12.76</v>
      </c>
      <c r="JX32" s="292">
        <f t="shared" si="210"/>
        <v>63.14</v>
      </c>
      <c r="JY32" s="999">
        <v>19</v>
      </c>
      <c r="JZ32" s="286">
        <f t="shared" si="307"/>
        <v>44184</v>
      </c>
      <c r="KA32" s="293">
        <f t="shared" si="31"/>
        <v>44184</v>
      </c>
      <c r="KB32" s="288" t="str">
        <f>'दैनिक माहिती'!H279</f>
        <v>मुगडाळ</v>
      </c>
      <c r="KC32" s="289">
        <f>'दैनिक माहिती'!E279</f>
        <v>21</v>
      </c>
      <c r="KD32" s="289">
        <f>'दैनिक माहिती'!F279</f>
        <v>21</v>
      </c>
      <c r="KE32" s="289">
        <f>'दैनिक माहिती'!G279</f>
        <v>21</v>
      </c>
      <c r="KF32" s="290">
        <f t="shared" si="211"/>
        <v>2.1</v>
      </c>
      <c r="KG32" s="290">
        <f t="shared" si="212"/>
        <v>0.42</v>
      </c>
      <c r="KH32" s="290">
        <f t="shared" si="213"/>
        <v>0</v>
      </c>
      <c r="KI32" s="290">
        <f t="shared" si="214"/>
        <v>0</v>
      </c>
      <c r="KJ32" s="290">
        <f t="shared" si="215"/>
        <v>0</v>
      </c>
      <c r="KK32" s="290">
        <f t="shared" si="216"/>
        <v>0</v>
      </c>
      <c r="KL32" s="290">
        <f t="shared" si="217"/>
        <v>0</v>
      </c>
      <c r="KM32" s="290">
        <f t="shared" si="218"/>
        <v>0</v>
      </c>
      <c r="KN32" s="290">
        <f t="shared" si="219"/>
        <v>0</v>
      </c>
      <c r="KO32" s="290">
        <f t="shared" si="220"/>
        <v>6.2999999999999992E-3</v>
      </c>
      <c r="KP32" s="290">
        <f t="shared" si="221"/>
        <v>1.0500000000000001E-2</v>
      </c>
      <c r="KQ32" s="290">
        <f t="shared" si="222"/>
        <v>6.2999999999999992E-3</v>
      </c>
      <c r="KR32" s="290">
        <f t="shared" si="223"/>
        <v>0</v>
      </c>
      <c r="KS32" s="290">
        <f t="shared" si="224"/>
        <v>0</v>
      </c>
      <c r="KT32" s="290">
        <f t="shared" si="225"/>
        <v>0.105</v>
      </c>
      <c r="KU32" s="290">
        <f t="shared" si="226"/>
        <v>4.2000000000000003E-2</v>
      </c>
      <c r="KV32" s="290">
        <f t="shared" si="227"/>
        <v>2.5199999999999997E-2</v>
      </c>
      <c r="KW32" s="290">
        <f t="shared" si="228"/>
        <v>0</v>
      </c>
      <c r="KX32" s="291">
        <f t="shared" si="229"/>
        <v>14.91</v>
      </c>
      <c r="KY32" s="291">
        <f t="shared" si="230"/>
        <v>16.59</v>
      </c>
      <c r="KZ32" s="291">
        <f t="shared" si="231"/>
        <v>12.18</v>
      </c>
      <c r="LA32" s="292">
        <f t="shared" si="232"/>
        <v>60.27</v>
      </c>
      <c r="LB32" s="999">
        <v>19</v>
      </c>
      <c r="LC32" s="286">
        <f t="shared" si="308"/>
        <v>44215</v>
      </c>
      <c r="LD32" s="293">
        <f t="shared" si="32"/>
        <v>44215</v>
      </c>
      <c r="LE32" s="288">
        <f>'दैनिक माहिती'!H311</f>
        <v>0</v>
      </c>
      <c r="LF32" s="289">
        <f>'दैनिक माहिती'!E311</f>
        <v>0</v>
      </c>
      <c r="LG32" s="289">
        <f>'दैनिक माहिती'!F311</f>
        <v>0</v>
      </c>
      <c r="LH32" s="289">
        <f>'दैनिक माहिती'!G311</f>
        <v>0</v>
      </c>
      <c r="LI32" s="290">
        <f t="shared" si="233"/>
        <v>0</v>
      </c>
      <c r="LJ32" s="290">
        <f t="shared" si="234"/>
        <v>0</v>
      </c>
      <c r="LK32" s="290">
        <f t="shared" si="235"/>
        <v>0</v>
      </c>
      <c r="LL32" s="290">
        <f t="shared" si="236"/>
        <v>0</v>
      </c>
      <c r="LM32" s="290">
        <f t="shared" si="237"/>
        <v>0</v>
      </c>
      <c r="LN32" s="290">
        <f t="shared" si="238"/>
        <v>0</v>
      </c>
      <c r="LO32" s="290">
        <f t="shared" si="239"/>
        <v>0</v>
      </c>
      <c r="LP32" s="290">
        <f t="shared" si="240"/>
        <v>0</v>
      </c>
      <c r="LQ32" s="290">
        <f t="shared" si="241"/>
        <v>0</v>
      </c>
      <c r="LR32" s="290">
        <f t="shared" si="242"/>
        <v>0</v>
      </c>
      <c r="LS32" s="290">
        <f t="shared" si="243"/>
        <v>0</v>
      </c>
      <c r="LT32" s="290">
        <f t="shared" si="244"/>
        <v>0</v>
      </c>
      <c r="LU32" s="290">
        <f t="shared" si="245"/>
        <v>0</v>
      </c>
      <c r="LV32" s="290">
        <f t="shared" si="246"/>
        <v>0</v>
      </c>
      <c r="LW32" s="290">
        <f t="shared" si="247"/>
        <v>0</v>
      </c>
      <c r="LX32" s="290">
        <f t="shared" si="248"/>
        <v>0</v>
      </c>
      <c r="LY32" s="290">
        <f t="shared" si="249"/>
        <v>0</v>
      </c>
      <c r="LZ32" s="290">
        <f t="shared" si="250"/>
        <v>0</v>
      </c>
      <c r="MA32" s="291">
        <f t="shared" si="251"/>
        <v>0</v>
      </c>
      <c r="MB32" s="291">
        <f t="shared" si="252"/>
        <v>0</v>
      </c>
      <c r="MC32" s="291">
        <f t="shared" si="253"/>
        <v>0</v>
      </c>
      <c r="MD32" s="292">
        <f t="shared" si="254"/>
        <v>0</v>
      </c>
      <c r="ME32" s="999">
        <v>19</v>
      </c>
      <c r="MF32" s="286">
        <f t="shared" si="309"/>
        <v>44246</v>
      </c>
      <c r="MG32" s="293">
        <f t="shared" si="33"/>
        <v>44246</v>
      </c>
      <c r="MH32" s="288">
        <f>'दैनिक माहिती'!H343</f>
        <v>0</v>
      </c>
      <c r="MI32" s="289">
        <f>'दैनिक माहिती'!E343</f>
        <v>0</v>
      </c>
      <c r="MJ32" s="289">
        <f>'दैनिक माहिती'!F343</f>
        <v>0</v>
      </c>
      <c r="MK32" s="289">
        <f>'दैनिक माहिती'!G343</f>
        <v>0</v>
      </c>
      <c r="ML32" s="290">
        <f t="shared" si="255"/>
        <v>0</v>
      </c>
      <c r="MM32" s="290">
        <f t="shared" si="256"/>
        <v>0</v>
      </c>
      <c r="MN32" s="290">
        <f t="shared" si="257"/>
        <v>0</v>
      </c>
      <c r="MO32" s="290">
        <f t="shared" si="258"/>
        <v>0</v>
      </c>
      <c r="MP32" s="290">
        <f t="shared" si="259"/>
        <v>0</v>
      </c>
      <c r="MQ32" s="290">
        <f t="shared" si="260"/>
        <v>0</v>
      </c>
      <c r="MR32" s="290">
        <f t="shared" si="261"/>
        <v>0</v>
      </c>
      <c r="MS32" s="290">
        <f t="shared" si="262"/>
        <v>0</v>
      </c>
      <c r="MT32" s="290">
        <f t="shared" si="263"/>
        <v>0</v>
      </c>
      <c r="MU32" s="290">
        <f t="shared" si="264"/>
        <v>0</v>
      </c>
      <c r="MV32" s="290">
        <f t="shared" si="265"/>
        <v>0</v>
      </c>
      <c r="MW32" s="290">
        <f t="shared" si="266"/>
        <v>0</v>
      </c>
      <c r="MX32" s="290">
        <f t="shared" si="267"/>
        <v>0</v>
      </c>
      <c r="MY32" s="290">
        <f t="shared" si="268"/>
        <v>0</v>
      </c>
      <c r="MZ32" s="290">
        <f t="shared" si="269"/>
        <v>0</v>
      </c>
      <c r="NA32" s="290">
        <f t="shared" si="270"/>
        <v>0</v>
      </c>
      <c r="NB32" s="290">
        <f t="shared" si="271"/>
        <v>0</v>
      </c>
      <c r="NC32" s="290">
        <f t="shared" si="272"/>
        <v>0</v>
      </c>
      <c r="ND32" s="291">
        <f t="shared" si="273"/>
        <v>0</v>
      </c>
      <c r="NE32" s="291">
        <f t="shared" si="274"/>
        <v>0</v>
      </c>
      <c r="NF32" s="291">
        <f t="shared" si="275"/>
        <v>0</v>
      </c>
      <c r="NG32" s="292">
        <f t="shared" si="276"/>
        <v>0</v>
      </c>
      <c r="NH32" s="999">
        <v>19</v>
      </c>
      <c r="NI32" s="286">
        <f t="shared" si="310"/>
        <v>44274</v>
      </c>
      <c r="NJ32" s="293">
        <f t="shared" si="34"/>
        <v>44274</v>
      </c>
      <c r="NK32" s="288">
        <f>'दैनिक माहिती'!H373</f>
        <v>0</v>
      </c>
      <c r="NL32" s="289">
        <f>'दैनिक माहिती'!E373</f>
        <v>0</v>
      </c>
      <c r="NM32" s="289">
        <f>'दैनिक माहिती'!F373</f>
        <v>0</v>
      </c>
      <c r="NN32" s="289">
        <f>'दैनिक माहिती'!G373</f>
        <v>0</v>
      </c>
      <c r="NO32" s="290">
        <f t="shared" si="277"/>
        <v>0</v>
      </c>
      <c r="NP32" s="290">
        <f t="shared" si="278"/>
        <v>0</v>
      </c>
      <c r="NQ32" s="290">
        <f t="shared" si="279"/>
        <v>0</v>
      </c>
      <c r="NR32" s="290">
        <f t="shared" si="280"/>
        <v>0</v>
      </c>
      <c r="NS32" s="290">
        <f t="shared" si="281"/>
        <v>0</v>
      </c>
      <c r="NT32" s="290">
        <f t="shared" si="282"/>
        <v>0</v>
      </c>
      <c r="NU32" s="290">
        <f t="shared" si="283"/>
        <v>0</v>
      </c>
      <c r="NV32" s="290">
        <f t="shared" si="284"/>
        <v>0</v>
      </c>
      <c r="NW32" s="290">
        <f t="shared" si="285"/>
        <v>0</v>
      </c>
      <c r="NX32" s="290">
        <f t="shared" si="286"/>
        <v>0</v>
      </c>
      <c r="NY32" s="290">
        <f t="shared" si="287"/>
        <v>0</v>
      </c>
      <c r="NZ32" s="290">
        <f t="shared" si="288"/>
        <v>0</v>
      </c>
      <c r="OA32" s="290">
        <f t="shared" si="289"/>
        <v>0</v>
      </c>
      <c r="OB32" s="290">
        <f t="shared" si="290"/>
        <v>0</v>
      </c>
      <c r="OC32" s="290">
        <f t="shared" si="291"/>
        <v>0</v>
      </c>
      <c r="OD32" s="290">
        <f t="shared" si="292"/>
        <v>0</v>
      </c>
      <c r="OE32" s="290">
        <f t="shared" si="293"/>
        <v>0</v>
      </c>
      <c r="OF32" s="290">
        <f t="shared" si="294"/>
        <v>0</v>
      </c>
      <c r="OG32" s="291">
        <f t="shared" si="295"/>
        <v>0</v>
      </c>
      <c r="OH32" s="291">
        <f t="shared" si="296"/>
        <v>0</v>
      </c>
      <c r="OI32" s="291">
        <f t="shared" si="297"/>
        <v>0</v>
      </c>
      <c r="OJ32" s="292">
        <f t="shared" si="298"/>
        <v>0</v>
      </c>
    </row>
    <row r="33" spans="50:400" ht="29.25" customHeight="1" x14ac:dyDescent="0.3">
      <c r="BA33" s="999">
        <v>20</v>
      </c>
      <c r="BB33" s="286">
        <f t="shared" si="299"/>
        <v>43941</v>
      </c>
      <c r="BC33" s="287">
        <f t="shared" si="23"/>
        <v>43941</v>
      </c>
      <c r="BD33" s="288" t="str">
        <f>'दैनिक माहिती'!H28</f>
        <v>वाटाणा</v>
      </c>
      <c r="BE33" s="289">
        <f>'दैनिक माहिती'!E28</f>
        <v>22</v>
      </c>
      <c r="BF33" s="289">
        <f>'दैनिक माहिती'!F28</f>
        <v>22</v>
      </c>
      <c r="BG33" s="289">
        <f>'दैनिक माहिती'!G28</f>
        <v>22</v>
      </c>
      <c r="BH33" s="290">
        <f t="shared" si="35"/>
        <v>2.2000000000000002</v>
      </c>
      <c r="BI33" s="290">
        <f t="shared" si="36"/>
        <v>0</v>
      </c>
      <c r="BJ33" s="290">
        <f t="shared" si="37"/>
        <v>0</v>
      </c>
      <c r="BK33" s="290">
        <f t="shared" si="38"/>
        <v>0</v>
      </c>
      <c r="BL33" s="290">
        <f t="shared" si="39"/>
        <v>0</v>
      </c>
      <c r="BM33" s="290">
        <f t="shared" si="40"/>
        <v>0</v>
      </c>
      <c r="BN33" s="290">
        <f t="shared" si="41"/>
        <v>0</v>
      </c>
      <c r="BO33" s="290">
        <f t="shared" si="42"/>
        <v>0</v>
      </c>
      <c r="BP33" s="290">
        <f t="shared" si="43"/>
        <v>0.44</v>
      </c>
      <c r="BQ33" s="290">
        <f t="shared" si="44"/>
        <v>6.5999999999999991E-3</v>
      </c>
      <c r="BR33" s="290">
        <f t="shared" si="45"/>
        <v>1.0999999999999999E-2</v>
      </c>
      <c r="BS33" s="290">
        <f t="shared" si="46"/>
        <v>6.5999999999999991E-3</v>
      </c>
      <c r="BT33" s="290">
        <f t="shared" si="47"/>
        <v>0</v>
      </c>
      <c r="BU33" s="290">
        <f t="shared" si="48"/>
        <v>0</v>
      </c>
      <c r="BV33" s="290">
        <f t="shared" si="49"/>
        <v>0.11</v>
      </c>
      <c r="BW33" s="290">
        <f t="shared" si="50"/>
        <v>4.3999999999999997E-2</v>
      </c>
      <c r="BX33" s="290">
        <f t="shared" si="51"/>
        <v>2.6399999999999996E-2</v>
      </c>
      <c r="BY33" s="290">
        <f t="shared" si="52"/>
        <v>0</v>
      </c>
      <c r="BZ33" s="291">
        <f t="shared" si="53"/>
        <v>15.84</v>
      </c>
      <c r="CA33" s="291">
        <f t="shared" si="54"/>
        <v>14.08</v>
      </c>
      <c r="CB33" s="291">
        <f t="shared" si="55"/>
        <v>11.66</v>
      </c>
      <c r="CC33" s="292">
        <f t="shared" si="56"/>
        <v>58.96</v>
      </c>
      <c r="CD33" s="999">
        <v>20</v>
      </c>
      <c r="CE33" s="286">
        <f t="shared" si="300"/>
        <v>43971</v>
      </c>
      <c r="CF33" s="287">
        <f t="shared" si="24"/>
        <v>43971</v>
      </c>
      <c r="CG33" s="288">
        <f>'दैनिक माहिती'!H59</f>
        <v>0</v>
      </c>
      <c r="CH33" s="289">
        <f>'दैनिक माहिती'!E59</f>
        <v>0</v>
      </c>
      <c r="CI33" s="289">
        <f>'दैनिक माहिती'!F59</f>
        <v>0</v>
      </c>
      <c r="CJ33" s="289">
        <f>'दैनिक माहिती'!G59</f>
        <v>0</v>
      </c>
      <c r="CK33" s="290">
        <f t="shared" si="57"/>
        <v>0</v>
      </c>
      <c r="CL33" s="290">
        <f t="shared" si="58"/>
        <v>0</v>
      </c>
      <c r="CM33" s="290">
        <f t="shared" si="59"/>
        <v>0</v>
      </c>
      <c r="CN33" s="290">
        <f t="shared" si="60"/>
        <v>0</v>
      </c>
      <c r="CO33" s="290">
        <f t="shared" si="61"/>
        <v>0</v>
      </c>
      <c r="CP33" s="290">
        <f t="shared" si="62"/>
        <v>0</v>
      </c>
      <c r="CQ33" s="290">
        <f t="shared" si="63"/>
        <v>0</v>
      </c>
      <c r="CR33" s="290">
        <f t="shared" si="64"/>
        <v>0</v>
      </c>
      <c r="CS33" s="290">
        <f t="shared" si="65"/>
        <v>0</v>
      </c>
      <c r="CT33" s="290">
        <f t="shared" si="66"/>
        <v>0</v>
      </c>
      <c r="CU33" s="290">
        <f t="shared" si="67"/>
        <v>0</v>
      </c>
      <c r="CV33" s="290">
        <f t="shared" si="68"/>
        <v>0</v>
      </c>
      <c r="CW33" s="290">
        <f t="shared" si="69"/>
        <v>0</v>
      </c>
      <c r="CX33" s="290">
        <f t="shared" si="70"/>
        <v>0</v>
      </c>
      <c r="CY33" s="290">
        <f t="shared" si="71"/>
        <v>0</v>
      </c>
      <c r="CZ33" s="290">
        <f t="shared" si="72"/>
        <v>0</v>
      </c>
      <c r="DA33" s="290">
        <f t="shared" si="73"/>
        <v>0</v>
      </c>
      <c r="DB33" s="290">
        <f t="shared" si="74"/>
        <v>0</v>
      </c>
      <c r="DC33" s="291">
        <f t="shared" si="75"/>
        <v>0</v>
      </c>
      <c r="DD33" s="291">
        <f t="shared" si="76"/>
        <v>0</v>
      </c>
      <c r="DE33" s="291">
        <f t="shared" si="77"/>
        <v>0</v>
      </c>
      <c r="DF33" s="292">
        <f t="shared" si="78"/>
        <v>0</v>
      </c>
      <c r="DG33" s="999">
        <v>20</v>
      </c>
      <c r="DH33" s="286">
        <f t="shared" si="301"/>
        <v>44002</v>
      </c>
      <c r="DI33" s="287">
        <f t="shared" si="25"/>
        <v>44002</v>
      </c>
      <c r="DJ33" s="288" t="str">
        <f>'दैनिक माहिती'!H91</f>
        <v>मुगडाळ</v>
      </c>
      <c r="DK33" s="289">
        <f>'दैनिक माहिती'!E91</f>
        <v>17</v>
      </c>
      <c r="DL33" s="289">
        <f>'दैनिक माहिती'!F91</f>
        <v>17</v>
      </c>
      <c r="DM33" s="289">
        <f>'दैनिक माहिती'!G91</f>
        <v>17</v>
      </c>
      <c r="DN33" s="290">
        <f t="shared" si="79"/>
        <v>1.7000000000000002</v>
      </c>
      <c r="DO33" s="290">
        <f t="shared" si="80"/>
        <v>0.34</v>
      </c>
      <c r="DP33" s="290">
        <f t="shared" si="81"/>
        <v>0</v>
      </c>
      <c r="DQ33" s="290">
        <f t="shared" si="82"/>
        <v>0</v>
      </c>
      <c r="DR33" s="290">
        <f t="shared" si="83"/>
        <v>0</v>
      </c>
      <c r="DS33" s="290">
        <f t="shared" si="84"/>
        <v>0</v>
      </c>
      <c r="DT33" s="290">
        <f t="shared" si="85"/>
        <v>0</v>
      </c>
      <c r="DU33" s="290">
        <f t="shared" si="86"/>
        <v>0</v>
      </c>
      <c r="DV33" s="290">
        <f t="shared" si="87"/>
        <v>0</v>
      </c>
      <c r="DW33" s="290">
        <f t="shared" si="88"/>
        <v>5.0999999999999995E-3</v>
      </c>
      <c r="DX33" s="290">
        <f t="shared" si="89"/>
        <v>8.5000000000000006E-3</v>
      </c>
      <c r="DY33" s="290">
        <f t="shared" si="90"/>
        <v>5.0999999999999995E-3</v>
      </c>
      <c r="DZ33" s="290">
        <f t="shared" si="91"/>
        <v>0</v>
      </c>
      <c r="EA33" s="290">
        <f t="shared" si="92"/>
        <v>0</v>
      </c>
      <c r="EB33" s="290">
        <f t="shared" si="93"/>
        <v>8.5000000000000006E-2</v>
      </c>
      <c r="EC33" s="290">
        <f t="shared" si="94"/>
        <v>3.4000000000000002E-2</v>
      </c>
      <c r="ED33" s="290">
        <f t="shared" si="95"/>
        <v>2.0399999999999998E-2</v>
      </c>
      <c r="EE33" s="290">
        <f t="shared" si="96"/>
        <v>0</v>
      </c>
      <c r="EF33" s="291">
        <f t="shared" si="97"/>
        <v>12.24</v>
      </c>
      <c r="EG33" s="291">
        <f t="shared" si="98"/>
        <v>10.88</v>
      </c>
      <c r="EH33" s="291">
        <f t="shared" si="99"/>
        <v>9.01</v>
      </c>
      <c r="EI33" s="292">
        <f t="shared" si="100"/>
        <v>45.56</v>
      </c>
      <c r="EJ33" s="999">
        <v>20</v>
      </c>
      <c r="EK33" s="286">
        <f t="shared" si="302"/>
        <v>44032</v>
      </c>
      <c r="EL33" s="287">
        <f t="shared" si="26"/>
        <v>44032</v>
      </c>
      <c r="EM33" s="288" t="str">
        <f>'दैनिक माहिती'!H122</f>
        <v>वाटाणा</v>
      </c>
      <c r="EN33" s="289">
        <f>'दैनिक माहिती'!E122</f>
        <v>17</v>
      </c>
      <c r="EO33" s="289">
        <f>'दैनिक माहिती'!F122</f>
        <v>17</v>
      </c>
      <c r="EP33" s="289">
        <f>'दैनिक माहिती'!G122</f>
        <v>17</v>
      </c>
      <c r="EQ33" s="290">
        <f t="shared" si="101"/>
        <v>1.7000000000000002</v>
      </c>
      <c r="ER33" s="290">
        <f t="shared" si="102"/>
        <v>0</v>
      </c>
      <c r="ES33" s="290">
        <f t="shared" si="103"/>
        <v>0</v>
      </c>
      <c r="ET33" s="290">
        <f t="shared" si="104"/>
        <v>0</v>
      </c>
      <c r="EU33" s="290">
        <f t="shared" si="105"/>
        <v>0</v>
      </c>
      <c r="EV33" s="290">
        <f t="shared" si="106"/>
        <v>0</v>
      </c>
      <c r="EW33" s="290">
        <f t="shared" si="107"/>
        <v>0</v>
      </c>
      <c r="EX33" s="290">
        <f t="shared" si="108"/>
        <v>0</v>
      </c>
      <c r="EY33" s="290">
        <f t="shared" si="109"/>
        <v>0.34</v>
      </c>
      <c r="EZ33" s="290">
        <f t="shared" si="110"/>
        <v>5.0999999999999995E-3</v>
      </c>
      <c r="FA33" s="290">
        <f t="shared" si="111"/>
        <v>8.5000000000000006E-3</v>
      </c>
      <c r="FB33" s="290">
        <f t="shared" si="112"/>
        <v>5.0999999999999995E-3</v>
      </c>
      <c r="FC33" s="290">
        <f t="shared" si="113"/>
        <v>0</v>
      </c>
      <c r="FD33" s="290">
        <f t="shared" si="114"/>
        <v>0</v>
      </c>
      <c r="FE33" s="290">
        <f t="shared" si="115"/>
        <v>8.5000000000000006E-2</v>
      </c>
      <c r="FF33" s="290">
        <f t="shared" si="116"/>
        <v>3.4000000000000002E-2</v>
      </c>
      <c r="FG33" s="290">
        <f t="shared" si="117"/>
        <v>2.0399999999999998E-2</v>
      </c>
      <c r="FH33" s="290">
        <f t="shared" si="118"/>
        <v>0</v>
      </c>
      <c r="FI33" s="291">
        <f t="shared" si="119"/>
        <v>12.24</v>
      </c>
      <c r="FJ33" s="291">
        <f t="shared" si="120"/>
        <v>10.88</v>
      </c>
      <c r="FK33" s="291">
        <f t="shared" si="121"/>
        <v>9.01</v>
      </c>
      <c r="FL33" s="292">
        <f t="shared" si="122"/>
        <v>45.56</v>
      </c>
      <c r="FM33" s="999">
        <v>20</v>
      </c>
      <c r="FN33" s="286">
        <f t="shared" si="303"/>
        <v>44063</v>
      </c>
      <c r="FO33" s="287">
        <f t="shared" si="27"/>
        <v>44063</v>
      </c>
      <c r="FP33" s="288" t="str">
        <f>'दैनिक माहिती'!H154</f>
        <v>मुगडाळ</v>
      </c>
      <c r="FQ33" s="289">
        <f>'दैनिक माहिती'!E154</f>
        <v>15</v>
      </c>
      <c r="FR33" s="289">
        <f>'दैनिक माहिती'!F154</f>
        <v>15</v>
      </c>
      <c r="FS33" s="289">
        <f>'दैनिक माहिती'!G154</f>
        <v>15</v>
      </c>
      <c r="FT33" s="290">
        <f t="shared" si="123"/>
        <v>1.5</v>
      </c>
      <c r="FU33" s="290">
        <f t="shared" si="124"/>
        <v>0.3</v>
      </c>
      <c r="FV33" s="290">
        <f t="shared" si="125"/>
        <v>0</v>
      </c>
      <c r="FW33" s="290">
        <f t="shared" si="126"/>
        <v>0</v>
      </c>
      <c r="FX33" s="290">
        <f t="shared" si="127"/>
        <v>0</v>
      </c>
      <c r="FY33" s="290">
        <f t="shared" si="128"/>
        <v>0</v>
      </c>
      <c r="FZ33" s="290">
        <f t="shared" si="129"/>
        <v>0</v>
      </c>
      <c r="GA33" s="290">
        <f t="shared" si="130"/>
        <v>0</v>
      </c>
      <c r="GB33" s="290">
        <f t="shared" si="131"/>
        <v>0</v>
      </c>
      <c r="GC33" s="290">
        <f t="shared" si="132"/>
        <v>4.4999999999999997E-3</v>
      </c>
      <c r="GD33" s="290">
        <f t="shared" si="133"/>
        <v>7.4999999999999997E-3</v>
      </c>
      <c r="GE33" s="290">
        <f t="shared" si="134"/>
        <v>4.4999999999999997E-3</v>
      </c>
      <c r="GF33" s="290">
        <f t="shared" si="135"/>
        <v>0</v>
      </c>
      <c r="GG33" s="290">
        <f t="shared" si="136"/>
        <v>0</v>
      </c>
      <c r="GH33" s="290">
        <f t="shared" si="137"/>
        <v>7.4999999999999997E-2</v>
      </c>
      <c r="GI33" s="290">
        <f t="shared" si="138"/>
        <v>0.03</v>
      </c>
      <c r="GJ33" s="290">
        <f t="shared" si="139"/>
        <v>1.7999999999999999E-2</v>
      </c>
      <c r="GK33" s="290">
        <f t="shared" si="140"/>
        <v>0</v>
      </c>
      <c r="GL33" s="291">
        <f t="shared" si="141"/>
        <v>10.799999999999999</v>
      </c>
      <c r="GM33" s="291">
        <f t="shared" si="142"/>
        <v>9.6</v>
      </c>
      <c r="GN33" s="291">
        <f t="shared" si="143"/>
        <v>7.95</v>
      </c>
      <c r="GO33" s="292">
        <f t="shared" si="144"/>
        <v>40.200000000000003</v>
      </c>
      <c r="GP33" s="999">
        <v>20</v>
      </c>
      <c r="GQ33" s="286">
        <f t="shared" si="304"/>
        <v>44094</v>
      </c>
      <c r="GR33" s="287">
        <f t="shared" si="28"/>
        <v>44094</v>
      </c>
      <c r="GS33" s="288" t="str">
        <f>'दैनिक माहिती'!H186</f>
        <v>हरभरा</v>
      </c>
      <c r="GT33" s="289">
        <f>'दैनिक माहिती'!E186</f>
        <v>16</v>
      </c>
      <c r="GU33" s="289">
        <f>'दैनिक माहिती'!F186</f>
        <v>16</v>
      </c>
      <c r="GV33" s="289">
        <f>'दैनिक माहिती'!G186</f>
        <v>16</v>
      </c>
      <c r="GW33" s="290">
        <f t="shared" si="145"/>
        <v>1.6</v>
      </c>
      <c r="GX33" s="290">
        <f t="shared" si="146"/>
        <v>0</v>
      </c>
      <c r="GY33" s="290">
        <f t="shared" si="147"/>
        <v>0</v>
      </c>
      <c r="GZ33" s="290">
        <f t="shared" si="148"/>
        <v>0</v>
      </c>
      <c r="HA33" s="290">
        <f t="shared" si="149"/>
        <v>0</v>
      </c>
      <c r="HB33" s="290">
        <f t="shared" si="150"/>
        <v>0</v>
      </c>
      <c r="HC33" s="290">
        <f t="shared" si="151"/>
        <v>0</v>
      </c>
      <c r="HD33" s="290">
        <f t="shared" si="152"/>
        <v>0.32</v>
      </c>
      <c r="HE33" s="290">
        <f t="shared" si="153"/>
        <v>0</v>
      </c>
      <c r="HF33" s="290">
        <f t="shared" si="154"/>
        <v>4.7999999999999996E-3</v>
      </c>
      <c r="HG33" s="290">
        <f t="shared" si="155"/>
        <v>8.0000000000000002E-3</v>
      </c>
      <c r="HH33" s="290">
        <f t="shared" si="156"/>
        <v>4.7999999999999996E-3</v>
      </c>
      <c r="HI33" s="290">
        <f t="shared" si="157"/>
        <v>0</v>
      </c>
      <c r="HJ33" s="290">
        <f t="shared" si="158"/>
        <v>0</v>
      </c>
      <c r="HK33" s="290">
        <f t="shared" si="159"/>
        <v>0.08</v>
      </c>
      <c r="HL33" s="290">
        <f t="shared" si="160"/>
        <v>3.2000000000000001E-2</v>
      </c>
      <c r="HM33" s="290">
        <f t="shared" si="161"/>
        <v>1.9199999999999998E-2</v>
      </c>
      <c r="HN33" s="290">
        <f t="shared" si="162"/>
        <v>0</v>
      </c>
      <c r="HO33" s="291">
        <f t="shared" si="163"/>
        <v>11.52</v>
      </c>
      <c r="HP33" s="291">
        <f t="shared" si="164"/>
        <v>10.24</v>
      </c>
      <c r="HQ33" s="291">
        <f t="shared" si="165"/>
        <v>8.48</v>
      </c>
      <c r="HR33" s="292">
        <f t="shared" si="166"/>
        <v>42.88</v>
      </c>
      <c r="HS33" s="999">
        <v>20</v>
      </c>
      <c r="HT33" s="286">
        <f t="shared" si="305"/>
        <v>44124</v>
      </c>
      <c r="HU33" s="287">
        <f t="shared" si="29"/>
        <v>44124</v>
      </c>
      <c r="HV33" s="288">
        <f>'दैनिक माहिती'!H217</f>
        <v>0</v>
      </c>
      <c r="HW33" s="289">
        <f>'दैनिक माहिती'!E217</f>
        <v>0</v>
      </c>
      <c r="HX33" s="289">
        <f>'दैनिक माहिती'!F217</f>
        <v>0</v>
      </c>
      <c r="HY33" s="289">
        <f>'दैनिक माहिती'!G217</f>
        <v>0</v>
      </c>
      <c r="HZ33" s="290">
        <f t="shared" si="167"/>
        <v>0</v>
      </c>
      <c r="IA33" s="290">
        <f t="shared" si="168"/>
        <v>0</v>
      </c>
      <c r="IB33" s="290">
        <f t="shared" si="169"/>
        <v>0</v>
      </c>
      <c r="IC33" s="290">
        <f t="shared" si="170"/>
        <v>0</v>
      </c>
      <c r="ID33" s="290">
        <f t="shared" si="171"/>
        <v>0</v>
      </c>
      <c r="IE33" s="290">
        <f t="shared" si="172"/>
        <v>0</v>
      </c>
      <c r="IF33" s="290">
        <f t="shared" si="173"/>
        <v>0</v>
      </c>
      <c r="IG33" s="290">
        <f t="shared" si="174"/>
        <v>0</v>
      </c>
      <c r="IH33" s="290">
        <f t="shared" si="175"/>
        <v>0</v>
      </c>
      <c r="II33" s="290">
        <f t="shared" si="176"/>
        <v>0</v>
      </c>
      <c r="IJ33" s="290">
        <f t="shared" si="177"/>
        <v>0</v>
      </c>
      <c r="IK33" s="290">
        <f t="shared" si="178"/>
        <v>0</v>
      </c>
      <c r="IL33" s="290">
        <f t="shared" si="179"/>
        <v>0</v>
      </c>
      <c r="IM33" s="290">
        <f t="shared" si="180"/>
        <v>0</v>
      </c>
      <c r="IN33" s="290">
        <f t="shared" si="181"/>
        <v>0</v>
      </c>
      <c r="IO33" s="290">
        <f t="shared" si="182"/>
        <v>0</v>
      </c>
      <c r="IP33" s="290">
        <f t="shared" si="183"/>
        <v>0</v>
      </c>
      <c r="IQ33" s="290">
        <f t="shared" si="184"/>
        <v>0</v>
      </c>
      <c r="IR33" s="291">
        <f t="shared" si="185"/>
        <v>0</v>
      </c>
      <c r="IS33" s="291">
        <f t="shared" si="186"/>
        <v>0</v>
      </c>
      <c r="IT33" s="291">
        <f t="shared" si="187"/>
        <v>0</v>
      </c>
      <c r="IU33" s="292">
        <f t="shared" si="188"/>
        <v>0</v>
      </c>
      <c r="IV33" s="999">
        <v>20</v>
      </c>
      <c r="IW33" s="286">
        <f t="shared" si="306"/>
        <v>44155</v>
      </c>
      <c r="IX33" s="287">
        <f t="shared" si="30"/>
        <v>44155</v>
      </c>
      <c r="IY33" s="288">
        <f>'दैनिक माहिती'!H249</f>
        <v>0</v>
      </c>
      <c r="IZ33" s="289">
        <f>'दैनिक माहिती'!E249</f>
        <v>0</v>
      </c>
      <c r="JA33" s="289">
        <f>'दैनिक माहिती'!F249</f>
        <v>0</v>
      </c>
      <c r="JB33" s="289">
        <f>'दैनिक माहिती'!G249</f>
        <v>0</v>
      </c>
      <c r="JC33" s="290">
        <f t="shared" si="189"/>
        <v>0</v>
      </c>
      <c r="JD33" s="290">
        <f t="shared" si="190"/>
        <v>0</v>
      </c>
      <c r="JE33" s="290">
        <f t="shared" si="191"/>
        <v>0</v>
      </c>
      <c r="JF33" s="290">
        <f t="shared" si="192"/>
        <v>0</v>
      </c>
      <c r="JG33" s="290">
        <f t="shared" si="193"/>
        <v>0</v>
      </c>
      <c r="JH33" s="290">
        <f t="shared" si="194"/>
        <v>0</v>
      </c>
      <c r="JI33" s="290">
        <f t="shared" si="195"/>
        <v>0</v>
      </c>
      <c r="JJ33" s="290">
        <f t="shared" si="196"/>
        <v>0</v>
      </c>
      <c r="JK33" s="290">
        <f t="shared" si="197"/>
        <v>0</v>
      </c>
      <c r="JL33" s="290">
        <f t="shared" si="198"/>
        <v>0</v>
      </c>
      <c r="JM33" s="290">
        <f t="shared" si="199"/>
        <v>0</v>
      </c>
      <c r="JN33" s="290">
        <f t="shared" si="200"/>
        <v>0</v>
      </c>
      <c r="JO33" s="290">
        <f t="shared" si="201"/>
        <v>0</v>
      </c>
      <c r="JP33" s="290">
        <f t="shared" si="202"/>
        <v>0</v>
      </c>
      <c r="JQ33" s="290">
        <f t="shared" si="203"/>
        <v>0</v>
      </c>
      <c r="JR33" s="290">
        <f t="shared" si="204"/>
        <v>0</v>
      </c>
      <c r="JS33" s="290">
        <f t="shared" si="205"/>
        <v>0</v>
      </c>
      <c r="JT33" s="290">
        <f t="shared" si="206"/>
        <v>0</v>
      </c>
      <c r="JU33" s="291">
        <f t="shared" si="207"/>
        <v>0</v>
      </c>
      <c r="JV33" s="291">
        <f t="shared" si="208"/>
        <v>0</v>
      </c>
      <c r="JW33" s="291">
        <f t="shared" si="209"/>
        <v>0</v>
      </c>
      <c r="JX33" s="292">
        <f t="shared" si="210"/>
        <v>0</v>
      </c>
      <c r="JY33" s="999">
        <v>20</v>
      </c>
      <c r="JZ33" s="286">
        <f t="shared" si="307"/>
        <v>44185</v>
      </c>
      <c r="KA33" s="287">
        <f t="shared" si="31"/>
        <v>44185</v>
      </c>
      <c r="KB33" s="288" t="str">
        <f>'दैनिक माहिती'!H280</f>
        <v>हरभरा</v>
      </c>
      <c r="KC33" s="289">
        <f>'दैनिक माहिती'!E280</f>
        <v>21</v>
      </c>
      <c r="KD33" s="289">
        <f>'दैनिक माहिती'!F280</f>
        <v>21</v>
      </c>
      <c r="KE33" s="289">
        <f>'दैनिक माहिती'!G280</f>
        <v>21</v>
      </c>
      <c r="KF33" s="290">
        <f t="shared" si="211"/>
        <v>2.1</v>
      </c>
      <c r="KG33" s="290">
        <f t="shared" si="212"/>
        <v>0</v>
      </c>
      <c r="KH33" s="290">
        <f t="shared" si="213"/>
        <v>0</v>
      </c>
      <c r="KI33" s="290">
        <f t="shared" si="214"/>
        <v>0</v>
      </c>
      <c r="KJ33" s="290">
        <f t="shared" si="215"/>
        <v>0</v>
      </c>
      <c r="KK33" s="290">
        <f t="shared" si="216"/>
        <v>0</v>
      </c>
      <c r="KL33" s="290">
        <f t="shared" si="217"/>
        <v>0</v>
      </c>
      <c r="KM33" s="290">
        <f t="shared" si="218"/>
        <v>0.42</v>
      </c>
      <c r="KN33" s="290">
        <f t="shared" si="219"/>
        <v>0</v>
      </c>
      <c r="KO33" s="290">
        <f t="shared" si="220"/>
        <v>6.2999999999999992E-3</v>
      </c>
      <c r="KP33" s="290">
        <f t="shared" si="221"/>
        <v>1.0500000000000001E-2</v>
      </c>
      <c r="KQ33" s="290">
        <f t="shared" si="222"/>
        <v>6.2999999999999992E-3</v>
      </c>
      <c r="KR33" s="290">
        <f t="shared" si="223"/>
        <v>0</v>
      </c>
      <c r="KS33" s="290">
        <f t="shared" si="224"/>
        <v>0</v>
      </c>
      <c r="KT33" s="290">
        <f t="shared" si="225"/>
        <v>0.105</v>
      </c>
      <c r="KU33" s="290">
        <f t="shared" si="226"/>
        <v>4.2000000000000003E-2</v>
      </c>
      <c r="KV33" s="290">
        <f t="shared" si="227"/>
        <v>2.5199999999999997E-2</v>
      </c>
      <c r="KW33" s="290">
        <f t="shared" si="228"/>
        <v>0</v>
      </c>
      <c r="KX33" s="291">
        <f t="shared" si="229"/>
        <v>14.91</v>
      </c>
      <c r="KY33" s="291">
        <f t="shared" si="230"/>
        <v>16.59</v>
      </c>
      <c r="KZ33" s="291">
        <f t="shared" si="231"/>
        <v>12.18</v>
      </c>
      <c r="LA33" s="292">
        <f t="shared" si="232"/>
        <v>60.27</v>
      </c>
      <c r="LB33" s="999">
        <v>20</v>
      </c>
      <c r="LC33" s="286">
        <f t="shared" si="308"/>
        <v>44216</v>
      </c>
      <c r="LD33" s="287">
        <f t="shared" si="32"/>
        <v>44216</v>
      </c>
      <c r="LE33" s="288">
        <f>'दैनिक माहिती'!H312</f>
        <v>0</v>
      </c>
      <c r="LF33" s="289">
        <f>'दैनिक माहिती'!E312</f>
        <v>0</v>
      </c>
      <c r="LG33" s="289">
        <f>'दैनिक माहिती'!F312</f>
        <v>0</v>
      </c>
      <c r="LH33" s="289">
        <f>'दैनिक माहिती'!G312</f>
        <v>0</v>
      </c>
      <c r="LI33" s="290">
        <f t="shared" si="233"/>
        <v>0</v>
      </c>
      <c r="LJ33" s="290">
        <f t="shared" si="234"/>
        <v>0</v>
      </c>
      <c r="LK33" s="290">
        <f t="shared" si="235"/>
        <v>0</v>
      </c>
      <c r="LL33" s="290">
        <f t="shared" si="236"/>
        <v>0</v>
      </c>
      <c r="LM33" s="290">
        <f t="shared" si="237"/>
        <v>0</v>
      </c>
      <c r="LN33" s="290">
        <f t="shared" si="238"/>
        <v>0</v>
      </c>
      <c r="LO33" s="290">
        <f t="shared" si="239"/>
        <v>0</v>
      </c>
      <c r="LP33" s="290">
        <f t="shared" si="240"/>
        <v>0</v>
      </c>
      <c r="LQ33" s="290">
        <f t="shared" si="241"/>
        <v>0</v>
      </c>
      <c r="LR33" s="290">
        <f t="shared" si="242"/>
        <v>0</v>
      </c>
      <c r="LS33" s="290">
        <f t="shared" si="243"/>
        <v>0</v>
      </c>
      <c r="LT33" s="290">
        <f t="shared" si="244"/>
        <v>0</v>
      </c>
      <c r="LU33" s="290">
        <f t="shared" si="245"/>
        <v>0</v>
      </c>
      <c r="LV33" s="290">
        <f t="shared" si="246"/>
        <v>0</v>
      </c>
      <c r="LW33" s="290">
        <f t="shared" si="247"/>
        <v>0</v>
      </c>
      <c r="LX33" s="290">
        <f t="shared" si="248"/>
        <v>0</v>
      </c>
      <c r="LY33" s="290">
        <f t="shared" si="249"/>
        <v>0</v>
      </c>
      <c r="LZ33" s="290">
        <f t="shared" si="250"/>
        <v>0</v>
      </c>
      <c r="MA33" s="291">
        <f t="shared" si="251"/>
        <v>0</v>
      </c>
      <c r="MB33" s="291">
        <f t="shared" si="252"/>
        <v>0</v>
      </c>
      <c r="MC33" s="291">
        <f t="shared" si="253"/>
        <v>0</v>
      </c>
      <c r="MD33" s="292">
        <f t="shared" si="254"/>
        <v>0</v>
      </c>
      <c r="ME33" s="999">
        <v>20</v>
      </c>
      <c r="MF33" s="286">
        <f t="shared" si="309"/>
        <v>44247</v>
      </c>
      <c r="MG33" s="287">
        <f t="shared" si="33"/>
        <v>44247</v>
      </c>
      <c r="MH33" s="288">
        <f>'दैनिक माहिती'!H344</f>
        <v>0</v>
      </c>
      <c r="MI33" s="289">
        <f>'दैनिक माहिती'!E344</f>
        <v>0</v>
      </c>
      <c r="MJ33" s="289">
        <f>'दैनिक माहिती'!F344</f>
        <v>0</v>
      </c>
      <c r="MK33" s="289">
        <f>'दैनिक माहिती'!G344</f>
        <v>0</v>
      </c>
      <c r="ML33" s="290">
        <f t="shared" si="255"/>
        <v>0</v>
      </c>
      <c r="MM33" s="290">
        <f t="shared" si="256"/>
        <v>0</v>
      </c>
      <c r="MN33" s="290">
        <f t="shared" si="257"/>
        <v>0</v>
      </c>
      <c r="MO33" s="290">
        <f t="shared" si="258"/>
        <v>0</v>
      </c>
      <c r="MP33" s="290">
        <f t="shared" si="259"/>
        <v>0</v>
      </c>
      <c r="MQ33" s="290">
        <f t="shared" si="260"/>
        <v>0</v>
      </c>
      <c r="MR33" s="290">
        <f t="shared" si="261"/>
        <v>0</v>
      </c>
      <c r="MS33" s="290">
        <f t="shared" si="262"/>
        <v>0</v>
      </c>
      <c r="MT33" s="290">
        <f t="shared" si="263"/>
        <v>0</v>
      </c>
      <c r="MU33" s="290">
        <f t="shared" si="264"/>
        <v>0</v>
      </c>
      <c r="MV33" s="290">
        <f t="shared" si="265"/>
        <v>0</v>
      </c>
      <c r="MW33" s="290">
        <f t="shared" si="266"/>
        <v>0</v>
      </c>
      <c r="MX33" s="290">
        <f t="shared" si="267"/>
        <v>0</v>
      </c>
      <c r="MY33" s="290">
        <f t="shared" si="268"/>
        <v>0</v>
      </c>
      <c r="MZ33" s="290">
        <f t="shared" si="269"/>
        <v>0</v>
      </c>
      <c r="NA33" s="290">
        <f t="shared" si="270"/>
        <v>0</v>
      </c>
      <c r="NB33" s="290">
        <f t="shared" si="271"/>
        <v>0</v>
      </c>
      <c r="NC33" s="290">
        <f t="shared" si="272"/>
        <v>0</v>
      </c>
      <c r="ND33" s="291">
        <f t="shared" si="273"/>
        <v>0</v>
      </c>
      <c r="NE33" s="291">
        <f t="shared" si="274"/>
        <v>0</v>
      </c>
      <c r="NF33" s="291">
        <f t="shared" si="275"/>
        <v>0</v>
      </c>
      <c r="NG33" s="292">
        <f t="shared" si="276"/>
        <v>0</v>
      </c>
      <c r="NH33" s="999">
        <v>20</v>
      </c>
      <c r="NI33" s="286">
        <f t="shared" si="310"/>
        <v>44275</v>
      </c>
      <c r="NJ33" s="287">
        <f t="shared" si="34"/>
        <v>44275</v>
      </c>
      <c r="NK33" s="288">
        <f>'दैनिक माहिती'!H374</f>
        <v>0</v>
      </c>
      <c r="NL33" s="289">
        <f>'दैनिक माहिती'!E374</f>
        <v>0</v>
      </c>
      <c r="NM33" s="289">
        <f>'दैनिक माहिती'!F374</f>
        <v>0</v>
      </c>
      <c r="NN33" s="289">
        <f>'दैनिक माहिती'!G374</f>
        <v>0</v>
      </c>
      <c r="NO33" s="290">
        <f t="shared" si="277"/>
        <v>0</v>
      </c>
      <c r="NP33" s="290">
        <f t="shared" si="278"/>
        <v>0</v>
      </c>
      <c r="NQ33" s="290">
        <f t="shared" si="279"/>
        <v>0</v>
      </c>
      <c r="NR33" s="290">
        <f t="shared" si="280"/>
        <v>0</v>
      </c>
      <c r="NS33" s="290">
        <f t="shared" si="281"/>
        <v>0</v>
      </c>
      <c r="NT33" s="290">
        <f t="shared" si="282"/>
        <v>0</v>
      </c>
      <c r="NU33" s="290">
        <f t="shared" si="283"/>
        <v>0</v>
      </c>
      <c r="NV33" s="290">
        <f t="shared" si="284"/>
        <v>0</v>
      </c>
      <c r="NW33" s="290">
        <f t="shared" si="285"/>
        <v>0</v>
      </c>
      <c r="NX33" s="290">
        <f t="shared" si="286"/>
        <v>0</v>
      </c>
      <c r="NY33" s="290">
        <f t="shared" si="287"/>
        <v>0</v>
      </c>
      <c r="NZ33" s="290">
        <f t="shared" si="288"/>
        <v>0</v>
      </c>
      <c r="OA33" s="290">
        <f t="shared" si="289"/>
        <v>0</v>
      </c>
      <c r="OB33" s="290">
        <f t="shared" si="290"/>
        <v>0</v>
      </c>
      <c r="OC33" s="290">
        <f t="shared" si="291"/>
        <v>0</v>
      </c>
      <c r="OD33" s="290">
        <f t="shared" si="292"/>
        <v>0</v>
      </c>
      <c r="OE33" s="290">
        <f t="shared" si="293"/>
        <v>0</v>
      </c>
      <c r="OF33" s="290">
        <f t="shared" si="294"/>
        <v>0</v>
      </c>
      <c r="OG33" s="291">
        <f t="shared" si="295"/>
        <v>0</v>
      </c>
      <c r="OH33" s="291">
        <f t="shared" si="296"/>
        <v>0</v>
      </c>
      <c r="OI33" s="291">
        <f t="shared" si="297"/>
        <v>0</v>
      </c>
      <c r="OJ33" s="292">
        <f t="shared" si="298"/>
        <v>0</v>
      </c>
    </row>
    <row r="34" spans="50:400" ht="29.25" customHeight="1" x14ac:dyDescent="0.3">
      <c r="BA34" s="999">
        <v>21</v>
      </c>
      <c r="BB34" s="286">
        <f t="shared" si="299"/>
        <v>43942</v>
      </c>
      <c r="BC34" s="287">
        <f t="shared" si="23"/>
        <v>43942</v>
      </c>
      <c r="BD34" s="288" t="str">
        <f>'दैनिक माहिती'!H29</f>
        <v>हरभरा</v>
      </c>
      <c r="BE34" s="289">
        <f>'दैनिक माहिती'!E29</f>
        <v>22</v>
      </c>
      <c r="BF34" s="289">
        <f>'दैनिक माहिती'!F29</f>
        <v>22</v>
      </c>
      <c r="BG34" s="289">
        <f>'दैनिक माहिती'!G29</f>
        <v>22</v>
      </c>
      <c r="BH34" s="290">
        <f t="shared" si="35"/>
        <v>2.2000000000000002</v>
      </c>
      <c r="BI34" s="290">
        <f t="shared" si="36"/>
        <v>0</v>
      </c>
      <c r="BJ34" s="290">
        <f t="shared" si="37"/>
        <v>0</v>
      </c>
      <c r="BK34" s="290">
        <f t="shared" si="38"/>
        <v>0</v>
      </c>
      <c r="BL34" s="290">
        <f t="shared" si="39"/>
        <v>0</v>
      </c>
      <c r="BM34" s="290">
        <f t="shared" si="40"/>
        <v>0</v>
      </c>
      <c r="BN34" s="290">
        <f t="shared" si="41"/>
        <v>0</v>
      </c>
      <c r="BO34" s="290">
        <f t="shared" si="42"/>
        <v>0.44</v>
      </c>
      <c r="BP34" s="290">
        <f t="shared" si="43"/>
        <v>0</v>
      </c>
      <c r="BQ34" s="290">
        <f t="shared" si="44"/>
        <v>6.5999999999999991E-3</v>
      </c>
      <c r="BR34" s="290">
        <f t="shared" si="45"/>
        <v>1.0999999999999999E-2</v>
      </c>
      <c r="BS34" s="290">
        <f t="shared" si="46"/>
        <v>6.5999999999999991E-3</v>
      </c>
      <c r="BT34" s="290">
        <f t="shared" si="47"/>
        <v>0</v>
      </c>
      <c r="BU34" s="290">
        <f t="shared" si="48"/>
        <v>0</v>
      </c>
      <c r="BV34" s="290">
        <f t="shared" si="49"/>
        <v>0.11</v>
      </c>
      <c r="BW34" s="290">
        <f t="shared" si="50"/>
        <v>4.3999999999999997E-2</v>
      </c>
      <c r="BX34" s="290">
        <f t="shared" si="51"/>
        <v>2.6399999999999996E-2</v>
      </c>
      <c r="BY34" s="290">
        <f t="shared" si="52"/>
        <v>0</v>
      </c>
      <c r="BZ34" s="291">
        <f t="shared" si="53"/>
        <v>15.84</v>
      </c>
      <c r="CA34" s="291">
        <f t="shared" si="54"/>
        <v>14.08</v>
      </c>
      <c r="CB34" s="291">
        <f t="shared" si="55"/>
        <v>11.66</v>
      </c>
      <c r="CC34" s="292">
        <f t="shared" si="56"/>
        <v>58.96</v>
      </c>
      <c r="CD34" s="999">
        <v>21</v>
      </c>
      <c r="CE34" s="286">
        <f t="shared" si="300"/>
        <v>43972</v>
      </c>
      <c r="CF34" s="287">
        <f t="shared" si="24"/>
        <v>43972</v>
      </c>
      <c r="CG34" s="288">
        <f>'दैनिक माहिती'!H60</f>
        <v>0</v>
      </c>
      <c r="CH34" s="289">
        <f>'दैनिक माहिती'!E60</f>
        <v>0</v>
      </c>
      <c r="CI34" s="289">
        <f>'दैनिक माहिती'!F60</f>
        <v>0</v>
      </c>
      <c r="CJ34" s="289">
        <f>'दैनिक माहिती'!G60</f>
        <v>0</v>
      </c>
      <c r="CK34" s="290">
        <f t="shared" si="57"/>
        <v>0</v>
      </c>
      <c r="CL34" s="290">
        <f t="shared" si="58"/>
        <v>0</v>
      </c>
      <c r="CM34" s="290">
        <f t="shared" si="59"/>
        <v>0</v>
      </c>
      <c r="CN34" s="290">
        <f t="shared" si="60"/>
        <v>0</v>
      </c>
      <c r="CO34" s="290">
        <f t="shared" si="61"/>
        <v>0</v>
      </c>
      <c r="CP34" s="290">
        <f t="shared" si="62"/>
        <v>0</v>
      </c>
      <c r="CQ34" s="290">
        <f t="shared" si="63"/>
        <v>0</v>
      </c>
      <c r="CR34" s="290">
        <f t="shared" si="64"/>
        <v>0</v>
      </c>
      <c r="CS34" s="290">
        <f t="shared" si="65"/>
        <v>0</v>
      </c>
      <c r="CT34" s="290">
        <f t="shared" si="66"/>
        <v>0</v>
      </c>
      <c r="CU34" s="290">
        <f t="shared" si="67"/>
        <v>0</v>
      </c>
      <c r="CV34" s="290">
        <f t="shared" si="68"/>
        <v>0</v>
      </c>
      <c r="CW34" s="290">
        <f t="shared" si="69"/>
        <v>0</v>
      </c>
      <c r="CX34" s="290">
        <f t="shared" si="70"/>
        <v>0</v>
      </c>
      <c r="CY34" s="290">
        <f t="shared" si="71"/>
        <v>0</v>
      </c>
      <c r="CZ34" s="290">
        <f t="shared" si="72"/>
        <v>0</v>
      </c>
      <c r="DA34" s="290">
        <f t="shared" si="73"/>
        <v>0</v>
      </c>
      <c r="DB34" s="290">
        <f t="shared" si="74"/>
        <v>0</v>
      </c>
      <c r="DC34" s="291">
        <f t="shared" si="75"/>
        <v>0</v>
      </c>
      <c r="DD34" s="291">
        <f t="shared" si="76"/>
        <v>0</v>
      </c>
      <c r="DE34" s="291">
        <f t="shared" si="77"/>
        <v>0</v>
      </c>
      <c r="DF34" s="292">
        <f t="shared" si="78"/>
        <v>0</v>
      </c>
      <c r="DG34" s="999">
        <v>21</v>
      </c>
      <c r="DH34" s="286">
        <f t="shared" si="301"/>
        <v>44003</v>
      </c>
      <c r="DI34" s="287">
        <f t="shared" si="25"/>
        <v>44003</v>
      </c>
      <c r="DJ34" s="288" t="str">
        <f>'दैनिक माहिती'!H92</f>
        <v>हरभरा</v>
      </c>
      <c r="DK34" s="289">
        <f>'दैनिक माहिती'!E92</f>
        <v>17</v>
      </c>
      <c r="DL34" s="289">
        <f>'दैनिक माहिती'!F92</f>
        <v>17</v>
      </c>
      <c r="DM34" s="289">
        <f>'दैनिक माहिती'!G92</f>
        <v>17</v>
      </c>
      <c r="DN34" s="290">
        <f t="shared" si="79"/>
        <v>1.7000000000000002</v>
      </c>
      <c r="DO34" s="290">
        <f t="shared" si="80"/>
        <v>0</v>
      </c>
      <c r="DP34" s="290">
        <f t="shared" si="81"/>
        <v>0</v>
      </c>
      <c r="DQ34" s="290">
        <f t="shared" si="82"/>
        <v>0</v>
      </c>
      <c r="DR34" s="290">
        <f t="shared" si="83"/>
        <v>0</v>
      </c>
      <c r="DS34" s="290">
        <f t="shared" si="84"/>
        <v>0</v>
      </c>
      <c r="DT34" s="290">
        <f t="shared" si="85"/>
        <v>0</v>
      </c>
      <c r="DU34" s="290">
        <f t="shared" si="86"/>
        <v>0.34</v>
      </c>
      <c r="DV34" s="290">
        <f t="shared" si="87"/>
        <v>0</v>
      </c>
      <c r="DW34" s="290">
        <f t="shared" si="88"/>
        <v>5.0999999999999995E-3</v>
      </c>
      <c r="DX34" s="290">
        <f t="shared" si="89"/>
        <v>8.5000000000000006E-3</v>
      </c>
      <c r="DY34" s="290">
        <f t="shared" si="90"/>
        <v>5.0999999999999995E-3</v>
      </c>
      <c r="DZ34" s="290">
        <f t="shared" si="91"/>
        <v>0</v>
      </c>
      <c r="EA34" s="290">
        <f t="shared" si="92"/>
        <v>0</v>
      </c>
      <c r="EB34" s="290">
        <f t="shared" si="93"/>
        <v>8.5000000000000006E-2</v>
      </c>
      <c r="EC34" s="290">
        <f t="shared" si="94"/>
        <v>3.4000000000000002E-2</v>
      </c>
      <c r="ED34" s="290">
        <f t="shared" si="95"/>
        <v>2.0399999999999998E-2</v>
      </c>
      <c r="EE34" s="290">
        <f t="shared" si="96"/>
        <v>0</v>
      </c>
      <c r="EF34" s="291">
        <f t="shared" si="97"/>
        <v>12.24</v>
      </c>
      <c r="EG34" s="291">
        <f t="shared" si="98"/>
        <v>10.88</v>
      </c>
      <c r="EH34" s="291">
        <f t="shared" si="99"/>
        <v>9.01</v>
      </c>
      <c r="EI34" s="292">
        <f t="shared" si="100"/>
        <v>45.56</v>
      </c>
      <c r="EJ34" s="999">
        <v>21</v>
      </c>
      <c r="EK34" s="286">
        <f t="shared" si="302"/>
        <v>44033</v>
      </c>
      <c r="EL34" s="287">
        <f t="shared" si="26"/>
        <v>44033</v>
      </c>
      <c r="EM34" s="288" t="str">
        <f>'दैनिक माहिती'!H123</f>
        <v>हरभरा</v>
      </c>
      <c r="EN34" s="289">
        <f>'दैनिक माहिती'!E123</f>
        <v>17</v>
      </c>
      <c r="EO34" s="289">
        <f>'दैनिक माहिती'!F123</f>
        <v>17</v>
      </c>
      <c r="EP34" s="289">
        <f>'दैनिक माहिती'!G123</f>
        <v>17</v>
      </c>
      <c r="EQ34" s="290">
        <f t="shared" si="101"/>
        <v>1.7000000000000002</v>
      </c>
      <c r="ER34" s="290">
        <f t="shared" si="102"/>
        <v>0</v>
      </c>
      <c r="ES34" s="290">
        <f t="shared" si="103"/>
        <v>0</v>
      </c>
      <c r="ET34" s="290">
        <f t="shared" si="104"/>
        <v>0</v>
      </c>
      <c r="EU34" s="290">
        <f t="shared" si="105"/>
        <v>0</v>
      </c>
      <c r="EV34" s="290">
        <f t="shared" si="106"/>
        <v>0</v>
      </c>
      <c r="EW34" s="290">
        <f t="shared" si="107"/>
        <v>0</v>
      </c>
      <c r="EX34" s="290">
        <f t="shared" si="108"/>
        <v>0.34</v>
      </c>
      <c r="EY34" s="290">
        <f t="shared" si="109"/>
        <v>0</v>
      </c>
      <c r="EZ34" s="290">
        <f t="shared" si="110"/>
        <v>5.0999999999999995E-3</v>
      </c>
      <c r="FA34" s="290">
        <f t="shared" si="111"/>
        <v>8.5000000000000006E-3</v>
      </c>
      <c r="FB34" s="290">
        <f t="shared" si="112"/>
        <v>5.0999999999999995E-3</v>
      </c>
      <c r="FC34" s="290">
        <f t="shared" si="113"/>
        <v>0</v>
      </c>
      <c r="FD34" s="290">
        <f t="shared" si="114"/>
        <v>0</v>
      </c>
      <c r="FE34" s="290">
        <f t="shared" si="115"/>
        <v>8.5000000000000006E-2</v>
      </c>
      <c r="FF34" s="290">
        <f t="shared" si="116"/>
        <v>3.4000000000000002E-2</v>
      </c>
      <c r="FG34" s="290">
        <f t="shared" si="117"/>
        <v>2.0399999999999998E-2</v>
      </c>
      <c r="FH34" s="290">
        <f t="shared" si="118"/>
        <v>0</v>
      </c>
      <c r="FI34" s="291">
        <f t="shared" si="119"/>
        <v>12.24</v>
      </c>
      <c r="FJ34" s="291">
        <f t="shared" si="120"/>
        <v>10.88</v>
      </c>
      <c r="FK34" s="291">
        <f t="shared" si="121"/>
        <v>9.01</v>
      </c>
      <c r="FL34" s="292">
        <f t="shared" si="122"/>
        <v>45.56</v>
      </c>
      <c r="FM34" s="999">
        <v>21</v>
      </c>
      <c r="FN34" s="286">
        <f t="shared" si="303"/>
        <v>44064</v>
      </c>
      <c r="FO34" s="287">
        <f t="shared" si="27"/>
        <v>44064</v>
      </c>
      <c r="FP34" s="288">
        <f>'दैनिक माहिती'!H155</f>
        <v>0</v>
      </c>
      <c r="FQ34" s="289">
        <f>'दैनिक माहिती'!E155</f>
        <v>0</v>
      </c>
      <c r="FR34" s="289">
        <f>'दैनिक माहिती'!F155</f>
        <v>0</v>
      </c>
      <c r="FS34" s="289">
        <f>'दैनिक माहिती'!G155</f>
        <v>0</v>
      </c>
      <c r="FT34" s="290">
        <f t="shared" si="123"/>
        <v>0</v>
      </c>
      <c r="FU34" s="290">
        <f t="shared" si="124"/>
        <v>0</v>
      </c>
      <c r="FV34" s="290">
        <f t="shared" si="125"/>
        <v>0</v>
      </c>
      <c r="FW34" s="290">
        <f t="shared" si="126"/>
        <v>0</v>
      </c>
      <c r="FX34" s="290">
        <f t="shared" si="127"/>
        <v>0</v>
      </c>
      <c r="FY34" s="290">
        <f t="shared" si="128"/>
        <v>0</v>
      </c>
      <c r="FZ34" s="290">
        <f t="shared" si="129"/>
        <v>0</v>
      </c>
      <c r="GA34" s="290">
        <f t="shared" si="130"/>
        <v>0</v>
      </c>
      <c r="GB34" s="290">
        <f t="shared" si="131"/>
        <v>0</v>
      </c>
      <c r="GC34" s="290">
        <f t="shared" si="132"/>
        <v>0</v>
      </c>
      <c r="GD34" s="290">
        <f t="shared" si="133"/>
        <v>0</v>
      </c>
      <c r="GE34" s="290">
        <f t="shared" si="134"/>
        <v>0</v>
      </c>
      <c r="GF34" s="290">
        <f t="shared" si="135"/>
        <v>0</v>
      </c>
      <c r="GG34" s="290">
        <f t="shared" si="136"/>
        <v>0</v>
      </c>
      <c r="GH34" s="290">
        <f t="shared" si="137"/>
        <v>0</v>
      </c>
      <c r="GI34" s="290">
        <f t="shared" si="138"/>
        <v>0</v>
      </c>
      <c r="GJ34" s="290">
        <f t="shared" si="139"/>
        <v>0</v>
      </c>
      <c r="GK34" s="290">
        <f t="shared" si="140"/>
        <v>0</v>
      </c>
      <c r="GL34" s="291">
        <f t="shared" si="141"/>
        <v>0</v>
      </c>
      <c r="GM34" s="291">
        <f t="shared" si="142"/>
        <v>0</v>
      </c>
      <c r="GN34" s="291">
        <f t="shared" si="143"/>
        <v>0</v>
      </c>
      <c r="GO34" s="292">
        <f t="shared" si="144"/>
        <v>0</v>
      </c>
      <c r="GP34" s="999">
        <v>21</v>
      </c>
      <c r="GQ34" s="286">
        <f t="shared" si="304"/>
        <v>44095</v>
      </c>
      <c r="GR34" s="287">
        <f t="shared" si="28"/>
        <v>44095</v>
      </c>
      <c r="GS34" s="288" t="str">
        <f>'दैनिक माहिती'!H187</f>
        <v>वाटाणा</v>
      </c>
      <c r="GT34" s="289">
        <f>'दैनिक माहिती'!E187</f>
        <v>16</v>
      </c>
      <c r="GU34" s="289">
        <f>'दैनिक माहिती'!F187</f>
        <v>16</v>
      </c>
      <c r="GV34" s="289">
        <f>'दैनिक माहिती'!G187</f>
        <v>16</v>
      </c>
      <c r="GW34" s="290">
        <f t="shared" si="145"/>
        <v>1.6</v>
      </c>
      <c r="GX34" s="290">
        <f t="shared" si="146"/>
        <v>0</v>
      </c>
      <c r="GY34" s="290">
        <f t="shared" si="147"/>
        <v>0</v>
      </c>
      <c r="GZ34" s="290">
        <f t="shared" si="148"/>
        <v>0</v>
      </c>
      <c r="HA34" s="290">
        <f t="shared" si="149"/>
        <v>0</v>
      </c>
      <c r="HB34" s="290">
        <f t="shared" si="150"/>
        <v>0</v>
      </c>
      <c r="HC34" s="290">
        <f t="shared" si="151"/>
        <v>0</v>
      </c>
      <c r="HD34" s="290">
        <f t="shared" si="152"/>
        <v>0</v>
      </c>
      <c r="HE34" s="290">
        <f t="shared" si="153"/>
        <v>0.32</v>
      </c>
      <c r="HF34" s="290">
        <f t="shared" si="154"/>
        <v>4.7999999999999996E-3</v>
      </c>
      <c r="HG34" s="290">
        <f t="shared" si="155"/>
        <v>8.0000000000000002E-3</v>
      </c>
      <c r="HH34" s="290">
        <f t="shared" si="156"/>
        <v>4.7999999999999996E-3</v>
      </c>
      <c r="HI34" s="290">
        <f t="shared" si="157"/>
        <v>0</v>
      </c>
      <c r="HJ34" s="290">
        <f t="shared" si="158"/>
        <v>0</v>
      </c>
      <c r="HK34" s="290">
        <f t="shared" si="159"/>
        <v>0.08</v>
      </c>
      <c r="HL34" s="290">
        <f t="shared" si="160"/>
        <v>3.2000000000000001E-2</v>
      </c>
      <c r="HM34" s="290">
        <f t="shared" si="161"/>
        <v>1.9199999999999998E-2</v>
      </c>
      <c r="HN34" s="290">
        <f t="shared" si="162"/>
        <v>0</v>
      </c>
      <c r="HO34" s="291">
        <f t="shared" si="163"/>
        <v>11.52</v>
      </c>
      <c r="HP34" s="291">
        <f t="shared" si="164"/>
        <v>10.24</v>
      </c>
      <c r="HQ34" s="291">
        <f t="shared" si="165"/>
        <v>8.48</v>
      </c>
      <c r="HR34" s="292">
        <f t="shared" si="166"/>
        <v>42.88</v>
      </c>
      <c r="HS34" s="999">
        <v>21</v>
      </c>
      <c r="HT34" s="286">
        <f t="shared" si="305"/>
        <v>44125</v>
      </c>
      <c r="HU34" s="287">
        <f t="shared" si="29"/>
        <v>44125</v>
      </c>
      <c r="HV34" s="288">
        <f>'दैनिक माहिती'!H218</f>
        <v>0</v>
      </c>
      <c r="HW34" s="289">
        <f>'दैनिक माहिती'!E218</f>
        <v>0</v>
      </c>
      <c r="HX34" s="289">
        <f>'दैनिक माहिती'!F218</f>
        <v>0</v>
      </c>
      <c r="HY34" s="289">
        <f>'दैनिक माहिती'!G218</f>
        <v>0</v>
      </c>
      <c r="HZ34" s="290">
        <f t="shared" si="167"/>
        <v>0</v>
      </c>
      <c r="IA34" s="290">
        <f t="shared" si="168"/>
        <v>0</v>
      </c>
      <c r="IB34" s="290">
        <f t="shared" si="169"/>
        <v>0</v>
      </c>
      <c r="IC34" s="290">
        <f t="shared" si="170"/>
        <v>0</v>
      </c>
      <c r="ID34" s="290">
        <f t="shared" si="171"/>
        <v>0</v>
      </c>
      <c r="IE34" s="290">
        <f t="shared" si="172"/>
        <v>0</v>
      </c>
      <c r="IF34" s="290">
        <f t="shared" si="173"/>
        <v>0</v>
      </c>
      <c r="IG34" s="290">
        <f t="shared" si="174"/>
        <v>0</v>
      </c>
      <c r="IH34" s="290">
        <f t="shared" si="175"/>
        <v>0</v>
      </c>
      <c r="II34" s="290">
        <f t="shared" si="176"/>
        <v>0</v>
      </c>
      <c r="IJ34" s="290">
        <f t="shared" si="177"/>
        <v>0</v>
      </c>
      <c r="IK34" s="290">
        <f t="shared" si="178"/>
        <v>0</v>
      </c>
      <c r="IL34" s="290">
        <f t="shared" si="179"/>
        <v>0</v>
      </c>
      <c r="IM34" s="290">
        <f t="shared" si="180"/>
        <v>0</v>
      </c>
      <c r="IN34" s="290">
        <f t="shared" si="181"/>
        <v>0</v>
      </c>
      <c r="IO34" s="290">
        <f t="shared" si="182"/>
        <v>0</v>
      </c>
      <c r="IP34" s="290">
        <f t="shared" si="183"/>
        <v>0</v>
      </c>
      <c r="IQ34" s="290">
        <f t="shared" si="184"/>
        <v>0</v>
      </c>
      <c r="IR34" s="291">
        <f t="shared" si="185"/>
        <v>0</v>
      </c>
      <c r="IS34" s="291">
        <f t="shared" si="186"/>
        <v>0</v>
      </c>
      <c r="IT34" s="291">
        <f t="shared" si="187"/>
        <v>0</v>
      </c>
      <c r="IU34" s="292">
        <f t="shared" si="188"/>
        <v>0</v>
      </c>
      <c r="IV34" s="999">
        <v>21</v>
      </c>
      <c r="IW34" s="286">
        <f t="shared" si="306"/>
        <v>44156</v>
      </c>
      <c r="IX34" s="287">
        <f t="shared" si="30"/>
        <v>44156</v>
      </c>
      <c r="IY34" s="288" t="str">
        <f>'दैनिक माहिती'!H250</f>
        <v>मुगडाळ</v>
      </c>
      <c r="IZ34" s="289">
        <f>'दैनिक माहिती'!E250</f>
        <v>22</v>
      </c>
      <c r="JA34" s="289">
        <f>'दैनिक माहिती'!F250</f>
        <v>22</v>
      </c>
      <c r="JB34" s="289">
        <f>'दैनिक माहिती'!G250</f>
        <v>22</v>
      </c>
      <c r="JC34" s="290">
        <f t="shared" si="189"/>
        <v>2.2000000000000002</v>
      </c>
      <c r="JD34" s="290">
        <f t="shared" si="190"/>
        <v>0.44</v>
      </c>
      <c r="JE34" s="290">
        <f t="shared" si="191"/>
        <v>0</v>
      </c>
      <c r="JF34" s="290">
        <f t="shared" si="192"/>
        <v>0</v>
      </c>
      <c r="JG34" s="290">
        <f t="shared" si="193"/>
        <v>0</v>
      </c>
      <c r="JH34" s="290">
        <f t="shared" si="194"/>
        <v>0</v>
      </c>
      <c r="JI34" s="290">
        <f t="shared" si="195"/>
        <v>0</v>
      </c>
      <c r="JJ34" s="290">
        <f t="shared" si="196"/>
        <v>0</v>
      </c>
      <c r="JK34" s="290">
        <f t="shared" si="197"/>
        <v>0</v>
      </c>
      <c r="JL34" s="290">
        <f t="shared" si="198"/>
        <v>6.5999999999999991E-3</v>
      </c>
      <c r="JM34" s="290">
        <f t="shared" si="199"/>
        <v>1.0999999999999999E-2</v>
      </c>
      <c r="JN34" s="290">
        <f t="shared" si="200"/>
        <v>6.5999999999999991E-3</v>
      </c>
      <c r="JO34" s="290">
        <f t="shared" si="201"/>
        <v>0</v>
      </c>
      <c r="JP34" s="290">
        <f t="shared" si="202"/>
        <v>0</v>
      </c>
      <c r="JQ34" s="290">
        <f t="shared" si="203"/>
        <v>0.11</v>
      </c>
      <c r="JR34" s="290">
        <f t="shared" si="204"/>
        <v>4.3999999999999997E-2</v>
      </c>
      <c r="JS34" s="290">
        <f t="shared" si="205"/>
        <v>2.6399999999999996E-2</v>
      </c>
      <c r="JT34" s="290">
        <f t="shared" si="206"/>
        <v>0</v>
      </c>
      <c r="JU34" s="291">
        <f t="shared" si="207"/>
        <v>15.62</v>
      </c>
      <c r="JV34" s="291">
        <f t="shared" si="208"/>
        <v>17.380000000000003</v>
      </c>
      <c r="JW34" s="291">
        <f t="shared" si="209"/>
        <v>12.76</v>
      </c>
      <c r="JX34" s="292">
        <f t="shared" si="210"/>
        <v>63.14</v>
      </c>
      <c r="JY34" s="999">
        <v>21</v>
      </c>
      <c r="JZ34" s="286">
        <f t="shared" si="307"/>
        <v>44186</v>
      </c>
      <c r="KA34" s="287">
        <f t="shared" si="31"/>
        <v>44186</v>
      </c>
      <c r="KB34" s="288" t="str">
        <f>'दैनिक माहिती'!H281</f>
        <v>वाटाणा</v>
      </c>
      <c r="KC34" s="289">
        <f>'दैनिक माहिती'!E281</f>
        <v>21</v>
      </c>
      <c r="KD34" s="289">
        <f>'दैनिक माहिती'!F281</f>
        <v>21</v>
      </c>
      <c r="KE34" s="289">
        <f>'दैनिक माहिती'!G281</f>
        <v>21</v>
      </c>
      <c r="KF34" s="290">
        <f t="shared" si="211"/>
        <v>2.1</v>
      </c>
      <c r="KG34" s="290">
        <f t="shared" si="212"/>
        <v>0</v>
      </c>
      <c r="KH34" s="290">
        <f t="shared" si="213"/>
        <v>0</v>
      </c>
      <c r="KI34" s="290">
        <f t="shared" si="214"/>
        <v>0</v>
      </c>
      <c r="KJ34" s="290">
        <f t="shared" si="215"/>
        <v>0</v>
      </c>
      <c r="KK34" s="290">
        <f t="shared" si="216"/>
        <v>0</v>
      </c>
      <c r="KL34" s="290">
        <f t="shared" si="217"/>
        <v>0</v>
      </c>
      <c r="KM34" s="290">
        <f t="shared" si="218"/>
        <v>0</v>
      </c>
      <c r="KN34" s="290">
        <f t="shared" si="219"/>
        <v>0.42</v>
      </c>
      <c r="KO34" s="290">
        <f t="shared" si="220"/>
        <v>6.2999999999999992E-3</v>
      </c>
      <c r="KP34" s="290">
        <f t="shared" si="221"/>
        <v>1.0500000000000001E-2</v>
      </c>
      <c r="KQ34" s="290">
        <f t="shared" si="222"/>
        <v>6.2999999999999992E-3</v>
      </c>
      <c r="KR34" s="290">
        <f t="shared" si="223"/>
        <v>0</v>
      </c>
      <c r="KS34" s="290">
        <f t="shared" si="224"/>
        <v>0</v>
      </c>
      <c r="KT34" s="290">
        <f t="shared" si="225"/>
        <v>0.105</v>
      </c>
      <c r="KU34" s="290">
        <f t="shared" si="226"/>
        <v>4.2000000000000003E-2</v>
      </c>
      <c r="KV34" s="290">
        <f t="shared" si="227"/>
        <v>2.5199999999999997E-2</v>
      </c>
      <c r="KW34" s="290">
        <f t="shared" si="228"/>
        <v>0</v>
      </c>
      <c r="KX34" s="291">
        <f t="shared" si="229"/>
        <v>14.91</v>
      </c>
      <c r="KY34" s="291">
        <f t="shared" si="230"/>
        <v>16.59</v>
      </c>
      <c r="KZ34" s="291">
        <f t="shared" si="231"/>
        <v>12.18</v>
      </c>
      <c r="LA34" s="292">
        <f t="shared" si="232"/>
        <v>60.27</v>
      </c>
      <c r="LB34" s="999">
        <v>21</v>
      </c>
      <c r="LC34" s="286">
        <f t="shared" si="308"/>
        <v>44217</v>
      </c>
      <c r="LD34" s="287">
        <f t="shared" si="32"/>
        <v>44217</v>
      </c>
      <c r="LE34" s="288">
        <f>'दैनिक माहिती'!H313</f>
        <v>0</v>
      </c>
      <c r="LF34" s="289">
        <f>'दैनिक माहिती'!E313</f>
        <v>0</v>
      </c>
      <c r="LG34" s="289">
        <f>'दैनिक माहिती'!F313</f>
        <v>0</v>
      </c>
      <c r="LH34" s="289">
        <f>'दैनिक माहिती'!G313</f>
        <v>0</v>
      </c>
      <c r="LI34" s="290">
        <f t="shared" si="233"/>
        <v>0</v>
      </c>
      <c r="LJ34" s="290">
        <f t="shared" si="234"/>
        <v>0</v>
      </c>
      <c r="LK34" s="290">
        <f t="shared" si="235"/>
        <v>0</v>
      </c>
      <c r="LL34" s="290">
        <f t="shared" si="236"/>
        <v>0</v>
      </c>
      <c r="LM34" s="290">
        <f t="shared" si="237"/>
        <v>0</v>
      </c>
      <c r="LN34" s="290">
        <f t="shared" si="238"/>
        <v>0</v>
      </c>
      <c r="LO34" s="290">
        <f t="shared" si="239"/>
        <v>0</v>
      </c>
      <c r="LP34" s="290">
        <f t="shared" si="240"/>
        <v>0</v>
      </c>
      <c r="LQ34" s="290">
        <f t="shared" si="241"/>
        <v>0</v>
      </c>
      <c r="LR34" s="290">
        <f t="shared" si="242"/>
        <v>0</v>
      </c>
      <c r="LS34" s="290">
        <f t="shared" si="243"/>
        <v>0</v>
      </c>
      <c r="LT34" s="290">
        <f t="shared" si="244"/>
        <v>0</v>
      </c>
      <c r="LU34" s="290">
        <f t="shared" si="245"/>
        <v>0</v>
      </c>
      <c r="LV34" s="290">
        <f t="shared" si="246"/>
        <v>0</v>
      </c>
      <c r="LW34" s="290">
        <f t="shared" si="247"/>
        <v>0</v>
      </c>
      <c r="LX34" s="290">
        <f t="shared" si="248"/>
        <v>0</v>
      </c>
      <c r="LY34" s="290">
        <f t="shared" si="249"/>
        <v>0</v>
      </c>
      <c r="LZ34" s="290">
        <f t="shared" si="250"/>
        <v>0</v>
      </c>
      <c r="MA34" s="291">
        <f t="shared" si="251"/>
        <v>0</v>
      </c>
      <c r="MB34" s="291">
        <f t="shared" si="252"/>
        <v>0</v>
      </c>
      <c r="MC34" s="291">
        <f t="shared" si="253"/>
        <v>0</v>
      </c>
      <c r="MD34" s="292">
        <f t="shared" si="254"/>
        <v>0</v>
      </c>
      <c r="ME34" s="999">
        <v>21</v>
      </c>
      <c r="MF34" s="286">
        <f t="shared" si="309"/>
        <v>44248</v>
      </c>
      <c r="MG34" s="287">
        <f t="shared" si="33"/>
        <v>44248</v>
      </c>
      <c r="MH34" s="288">
        <f>'दैनिक माहिती'!H345</f>
        <v>0</v>
      </c>
      <c r="MI34" s="289">
        <f>'दैनिक माहिती'!E345</f>
        <v>0</v>
      </c>
      <c r="MJ34" s="289">
        <f>'दैनिक माहिती'!F345</f>
        <v>0</v>
      </c>
      <c r="MK34" s="289">
        <f>'दैनिक माहिती'!G345</f>
        <v>0</v>
      </c>
      <c r="ML34" s="290">
        <f t="shared" si="255"/>
        <v>0</v>
      </c>
      <c r="MM34" s="290">
        <f t="shared" si="256"/>
        <v>0</v>
      </c>
      <c r="MN34" s="290">
        <f t="shared" si="257"/>
        <v>0</v>
      </c>
      <c r="MO34" s="290">
        <f t="shared" si="258"/>
        <v>0</v>
      </c>
      <c r="MP34" s="290">
        <f t="shared" si="259"/>
        <v>0</v>
      </c>
      <c r="MQ34" s="290">
        <f t="shared" si="260"/>
        <v>0</v>
      </c>
      <c r="MR34" s="290">
        <f t="shared" si="261"/>
        <v>0</v>
      </c>
      <c r="MS34" s="290">
        <f t="shared" si="262"/>
        <v>0</v>
      </c>
      <c r="MT34" s="290">
        <f t="shared" si="263"/>
        <v>0</v>
      </c>
      <c r="MU34" s="290">
        <f t="shared" si="264"/>
        <v>0</v>
      </c>
      <c r="MV34" s="290">
        <f t="shared" si="265"/>
        <v>0</v>
      </c>
      <c r="MW34" s="290">
        <f t="shared" si="266"/>
        <v>0</v>
      </c>
      <c r="MX34" s="290">
        <f t="shared" si="267"/>
        <v>0</v>
      </c>
      <c r="MY34" s="290">
        <f t="shared" si="268"/>
        <v>0</v>
      </c>
      <c r="MZ34" s="290">
        <f t="shared" si="269"/>
        <v>0</v>
      </c>
      <c r="NA34" s="290">
        <f t="shared" si="270"/>
        <v>0</v>
      </c>
      <c r="NB34" s="290">
        <f t="shared" si="271"/>
        <v>0</v>
      </c>
      <c r="NC34" s="290">
        <f t="shared" si="272"/>
        <v>0</v>
      </c>
      <c r="ND34" s="291">
        <f t="shared" si="273"/>
        <v>0</v>
      </c>
      <c r="NE34" s="291">
        <f t="shared" si="274"/>
        <v>0</v>
      </c>
      <c r="NF34" s="291">
        <f t="shared" si="275"/>
        <v>0</v>
      </c>
      <c r="NG34" s="292">
        <f t="shared" si="276"/>
        <v>0</v>
      </c>
      <c r="NH34" s="999">
        <v>21</v>
      </c>
      <c r="NI34" s="286">
        <f t="shared" si="310"/>
        <v>44276</v>
      </c>
      <c r="NJ34" s="287">
        <f t="shared" si="34"/>
        <v>44276</v>
      </c>
      <c r="NK34" s="288">
        <f>'दैनिक माहिती'!H375</f>
        <v>0</v>
      </c>
      <c r="NL34" s="289">
        <f>'दैनिक माहिती'!E375</f>
        <v>0</v>
      </c>
      <c r="NM34" s="289">
        <f>'दैनिक माहिती'!F375</f>
        <v>0</v>
      </c>
      <c r="NN34" s="289">
        <f>'दैनिक माहिती'!G375</f>
        <v>0</v>
      </c>
      <c r="NO34" s="290">
        <f t="shared" si="277"/>
        <v>0</v>
      </c>
      <c r="NP34" s="290">
        <f t="shared" si="278"/>
        <v>0</v>
      </c>
      <c r="NQ34" s="290">
        <f t="shared" si="279"/>
        <v>0</v>
      </c>
      <c r="NR34" s="290">
        <f t="shared" si="280"/>
        <v>0</v>
      </c>
      <c r="NS34" s="290">
        <f t="shared" si="281"/>
        <v>0</v>
      </c>
      <c r="NT34" s="290">
        <f t="shared" si="282"/>
        <v>0</v>
      </c>
      <c r="NU34" s="290">
        <f t="shared" si="283"/>
        <v>0</v>
      </c>
      <c r="NV34" s="290">
        <f t="shared" si="284"/>
        <v>0</v>
      </c>
      <c r="NW34" s="290">
        <f t="shared" si="285"/>
        <v>0</v>
      </c>
      <c r="NX34" s="290">
        <f t="shared" si="286"/>
        <v>0</v>
      </c>
      <c r="NY34" s="290">
        <f t="shared" si="287"/>
        <v>0</v>
      </c>
      <c r="NZ34" s="290">
        <f t="shared" si="288"/>
        <v>0</v>
      </c>
      <c r="OA34" s="290">
        <f t="shared" si="289"/>
        <v>0</v>
      </c>
      <c r="OB34" s="290">
        <f t="shared" si="290"/>
        <v>0</v>
      </c>
      <c r="OC34" s="290">
        <f t="shared" si="291"/>
        <v>0</v>
      </c>
      <c r="OD34" s="290">
        <f t="shared" si="292"/>
        <v>0</v>
      </c>
      <c r="OE34" s="290">
        <f t="shared" si="293"/>
        <v>0</v>
      </c>
      <c r="OF34" s="290">
        <f t="shared" si="294"/>
        <v>0</v>
      </c>
      <c r="OG34" s="291">
        <f t="shared" si="295"/>
        <v>0</v>
      </c>
      <c r="OH34" s="291">
        <f t="shared" si="296"/>
        <v>0</v>
      </c>
      <c r="OI34" s="291">
        <f t="shared" si="297"/>
        <v>0</v>
      </c>
      <c r="OJ34" s="292">
        <f t="shared" si="298"/>
        <v>0</v>
      </c>
    </row>
    <row r="35" spans="50:400" ht="29.25" customHeight="1" x14ac:dyDescent="0.3">
      <c r="BA35" s="999">
        <v>22</v>
      </c>
      <c r="BB35" s="286">
        <f t="shared" si="299"/>
        <v>43943</v>
      </c>
      <c r="BC35" s="293">
        <f t="shared" si="23"/>
        <v>43943</v>
      </c>
      <c r="BD35" s="288" t="str">
        <f>'दैनिक माहिती'!H30</f>
        <v>वाटाणा</v>
      </c>
      <c r="BE35" s="289">
        <f>'दैनिक माहिती'!E30</f>
        <v>22</v>
      </c>
      <c r="BF35" s="289">
        <f>'दैनिक माहिती'!F30</f>
        <v>22</v>
      </c>
      <c r="BG35" s="289">
        <f>'दैनिक माहिती'!G30</f>
        <v>22</v>
      </c>
      <c r="BH35" s="290">
        <f t="shared" si="35"/>
        <v>2.2000000000000002</v>
      </c>
      <c r="BI35" s="290">
        <f t="shared" si="36"/>
        <v>0</v>
      </c>
      <c r="BJ35" s="290">
        <f t="shared" si="37"/>
        <v>0</v>
      </c>
      <c r="BK35" s="290">
        <f t="shared" si="38"/>
        <v>0</v>
      </c>
      <c r="BL35" s="290">
        <f t="shared" si="39"/>
        <v>0</v>
      </c>
      <c r="BM35" s="290">
        <f t="shared" si="40"/>
        <v>0</v>
      </c>
      <c r="BN35" s="290">
        <f t="shared" si="41"/>
        <v>0</v>
      </c>
      <c r="BO35" s="290">
        <f t="shared" si="42"/>
        <v>0</v>
      </c>
      <c r="BP35" s="290">
        <f t="shared" si="43"/>
        <v>0.44</v>
      </c>
      <c r="BQ35" s="290">
        <f t="shared" si="44"/>
        <v>6.5999999999999991E-3</v>
      </c>
      <c r="BR35" s="290">
        <f t="shared" si="45"/>
        <v>1.0999999999999999E-2</v>
      </c>
      <c r="BS35" s="290">
        <f t="shared" si="46"/>
        <v>6.5999999999999991E-3</v>
      </c>
      <c r="BT35" s="290">
        <f t="shared" si="47"/>
        <v>0</v>
      </c>
      <c r="BU35" s="290">
        <f t="shared" si="48"/>
        <v>0</v>
      </c>
      <c r="BV35" s="290">
        <f t="shared" si="49"/>
        <v>0.11</v>
      </c>
      <c r="BW35" s="290">
        <f t="shared" si="50"/>
        <v>4.3999999999999997E-2</v>
      </c>
      <c r="BX35" s="290">
        <f t="shared" si="51"/>
        <v>2.6399999999999996E-2</v>
      </c>
      <c r="BY35" s="290">
        <f t="shared" si="52"/>
        <v>0</v>
      </c>
      <c r="BZ35" s="291">
        <f t="shared" si="53"/>
        <v>15.84</v>
      </c>
      <c r="CA35" s="291">
        <f t="shared" si="54"/>
        <v>14.08</v>
      </c>
      <c r="CB35" s="291">
        <f t="shared" si="55"/>
        <v>11.66</v>
      </c>
      <c r="CC35" s="292">
        <f t="shared" si="56"/>
        <v>58.96</v>
      </c>
      <c r="CD35" s="999">
        <v>22</v>
      </c>
      <c r="CE35" s="286">
        <f t="shared" si="300"/>
        <v>43973</v>
      </c>
      <c r="CF35" s="293">
        <f t="shared" si="24"/>
        <v>43973</v>
      </c>
      <c r="CG35" s="288">
        <f>'दैनिक माहिती'!H61</f>
        <v>0</v>
      </c>
      <c r="CH35" s="289">
        <f>'दैनिक माहिती'!E61</f>
        <v>0</v>
      </c>
      <c r="CI35" s="289">
        <f>'दैनिक माहिती'!F61</f>
        <v>0</v>
      </c>
      <c r="CJ35" s="289">
        <f>'दैनिक माहिती'!G61</f>
        <v>0</v>
      </c>
      <c r="CK35" s="290">
        <f t="shared" si="57"/>
        <v>0</v>
      </c>
      <c r="CL35" s="290">
        <f t="shared" si="58"/>
        <v>0</v>
      </c>
      <c r="CM35" s="290">
        <f t="shared" si="59"/>
        <v>0</v>
      </c>
      <c r="CN35" s="290">
        <f t="shared" si="60"/>
        <v>0</v>
      </c>
      <c r="CO35" s="290">
        <f t="shared" si="61"/>
        <v>0</v>
      </c>
      <c r="CP35" s="290">
        <f t="shared" si="62"/>
        <v>0</v>
      </c>
      <c r="CQ35" s="290">
        <f t="shared" si="63"/>
        <v>0</v>
      </c>
      <c r="CR35" s="290">
        <f t="shared" si="64"/>
        <v>0</v>
      </c>
      <c r="CS35" s="290">
        <f t="shared" si="65"/>
        <v>0</v>
      </c>
      <c r="CT35" s="290">
        <f t="shared" si="66"/>
        <v>0</v>
      </c>
      <c r="CU35" s="290">
        <f t="shared" si="67"/>
        <v>0</v>
      </c>
      <c r="CV35" s="290">
        <f t="shared" si="68"/>
        <v>0</v>
      </c>
      <c r="CW35" s="290">
        <f t="shared" si="69"/>
        <v>0</v>
      </c>
      <c r="CX35" s="290">
        <f t="shared" si="70"/>
        <v>0</v>
      </c>
      <c r="CY35" s="290">
        <f t="shared" si="71"/>
        <v>0</v>
      </c>
      <c r="CZ35" s="290">
        <f t="shared" si="72"/>
        <v>0</v>
      </c>
      <c r="DA35" s="290">
        <f t="shared" si="73"/>
        <v>0</v>
      </c>
      <c r="DB35" s="290">
        <f t="shared" si="74"/>
        <v>0</v>
      </c>
      <c r="DC35" s="291">
        <f t="shared" si="75"/>
        <v>0</v>
      </c>
      <c r="DD35" s="291">
        <f t="shared" si="76"/>
        <v>0</v>
      </c>
      <c r="DE35" s="291">
        <f t="shared" si="77"/>
        <v>0</v>
      </c>
      <c r="DF35" s="292">
        <f t="shared" si="78"/>
        <v>0</v>
      </c>
      <c r="DG35" s="999">
        <v>22</v>
      </c>
      <c r="DH35" s="286">
        <f t="shared" si="301"/>
        <v>44004</v>
      </c>
      <c r="DI35" s="293">
        <f t="shared" si="25"/>
        <v>44004</v>
      </c>
      <c r="DJ35" s="288" t="str">
        <f>'दैनिक माहिती'!H93</f>
        <v>वाटाणा</v>
      </c>
      <c r="DK35" s="289">
        <f>'दैनिक माहिती'!E93</f>
        <v>17</v>
      </c>
      <c r="DL35" s="289">
        <f>'दैनिक माहिती'!F93</f>
        <v>17</v>
      </c>
      <c r="DM35" s="289">
        <f>'दैनिक माहिती'!G93</f>
        <v>17</v>
      </c>
      <c r="DN35" s="290">
        <f t="shared" si="79"/>
        <v>1.7000000000000002</v>
      </c>
      <c r="DO35" s="290">
        <f t="shared" si="80"/>
        <v>0</v>
      </c>
      <c r="DP35" s="290">
        <f t="shared" si="81"/>
        <v>0</v>
      </c>
      <c r="DQ35" s="290">
        <f t="shared" si="82"/>
        <v>0</v>
      </c>
      <c r="DR35" s="290">
        <f t="shared" si="83"/>
        <v>0</v>
      </c>
      <c r="DS35" s="290">
        <f t="shared" si="84"/>
        <v>0</v>
      </c>
      <c r="DT35" s="290">
        <f t="shared" si="85"/>
        <v>0</v>
      </c>
      <c r="DU35" s="290">
        <f t="shared" si="86"/>
        <v>0</v>
      </c>
      <c r="DV35" s="290">
        <f t="shared" si="87"/>
        <v>0.34</v>
      </c>
      <c r="DW35" s="290">
        <f t="shared" si="88"/>
        <v>5.0999999999999995E-3</v>
      </c>
      <c r="DX35" s="290">
        <f t="shared" si="89"/>
        <v>8.5000000000000006E-3</v>
      </c>
      <c r="DY35" s="290">
        <f t="shared" si="90"/>
        <v>5.0999999999999995E-3</v>
      </c>
      <c r="DZ35" s="290">
        <f t="shared" si="91"/>
        <v>0</v>
      </c>
      <c r="EA35" s="290">
        <f t="shared" si="92"/>
        <v>0</v>
      </c>
      <c r="EB35" s="290">
        <f t="shared" si="93"/>
        <v>8.5000000000000006E-2</v>
      </c>
      <c r="EC35" s="290">
        <f t="shared" si="94"/>
        <v>3.4000000000000002E-2</v>
      </c>
      <c r="ED35" s="290">
        <f t="shared" si="95"/>
        <v>2.0399999999999998E-2</v>
      </c>
      <c r="EE35" s="290">
        <f t="shared" si="96"/>
        <v>0</v>
      </c>
      <c r="EF35" s="291">
        <f t="shared" si="97"/>
        <v>12.24</v>
      </c>
      <c r="EG35" s="291">
        <f t="shared" si="98"/>
        <v>10.88</v>
      </c>
      <c r="EH35" s="291">
        <f t="shared" si="99"/>
        <v>9.01</v>
      </c>
      <c r="EI35" s="292">
        <f t="shared" si="100"/>
        <v>45.56</v>
      </c>
      <c r="EJ35" s="999">
        <v>22</v>
      </c>
      <c r="EK35" s="286">
        <f t="shared" si="302"/>
        <v>44034</v>
      </c>
      <c r="EL35" s="293">
        <f t="shared" si="26"/>
        <v>44034</v>
      </c>
      <c r="EM35" s="288" t="str">
        <f>'दैनिक माहिती'!H124</f>
        <v>वाटाणा</v>
      </c>
      <c r="EN35" s="289">
        <f>'दैनिक माहिती'!E124</f>
        <v>17</v>
      </c>
      <c r="EO35" s="289">
        <f>'दैनिक माहिती'!F124</f>
        <v>17</v>
      </c>
      <c r="EP35" s="289">
        <f>'दैनिक माहिती'!G124</f>
        <v>17</v>
      </c>
      <c r="EQ35" s="290">
        <f t="shared" si="101"/>
        <v>1.7000000000000002</v>
      </c>
      <c r="ER35" s="290">
        <f t="shared" si="102"/>
        <v>0</v>
      </c>
      <c r="ES35" s="290">
        <f t="shared" si="103"/>
        <v>0</v>
      </c>
      <c r="ET35" s="290">
        <f t="shared" si="104"/>
        <v>0</v>
      </c>
      <c r="EU35" s="290">
        <f t="shared" si="105"/>
        <v>0</v>
      </c>
      <c r="EV35" s="290">
        <f t="shared" si="106"/>
        <v>0</v>
      </c>
      <c r="EW35" s="290">
        <f t="shared" si="107"/>
        <v>0</v>
      </c>
      <c r="EX35" s="290">
        <f t="shared" si="108"/>
        <v>0</v>
      </c>
      <c r="EY35" s="290">
        <f t="shared" si="109"/>
        <v>0.34</v>
      </c>
      <c r="EZ35" s="290">
        <f t="shared" si="110"/>
        <v>5.0999999999999995E-3</v>
      </c>
      <c r="FA35" s="290">
        <f t="shared" si="111"/>
        <v>8.5000000000000006E-3</v>
      </c>
      <c r="FB35" s="290">
        <f t="shared" si="112"/>
        <v>5.0999999999999995E-3</v>
      </c>
      <c r="FC35" s="290">
        <f t="shared" si="113"/>
        <v>0</v>
      </c>
      <c r="FD35" s="290">
        <f t="shared" si="114"/>
        <v>0</v>
      </c>
      <c r="FE35" s="290">
        <f t="shared" si="115"/>
        <v>8.5000000000000006E-2</v>
      </c>
      <c r="FF35" s="290">
        <f t="shared" si="116"/>
        <v>3.4000000000000002E-2</v>
      </c>
      <c r="FG35" s="290">
        <f t="shared" si="117"/>
        <v>2.0399999999999998E-2</v>
      </c>
      <c r="FH35" s="290">
        <f t="shared" si="118"/>
        <v>0</v>
      </c>
      <c r="FI35" s="291">
        <f t="shared" si="119"/>
        <v>12.24</v>
      </c>
      <c r="FJ35" s="291">
        <f t="shared" si="120"/>
        <v>10.88</v>
      </c>
      <c r="FK35" s="291">
        <f t="shared" si="121"/>
        <v>9.01</v>
      </c>
      <c r="FL35" s="292">
        <f t="shared" si="122"/>
        <v>45.56</v>
      </c>
      <c r="FM35" s="999">
        <v>22</v>
      </c>
      <c r="FN35" s="286">
        <f t="shared" si="303"/>
        <v>44065</v>
      </c>
      <c r="FO35" s="293">
        <f t="shared" si="27"/>
        <v>44065</v>
      </c>
      <c r="FP35" s="288" t="str">
        <f>'दैनिक माहिती'!H156</f>
        <v>मुगडाळ</v>
      </c>
      <c r="FQ35" s="289">
        <f>'दैनिक माहिती'!E156</f>
        <v>15</v>
      </c>
      <c r="FR35" s="289">
        <f>'दैनिक माहिती'!F156</f>
        <v>15</v>
      </c>
      <c r="FS35" s="289">
        <f>'दैनिक माहिती'!G156</f>
        <v>15</v>
      </c>
      <c r="FT35" s="290">
        <f t="shared" si="123"/>
        <v>1.5</v>
      </c>
      <c r="FU35" s="290">
        <f t="shared" si="124"/>
        <v>0.3</v>
      </c>
      <c r="FV35" s="290">
        <f t="shared" si="125"/>
        <v>0</v>
      </c>
      <c r="FW35" s="290">
        <f t="shared" si="126"/>
        <v>0</v>
      </c>
      <c r="FX35" s="290">
        <f t="shared" si="127"/>
        <v>0</v>
      </c>
      <c r="FY35" s="290">
        <f t="shared" si="128"/>
        <v>0</v>
      </c>
      <c r="FZ35" s="290">
        <f t="shared" si="129"/>
        <v>0</v>
      </c>
      <c r="GA35" s="290">
        <f t="shared" si="130"/>
        <v>0</v>
      </c>
      <c r="GB35" s="290">
        <f t="shared" si="131"/>
        <v>0</v>
      </c>
      <c r="GC35" s="290">
        <f t="shared" si="132"/>
        <v>4.4999999999999997E-3</v>
      </c>
      <c r="GD35" s="290">
        <f t="shared" si="133"/>
        <v>7.4999999999999997E-3</v>
      </c>
      <c r="GE35" s="290">
        <f t="shared" si="134"/>
        <v>4.4999999999999997E-3</v>
      </c>
      <c r="GF35" s="290">
        <f t="shared" si="135"/>
        <v>0</v>
      </c>
      <c r="GG35" s="290">
        <f t="shared" si="136"/>
        <v>0</v>
      </c>
      <c r="GH35" s="290">
        <f t="shared" si="137"/>
        <v>7.4999999999999997E-2</v>
      </c>
      <c r="GI35" s="290">
        <f t="shared" si="138"/>
        <v>0.03</v>
      </c>
      <c r="GJ35" s="290">
        <f t="shared" si="139"/>
        <v>1.7999999999999999E-2</v>
      </c>
      <c r="GK35" s="290">
        <f t="shared" si="140"/>
        <v>0</v>
      </c>
      <c r="GL35" s="291">
        <f t="shared" si="141"/>
        <v>10.799999999999999</v>
      </c>
      <c r="GM35" s="291">
        <f t="shared" si="142"/>
        <v>9.6</v>
      </c>
      <c r="GN35" s="291">
        <f t="shared" si="143"/>
        <v>7.95</v>
      </c>
      <c r="GO35" s="292">
        <f t="shared" si="144"/>
        <v>40.200000000000003</v>
      </c>
      <c r="GP35" s="999">
        <v>22</v>
      </c>
      <c r="GQ35" s="286">
        <f t="shared" si="304"/>
        <v>44096</v>
      </c>
      <c r="GR35" s="293">
        <f t="shared" si="28"/>
        <v>44096</v>
      </c>
      <c r="GS35" s="288" t="str">
        <f>'दैनिक माहिती'!H188</f>
        <v>हरभरा</v>
      </c>
      <c r="GT35" s="289">
        <f>'दैनिक माहिती'!E188</f>
        <v>16</v>
      </c>
      <c r="GU35" s="289">
        <f>'दैनिक माहिती'!F188</f>
        <v>16</v>
      </c>
      <c r="GV35" s="289">
        <f>'दैनिक माहिती'!G188</f>
        <v>16</v>
      </c>
      <c r="GW35" s="290">
        <f t="shared" si="145"/>
        <v>1.6</v>
      </c>
      <c r="GX35" s="290">
        <f t="shared" si="146"/>
        <v>0</v>
      </c>
      <c r="GY35" s="290">
        <f t="shared" si="147"/>
        <v>0</v>
      </c>
      <c r="GZ35" s="290">
        <f t="shared" si="148"/>
        <v>0</v>
      </c>
      <c r="HA35" s="290">
        <f t="shared" si="149"/>
        <v>0</v>
      </c>
      <c r="HB35" s="290">
        <f t="shared" si="150"/>
        <v>0</v>
      </c>
      <c r="HC35" s="290">
        <f t="shared" si="151"/>
        <v>0</v>
      </c>
      <c r="HD35" s="290">
        <f t="shared" si="152"/>
        <v>0.32</v>
      </c>
      <c r="HE35" s="290">
        <f t="shared" si="153"/>
        <v>0</v>
      </c>
      <c r="HF35" s="290">
        <f t="shared" si="154"/>
        <v>4.7999999999999996E-3</v>
      </c>
      <c r="HG35" s="290">
        <f t="shared" si="155"/>
        <v>8.0000000000000002E-3</v>
      </c>
      <c r="HH35" s="290">
        <f t="shared" si="156"/>
        <v>4.7999999999999996E-3</v>
      </c>
      <c r="HI35" s="290">
        <f t="shared" si="157"/>
        <v>0</v>
      </c>
      <c r="HJ35" s="290">
        <f t="shared" si="158"/>
        <v>0</v>
      </c>
      <c r="HK35" s="290">
        <f t="shared" si="159"/>
        <v>0.08</v>
      </c>
      <c r="HL35" s="290">
        <f t="shared" si="160"/>
        <v>3.2000000000000001E-2</v>
      </c>
      <c r="HM35" s="290">
        <f t="shared" si="161"/>
        <v>1.9199999999999998E-2</v>
      </c>
      <c r="HN35" s="290">
        <f t="shared" si="162"/>
        <v>0</v>
      </c>
      <c r="HO35" s="291">
        <f t="shared" si="163"/>
        <v>11.52</v>
      </c>
      <c r="HP35" s="291">
        <f t="shared" si="164"/>
        <v>10.24</v>
      </c>
      <c r="HQ35" s="291">
        <f t="shared" si="165"/>
        <v>8.48</v>
      </c>
      <c r="HR35" s="292">
        <f t="shared" si="166"/>
        <v>42.88</v>
      </c>
      <c r="HS35" s="999">
        <v>22</v>
      </c>
      <c r="HT35" s="286">
        <f t="shared" si="305"/>
        <v>44126</v>
      </c>
      <c r="HU35" s="293">
        <f t="shared" si="29"/>
        <v>44126</v>
      </c>
      <c r="HV35" s="288">
        <f>'दैनिक माहिती'!H219</f>
        <v>0</v>
      </c>
      <c r="HW35" s="289">
        <f>'दैनिक माहिती'!E219</f>
        <v>0</v>
      </c>
      <c r="HX35" s="289">
        <f>'दैनिक माहिती'!F219</f>
        <v>0</v>
      </c>
      <c r="HY35" s="289">
        <f>'दैनिक माहिती'!G219</f>
        <v>0</v>
      </c>
      <c r="HZ35" s="290">
        <f t="shared" si="167"/>
        <v>0</v>
      </c>
      <c r="IA35" s="290">
        <f t="shared" si="168"/>
        <v>0</v>
      </c>
      <c r="IB35" s="290">
        <f t="shared" si="169"/>
        <v>0</v>
      </c>
      <c r="IC35" s="290">
        <f t="shared" si="170"/>
        <v>0</v>
      </c>
      <c r="ID35" s="290">
        <f t="shared" si="171"/>
        <v>0</v>
      </c>
      <c r="IE35" s="290">
        <f t="shared" si="172"/>
        <v>0</v>
      </c>
      <c r="IF35" s="290">
        <f t="shared" si="173"/>
        <v>0</v>
      </c>
      <c r="IG35" s="290">
        <f t="shared" si="174"/>
        <v>0</v>
      </c>
      <c r="IH35" s="290">
        <f t="shared" si="175"/>
        <v>0</v>
      </c>
      <c r="II35" s="290">
        <f t="shared" si="176"/>
        <v>0</v>
      </c>
      <c r="IJ35" s="290">
        <f t="shared" si="177"/>
        <v>0</v>
      </c>
      <c r="IK35" s="290">
        <f t="shared" si="178"/>
        <v>0</v>
      </c>
      <c r="IL35" s="290">
        <f t="shared" si="179"/>
        <v>0</v>
      </c>
      <c r="IM35" s="290">
        <f t="shared" si="180"/>
        <v>0</v>
      </c>
      <c r="IN35" s="290">
        <f t="shared" si="181"/>
        <v>0</v>
      </c>
      <c r="IO35" s="290">
        <f t="shared" si="182"/>
        <v>0</v>
      </c>
      <c r="IP35" s="290">
        <f t="shared" si="183"/>
        <v>0</v>
      </c>
      <c r="IQ35" s="290">
        <f t="shared" si="184"/>
        <v>0</v>
      </c>
      <c r="IR35" s="291">
        <f t="shared" si="185"/>
        <v>0</v>
      </c>
      <c r="IS35" s="291">
        <f t="shared" si="186"/>
        <v>0</v>
      </c>
      <c r="IT35" s="291">
        <f t="shared" si="187"/>
        <v>0</v>
      </c>
      <c r="IU35" s="292">
        <f t="shared" si="188"/>
        <v>0</v>
      </c>
      <c r="IV35" s="999">
        <v>22</v>
      </c>
      <c r="IW35" s="286">
        <f t="shared" si="306"/>
        <v>44157</v>
      </c>
      <c r="IX35" s="293">
        <f t="shared" si="30"/>
        <v>44157</v>
      </c>
      <c r="IY35" s="288" t="str">
        <f>'दैनिक माहिती'!H251</f>
        <v>हरभरा</v>
      </c>
      <c r="IZ35" s="289">
        <f>'दैनिक माहिती'!E251</f>
        <v>22</v>
      </c>
      <c r="JA35" s="289">
        <f>'दैनिक माहिती'!F251</f>
        <v>22</v>
      </c>
      <c r="JB35" s="289">
        <f>'दैनिक माहिती'!G251</f>
        <v>22</v>
      </c>
      <c r="JC35" s="290">
        <f t="shared" si="189"/>
        <v>2.2000000000000002</v>
      </c>
      <c r="JD35" s="290">
        <f t="shared" si="190"/>
        <v>0</v>
      </c>
      <c r="JE35" s="290">
        <f t="shared" si="191"/>
        <v>0</v>
      </c>
      <c r="JF35" s="290">
        <f t="shared" si="192"/>
        <v>0</v>
      </c>
      <c r="JG35" s="290">
        <f t="shared" si="193"/>
        <v>0</v>
      </c>
      <c r="JH35" s="290">
        <f t="shared" si="194"/>
        <v>0</v>
      </c>
      <c r="JI35" s="290">
        <f t="shared" si="195"/>
        <v>0</v>
      </c>
      <c r="JJ35" s="290">
        <f t="shared" si="196"/>
        <v>0.44</v>
      </c>
      <c r="JK35" s="290">
        <f t="shared" si="197"/>
        <v>0</v>
      </c>
      <c r="JL35" s="290">
        <f t="shared" si="198"/>
        <v>6.5999999999999991E-3</v>
      </c>
      <c r="JM35" s="290">
        <f t="shared" si="199"/>
        <v>1.0999999999999999E-2</v>
      </c>
      <c r="JN35" s="290">
        <f t="shared" si="200"/>
        <v>6.5999999999999991E-3</v>
      </c>
      <c r="JO35" s="290">
        <f t="shared" si="201"/>
        <v>0</v>
      </c>
      <c r="JP35" s="290">
        <f t="shared" si="202"/>
        <v>0</v>
      </c>
      <c r="JQ35" s="290">
        <f t="shared" si="203"/>
        <v>0.11</v>
      </c>
      <c r="JR35" s="290">
        <f t="shared" si="204"/>
        <v>4.3999999999999997E-2</v>
      </c>
      <c r="JS35" s="290">
        <f t="shared" si="205"/>
        <v>2.6399999999999996E-2</v>
      </c>
      <c r="JT35" s="290">
        <f t="shared" si="206"/>
        <v>0</v>
      </c>
      <c r="JU35" s="291">
        <f t="shared" si="207"/>
        <v>15.62</v>
      </c>
      <c r="JV35" s="291">
        <f t="shared" si="208"/>
        <v>17.380000000000003</v>
      </c>
      <c r="JW35" s="291">
        <f t="shared" si="209"/>
        <v>12.76</v>
      </c>
      <c r="JX35" s="292">
        <f t="shared" si="210"/>
        <v>63.14</v>
      </c>
      <c r="JY35" s="999">
        <v>22</v>
      </c>
      <c r="JZ35" s="286">
        <f t="shared" si="307"/>
        <v>44187</v>
      </c>
      <c r="KA35" s="293">
        <f t="shared" si="31"/>
        <v>44187</v>
      </c>
      <c r="KB35" s="288" t="str">
        <f>'दैनिक माहिती'!H282</f>
        <v>हरभरा</v>
      </c>
      <c r="KC35" s="289">
        <f>'दैनिक माहिती'!E282</f>
        <v>21</v>
      </c>
      <c r="KD35" s="289">
        <f>'दैनिक माहिती'!F282</f>
        <v>21</v>
      </c>
      <c r="KE35" s="289">
        <f>'दैनिक माहिती'!G282</f>
        <v>21</v>
      </c>
      <c r="KF35" s="290">
        <f t="shared" si="211"/>
        <v>2.1</v>
      </c>
      <c r="KG35" s="290">
        <f t="shared" si="212"/>
        <v>0</v>
      </c>
      <c r="KH35" s="290">
        <f t="shared" si="213"/>
        <v>0</v>
      </c>
      <c r="KI35" s="290">
        <f t="shared" si="214"/>
        <v>0</v>
      </c>
      <c r="KJ35" s="290">
        <f t="shared" si="215"/>
        <v>0</v>
      </c>
      <c r="KK35" s="290">
        <f t="shared" si="216"/>
        <v>0</v>
      </c>
      <c r="KL35" s="290">
        <f t="shared" si="217"/>
        <v>0</v>
      </c>
      <c r="KM35" s="290">
        <f t="shared" si="218"/>
        <v>0.42</v>
      </c>
      <c r="KN35" s="290">
        <f t="shared" si="219"/>
        <v>0</v>
      </c>
      <c r="KO35" s="290">
        <f t="shared" si="220"/>
        <v>6.2999999999999992E-3</v>
      </c>
      <c r="KP35" s="290">
        <f t="shared" si="221"/>
        <v>1.0500000000000001E-2</v>
      </c>
      <c r="KQ35" s="290">
        <f t="shared" si="222"/>
        <v>6.2999999999999992E-3</v>
      </c>
      <c r="KR35" s="290">
        <f t="shared" si="223"/>
        <v>0</v>
      </c>
      <c r="KS35" s="290">
        <f t="shared" si="224"/>
        <v>0</v>
      </c>
      <c r="KT35" s="290">
        <f t="shared" si="225"/>
        <v>0.105</v>
      </c>
      <c r="KU35" s="290">
        <f t="shared" si="226"/>
        <v>4.2000000000000003E-2</v>
      </c>
      <c r="KV35" s="290">
        <f t="shared" si="227"/>
        <v>2.5199999999999997E-2</v>
      </c>
      <c r="KW35" s="290">
        <f t="shared" si="228"/>
        <v>0</v>
      </c>
      <c r="KX35" s="291">
        <f t="shared" si="229"/>
        <v>14.91</v>
      </c>
      <c r="KY35" s="291">
        <f t="shared" si="230"/>
        <v>16.59</v>
      </c>
      <c r="KZ35" s="291">
        <f t="shared" si="231"/>
        <v>12.18</v>
      </c>
      <c r="LA35" s="292">
        <f t="shared" si="232"/>
        <v>60.27</v>
      </c>
      <c r="LB35" s="999">
        <v>22</v>
      </c>
      <c r="LC35" s="286">
        <f t="shared" si="308"/>
        <v>44218</v>
      </c>
      <c r="LD35" s="293">
        <f t="shared" si="32"/>
        <v>44218</v>
      </c>
      <c r="LE35" s="288">
        <f>'दैनिक माहिती'!H314</f>
        <v>0</v>
      </c>
      <c r="LF35" s="289">
        <f>'दैनिक माहिती'!E314</f>
        <v>0</v>
      </c>
      <c r="LG35" s="289">
        <f>'दैनिक माहिती'!F314</f>
        <v>0</v>
      </c>
      <c r="LH35" s="289">
        <f>'दैनिक माहिती'!G314</f>
        <v>0</v>
      </c>
      <c r="LI35" s="290">
        <f t="shared" si="233"/>
        <v>0</v>
      </c>
      <c r="LJ35" s="290">
        <f t="shared" si="234"/>
        <v>0</v>
      </c>
      <c r="LK35" s="290">
        <f t="shared" si="235"/>
        <v>0</v>
      </c>
      <c r="LL35" s="290">
        <f t="shared" si="236"/>
        <v>0</v>
      </c>
      <c r="LM35" s="290">
        <f t="shared" si="237"/>
        <v>0</v>
      </c>
      <c r="LN35" s="290">
        <f t="shared" si="238"/>
        <v>0</v>
      </c>
      <c r="LO35" s="290">
        <f t="shared" si="239"/>
        <v>0</v>
      </c>
      <c r="LP35" s="290">
        <f t="shared" si="240"/>
        <v>0</v>
      </c>
      <c r="LQ35" s="290">
        <f t="shared" si="241"/>
        <v>0</v>
      </c>
      <c r="LR35" s="290">
        <f t="shared" si="242"/>
        <v>0</v>
      </c>
      <c r="LS35" s="290">
        <f t="shared" si="243"/>
        <v>0</v>
      </c>
      <c r="LT35" s="290">
        <f t="shared" si="244"/>
        <v>0</v>
      </c>
      <c r="LU35" s="290">
        <f t="shared" si="245"/>
        <v>0</v>
      </c>
      <c r="LV35" s="290">
        <f t="shared" si="246"/>
        <v>0</v>
      </c>
      <c r="LW35" s="290">
        <f t="shared" si="247"/>
        <v>0</v>
      </c>
      <c r="LX35" s="290">
        <f t="shared" si="248"/>
        <v>0</v>
      </c>
      <c r="LY35" s="290">
        <f t="shared" si="249"/>
        <v>0</v>
      </c>
      <c r="LZ35" s="290">
        <f t="shared" si="250"/>
        <v>0</v>
      </c>
      <c r="MA35" s="291">
        <f t="shared" si="251"/>
        <v>0</v>
      </c>
      <c r="MB35" s="291">
        <f t="shared" si="252"/>
        <v>0</v>
      </c>
      <c r="MC35" s="291">
        <f t="shared" si="253"/>
        <v>0</v>
      </c>
      <c r="MD35" s="292">
        <f t="shared" si="254"/>
        <v>0</v>
      </c>
      <c r="ME35" s="999">
        <v>22</v>
      </c>
      <c r="MF35" s="286">
        <f t="shared" si="309"/>
        <v>44249</v>
      </c>
      <c r="MG35" s="293">
        <f t="shared" si="33"/>
        <v>44249</v>
      </c>
      <c r="MH35" s="288">
        <f>'दैनिक माहिती'!H346</f>
        <v>0</v>
      </c>
      <c r="MI35" s="289">
        <f>'दैनिक माहिती'!E346</f>
        <v>0</v>
      </c>
      <c r="MJ35" s="289">
        <f>'दैनिक माहिती'!F346</f>
        <v>0</v>
      </c>
      <c r="MK35" s="289">
        <f>'दैनिक माहिती'!G346</f>
        <v>0</v>
      </c>
      <c r="ML35" s="290">
        <f t="shared" si="255"/>
        <v>0</v>
      </c>
      <c r="MM35" s="290">
        <f t="shared" si="256"/>
        <v>0</v>
      </c>
      <c r="MN35" s="290">
        <f t="shared" si="257"/>
        <v>0</v>
      </c>
      <c r="MO35" s="290">
        <f t="shared" si="258"/>
        <v>0</v>
      </c>
      <c r="MP35" s="290">
        <f t="shared" si="259"/>
        <v>0</v>
      </c>
      <c r="MQ35" s="290">
        <f t="shared" si="260"/>
        <v>0</v>
      </c>
      <c r="MR35" s="290">
        <f t="shared" si="261"/>
        <v>0</v>
      </c>
      <c r="MS35" s="290">
        <f t="shared" si="262"/>
        <v>0</v>
      </c>
      <c r="MT35" s="290">
        <f t="shared" si="263"/>
        <v>0</v>
      </c>
      <c r="MU35" s="290">
        <f t="shared" si="264"/>
        <v>0</v>
      </c>
      <c r="MV35" s="290">
        <f t="shared" si="265"/>
        <v>0</v>
      </c>
      <c r="MW35" s="290">
        <f t="shared" si="266"/>
        <v>0</v>
      </c>
      <c r="MX35" s="290">
        <f t="shared" si="267"/>
        <v>0</v>
      </c>
      <c r="MY35" s="290">
        <f t="shared" si="268"/>
        <v>0</v>
      </c>
      <c r="MZ35" s="290">
        <f t="shared" si="269"/>
        <v>0</v>
      </c>
      <c r="NA35" s="290">
        <f t="shared" si="270"/>
        <v>0</v>
      </c>
      <c r="NB35" s="290">
        <f t="shared" si="271"/>
        <v>0</v>
      </c>
      <c r="NC35" s="290">
        <f t="shared" si="272"/>
        <v>0</v>
      </c>
      <c r="ND35" s="291">
        <f t="shared" si="273"/>
        <v>0</v>
      </c>
      <c r="NE35" s="291">
        <f t="shared" si="274"/>
        <v>0</v>
      </c>
      <c r="NF35" s="291">
        <f t="shared" si="275"/>
        <v>0</v>
      </c>
      <c r="NG35" s="292">
        <f t="shared" si="276"/>
        <v>0</v>
      </c>
      <c r="NH35" s="999">
        <v>22</v>
      </c>
      <c r="NI35" s="286">
        <f t="shared" si="310"/>
        <v>44277</v>
      </c>
      <c r="NJ35" s="293">
        <f t="shared" si="34"/>
        <v>44277</v>
      </c>
      <c r="NK35" s="288">
        <f>'दैनिक माहिती'!H376</f>
        <v>0</v>
      </c>
      <c r="NL35" s="289">
        <f>'दैनिक माहिती'!E376</f>
        <v>0</v>
      </c>
      <c r="NM35" s="289">
        <f>'दैनिक माहिती'!F376</f>
        <v>0</v>
      </c>
      <c r="NN35" s="289">
        <f>'दैनिक माहिती'!G376</f>
        <v>0</v>
      </c>
      <c r="NO35" s="290">
        <f t="shared" si="277"/>
        <v>0</v>
      </c>
      <c r="NP35" s="290">
        <f t="shared" si="278"/>
        <v>0</v>
      </c>
      <c r="NQ35" s="290">
        <f t="shared" si="279"/>
        <v>0</v>
      </c>
      <c r="NR35" s="290">
        <f t="shared" si="280"/>
        <v>0</v>
      </c>
      <c r="NS35" s="290">
        <f t="shared" si="281"/>
        <v>0</v>
      </c>
      <c r="NT35" s="290">
        <f t="shared" si="282"/>
        <v>0</v>
      </c>
      <c r="NU35" s="290">
        <f t="shared" si="283"/>
        <v>0</v>
      </c>
      <c r="NV35" s="290">
        <f t="shared" si="284"/>
        <v>0</v>
      </c>
      <c r="NW35" s="290">
        <f t="shared" si="285"/>
        <v>0</v>
      </c>
      <c r="NX35" s="290">
        <f t="shared" si="286"/>
        <v>0</v>
      </c>
      <c r="NY35" s="290">
        <f t="shared" si="287"/>
        <v>0</v>
      </c>
      <c r="NZ35" s="290">
        <f t="shared" si="288"/>
        <v>0</v>
      </c>
      <c r="OA35" s="290">
        <f t="shared" si="289"/>
        <v>0</v>
      </c>
      <c r="OB35" s="290">
        <f t="shared" si="290"/>
        <v>0</v>
      </c>
      <c r="OC35" s="290">
        <f t="shared" si="291"/>
        <v>0</v>
      </c>
      <c r="OD35" s="290">
        <f t="shared" si="292"/>
        <v>0</v>
      </c>
      <c r="OE35" s="290">
        <f t="shared" si="293"/>
        <v>0</v>
      </c>
      <c r="OF35" s="290">
        <f t="shared" si="294"/>
        <v>0</v>
      </c>
      <c r="OG35" s="291">
        <f t="shared" si="295"/>
        <v>0</v>
      </c>
      <c r="OH35" s="291">
        <f t="shared" si="296"/>
        <v>0</v>
      </c>
      <c r="OI35" s="291">
        <f t="shared" si="297"/>
        <v>0</v>
      </c>
      <c r="OJ35" s="292">
        <f t="shared" si="298"/>
        <v>0</v>
      </c>
    </row>
    <row r="36" spans="50:400" ht="29.25" customHeight="1" x14ac:dyDescent="0.3">
      <c r="BA36" s="999">
        <v>23</v>
      </c>
      <c r="BB36" s="286">
        <f t="shared" si="299"/>
        <v>43944</v>
      </c>
      <c r="BC36" s="287">
        <f t="shared" si="23"/>
        <v>43944</v>
      </c>
      <c r="BD36" s="288" t="str">
        <f>'दैनिक माहिती'!H31</f>
        <v>मुगडाळ</v>
      </c>
      <c r="BE36" s="289">
        <f>'दैनिक माहिती'!E31</f>
        <v>22</v>
      </c>
      <c r="BF36" s="289">
        <f>'दैनिक माहिती'!F31</f>
        <v>22</v>
      </c>
      <c r="BG36" s="289">
        <f>'दैनिक माहिती'!G31</f>
        <v>22</v>
      </c>
      <c r="BH36" s="290">
        <f t="shared" si="35"/>
        <v>2.2000000000000002</v>
      </c>
      <c r="BI36" s="290">
        <f t="shared" si="36"/>
        <v>0.44</v>
      </c>
      <c r="BJ36" s="290">
        <f t="shared" si="37"/>
        <v>0</v>
      </c>
      <c r="BK36" s="290">
        <f t="shared" si="38"/>
        <v>0</v>
      </c>
      <c r="BL36" s="290">
        <f t="shared" si="39"/>
        <v>0</v>
      </c>
      <c r="BM36" s="290">
        <f t="shared" si="40"/>
        <v>0</v>
      </c>
      <c r="BN36" s="290">
        <f t="shared" si="41"/>
        <v>0</v>
      </c>
      <c r="BO36" s="290">
        <f t="shared" si="42"/>
        <v>0</v>
      </c>
      <c r="BP36" s="290">
        <f t="shared" si="43"/>
        <v>0</v>
      </c>
      <c r="BQ36" s="290">
        <f t="shared" si="44"/>
        <v>6.5999999999999991E-3</v>
      </c>
      <c r="BR36" s="290">
        <f t="shared" si="45"/>
        <v>1.0999999999999999E-2</v>
      </c>
      <c r="BS36" s="290">
        <f t="shared" si="46"/>
        <v>6.5999999999999991E-3</v>
      </c>
      <c r="BT36" s="290">
        <f t="shared" si="47"/>
        <v>0</v>
      </c>
      <c r="BU36" s="290">
        <f t="shared" si="48"/>
        <v>0</v>
      </c>
      <c r="BV36" s="290">
        <f t="shared" si="49"/>
        <v>0.11</v>
      </c>
      <c r="BW36" s="290">
        <f t="shared" si="50"/>
        <v>4.3999999999999997E-2</v>
      </c>
      <c r="BX36" s="290">
        <f t="shared" si="51"/>
        <v>2.6399999999999996E-2</v>
      </c>
      <c r="BY36" s="290">
        <f t="shared" si="52"/>
        <v>0</v>
      </c>
      <c r="BZ36" s="291">
        <f t="shared" si="53"/>
        <v>15.84</v>
      </c>
      <c r="CA36" s="291">
        <f t="shared" si="54"/>
        <v>14.08</v>
      </c>
      <c r="CB36" s="291">
        <f t="shared" si="55"/>
        <v>11.66</v>
      </c>
      <c r="CC36" s="292">
        <f t="shared" si="56"/>
        <v>58.96</v>
      </c>
      <c r="CD36" s="999">
        <v>23</v>
      </c>
      <c r="CE36" s="286">
        <f t="shared" si="300"/>
        <v>43974</v>
      </c>
      <c r="CF36" s="287">
        <f t="shared" si="24"/>
        <v>43974</v>
      </c>
      <c r="CG36" s="288">
        <f>'दैनिक माहिती'!H62</f>
        <v>0</v>
      </c>
      <c r="CH36" s="289">
        <f>'दैनिक माहिती'!E62</f>
        <v>0</v>
      </c>
      <c r="CI36" s="289">
        <f>'दैनिक माहिती'!F62</f>
        <v>0</v>
      </c>
      <c r="CJ36" s="289">
        <f>'दैनिक माहिती'!G62</f>
        <v>0</v>
      </c>
      <c r="CK36" s="290">
        <f t="shared" si="57"/>
        <v>0</v>
      </c>
      <c r="CL36" s="290">
        <f t="shared" si="58"/>
        <v>0</v>
      </c>
      <c r="CM36" s="290">
        <f t="shared" si="59"/>
        <v>0</v>
      </c>
      <c r="CN36" s="290">
        <f t="shared" si="60"/>
        <v>0</v>
      </c>
      <c r="CO36" s="290">
        <f t="shared" si="61"/>
        <v>0</v>
      </c>
      <c r="CP36" s="290">
        <f t="shared" si="62"/>
        <v>0</v>
      </c>
      <c r="CQ36" s="290">
        <f t="shared" si="63"/>
        <v>0</v>
      </c>
      <c r="CR36" s="290">
        <f t="shared" si="64"/>
        <v>0</v>
      </c>
      <c r="CS36" s="290">
        <f t="shared" si="65"/>
        <v>0</v>
      </c>
      <c r="CT36" s="290">
        <f t="shared" si="66"/>
        <v>0</v>
      </c>
      <c r="CU36" s="290">
        <f t="shared" si="67"/>
        <v>0</v>
      </c>
      <c r="CV36" s="290">
        <f t="shared" si="68"/>
        <v>0</v>
      </c>
      <c r="CW36" s="290">
        <f t="shared" si="69"/>
        <v>0</v>
      </c>
      <c r="CX36" s="290">
        <f t="shared" si="70"/>
        <v>0</v>
      </c>
      <c r="CY36" s="290">
        <f t="shared" si="71"/>
        <v>0</v>
      </c>
      <c r="CZ36" s="290">
        <f t="shared" si="72"/>
        <v>0</v>
      </c>
      <c r="DA36" s="290">
        <f t="shared" si="73"/>
        <v>0</v>
      </c>
      <c r="DB36" s="290">
        <f t="shared" si="74"/>
        <v>0</v>
      </c>
      <c r="DC36" s="291">
        <f t="shared" si="75"/>
        <v>0</v>
      </c>
      <c r="DD36" s="291">
        <f t="shared" si="76"/>
        <v>0</v>
      </c>
      <c r="DE36" s="291">
        <f t="shared" si="77"/>
        <v>0</v>
      </c>
      <c r="DF36" s="292">
        <f t="shared" si="78"/>
        <v>0</v>
      </c>
      <c r="DG36" s="999">
        <v>23</v>
      </c>
      <c r="DH36" s="286">
        <f t="shared" si="301"/>
        <v>44005</v>
      </c>
      <c r="DI36" s="287">
        <f t="shared" si="25"/>
        <v>44005</v>
      </c>
      <c r="DJ36" s="288" t="str">
        <f>'दैनिक माहिती'!H94</f>
        <v>हरभरा</v>
      </c>
      <c r="DK36" s="289">
        <f>'दैनिक माहिती'!E94</f>
        <v>17</v>
      </c>
      <c r="DL36" s="289">
        <f>'दैनिक माहिती'!F94</f>
        <v>17</v>
      </c>
      <c r="DM36" s="289">
        <f>'दैनिक माहिती'!G94</f>
        <v>17</v>
      </c>
      <c r="DN36" s="290">
        <f t="shared" si="79"/>
        <v>1.7000000000000002</v>
      </c>
      <c r="DO36" s="290">
        <f t="shared" si="80"/>
        <v>0</v>
      </c>
      <c r="DP36" s="290">
        <f t="shared" si="81"/>
        <v>0</v>
      </c>
      <c r="DQ36" s="290">
        <f t="shared" si="82"/>
        <v>0</v>
      </c>
      <c r="DR36" s="290">
        <f t="shared" si="83"/>
        <v>0</v>
      </c>
      <c r="DS36" s="290">
        <f t="shared" si="84"/>
        <v>0</v>
      </c>
      <c r="DT36" s="290">
        <f t="shared" si="85"/>
        <v>0</v>
      </c>
      <c r="DU36" s="290">
        <f t="shared" si="86"/>
        <v>0.34</v>
      </c>
      <c r="DV36" s="290">
        <f t="shared" si="87"/>
        <v>0</v>
      </c>
      <c r="DW36" s="290">
        <f t="shared" si="88"/>
        <v>5.0999999999999995E-3</v>
      </c>
      <c r="DX36" s="290">
        <f t="shared" si="89"/>
        <v>8.5000000000000006E-3</v>
      </c>
      <c r="DY36" s="290">
        <f t="shared" si="90"/>
        <v>5.0999999999999995E-3</v>
      </c>
      <c r="DZ36" s="290">
        <f t="shared" si="91"/>
        <v>0</v>
      </c>
      <c r="EA36" s="290">
        <f t="shared" si="92"/>
        <v>0</v>
      </c>
      <c r="EB36" s="290">
        <f t="shared" si="93"/>
        <v>8.5000000000000006E-2</v>
      </c>
      <c r="EC36" s="290">
        <f t="shared" si="94"/>
        <v>3.4000000000000002E-2</v>
      </c>
      <c r="ED36" s="290">
        <f t="shared" si="95"/>
        <v>2.0399999999999998E-2</v>
      </c>
      <c r="EE36" s="290">
        <f t="shared" si="96"/>
        <v>0</v>
      </c>
      <c r="EF36" s="291">
        <f t="shared" si="97"/>
        <v>12.24</v>
      </c>
      <c r="EG36" s="291">
        <f t="shared" si="98"/>
        <v>10.88</v>
      </c>
      <c r="EH36" s="291">
        <f t="shared" si="99"/>
        <v>9.01</v>
      </c>
      <c r="EI36" s="292">
        <f t="shared" si="100"/>
        <v>45.56</v>
      </c>
      <c r="EJ36" s="999">
        <v>23</v>
      </c>
      <c r="EK36" s="286">
        <f t="shared" si="302"/>
        <v>44035</v>
      </c>
      <c r="EL36" s="287">
        <f t="shared" si="26"/>
        <v>44035</v>
      </c>
      <c r="EM36" s="288" t="str">
        <f>'दैनिक माहिती'!H125</f>
        <v>मुगडाळ</v>
      </c>
      <c r="EN36" s="289">
        <f>'दैनिक माहिती'!E125</f>
        <v>17</v>
      </c>
      <c r="EO36" s="289">
        <f>'दैनिक माहिती'!F125</f>
        <v>17</v>
      </c>
      <c r="EP36" s="289">
        <f>'दैनिक माहिती'!G125</f>
        <v>17</v>
      </c>
      <c r="EQ36" s="290">
        <f t="shared" si="101"/>
        <v>1.7000000000000002</v>
      </c>
      <c r="ER36" s="290">
        <f t="shared" si="102"/>
        <v>0.34</v>
      </c>
      <c r="ES36" s="290">
        <f t="shared" si="103"/>
        <v>0</v>
      </c>
      <c r="ET36" s="290">
        <f t="shared" si="104"/>
        <v>0</v>
      </c>
      <c r="EU36" s="290">
        <f t="shared" si="105"/>
        <v>0</v>
      </c>
      <c r="EV36" s="290">
        <f t="shared" si="106"/>
        <v>0</v>
      </c>
      <c r="EW36" s="290">
        <f t="shared" si="107"/>
        <v>0</v>
      </c>
      <c r="EX36" s="290">
        <f t="shared" si="108"/>
        <v>0</v>
      </c>
      <c r="EY36" s="290">
        <f t="shared" si="109"/>
        <v>0</v>
      </c>
      <c r="EZ36" s="290">
        <f t="shared" si="110"/>
        <v>5.0999999999999995E-3</v>
      </c>
      <c r="FA36" s="290">
        <f t="shared" si="111"/>
        <v>8.5000000000000006E-3</v>
      </c>
      <c r="FB36" s="290">
        <f t="shared" si="112"/>
        <v>5.0999999999999995E-3</v>
      </c>
      <c r="FC36" s="290">
        <f t="shared" si="113"/>
        <v>0</v>
      </c>
      <c r="FD36" s="290">
        <f t="shared" si="114"/>
        <v>0</v>
      </c>
      <c r="FE36" s="290">
        <f t="shared" si="115"/>
        <v>8.5000000000000006E-2</v>
      </c>
      <c r="FF36" s="290">
        <f t="shared" si="116"/>
        <v>3.4000000000000002E-2</v>
      </c>
      <c r="FG36" s="290">
        <f t="shared" si="117"/>
        <v>2.0399999999999998E-2</v>
      </c>
      <c r="FH36" s="290">
        <f t="shared" si="118"/>
        <v>0</v>
      </c>
      <c r="FI36" s="291">
        <f t="shared" si="119"/>
        <v>12.24</v>
      </c>
      <c r="FJ36" s="291">
        <f t="shared" si="120"/>
        <v>10.88</v>
      </c>
      <c r="FK36" s="291">
        <f t="shared" si="121"/>
        <v>9.01</v>
      </c>
      <c r="FL36" s="292">
        <f t="shared" si="122"/>
        <v>45.56</v>
      </c>
      <c r="FM36" s="999">
        <v>23</v>
      </c>
      <c r="FN36" s="286">
        <f t="shared" si="303"/>
        <v>44066</v>
      </c>
      <c r="FO36" s="287">
        <f t="shared" si="27"/>
        <v>44066</v>
      </c>
      <c r="FP36" s="288" t="str">
        <f>'दैनिक माहिती'!H157</f>
        <v>हरभरा</v>
      </c>
      <c r="FQ36" s="289">
        <f>'दैनिक माहिती'!E157</f>
        <v>15</v>
      </c>
      <c r="FR36" s="289">
        <f>'दैनिक माहिती'!F157</f>
        <v>15</v>
      </c>
      <c r="FS36" s="289">
        <f>'दैनिक माहिती'!G157</f>
        <v>15</v>
      </c>
      <c r="FT36" s="290">
        <f t="shared" si="123"/>
        <v>1.5</v>
      </c>
      <c r="FU36" s="290">
        <f t="shared" si="124"/>
        <v>0</v>
      </c>
      <c r="FV36" s="290">
        <f t="shared" si="125"/>
        <v>0</v>
      </c>
      <c r="FW36" s="290">
        <f t="shared" si="126"/>
        <v>0</v>
      </c>
      <c r="FX36" s="290">
        <f t="shared" si="127"/>
        <v>0</v>
      </c>
      <c r="FY36" s="290">
        <f t="shared" si="128"/>
        <v>0</v>
      </c>
      <c r="FZ36" s="290">
        <f t="shared" si="129"/>
        <v>0</v>
      </c>
      <c r="GA36" s="290">
        <f t="shared" si="130"/>
        <v>0.3</v>
      </c>
      <c r="GB36" s="290">
        <f t="shared" si="131"/>
        <v>0</v>
      </c>
      <c r="GC36" s="290">
        <f t="shared" si="132"/>
        <v>4.4999999999999997E-3</v>
      </c>
      <c r="GD36" s="290">
        <f t="shared" si="133"/>
        <v>7.4999999999999997E-3</v>
      </c>
      <c r="GE36" s="290">
        <f t="shared" si="134"/>
        <v>4.4999999999999997E-3</v>
      </c>
      <c r="GF36" s="290">
        <f t="shared" si="135"/>
        <v>0</v>
      </c>
      <c r="GG36" s="290">
        <f t="shared" si="136"/>
        <v>0</v>
      </c>
      <c r="GH36" s="290">
        <f t="shared" si="137"/>
        <v>7.4999999999999997E-2</v>
      </c>
      <c r="GI36" s="290">
        <f t="shared" si="138"/>
        <v>0.03</v>
      </c>
      <c r="GJ36" s="290">
        <f t="shared" si="139"/>
        <v>1.7999999999999999E-2</v>
      </c>
      <c r="GK36" s="290">
        <f t="shared" si="140"/>
        <v>0</v>
      </c>
      <c r="GL36" s="291">
        <f t="shared" si="141"/>
        <v>10.799999999999999</v>
      </c>
      <c r="GM36" s="291">
        <f t="shared" si="142"/>
        <v>9.6</v>
      </c>
      <c r="GN36" s="291">
        <f t="shared" si="143"/>
        <v>7.95</v>
      </c>
      <c r="GO36" s="292">
        <f t="shared" si="144"/>
        <v>40.200000000000003</v>
      </c>
      <c r="GP36" s="999">
        <v>23</v>
      </c>
      <c r="GQ36" s="286">
        <f t="shared" si="304"/>
        <v>44097</v>
      </c>
      <c r="GR36" s="287">
        <f t="shared" si="28"/>
        <v>44097</v>
      </c>
      <c r="GS36" s="288" t="str">
        <f>'दैनिक माहिती'!H189</f>
        <v>वाटाणा</v>
      </c>
      <c r="GT36" s="289">
        <f>'दैनिक माहिती'!E189</f>
        <v>16</v>
      </c>
      <c r="GU36" s="289">
        <f>'दैनिक माहिती'!F189</f>
        <v>16</v>
      </c>
      <c r="GV36" s="289">
        <f>'दैनिक माहिती'!G189</f>
        <v>16</v>
      </c>
      <c r="GW36" s="290">
        <f t="shared" si="145"/>
        <v>1.6</v>
      </c>
      <c r="GX36" s="290">
        <f t="shared" si="146"/>
        <v>0</v>
      </c>
      <c r="GY36" s="290">
        <f t="shared" si="147"/>
        <v>0</v>
      </c>
      <c r="GZ36" s="290">
        <f t="shared" si="148"/>
        <v>0</v>
      </c>
      <c r="HA36" s="290">
        <f t="shared" si="149"/>
        <v>0</v>
      </c>
      <c r="HB36" s="290">
        <f t="shared" si="150"/>
        <v>0</v>
      </c>
      <c r="HC36" s="290">
        <f t="shared" si="151"/>
        <v>0</v>
      </c>
      <c r="HD36" s="290">
        <f t="shared" si="152"/>
        <v>0</v>
      </c>
      <c r="HE36" s="290">
        <f t="shared" si="153"/>
        <v>0.32</v>
      </c>
      <c r="HF36" s="290">
        <f t="shared" si="154"/>
        <v>4.7999999999999996E-3</v>
      </c>
      <c r="HG36" s="290">
        <f t="shared" si="155"/>
        <v>8.0000000000000002E-3</v>
      </c>
      <c r="HH36" s="290">
        <f t="shared" si="156"/>
        <v>4.7999999999999996E-3</v>
      </c>
      <c r="HI36" s="290">
        <f t="shared" si="157"/>
        <v>0</v>
      </c>
      <c r="HJ36" s="290">
        <f t="shared" si="158"/>
        <v>0</v>
      </c>
      <c r="HK36" s="290">
        <f t="shared" si="159"/>
        <v>0.08</v>
      </c>
      <c r="HL36" s="290">
        <f t="shared" si="160"/>
        <v>3.2000000000000001E-2</v>
      </c>
      <c r="HM36" s="290">
        <f t="shared" si="161"/>
        <v>1.9199999999999998E-2</v>
      </c>
      <c r="HN36" s="290">
        <f t="shared" si="162"/>
        <v>0</v>
      </c>
      <c r="HO36" s="291">
        <f t="shared" si="163"/>
        <v>11.52</v>
      </c>
      <c r="HP36" s="291">
        <f t="shared" si="164"/>
        <v>10.24</v>
      </c>
      <c r="HQ36" s="291">
        <f t="shared" si="165"/>
        <v>8.48</v>
      </c>
      <c r="HR36" s="292">
        <f t="shared" si="166"/>
        <v>42.88</v>
      </c>
      <c r="HS36" s="999">
        <v>23</v>
      </c>
      <c r="HT36" s="286">
        <f t="shared" si="305"/>
        <v>44127</v>
      </c>
      <c r="HU36" s="287">
        <f t="shared" si="29"/>
        <v>44127</v>
      </c>
      <c r="HV36" s="288">
        <f>'दैनिक माहिती'!H220</f>
        <v>0</v>
      </c>
      <c r="HW36" s="289">
        <f>'दैनिक माहिती'!E220</f>
        <v>0</v>
      </c>
      <c r="HX36" s="289">
        <f>'दैनिक माहिती'!F220</f>
        <v>0</v>
      </c>
      <c r="HY36" s="289">
        <f>'दैनिक माहिती'!G220</f>
        <v>0</v>
      </c>
      <c r="HZ36" s="290">
        <f t="shared" si="167"/>
        <v>0</v>
      </c>
      <c r="IA36" s="290">
        <f t="shared" si="168"/>
        <v>0</v>
      </c>
      <c r="IB36" s="290">
        <f t="shared" si="169"/>
        <v>0</v>
      </c>
      <c r="IC36" s="290">
        <f t="shared" si="170"/>
        <v>0</v>
      </c>
      <c r="ID36" s="290">
        <f t="shared" si="171"/>
        <v>0</v>
      </c>
      <c r="IE36" s="290">
        <f t="shared" si="172"/>
        <v>0</v>
      </c>
      <c r="IF36" s="290">
        <f t="shared" si="173"/>
        <v>0</v>
      </c>
      <c r="IG36" s="290">
        <f t="shared" si="174"/>
        <v>0</v>
      </c>
      <c r="IH36" s="290">
        <f t="shared" si="175"/>
        <v>0</v>
      </c>
      <c r="II36" s="290">
        <f t="shared" si="176"/>
        <v>0</v>
      </c>
      <c r="IJ36" s="290">
        <f t="shared" si="177"/>
        <v>0</v>
      </c>
      <c r="IK36" s="290">
        <f t="shared" si="178"/>
        <v>0</v>
      </c>
      <c r="IL36" s="290">
        <f t="shared" si="179"/>
        <v>0</v>
      </c>
      <c r="IM36" s="290">
        <f t="shared" si="180"/>
        <v>0</v>
      </c>
      <c r="IN36" s="290">
        <f t="shared" si="181"/>
        <v>0</v>
      </c>
      <c r="IO36" s="290">
        <f t="shared" si="182"/>
        <v>0</v>
      </c>
      <c r="IP36" s="290">
        <f t="shared" si="183"/>
        <v>0</v>
      </c>
      <c r="IQ36" s="290">
        <f t="shared" si="184"/>
        <v>0</v>
      </c>
      <c r="IR36" s="291">
        <f t="shared" si="185"/>
        <v>0</v>
      </c>
      <c r="IS36" s="291">
        <f t="shared" si="186"/>
        <v>0</v>
      </c>
      <c r="IT36" s="291">
        <f t="shared" si="187"/>
        <v>0</v>
      </c>
      <c r="IU36" s="292">
        <f t="shared" si="188"/>
        <v>0</v>
      </c>
      <c r="IV36" s="999">
        <v>23</v>
      </c>
      <c r="IW36" s="286">
        <f t="shared" si="306"/>
        <v>44158</v>
      </c>
      <c r="IX36" s="287">
        <f t="shared" si="30"/>
        <v>44158</v>
      </c>
      <c r="IY36" s="288" t="str">
        <f>'दैनिक माहिती'!H252</f>
        <v>वाटाणा</v>
      </c>
      <c r="IZ36" s="289">
        <f>'दैनिक माहिती'!E252</f>
        <v>22</v>
      </c>
      <c r="JA36" s="289">
        <f>'दैनिक माहिती'!F252</f>
        <v>22</v>
      </c>
      <c r="JB36" s="289">
        <f>'दैनिक माहिती'!G252</f>
        <v>22</v>
      </c>
      <c r="JC36" s="290">
        <f t="shared" si="189"/>
        <v>2.2000000000000002</v>
      </c>
      <c r="JD36" s="290">
        <f t="shared" si="190"/>
        <v>0</v>
      </c>
      <c r="JE36" s="290">
        <f t="shared" si="191"/>
        <v>0</v>
      </c>
      <c r="JF36" s="290">
        <f t="shared" si="192"/>
        <v>0</v>
      </c>
      <c r="JG36" s="290">
        <f t="shared" si="193"/>
        <v>0</v>
      </c>
      <c r="JH36" s="290">
        <f t="shared" si="194"/>
        <v>0</v>
      </c>
      <c r="JI36" s="290">
        <f t="shared" si="195"/>
        <v>0</v>
      </c>
      <c r="JJ36" s="290">
        <f t="shared" si="196"/>
        <v>0</v>
      </c>
      <c r="JK36" s="290">
        <f t="shared" si="197"/>
        <v>0.44</v>
      </c>
      <c r="JL36" s="290">
        <f t="shared" si="198"/>
        <v>6.5999999999999991E-3</v>
      </c>
      <c r="JM36" s="290">
        <f t="shared" si="199"/>
        <v>1.0999999999999999E-2</v>
      </c>
      <c r="JN36" s="290">
        <f t="shared" si="200"/>
        <v>6.5999999999999991E-3</v>
      </c>
      <c r="JO36" s="290">
        <f t="shared" si="201"/>
        <v>0</v>
      </c>
      <c r="JP36" s="290">
        <f t="shared" si="202"/>
        <v>0</v>
      </c>
      <c r="JQ36" s="290">
        <f t="shared" si="203"/>
        <v>0.11</v>
      </c>
      <c r="JR36" s="290">
        <f t="shared" si="204"/>
        <v>4.3999999999999997E-2</v>
      </c>
      <c r="JS36" s="290">
        <f t="shared" si="205"/>
        <v>2.6399999999999996E-2</v>
      </c>
      <c r="JT36" s="290">
        <f t="shared" si="206"/>
        <v>0</v>
      </c>
      <c r="JU36" s="291">
        <f t="shared" si="207"/>
        <v>15.62</v>
      </c>
      <c r="JV36" s="291">
        <f t="shared" si="208"/>
        <v>17.380000000000003</v>
      </c>
      <c r="JW36" s="291">
        <f t="shared" si="209"/>
        <v>12.76</v>
      </c>
      <c r="JX36" s="292">
        <f t="shared" si="210"/>
        <v>63.14</v>
      </c>
      <c r="JY36" s="999">
        <v>23</v>
      </c>
      <c r="JZ36" s="286">
        <f t="shared" si="307"/>
        <v>44188</v>
      </c>
      <c r="KA36" s="287">
        <f t="shared" si="31"/>
        <v>44188</v>
      </c>
      <c r="KB36" s="288" t="str">
        <f>'दैनिक माहिती'!H283</f>
        <v>वाटाणा</v>
      </c>
      <c r="KC36" s="289">
        <f>'दैनिक माहिती'!E283</f>
        <v>21</v>
      </c>
      <c r="KD36" s="289">
        <f>'दैनिक माहिती'!F283</f>
        <v>21</v>
      </c>
      <c r="KE36" s="289">
        <f>'दैनिक माहिती'!G283</f>
        <v>21</v>
      </c>
      <c r="KF36" s="290">
        <f t="shared" si="211"/>
        <v>2.1</v>
      </c>
      <c r="KG36" s="290">
        <f t="shared" si="212"/>
        <v>0</v>
      </c>
      <c r="KH36" s="290">
        <f t="shared" si="213"/>
        <v>0</v>
      </c>
      <c r="KI36" s="290">
        <f t="shared" si="214"/>
        <v>0</v>
      </c>
      <c r="KJ36" s="290">
        <f t="shared" si="215"/>
        <v>0</v>
      </c>
      <c r="KK36" s="290">
        <f t="shared" si="216"/>
        <v>0</v>
      </c>
      <c r="KL36" s="290">
        <f t="shared" si="217"/>
        <v>0</v>
      </c>
      <c r="KM36" s="290">
        <f t="shared" si="218"/>
        <v>0</v>
      </c>
      <c r="KN36" s="290">
        <f t="shared" si="219"/>
        <v>0.42</v>
      </c>
      <c r="KO36" s="290">
        <f t="shared" si="220"/>
        <v>6.2999999999999992E-3</v>
      </c>
      <c r="KP36" s="290">
        <f t="shared" si="221"/>
        <v>1.0500000000000001E-2</v>
      </c>
      <c r="KQ36" s="290">
        <f t="shared" si="222"/>
        <v>6.2999999999999992E-3</v>
      </c>
      <c r="KR36" s="290">
        <f t="shared" si="223"/>
        <v>0</v>
      </c>
      <c r="KS36" s="290">
        <f t="shared" si="224"/>
        <v>0</v>
      </c>
      <c r="KT36" s="290">
        <f t="shared" si="225"/>
        <v>0.105</v>
      </c>
      <c r="KU36" s="290">
        <f t="shared" si="226"/>
        <v>4.2000000000000003E-2</v>
      </c>
      <c r="KV36" s="290">
        <f t="shared" si="227"/>
        <v>2.5199999999999997E-2</v>
      </c>
      <c r="KW36" s="290">
        <f t="shared" si="228"/>
        <v>0</v>
      </c>
      <c r="KX36" s="291">
        <f t="shared" si="229"/>
        <v>14.91</v>
      </c>
      <c r="KY36" s="291">
        <f t="shared" si="230"/>
        <v>16.59</v>
      </c>
      <c r="KZ36" s="291">
        <f t="shared" si="231"/>
        <v>12.18</v>
      </c>
      <c r="LA36" s="292">
        <f t="shared" si="232"/>
        <v>60.27</v>
      </c>
      <c r="LB36" s="999">
        <v>23</v>
      </c>
      <c r="LC36" s="286">
        <f t="shared" si="308"/>
        <v>44219</v>
      </c>
      <c r="LD36" s="287">
        <f t="shared" si="32"/>
        <v>44219</v>
      </c>
      <c r="LE36" s="288">
        <f>'दैनिक माहिती'!H315</f>
        <v>0</v>
      </c>
      <c r="LF36" s="289">
        <f>'दैनिक माहिती'!E315</f>
        <v>0</v>
      </c>
      <c r="LG36" s="289">
        <f>'दैनिक माहिती'!F315</f>
        <v>0</v>
      </c>
      <c r="LH36" s="289">
        <f>'दैनिक माहिती'!G315</f>
        <v>0</v>
      </c>
      <c r="LI36" s="290">
        <f t="shared" si="233"/>
        <v>0</v>
      </c>
      <c r="LJ36" s="290">
        <f t="shared" si="234"/>
        <v>0</v>
      </c>
      <c r="LK36" s="290">
        <f t="shared" si="235"/>
        <v>0</v>
      </c>
      <c r="LL36" s="290">
        <f t="shared" si="236"/>
        <v>0</v>
      </c>
      <c r="LM36" s="290">
        <f t="shared" si="237"/>
        <v>0</v>
      </c>
      <c r="LN36" s="290">
        <f t="shared" si="238"/>
        <v>0</v>
      </c>
      <c r="LO36" s="290">
        <f t="shared" si="239"/>
        <v>0</v>
      </c>
      <c r="LP36" s="290">
        <f t="shared" si="240"/>
        <v>0</v>
      </c>
      <c r="LQ36" s="290">
        <f t="shared" si="241"/>
        <v>0</v>
      </c>
      <c r="LR36" s="290">
        <f t="shared" si="242"/>
        <v>0</v>
      </c>
      <c r="LS36" s="290">
        <f t="shared" si="243"/>
        <v>0</v>
      </c>
      <c r="LT36" s="290">
        <f t="shared" si="244"/>
        <v>0</v>
      </c>
      <c r="LU36" s="290">
        <f t="shared" si="245"/>
        <v>0</v>
      </c>
      <c r="LV36" s="290">
        <f t="shared" si="246"/>
        <v>0</v>
      </c>
      <c r="LW36" s="290">
        <f t="shared" si="247"/>
        <v>0</v>
      </c>
      <c r="LX36" s="290">
        <f t="shared" si="248"/>
        <v>0</v>
      </c>
      <c r="LY36" s="290">
        <f t="shared" si="249"/>
        <v>0</v>
      </c>
      <c r="LZ36" s="290">
        <f t="shared" si="250"/>
        <v>0</v>
      </c>
      <c r="MA36" s="291">
        <f t="shared" si="251"/>
        <v>0</v>
      </c>
      <c r="MB36" s="291">
        <f t="shared" si="252"/>
        <v>0</v>
      </c>
      <c r="MC36" s="291">
        <f t="shared" si="253"/>
        <v>0</v>
      </c>
      <c r="MD36" s="292">
        <f t="shared" si="254"/>
        <v>0</v>
      </c>
      <c r="ME36" s="999">
        <v>23</v>
      </c>
      <c r="MF36" s="286">
        <f t="shared" si="309"/>
        <v>44250</v>
      </c>
      <c r="MG36" s="287">
        <f t="shared" si="33"/>
        <v>44250</v>
      </c>
      <c r="MH36" s="288">
        <f>'दैनिक माहिती'!H347</f>
        <v>0</v>
      </c>
      <c r="MI36" s="289">
        <f>'दैनिक माहिती'!E347</f>
        <v>0</v>
      </c>
      <c r="MJ36" s="289">
        <f>'दैनिक माहिती'!F347</f>
        <v>0</v>
      </c>
      <c r="MK36" s="289">
        <f>'दैनिक माहिती'!G347</f>
        <v>0</v>
      </c>
      <c r="ML36" s="290">
        <f t="shared" si="255"/>
        <v>0</v>
      </c>
      <c r="MM36" s="290">
        <f t="shared" si="256"/>
        <v>0</v>
      </c>
      <c r="MN36" s="290">
        <f t="shared" si="257"/>
        <v>0</v>
      </c>
      <c r="MO36" s="290">
        <f t="shared" si="258"/>
        <v>0</v>
      </c>
      <c r="MP36" s="290">
        <f t="shared" si="259"/>
        <v>0</v>
      </c>
      <c r="MQ36" s="290">
        <f t="shared" si="260"/>
        <v>0</v>
      </c>
      <c r="MR36" s="290">
        <f t="shared" si="261"/>
        <v>0</v>
      </c>
      <c r="MS36" s="290">
        <f t="shared" si="262"/>
        <v>0</v>
      </c>
      <c r="MT36" s="290">
        <f t="shared" si="263"/>
        <v>0</v>
      </c>
      <c r="MU36" s="290">
        <f t="shared" si="264"/>
        <v>0</v>
      </c>
      <c r="MV36" s="290">
        <f t="shared" si="265"/>
        <v>0</v>
      </c>
      <c r="MW36" s="290">
        <f t="shared" si="266"/>
        <v>0</v>
      </c>
      <c r="MX36" s="290">
        <f t="shared" si="267"/>
        <v>0</v>
      </c>
      <c r="MY36" s="290">
        <f t="shared" si="268"/>
        <v>0</v>
      </c>
      <c r="MZ36" s="290">
        <f t="shared" si="269"/>
        <v>0</v>
      </c>
      <c r="NA36" s="290">
        <f t="shared" si="270"/>
        <v>0</v>
      </c>
      <c r="NB36" s="290">
        <f t="shared" si="271"/>
        <v>0</v>
      </c>
      <c r="NC36" s="290">
        <f t="shared" si="272"/>
        <v>0</v>
      </c>
      <c r="ND36" s="291">
        <f t="shared" si="273"/>
        <v>0</v>
      </c>
      <c r="NE36" s="291">
        <f t="shared" si="274"/>
        <v>0</v>
      </c>
      <c r="NF36" s="291">
        <f t="shared" si="275"/>
        <v>0</v>
      </c>
      <c r="NG36" s="292">
        <f t="shared" si="276"/>
        <v>0</v>
      </c>
      <c r="NH36" s="999">
        <v>23</v>
      </c>
      <c r="NI36" s="286">
        <f t="shared" si="310"/>
        <v>44278</v>
      </c>
      <c r="NJ36" s="287">
        <f t="shared" si="34"/>
        <v>44278</v>
      </c>
      <c r="NK36" s="288">
        <f>'दैनिक माहिती'!H377</f>
        <v>0</v>
      </c>
      <c r="NL36" s="289">
        <f>'दैनिक माहिती'!E377</f>
        <v>0</v>
      </c>
      <c r="NM36" s="289">
        <f>'दैनिक माहिती'!F377</f>
        <v>0</v>
      </c>
      <c r="NN36" s="289">
        <f>'दैनिक माहिती'!G377</f>
        <v>0</v>
      </c>
      <c r="NO36" s="290">
        <f t="shared" si="277"/>
        <v>0</v>
      </c>
      <c r="NP36" s="290">
        <f t="shared" si="278"/>
        <v>0</v>
      </c>
      <c r="NQ36" s="290">
        <f t="shared" si="279"/>
        <v>0</v>
      </c>
      <c r="NR36" s="290">
        <f t="shared" si="280"/>
        <v>0</v>
      </c>
      <c r="NS36" s="290">
        <f t="shared" si="281"/>
        <v>0</v>
      </c>
      <c r="NT36" s="290">
        <f t="shared" si="282"/>
        <v>0</v>
      </c>
      <c r="NU36" s="290">
        <f t="shared" si="283"/>
        <v>0</v>
      </c>
      <c r="NV36" s="290">
        <f t="shared" si="284"/>
        <v>0</v>
      </c>
      <c r="NW36" s="290">
        <f t="shared" si="285"/>
        <v>0</v>
      </c>
      <c r="NX36" s="290">
        <f t="shared" si="286"/>
        <v>0</v>
      </c>
      <c r="NY36" s="290">
        <f t="shared" si="287"/>
        <v>0</v>
      </c>
      <c r="NZ36" s="290">
        <f t="shared" si="288"/>
        <v>0</v>
      </c>
      <c r="OA36" s="290">
        <f t="shared" si="289"/>
        <v>0</v>
      </c>
      <c r="OB36" s="290">
        <f t="shared" si="290"/>
        <v>0</v>
      </c>
      <c r="OC36" s="290">
        <f t="shared" si="291"/>
        <v>0</v>
      </c>
      <c r="OD36" s="290">
        <f t="shared" si="292"/>
        <v>0</v>
      </c>
      <c r="OE36" s="290">
        <f t="shared" si="293"/>
        <v>0</v>
      </c>
      <c r="OF36" s="290">
        <f t="shared" si="294"/>
        <v>0</v>
      </c>
      <c r="OG36" s="291">
        <f t="shared" si="295"/>
        <v>0</v>
      </c>
      <c r="OH36" s="291">
        <f t="shared" si="296"/>
        <v>0</v>
      </c>
      <c r="OI36" s="291">
        <f t="shared" si="297"/>
        <v>0</v>
      </c>
      <c r="OJ36" s="292">
        <f t="shared" si="298"/>
        <v>0</v>
      </c>
    </row>
    <row r="37" spans="50:400" ht="29.25" customHeight="1" x14ac:dyDescent="0.3">
      <c r="BA37" s="999">
        <v>24</v>
      </c>
      <c r="BB37" s="286">
        <f t="shared" si="299"/>
        <v>43945</v>
      </c>
      <c r="BC37" s="293">
        <f t="shared" si="23"/>
        <v>43945</v>
      </c>
      <c r="BD37" s="288">
        <f>'दैनिक माहिती'!H32</f>
        <v>0</v>
      </c>
      <c r="BE37" s="289">
        <f>'दैनिक माहिती'!E32</f>
        <v>0</v>
      </c>
      <c r="BF37" s="289">
        <f>'दैनिक माहिती'!F32</f>
        <v>0</v>
      </c>
      <c r="BG37" s="289">
        <f>'दैनिक माहिती'!G32</f>
        <v>0</v>
      </c>
      <c r="BH37" s="290">
        <f t="shared" si="35"/>
        <v>0</v>
      </c>
      <c r="BI37" s="290">
        <f t="shared" si="36"/>
        <v>0</v>
      </c>
      <c r="BJ37" s="290">
        <f t="shared" si="37"/>
        <v>0</v>
      </c>
      <c r="BK37" s="290">
        <f t="shared" si="38"/>
        <v>0</v>
      </c>
      <c r="BL37" s="290">
        <f t="shared" si="39"/>
        <v>0</v>
      </c>
      <c r="BM37" s="290">
        <f t="shared" si="40"/>
        <v>0</v>
      </c>
      <c r="BN37" s="290">
        <f t="shared" si="41"/>
        <v>0</v>
      </c>
      <c r="BO37" s="290">
        <f t="shared" si="42"/>
        <v>0</v>
      </c>
      <c r="BP37" s="290">
        <f t="shared" si="43"/>
        <v>0</v>
      </c>
      <c r="BQ37" s="290">
        <f t="shared" si="44"/>
        <v>0</v>
      </c>
      <c r="BR37" s="290">
        <f t="shared" si="45"/>
        <v>0</v>
      </c>
      <c r="BS37" s="290">
        <f t="shared" si="46"/>
        <v>0</v>
      </c>
      <c r="BT37" s="290">
        <f t="shared" si="47"/>
        <v>0</v>
      </c>
      <c r="BU37" s="290">
        <f t="shared" si="48"/>
        <v>0</v>
      </c>
      <c r="BV37" s="290">
        <f t="shared" si="49"/>
        <v>0</v>
      </c>
      <c r="BW37" s="290">
        <f t="shared" si="50"/>
        <v>0</v>
      </c>
      <c r="BX37" s="290">
        <f t="shared" si="51"/>
        <v>0</v>
      </c>
      <c r="BY37" s="290">
        <f t="shared" si="52"/>
        <v>0</v>
      </c>
      <c r="BZ37" s="291">
        <f t="shared" si="53"/>
        <v>0</v>
      </c>
      <c r="CA37" s="291">
        <f t="shared" si="54"/>
        <v>0</v>
      </c>
      <c r="CB37" s="291">
        <f t="shared" si="55"/>
        <v>0</v>
      </c>
      <c r="CC37" s="292">
        <f t="shared" si="56"/>
        <v>0</v>
      </c>
      <c r="CD37" s="999">
        <v>24</v>
      </c>
      <c r="CE37" s="286">
        <f t="shared" si="300"/>
        <v>43975</v>
      </c>
      <c r="CF37" s="293">
        <f t="shared" si="24"/>
        <v>43975</v>
      </c>
      <c r="CG37" s="288">
        <f>'दैनिक माहिती'!H63</f>
        <v>0</v>
      </c>
      <c r="CH37" s="289">
        <f>'दैनिक माहिती'!E63</f>
        <v>0</v>
      </c>
      <c r="CI37" s="289">
        <f>'दैनिक माहिती'!F63</f>
        <v>0</v>
      </c>
      <c r="CJ37" s="289">
        <f>'दैनिक माहिती'!G63</f>
        <v>0</v>
      </c>
      <c r="CK37" s="290">
        <f t="shared" si="57"/>
        <v>0</v>
      </c>
      <c r="CL37" s="290">
        <f t="shared" si="58"/>
        <v>0</v>
      </c>
      <c r="CM37" s="290">
        <f t="shared" si="59"/>
        <v>0</v>
      </c>
      <c r="CN37" s="290">
        <f t="shared" si="60"/>
        <v>0</v>
      </c>
      <c r="CO37" s="290">
        <f t="shared" si="61"/>
        <v>0</v>
      </c>
      <c r="CP37" s="290">
        <f t="shared" si="62"/>
        <v>0</v>
      </c>
      <c r="CQ37" s="290">
        <f t="shared" si="63"/>
        <v>0</v>
      </c>
      <c r="CR37" s="290">
        <f t="shared" si="64"/>
        <v>0</v>
      </c>
      <c r="CS37" s="290">
        <f t="shared" si="65"/>
        <v>0</v>
      </c>
      <c r="CT37" s="290">
        <f t="shared" si="66"/>
        <v>0</v>
      </c>
      <c r="CU37" s="290">
        <f t="shared" si="67"/>
        <v>0</v>
      </c>
      <c r="CV37" s="290">
        <f t="shared" si="68"/>
        <v>0</v>
      </c>
      <c r="CW37" s="290">
        <f t="shared" si="69"/>
        <v>0</v>
      </c>
      <c r="CX37" s="290">
        <f t="shared" si="70"/>
        <v>0</v>
      </c>
      <c r="CY37" s="290">
        <f t="shared" si="71"/>
        <v>0</v>
      </c>
      <c r="CZ37" s="290">
        <f t="shared" si="72"/>
        <v>0</v>
      </c>
      <c r="DA37" s="290">
        <f t="shared" si="73"/>
        <v>0</v>
      </c>
      <c r="DB37" s="290">
        <f t="shared" si="74"/>
        <v>0</v>
      </c>
      <c r="DC37" s="291">
        <f t="shared" si="75"/>
        <v>0</v>
      </c>
      <c r="DD37" s="291">
        <f t="shared" si="76"/>
        <v>0</v>
      </c>
      <c r="DE37" s="291">
        <f t="shared" si="77"/>
        <v>0</v>
      </c>
      <c r="DF37" s="292">
        <f t="shared" si="78"/>
        <v>0</v>
      </c>
      <c r="DG37" s="999">
        <v>24</v>
      </c>
      <c r="DH37" s="286">
        <f t="shared" si="301"/>
        <v>44006</v>
      </c>
      <c r="DI37" s="293">
        <f t="shared" si="25"/>
        <v>44006</v>
      </c>
      <c r="DJ37" s="288" t="str">
        <f>'दैनिक माहिती'!H95</f>
        <v>वाटाणा</v>
      </c>
      <c r="DK37" s="289">
        <f>'दैनिक माहिती'!E95</f>
        <v>17</v>
      </c>
      <c r="DL37" s="289">
        <f>'दैनिक माहिती'!F95</f>
        <v>17</v>
      </c>
      <c r="DM37" s="289">
        <f>'दैनिक माहिती'!G95</f>
        <v>17</v>
      </c>
      <c r="DN37" s="290">
        <f t="shared" si="79"/>
        <v>1.7000000000000002</v>
      </c>
      <c r="DO37" s="290">
        <f t="shared" si="80"/>
        <v>0</v>
      </c>
      <c r="DP37" s="290">
        <f t="shared" si="81"/>
        <v>0</v>
      </c>
      <c r="DQ37" s="290">
        <f t="shared" si="82"/>
        <v>0</v>
      </c>
      <c r="DR37" s="290">
        <f t="shared" si="83"/>
        <v>0</v>
      </c>
      <c r="DS37" s="290">
        <f t="shared" si="84"/>
        <v>0</v>
      </c>
      <c r="DT37" s="290">
        <f t="shared" si="85"/>
        <v>0</v>
      </c>
      <c r="DU37" s="290">
        <f t="shared" si="86"/>
        <v>0</v>
      </c>
      <c r="DV37" s="290">
        <f t="shared" si="87"/>
        <v>0.34</v>
      </c>
      <c r="DW37" s="290">
        <f t="shared" si="88"/>
        <v>5.0999999999999995E-3</v>
      </c>
      <c r="DX37" s="290">
        <f t="shared" si="89"/>
        <v>8.5000000000000006E-3</v>
      </c>
      <c r="DY37" s="290">
        <f t="shared" si="90"/>
        <v>5.0999999999999995E-3</v>
      </c>
      <c r="DZ37" s="290">
        <f t="shared" si="91"/>
        <v>0</v>
      </c>
      <c r="EA37" s="290">
        <f t="shared" si="92"/>
        <v>0</v>
      </c>
      <c r="EB37" s="290">
        <f t="shared" si="93"/>
        <v>8.5000000000000006E-2</v>
      </c>
      <c r="EC37" s="290">
        <f t="shared" si="94"/>
        <v>3.4000000000000002E-2</v>
      </c>
      <c r="ED37" s="290">
        <f t="shared" si="95"/>
        <v>2.0399999999999998E-2</v>
      </c>
      <c r="EE37" s="290">
        <f t="shared" si="96"/>
        <v>0</v>
      </c>
      <c r="EF37" s="291">
        <f t="shared" si="97"/>
        <v>12.24</v>
      </c>
      <c r="EG37" s="291">
        <f t="shared" si="98"/>
        <v>10.88</v>
      </c>
      <c r="EH37" s="291">
        <f t="shared" si="99"/>
        <v>9.01</v>
      </c>
      <c r="EI37" s="292">
        <f t="shared" si="100"/>
        <v>45.56</v>
      </c>
      <c r="EJ37" s="999">
        <v>24</v>
      </c>
      <c r="EK37" s="286">
        <f t="shared" si="302"/>
        <v>44036</v>
      </c>
      <c r="EL37" s="293">
        <f t="shared" si="26"/>
        <v>44036</v>
      </c>
      <c r="EM37" s="288">
        <f>'दैनिक माहिती'!H126</f>
        <v>0</v>
      </c>
      <c r="EN37" s="289">
        <f>'दैनिक माहिती'!E126</f>
        <v>0</v>
      </c>
      <c r="EO37" s="289">
        <f>'दैनिक माहिती'!F126</f>
        <v>0</v>
      </c>
      <c r="EP37" s="289">
        <f>'दैनिक माहिती'!G126</f>
        <v>0</v>
      </c>
      <c r="EQ37" s="290">
        <f t="shared" si="101"/>
        <v>0</v>
      </c>
      <c r="ER37" s="290">
        <f t="shared" si="102"/>
        <v>0</v>
      </c>
      <c r="ES37" s="290">
        <f t="shared" si="103"/>
        <v>0</v>
      </c>
      <c r="ET37" s="290">
        <f t="shared" si="104"/>
        <v>0</v>
      </c>
      <c r="EU37" s="290">
        <f t="shared" si="105"/>
        <v>0</v>
      </c>
      <c r="EV37" s="290">
        <f t="shared" si="106"/>
        <v>0</v>
      </c>
      <c r="EW37" s="290">
        <f t="shared" si="107"/>
        <v>0</v>
      </c>
      <c r="EX37" s="290">
        <f t="shared" si="108"/>
        <v>0</v>
      </c>
      <c r="EY37" s="290">
        <f t="shared" si="109"/>
        <v>0</v>
      </c>
      <c r="EZ37" s="290">
        <f t="shared" si="110"/>
        <v>0</v>
      </c>
      <c r="FA37" s="290">
        <f t="shared" si="111"/>
        <v>0</v>
      </c>
      <c r="FB37" s="290">
        <f t="shared" si="112"/>
        <v>0</v>
      </c>
      <c r="FC37" s="290">
        <f t="shared" si="113"/>
        <v>0</v>
      </c>
      <c r="FD37" s="290">
        <f t="shared" si="114"/>
        <v>0</v>
      </c>
      <c r="FE37" s="290">
        <f t="shared" si="115"/>
        <v>0</v>
      </c>
      <c r="FF37" s="290">
        <f t="shared" si="116"/>
        <v>0</v>
      </c>
      <c r="FG37" s="290">
        <f t="shared" si="117"/>
        <v>0</v>
      </c>
      <c r="FH37" s="290">
        <f t="shared" si="118"/>
        <v>0</v>
      </c>
      <c r="FI37" s="291">
        <f t="shared" si="119"/>
        <v>0</v>
      </c>
      <c r="FJ37" s="291">
        <f t="shared" si="120"/>
        <v>0</v>
      </c>
      <c r="FK37" s="291">
        <f t="shared" si="121"/>
        <v>0</v>
      </c>
      <c r="FL37" s="292">
        <f t="shared" si="122"/>
        <v>0</v>
      </c>
      <c r="FM37" s="999">
        <v>24</v>
      </c>
      <c r="FN37" s="286">
        <f t="shared" si="303"/>
        <v>44067</v>
      </c>
      <c r="FO37" s="293">
        <f t="shared" si="27"/>
        <v>44067</v>
      </c>
      <c r="FP37" s="288" t="str">
        <f>'दैनिक माहिती'!H158</f>
        <v>वाटाणा</v>
      </c>
      <c r="FQ37" s="289">
        <f>'दैनिक माहिती'!E158</f>
        <v>15</v>
      </c>
      <c r="FR37" s="289">
        <f>'दैनिक माहिती'!F158</f>
        <v>15</v>
      </c>
      <c r="FS37" s="289">
        <f>'दैनिक माहिती'!G158</f>
        <v>15</v>
      </c>
      <c r="FT37" s="290">
        <f t="shared" si="123"/>
        <v>1.5</v>
      </c>
      <c r="FU37" s="290">
        <f t="shared" si="124"/>
        <v>0</v>
      </c>
      <c r="FV37" s="290">
        <f t="shared" si="125"/>
        <v>0</v>
      </c>
      <c r="FW37" s="290">
        <f t="shared" si="126"/>
        <v>0</v>
      </c>
      <c r="FX37" s="290">
        <f t="shared" si="127"/>
        <v>0</v>
      </c>
      <c r="FY37" s="290">
        <f t="shared" si="128"/>
        <v>0</v>
      </c>
      <c r="FZ37" s="290">
        <f t="shared" si="129"/>
        <v>0</v>
      </c>
      <c r="GA37" s="290">
        <f t="shared" si="130"/>
        <v>0</v>
      </c>
      <c r="GB37" s="290">
        <f t="shared" si="131"/>
        <v>0.3</v>
      </c>
      <c r="GC37" s="290">
        <f t="shared" si="132"/>
        <v>4.4999999999999997E-3</v>
      </c>
      <c r="GD37" s="290">
        <f t="shared" si="133"/>
        <v>7.4999999999999997E-3</v>
      </c>
      <c r="GE37" s="290">
        <f t="shared" si="134"/>
        <v>4.4999999999999997E-3</v>
      </c>
      <c r="GF37" s="290">
        <f t="shared" si="135"/>
        <v>0</v>
      </c>
      <c r="GG37" s="290">
        <f t="shared" si="136"/>
        <v>0</v>
      </c>
      <c r="GH37" s="290">
        <f t="shared" si="137"/>
        <v>7.4999999999999997E-2</v>
      </c>
      <c r="GI37" s="290">
        <f t="shared" si="138"/>
        <v>0.03</v>
      </c>
      <c r="GJ37" s="290">
        <f t="shared" si="139"/>
        <v>1.7999999999999999E-2</v>
      </c>
      <c r="GK37" s="290">
        <f t="shared" si="140"/>
        <v>0</v>
      </c>
      <c r="GL37" s="291">
        <f t="shared" si="141"/>
        <v>10.799999999999999</v>
      </c>
      <c r="GM37" s="291">
        <f t="shared" si="142"/>
        <v>9.6</v>
      </c>
      <c r="GN37" s="291">
        <f t="shared" si="143"/>
        <v>7.95</v>
      </c>
      <c r="GO37" s="292">
        <f t="shared" si="144"/>
        <v>40.200000000000003</v>
      </c>
      <c r="GP37" s="999">
        <v>24</v>
      </c>
      <c r="GQ37" s="286">
        <f t="shared" si="304"/>
        <v>44098</v>
      </c>
      <c r="GR37" s="293">
        <f t="shared" si="28"/>
        <v>44098</v>
      </c>
      <c r="GS37" s="288" t="str">
        <f>'दैनिक माहिती'!H190</f>
        <v>मुगडाळ</v>
      </c>
      <c r="GT37" s="289">
        <f>'दैनिक माहिती'!E190</f>
        <v>16</v>
      </c>
      <c r="GU37" s="289">
        <f>'दैनिक माहिती'!F190</f>
        <v>16</v>
      </c>
      <c r="GV37" s="289">
        <f>'दैनिक माहिती'!G190</f>
        <v>16</v>
      </c>
      <c r="GW37" s="290">
        <f t="shared" si="145"/>
        <v>1.6</v>
      </c>
      <c r="GX37" s="290">
        <f t="shared" si="146"/>
        <v>0.32</v>
      </c>
      <c r="GY37" s="290">
        <f t="shared" si="147"/>
        <v>0</v>
      </c>
      <c r="GZ37" s="290">
        <f t="shared" si="148"/>
        <v>0</v>
      </c>
      <c r="HA37" s="290">
        <f t="shared" si="149"/>
        <v>0</v>
      </c>
      <c r="HB37" s="290">
        <f t="shared" si="150"/>
        <v>0</v>
      </c>
      <c r="HC37" s="290">
        <f t="shared" si="151"/>
        <v>0</v>
      </c>
      <c r="HD37" s="290">
        <f t="shared" si="152"/>
        <v>0</v>
      </c>
      <c r="HE37" s="290">
        <f t="shared" si="153"/>
        <v>0</v>
      </c>
      <c r="HF37" s="290">
        <f t="shared" si="154"/>
        <v>4.7999999999999996E-3</v>
      </c>
      <c r="HG37" s="290">
        <f t="shared" si="155"/>
        <v>8.0000000000000002E-3</v>
      </c>
      <c r="HH37" s="290">
        <f t="shared" si="156"/>
        <v>4.7999999999999996E-3</v>
      </c>
      <c r="HI37" s="290">
        <f t="shared" si="157"/>
        <v>0</v>
      </c>
      <c r="HJ37" s="290">
        <f t="shared" si="158"/>
        <v>0</v>
      </c>
      <c r="HK37" s="290">
        <f t="shared" si="159"/>
        <v>0.08</v>
      </c>
      <c r="HL37" s="290">
        <f t="shared" si="160"/>
        <v>3.2000000000000001E-2</v>
      </c>
      <c r="HM37" s="290">
        <f t="shared" si="161"/>
        <v>1.9199999999999998E-2</v>
      </c>
      <c r="HN37" s="290">
        <f t="shared" si="162"/>
        <v>0</v>
      </c>
      <c r="HO37" s="291">
        <f t="shared" si="163"/>
        <v>11.52</v>
      </c>
      <c r="HP37" s="291">
        <f t="shared" si="164"/>
        <v>10.24</v>
      </c>
      <c r="HQ37" s="291">
        <f t="shared" si="165"/>
        <v>8.48</v>
      </c>
      <c r="HR37" s="292">
        <f t="shared" si="166"/>
        <v>42.88</v>
      </c>
      <c r="HS37" s="999">
        <v>24</v>
      </c>
      <c r="HT37" s="286">
        <f t="shared" si="305"/>
        <v>44128</v>
      </c>
      <c r="HU37" s="293">
        <f t="shared" si="29"/>
        <v>44128</v>
      </c>
      <c r="HV37" s="288">
        <f>'दैनिक माहिती'!H221</f>
        <v>0</v>
      </c>
      <c r="HW37" s="289">
        <f>'दैनिक माहिती'!E221</f>
        <v>0</v>
      </c>
      <c r="HX37" s="289">
        <f>'दैनिक माहिती'!F221</f>
        <v>0</v>
      </c>
      <c r="HY37" s="289">
        <f>'दैनिक माहिती'!G221</f>
        <v>0</v>
      </c>
      <c r="HZ37" s="290">
        <f t="shared" si="167"/>
        <v>0</v>
      </c>
      <c r="IA37" s="290">
        <f t="shared" si="168"/>
        <v>0</v>
      </c>
      <c r="IB37" s="290">
        <f t="shared" si="169"/>
        <v>0</v>
      </c>
      <c r="IC37" s="290">
        <f t="shared" si="170"/>
        <v>0</v>
      </c>
      <c r="ID37" s="290">
        <f t="shared" si="171"/>
        <v>0</v>
      </c>
      <c r="IE37" s="290">
        <f t="shared" si="172"/>
        <v>0</v>
      </c>
      <c r="IF37" s="290">
        <f t="shared" si="173"/>
        <v>0</v>
      </c>
      <c r="IG37" s="290">
        <f t="shared" si="174"/>
        <v>0</v>
      </c>
      <c r="IH37" s="290">
        <f t="shared" si="175"/>
        <v>0</v>
      </c>
      <c r="II37" s="290">
        <f t="shared" si="176"/>
        <v>0</v>
      </c>
      <c r="IJ37" s="290">
        <f t="shared" si="177"/>
        <v>0</v>
      </c>
      <c r="IK37" s="290">
        <f t="shared" si="178"/>
        <v>0</v>
      </c>
      <c r="IL37" s="290">
        <f t="shared" si="179"/>
        <v>0</v>
      </c>
      <c r="IM37" s="290">
        <f t="shared" si="180"/>
        <v>0</v>
      </c>
      <c r="IN37" s="290">
        <f t="shared" si="181"/>
        <v>0</v>
      </c>
      <c r="IO37" s="290">
        <f t="shared" si="182"/>
        <v>0</v>
      </c>
      <c r="IP37" s="290">
        <f t="shared" si="183"/>
        <v>0</v>
      </c>
      <c r="IQ37" s="290">
        <f t="shared" si="184"/>
        <v>0</v>
      </c>
      <c r="IR37" s="291">
        <f t="shared" si="185"/>
        <v>0</v>
      </c>
      <c r="IS37" s="291">
        <f t="shared" si="186"/>
        <v>0</v>
      </c>
      <c r="IT37" s="291">
        <f t="shared" si="187"/>
        <v>0</v>
      </c>
      <c r="IU37" s="292">
        <f t="shared" si="188"/>
        <v>0</v>
      </c>
      <c r="IV37" s="999">
        <v>24</v>
      </c>
      <c r="IW37" s="286">
        <f t="shared" si="306"/>
        <v>44159</v>
      </c>
      <c r="IX37" s="293">
        <f t="shared" si="30"/>
        <v>44159</v>
      </c>
      <c r="IY37" s="288" t="str">
        <f>'दैनिक माहिती'!H253</f>
        <v>हरभरा</v>
      </c>
      <c r="IZ37" s="289">
        <f>'दैनिक माहिती'!E253</f>
        <v>22</v>
      </c>
      <c r="JA37" s="289">
        <f>'दैनिक माहिती'!F253</f>
        <v>22</v>
      </c>
      <c r="JB37" s="289">
        <f>'दैनिक माहिती'!G253</f>
        <v>22</v>
      </c>
      <c r="JC37" s="290">
        <f t="shared" si="189"/>
        <v>2.2000000000000002</v>
      </c>
      <c r="JD37" s="290">
        <f t="shared" si="190"/>
        <v>0</v>
      </c>
      <c r="JE37" s="290">
        <f t="shared" si="191"/>
        <v>0</v>
      </c>
      <c r="JF37" s="290">
        <f t="shared" si="192"/>
        <v>0</v>
      </c>
      <c r="JG37" s="290">
        <f t="shared" si="193"/>
        <v>0</v>
      </c>
      <c r="JH37" s="290">
        <f t="shared" si="194"/>
        <v>0</v>
      </c>
      <c r="JI37" s="290">
        <f t="shared" si="195"/>
        <v>0</v>
      </c>
      <c r="JJ37" s="290">
        <f t="shared" si="196"/>
        <v>0.44</v>
      </c>
      <c r="JK37" s="290">
        <f t="shared" si="197"/>
        <v>0</v>
      </c>
      <c r="JL37" s="290">
        <f t="shared" si="198"/>
        <v>6.5999999999999991E-3</v>
      </c>
      <c r="JM37" s="290">
        <f t="shared" si="199"/>
        <v>1.0999999999999999E-2</v>
      </c>
      <c r="JN37" s="290">
        <f t="shared" si="200"/>
        <v>6.5999999999999991E-3</v>
      </c>
      <c r="JO37" s="290">
        <f t="shared" si="201"/>
        <v>0</v>
      </c>
      <c r="JP37" s="290">
        <f t="shared" si="202"/>
        <v>0</v>
      </c>
      <c r="JQ37" s="290">
        <f t="shared" si="203"/>
        <v>0.11</v>
      </c>
      <c r="JR37" s="290">
        <f t="shared" si="204"/>
        <v>4.3999999999999997E-2</v>
      </c>
      <c r="JS37" s="290">
        <f t="shared" si="205"/>
        <v>2.6399999999999996E-2</v>
      </c>
      <c r="JT37" s="290">
        <f t="shared" si="206"/>
        <v>0</v>
      </c>
      <c r="JU37" s="291">
        <f t="shared" si="207"/>
        <v>15.62</v>
      </c>
      <c r="JV37" s="291">
        <f t="shared" si="208"/>
        <v>17.380000000000003</v>
      </c>
      <c r="JW37" s="291">
        <f t="shared" si="209"/>
        <v>12.76</v>
      </c>
      <c r="JX37" s="292">
        <f t="shared" si="210"/>
        <v>63.14</v>
      </c>
      <c r="JY37" s="999">
        <v>24</v>
      </c>
      <c r="JZ37" s="286">
        <f t="shared" si="307"/>
        <v>44189</v>
      </c>
      <c r="KA37" s="293">
        <f t="shared" si="31"/>
        <v>44189</v>
      </c>
      <c r="KB37" s="288" t="str">
        <f>'दैनिक माहिती'!H284</f>
        <v>मुगडाळ</v>
      </c>
      <c r="KC37" s="289">
        <f>'दैनिक माहिती'!E284</f>
        <v>21</v>
      </c>
      <c r="KD37" s="289">
        <f>'दैनिक माहिती'!F284</f>
        <v>21</v>
      </c>
      <c r="KE37" s="289">
        <f>'दैनिक माहिती'!G284</f>
        <v>21</v>
      </c>
      <c r="KF37" s="290">
        <f t="shared" si="211"/>
        <v>2.1</v>
      </c>
      <c r="KG37" s="290">
        <f t="shared" si="212"/>
        <v>0.42</v>
      </c>
      <c r="KH37" s="290">
        <f t="shared" si="213"/>
        <v>0</v>
      </c>
      <c r="KI37" s="290">
        <f t="shared" si="214"/>
        <v>0</v>
      </c>
      <c r="KJ37" s="290">
        <f t="shared" si="215"/>
        <v>0</v>
      </c>
      <c r="KK37" s="290">
        <f t="shared" si="216"/>
        <v>0</v>
      </c>
      <c r="KL37" s="290">
        <f t="shared" si="217"/>
        <v>0</v>
      </c>
      <c r="KM37" s="290">
        <f t="shared" si="218"/>
        <v>0</v>
      </c>
      <c r="KN37" s="290">
        <f t="shared" si="219"/>
        <v>0</v>
      </c>
      <c r="KO37" s="290">
        <f t="shared" si="220"/>
        <v>6.2999999999999992E-3</v>
      </c>
      <c r="KP37" s="290">
        <f t="shared" si="221"/>
        <v>1.0500000000000001E-2</v>
      </c>
      <c r="KQ37" s="290">
        <f t="shared" si="222"/>
        <v>6.2999999999999992E-3</v>
      </c>
      <c r="KR37" s="290">
        <f t="shared" si="223"/>
        <v>0</v>
      </c>
      <c r="KS37" s="290">
        <f t="shared" si="224"/>
        <v>0</v>
      </c>
      <c r="KT37" s="290">
        <f t="shared" si="225"/>
        <v>0.105</v>
      </c>
      <c r="KU37" s="290">
        <f t="shared" si="226"/>
        <v>4.2000000000000003E-2</v>
      </c>
      <c r="KV37" s="290">
        <f t="shared" si="227"/>
        <v>2.5199999999999997E-2</v>
      </c>
      <c r="KW37" s="290">
        <f t="shared" si="228"/>
        <v>0</v>
      </c>
      <c r="KX37" s="291">
        <f t="shared" si="229"/>
        <v>14.91</v>
      </c>
      <c r="KY37" s="291">
        <f t="shared" si="230"/>
        <v>16.59</v>
      </c>
      <c r="KZ37" s="291">
        <f t="shared" si="231"/>
        <v>12.18</v>
      </c>
      <c r="LA37" s="292">
        <f t="shared" si="232"/>
        <v>60.27</v>
      </c>
      <c r="LB37" s="999">
        <v>24</v>
      </c>
      <c r="LC37" s="286">
        <f t="shared" si="308"/>
        <v>44220</v>
      </c>
      <c r="LD37" s="293">
        <f t="shared" si="32"/>
        <v>44220</v>
      </c>
      <c r="LE37" s="288">
        <f>'दैनिक माहिती'!H316</f>
        <v>0</v>
      </c>
      <c r="LF37" s="289">
        <f>'दैनिक माहिती'!E316</f>
        <v>0</v>
      </c>
      <c r="LG37" s="289">
        <f>'दैनिक माहिती'!F316</f>
        <v>0</v>
      </c>
      <c r="LH37" s="289">
        <f>'दैनिक माहिती'!G316</f>
        <v>0</v>
      </c>
      <c r="LI37" s="290">
        <f t="shared" si="233"/>
        <v>0</v>
      </c>
      <c r="LJ37" s="290">
        <f t="shared" si="234"/>
        <v>0</v>
      </c>
      <c r="LK37" s="290">
        <f t="shared" si="235"/>
        <v>0</v>
      </c>
      <c r="LL37" s="290">
        <f t="shared" si="236"/>
        <v>0</v>
      </c>
      <c r="LM37" s="290">
        <f t="shared" si="237"/>
        <v>0</v>
      </c>
      <c r="LN37" s="290">
        <f t="shared" si="238"/>
        <v>0</v>
      </c>
      <c r="LO37" s="290">
        <f t="shared" si="239"/>
        <v>0</v>
      </c>
      <c r="LP37" s="290">
        <f t="shared" si="240"/>
        <v>0</v>
      </c>
      <c r="LQ37" s="290">
        <f t="shared" si="241"/>
        <v>0</v>
      </c>
      <c r="LR37" s="290">
        <f t="shared" si="242"/>
        <v>0</v>
      </c>
      <c r="LS37" s="290">
        <f t="shared" si="243"/>
        <v>0</v>
      </c>
      <c r="LT37" s="290">
        <f t="shared" si="244"/>
        <v>0</v>
      </c>
      <c r="LU37" s="290">
        <f t="shared" si="245"/>
        <v>0</v>
      </c>
      <c r="LV37" s="290">
        <f t="shared" si="246"/>
        <v>0</v>
      </c>
      <c r="LW37" s="290">
        <f t="shared" si="247"/>
        <v>0</v>
      </c>
      <c r="LX37" s="290">
        <f t="shared" si="248"/>
        <v>0</v>
      </c>
      <c r="LY37" s="290">
        <f t="shared" si="249"/>
        <v>0</v>
      </c>
      <c r="LZ37" s="290">
        <f t="shared" si="250"/>
        <v>0</v>
      </c>
      <c r="MA37" s="291">
        <f t="shared" si="251"/>
        <v>0</v>
      </c>
      <c r="MB37" s="291">
        <f t="shared" si="252"/>
        <v>0</v>
      </c>
      <c r="MC37" s="291">
        <f t="shared" si="253"/>
        <v>0</v>
      </c>
      <c r="MD37" s="292">
        <f t="shared" si="254"/>
        <v>0</v>
      </c>
      <c r="ME37" s="999">
        <v>24</v>
      </c>
      <c r="MF37" s="286">
        <f t="shared" si="309"/>
        <v>44251</v>
      </c>
      <c r="MG37" s="293">
        <f t="shared" si="33"/>
        <v>44251</v>
      </c>
      <c r="MH37" s="288">
        <f>'दैनिक माहिती'!H348</f>
        <v>0</v>
      </c>
      <c r="MI37" s="289">
        <f>'दैनिक माहिती'!E348</f>
        <v>0</v>
      </c>
      <c r="MJ37" s="289">
        <f>'दैनिक माहिती'!F348</f>
        <v>0</v>
      </c>
      <c r="MK37" s="289">
        <f>'दैनिक माहिती'!G348</f>
        <v>0</v>
      </c>
      <c r="ML37" s="290">
        <f t="shared" si="255"/>
        <v>0</v>
      </c>
      <c r="MM37" s="290">
        <f t="shared" si="256"/>
        <v>0</v>
      </c>
      <c r="MN37" s="290">
        <f t="shared" si="257"/>
        <v>0</v>
      </c>
      <c r="MO37" s="290">
        <f t="shared" si="258"/>
        <v>0</v>
      </c>
      <c r="MP37" s="290">
        <f t="shared" si="259"/>
        <v>0</v>
      </c>
      <c r="MQ37" s="290">
        <f t="shared" si="260"/>
        <v>0</v>
      </c>
      <c r="MR37" s="290">
        <f t="shared" si="261"/>
        <v>0</v>
      </c>
      <c r="MS37" s="290">
        <f t="shared" si="262"/>
        <v>0</v>
      </c>
      <c r="MT37" s="290">
        <f t="shared" si="263"/>
        <v>0</v>
      </c>
      <c r="MU37" s="290">
        <f t="shared" si="264"/>
        <v>0</v>
      </c>
      <c r="MV37" s="290">
        <f t="shared" si="265"/>
        <v>0</v>
      </c>
      <c r="MW37" s="290">
        <f t="shared" si="266"/>
        <v>0</v>
      </c>
      <c r="MX37" s="290">
        <f t="shared" si="267"/>
        <v>0</v>
      </c>
      <c r="MY37" s="290">
        <f t="shared" si="268"/>
        <v>0</v>
      </c>
      <c r="MZ37" s="290">
        <f t="shared" si="269"/>
        <v>0</v>
      </c>
      <c r="NA37" s="290">
        <f t="shared" si="270"/>
        <v>0</v>
      </c>
      <c r="NB37" s="290">
        <f t="shared" si="271"/>
        <v>0</v>
      </c>
      <c r="NC37" s="290">
        <f t="shared" si="272"/>
        <v>0</v>
      </c>
      <c r="ND37" s="291">
        <f t="shared" si="273"/>
        <v>0</v>
      </c>
      <c r="NE37" s="291">
        <f t="shared" si="274"/>
        <v>0</v>
      </c>
      <c r="NF37" s="291">
        <f t="shared" si="275"/>
        <v>0</v>
      </c>
      <c r="NG37" s="292">
        <f t="shared" si="276"/>
        <v>0</v>
      </c>
      <c r="NH37" s="999">
        <v>24</v>
      </c>
      <c r="NI37" s="286">
        <f t="shared" si="310"/>
        <v>44279</v>
      </c>
      <c r="NJ37" s="293">
        <f t="shared" si="34"/>
        <v>44279</v>
      </c>
      <c r="NK37" s="288">
        <f>'दैनिक माहिती'!H378</f>
        <v>0</v>
      </c>
      <c r="NL37" s="289">
        <f>'दैनिक माहिती'!E378</f>
        <v>0</v>
      </c>
      <c r="NM37" s="289">
        <f>'दैनिक माहिती'!F378</f>
        <v>0</v>
      </c>
      <c r="NN37" s="289">
        <f>'दैनिक माहिती'!G378</f>
        <v>0</v>
      </c>
      <c r="NO37" s="290">
        <f t="shared" si="277"/>
        <v>0</v>
      </c>
      <c r="NP37" s="290">
        <f t="shared" si="278"/>
        <v>0</v>
      </c>
      <c r="NQ37" s="290">
        <f t="shared" si="279"/>
        <v>0</v>
      </c>
      <c r="NR37" s="290">
        <f t="shared" si="280"/>
        <v>0</v>
      </c>
      <c r="NS37" s="290">
        <f t="shared" si="281"/>
        <v>0</v>
      </c>
      <c r="NT37" s="290">
        <f t="shared" si="282"/>
        <v>0</v>
      </c>
      <c r="NU37" s="290">
        <f t="shared" si="283"/>
        <v>0</v>
      </c>
      <c r="NV37" s="290">
        <f t="shared" si="284"/>
        <v>0</v>
      </c>
      <c r="NW37" s="290">
        <f t="shared" si="285"/>
        <v>0</v>
      </c>
      <c r="NX37" s="290">
        <f t="shared" si="286"/>
        <v>0</v>
      </c>
      <c r="NY37" s="290">
        <f t="shared" si="287"/>
        <v>0</v>
      </c>
      <c r="NZ37" s="290">
        <f t="shared" si="288"/>
        <v>0</v>
      </c>
      <c r="OA37" s="290">
        <f t="shared" si="289"/>
        <v>0</v>
      </c>
      <c r="OB37" s="290">
        <f t="shared" si="290"/>
        <v>0</v>
      </c>
      <c r="OC37" s="290">
        <f t="shared" si="291"/>
        <v>0</v>
      </c>
      <c r="OD37" s="290">
        <f t="shared" si="292"/>
        <v>0</v>
      </c>
      <c r="OE37" s="290">
        <f t="shared" si="293"/>
        <v>0</v>
      </c>
      <c r="OF37" s="290">
        <f t="shared" si="294"/>
        <v>0</v>
      </c>
      <c r="OG37" s="291">
        <f t="shared" si="295"/>
        <v>0</v>
      </c>
      <c r="OH37" s="291">
        <f t="shared" si="296"/>
        <v>0</v>
      </c>
      <c r="OI37" s="291">
        <f t="shared" si="297"/>
        <v>0</v>
      </c>
      <c r="OJ37" s="292">
        <f t="shared" si="298"/>
        <v>0</v>
      </c>
    </row>
    <row r="38" spans="50:400" ht="29.25" customHeight="1" x14ac:dyDescent="0.3">
      <c r="BA38" s="999">
        <v>25</v>
      </c>
      <c r="BB38" s="286">
        <f t="shared" si="299"/>
        <v>43946</v>
      </c>
      <c r="BC38" s="287">
        <f t="shared" si="23"/>
        <v>43946</v>
      </c>
      <c r="BD38" s="288" t="str">
        <f>'दैनिक माहिती'!H33</f>
        <v>मुगडाळ</v>
      </c>
      <c r="BE38" s="289">
        <f>'दैनिक माहिती'!E33</f>
        <v>22</v>
      </c>
      <c r="BF38" s="289">
        <f>'दैनिक माहिती'!F33</f>
        <v>22</v>
      </c>
      <c r="BG38" s="289">
        <f>'दैनिक माहिती'!G33</f>
        <v>22</v>
      </c>
      <c r="BH38" s="290">
        <f t="shared" si="35"/>
        <v>2.2000000000000002</v>
      </c>
      <c r="BI38" s="290">
        <f t="shared" si="36"/>
        <v>0.44</v>
      </c>
      <c r="BJ38" s="290">
        <f t="shared" si="37"/>
        <v>0</v>
      </c>
      <c r="BK38" s="290">
        <f t="shared" si="38"/>
        <v>0</v>
      </c>
      <c r="BL38" s="290">
        <f t="shared" si="39"/>
        <v>0</v>
      </c>
      <c r="BM38" s="290">
        <f t="shared" si="40"/>
        <v>0</v>
      </c>
      <c r="BN38" s="290">
        <f t="shared" si="41"/>
        <v>0</v>
      </c>
      <c r="BO38" s="290">
        <f t="shared" si="42"/>
        <v>0</v>
      </c>
      <c r="BP38" s="290">
        <f t="shared" si="43"/>
        <v>0</v>
      </c>
      <c r="BQ38" s="290">
        <f t="shared" si="44"/>
        <v>6.5999999999999991E-3</v>
      </c>
      <c r="BR38" s="290">
        <f t="shared" si="45"/>
        <v>1.0999999999999999E-2</v>
      </c>
      <c r="BS38" s="290">
        <f t="shared" si="46"/>
        <v>6.5999999999999991E-3</v>
      </c>
      <c r="BT38" s="290">
        <f t="shared" si="47"/>
        <v>0</v>
      </c>
      <c r="BU38" s="290">
        <f t="shared" si="48"/>
        <v>0</v>
      </c>
      <c r="BV38" s="290">
        <f t="shared" si="49"/>
        <v>0.11</v>
      </c>
      <c r="BW38" s="290">
        <f t="shared" si="50"/>
        <v>4.3999999999999997E-2</v>
      </c>
      <c r="BX38" s="290">
        <f t="shared" si="51"/>
        <v>2.6399999999999996E-2</v>
      </c>
      <c r="BY38" s="290">
        <f t="shared" si="52"/>
        <v>0</v>
      </c>
      <c r="BZ38" s="291">
        <f t="shared" si="53"/>
        <v>15.84</v>
      </c>
      <c r="CA38" s="291">
        <f t="shared" si="54"/>
        <v>14.08</v>
      </c>
      <c r="CB38" s="291">
        <f t="shared" si="55"/>
        <v>11.66</v>
      </c>
      <c r="CC38" s="292">
        <f t="shared" si="56"/>
        <v>58.96</v>
      </c>
      <c r="CD38" s="999">
        <v>25</v>
      </c>
      <c r="CE38" s="286">
        <f t="shared" si="300"/>
        <v>43976</v>
      </c>
      <c r="CF38" s="287">
        <f t="shared" si="24"/>
        <v>43976</v>
      </c>
      <c r="CG38" s="288">
        <f>'दैनिक माहिती'!H64</f>
        <v>0</v>
      </c>
      <c r="CH38" s="289">
        <f>'दैनिक माहिती'!E64</f>
        <v>0</v>
      </c>
      <c r="CI38" s="289">
        <f>'दैनिक माहिती'!F64</f>
        <v>0</v>
      </c>
      <c r="CJ38" s="289">
        <f>'दैनिक माहिती'!G64</f>
        <v>0</v>
      </c>
      <c r="CK38" s="290">
        <f t="shared" si="57"/>
        <v>0</v>
      </c>
      <c r="CL38" s="290">
        <f t="shared" si="58"/>
        <v>0</v>
      </c>
      <c r="CM38" s="290">
        <f t="shared" si="59"/>
        <v>0</v>
      </c>
      <c r="CN38" s="290">
        <f t="shared" si="60"/>
        <v>0</v>
      </c>
      <c r="CO38" s="290">
        <f t="shared" si="61"/>
        <v>0</v>
      </c>
      <c r="CP38" s="290">
        <f t="shared" si="62"/>
        <v>0</v>
      </c>
      <c r="CQ38" s="290">
        <f t="shared" si="63"/>
        <v>0</v>
      </c>
      <c r="CR38" s="290">
        <f t="shared" si="64"/>
        <v>0</v>
      </c>
      <c r="CS38" s="290">
        <f t="shared" si="65"/>
        <v>0</v>
      </c>
      <c r="CT38" s="290">
        <f t="shared" si="66"/>
        <v>0</v>
      </c>
      <c r="CU38" s="290">
        <f t="shared" si="67"/>
        <v>0</v>
      </c>
      <c r="CV38" s="290">
        <f t="shared" si="68"/>
        <v>0</v>
      </c>
      <c r="CW38" s="290">
        <f t="shared" si="69"/>
        <v>0</v>
      </c>
      <c r="CX38" s="290">
        <f t="shared" si="70"/>
        <v>0</v>
      </c>
      <c r="CY38" s="290">
        <f t="shared" si="71"/>
        <v>0</v>
      </c>
      <c r="CZ38" s="290">
        <f t="shared" si="72"/>
        <v>0</v>
      </c>
      <c r="DA38" s="290">
        <f t="shared" si="73"/>
        <v>0</v>
      </c>
      <c r="DB38" s="290">
        <f t="shared" si="74"/>
        <v>0</v>
      </c>
      <c r="DC38" s="291">
        <f t="shared" si="75"/>
        <v>0</v>
      </c>
      <c r="DD38" s="291">
        <f t="shared" si="76"/>
        <v>0</v>
      </c>
      <c r="DE38" s="291">
        <f t="shared" si="77"/>
        <v>0</v>
      </c>
      <c r="DF38" s="292">
        <f t="shared" si="78"/>
        <v>0</v>
      </c>
      <c r="DG38" s="999">
        <v>25</v>
      </c>
      <c r="DH38" s="286">
        <f t="shared" si="301"/>
        <v>44007</v>
      </c>
      <c r="DI38" s="287">
        <f t="shared" si="25"/>
        <v>44007</v>
      </c>
      <c r="DJ38" s="288" t="str">
        <f>'दैनिक माहिती'!H96</f>
        <v>मुगडाळ</v>
      </c>
      <c r="DK38" s="289">
        <f>'दैनिक माहिती'!E96</f>
        <v>17</v>
      </c>
      <c r="DL38" s="289">
        <f>'दैनिक माहिती'!F96</f>
        <v>17</v>
      </c>
      <c r="DM38" s="289">
        <f>'दैनिक माहिती'!G96</f>
        <v>17</v>
      </c>
      <c r="DN38" s="290">
        <f t="shared" si="79"/>
        <v>1.7000000000000002</v>
      </c>
      <c r="DO38" s="290">
        <f t="shared" si="80"/>
        <v>0.34</v>
      </c>
      <c r="DP38" s="290">
        <f t="shared" si="81"/>
        <v>0</v>
      </c>
      <c r="DQ38" s="290">
        <f t="shared" si="82"/>
        <v>0</v>
      </c>
      <c r="DR38" s="290">
        <f t="shared" si="83"/>
        <v>0</v>
      </c>
      <c r="DS38" s="290">
        <f t="shared" si="84"/>
        <v>0</v>
      </c>
      <c r="DT38" s="290">
        <f t="shared" si="85"/>
        <v>0</v>
      </c>
      <c r="DU38" s="290">
        <f t="shared" si="86"/>
        <v>0</v>
      </c>
      <c r="DV38" s="290">
        <f t="shared" si="87"/>
        <v>0</v>
      </c>
      <c r="DW38" s="290">
        <f t="shared" si="88"/>
        <v>5.0999999999999995E-3</v>
      </c>
      <c r="DX38" s="290">
        <f t="shared" si="89"/>
        <v>8.5000000000000006E-3</v>
      </c>
      <c r="DY38" s="290">
        <f t="shared" si="90"/>
        <v>5.0999999999999995E-3</v>
      </c>
      <c r="DZ38" s="290">
        <f t="shared" si="91"/>
        <v>0</v>
      </c>
      <c r="EA38" s="290">
        <f t="shared" si="92"/>
        <v>0</v>
      </c>
      <c r="EB38" s="290">
        <f t="shared" si="93"/>
        <v>8.5000000000000006E-2</v>
      </c>
      <c r="EC38" s="290">
        <f t="shared" si="94"/>
        <v>3.4000000000000002E-2</v>
      </c>
      <c r="ED38" s="290">
        <f t="shared" si="95"/>
        <v>2.0399999999999998E-2</v>
      </c>
      <c r="EE38" s="290">
        <f t="shared" si="96"/>
        <v>0</v>
      </c>
      <c r="EF38" s="291">
        <f t="shared" si="97"/>
        <v>12.24</v>
      </c>
      <c r="EG38" s="291">
        <f t="shared" si="98"/>
        <v>10.88</v>
      </c>
      <c r="EH38" s="291">
        <f t="shared" si="99"/>
        <v>9.01</v>
      </c>
      <c r="EI38" s="292">
        <f t="shared" si="100"/>
        <v>45.56</v>
      </c>
      <c r="EJ38" s="999">
        <v>25</v>
      </c>
      <c r="EK38" s="286">
        <f t="shared" si="302"/>
        <v>44037</v>
      </c>
      <c r="EL38" s="287">
        <f t="shared" si="26"/>
        <v>44037</v>
      </c>
      <c r="EM38" s="288" t="str">
        <f>'दैनिक माहिती'!H127</f>
        <v>मुगडाळ</v>
      </c>
      <c r="EN38" s="289">
        <f>'दैनिक माहिती'!E127</f>
        <v>17</v>
      </c>
      <c r="EO38" s="289">
        <f>'दैनिक माहिती'!F127</f>
        <v>17</v>
      </c>
      <c r="EP38" s="289">
        <f>'दैनिक माहिती'!G127</f>
        <v>17</v>
      </c>
      <c r="EQ38" s="290">
        <f t="shared" si="101"/>
        <v>1.7000000000000002</v>
      </c>
      <c r="ER38" s="290">
        <f t="shared" si="102"/>
        <v>0.34</v>
      </c>
      <c r="ES38" s="290">
        <f t="shared" si="103"/>
        <v>0</v>
      </c>
      <c r="ET38" s="290">
        <f t="shared" si="104"/>
        <v>0</v>
      </c>
      <c r="EU38" s="290">
        <f t="shared" si="105"/>
        <v>0</v>
      </c>
      <c r="EV38" s="290">
        <f t="shared" si="106"/>
        <v>0</v>
      </c>
      <c r="EW38" s="290">
        <f t="shared" si="107"/>
        <v>0</v>
      </c>
      <c r="EX38" s="290">
        <f t="shared" si="108"/>
        <v>0</v>
      </c>
      <c r="EY38" s="290">
        <f t="shared" si="109"/>
        <v>0</v>
      </c>
      <c r="EZ38" s="290">
        <f t="shared" si="110"/>
        <v>5.0999999999999995E-3</v>
      </c>
      <c r="FA38" s="290">
        <f t="shared" si="111"/>
        <v>8.5000000000000006E-3</v>
      </c>
      <c r="FB38" s="290">
        <f t="shared" si="112"/>
        <v>5.0999999999999995E-3</v>
      </c>
      <c r="FC38" s="290">
        <f t="shared" si="113"/>
        <v>0</v>
      </c>
      <c r="FD38" s="290">
        <f t="shared" si="114"/>
        <v>0</v>
      </c>
      <c r="FE38" s="290">
        <f t="shared" si="115"/>
        <v>8.5000000000000006E-2</v>
      </c>
      <c r="FF38" s="290">
        <f t="shared" si="116"/>
        <v>3.4000000000000002E-2</v>
      </c>
      <c r="FG38" s="290">
        <f t="shared" si="117"/>
        <v>2.0399999999999998E-2</v>
      </c>
      <c r="FH38" s="290">
        <f t="shared" si="118"/>
        <v>0</v>
      </c>
      <c r="FI38" s="291">
        <f t="shared" si="119"/>
        <v>12.24</v>
      </c>
      <c r="FJ38" s="291">
        <f t="shared" si="120"/>
        <v>10.88</v>
      </c>
      <c r="FK38" s="291">
        <f t="shared" si="121"/>
        <v>9.01</v>
      </c>
      <c r="FL38" s="292">
        <f t="shared" si="122"/>
        <v>45.56</v>
      </c>
      <c r="FM38" s="999">
        <v>25</v>
      </c>
      <c r="FN38" s="286">
        <f t="shared" si="303"/>
        <v>44068</v>
      </c>
      <c r="FO38" s="287">
        <f t="shared" si="27"/>
        <v>44068</v>
      </c>
      <c r="FP38" s="288" t="str">
        <f>'दैनिक माहिती'!H159</f>
        <v>हरभरा</v>
      </c>
      <c r="FQ38" s="289">
        <f>'दैनिक माहिती'!E159</f>
        <v>15</v>
      </c>
      <c r="FR38" s="289">
        <f>'दैनिक माहिती'!F159</f>
        <v>15</v>
      </c>
      <c r="FS38" s="289">
        <f>'दैनिक माहिती'!G159</f>
        <v>15</v>
      </c>
      <c r="FT38" s="290">
        <f t="shared" si="123"/>
        <v>1.5</v>
      </c>
      <c r="FU38" s="290">
        <f t="shared" si="124"/>
        <v>0</v>
      </c>
      <c r="FV38" s="290">
        <f t="shared" si="125"/>
        <v>0</v>
      </c>
      <c r="FW38" s="290">
        <f t="shared" si="126"/>
        <v>0</v>
      </c>
      <c r="FX38" s="290">
        <f t="shared" si="127"/>
        <v>0</v>
      </c>
      <c r="FY38" s="290">
        <f t="shared" si="128"/>
        <v>0</v>
      </c>
      <c r="FZ38" s="290">
        <f t="shared" si="129"/>
        <v>0</v>
      </c>
      <c r="GA38" s="290">
        <f t="shared" si="130"/>
        <v>0.3</v>
      </c>
      <c r="GB38" s="290">
        <f t="shared" si="131"/>
        <v>0</v>
      </c>
      <c r="GC38" s="290">
        <f t="shared" si="132"/>
        <v>4.4999999999999997E-3</v>
      </c>
      <c r="GD38" s="290">
        <f t="shared" si="133"/>
        <v>7.4999999999999997E-3</v>
      </c>
      <c r="GE38" s="290">
        <f t="shared" si="134"/>
        <v>4.4999999999999997E-3</v>
      </c>
      <c r="GF38" s="290">
        <f t="shared" si="135"/>
        <v>0</v>
      </c>
      <c r="GG38" s="290">
        <f t="shared" si="136"/>
        <v>0</v>
      </c>
      <c r="GH38" s="290">
        <f t="shared" si="137"/>
        <v>7.4999999999999997E-2</v>
      </c>
      <c r="GI38" s="290">
        <f t="shared" si="138"/>
        <v>0.03</v>
      </c>
      <c r="GJ38" s="290">
        <f t="shared" si="139"/>
        <v>1.7999999999999999E-2</v>
      </c>
      <c r="GK38" s="290">
        <f t="shared" si="140"/>
        <v>0</v>
      </c>
      <c r="GL38" s="291">
        <f t="shared" si="141"/>
        <v>10.799999999999999</v>
      </c>
      <c r="GM38" s="291">
        <f t="shared" si="142"/>
        <v>9.6</v>
      </c>
      <c r="GN38" s="291">
        <f t="shared" si="143"/>
        <v>7.95</v>
      </c>
      <c r="GO38" s="292">
        <f t="shared" si="144"/>
        <v>40.200000000000003</v>
      </c>
      <c r="GP38" s="999">
        <v>25</v>
      </c>
      <c r="GQ38" s="286">
        <f t="shared" si="304"/>
        <v>44099</v>
      </c>
      <c r="GR38" s="287">
        <f t="shared" si="28"/>
        <v>44099</v>
      </c>
      <c r="GS38" s="288">
        <f>'दैनिक माहिती'!H191</f>
        <v>0</v>
      </c>
      <c r="GT38" s="289">
        <f>'दैनिक माहिती'!E191</f>
        <v>0</v>
      </c>
      <c r="GU38" s="289">
        <f>'दैनिक माहिती'!F191</f>
        <v>0</v>
      </c>
      <c r="GV38" s="289">
        <f>'दैनिक माहिती'!G191</f>
        <v>0</v>
      </c>
      <c r="GW38" s="290">
        <f t="shared" si="145"/>
        <v>0</v>
      </c>
      <c r="GX38" s="290">
        <f t="shared" si="146"/>
        <v>0</v>
      </c>
      <c r="GY38" s="290">
        <f t="shared" si="147"/>
        <v>0</v>
      </c>
      <c r="GZ38" s="290">
        <f t="shared" si="148"/>
        <v>0</v>
      </c>
      <c r="HA38" s="290">
        <f t="shared" si="149"/>
        <v>0</v>
      </c>
      <c r="HB38" s="290">
        <f t="shared" si="150"/>
        <v>0</v>
      </c>
      <c r="HC38" s="290">
        <f t="shared" si="151"/>
        <v>0</v>
      </c>
      <c r="HD38" s="290">
        <f t="shared" si="152"/>
        <v>0</v>
      </c>
      <c r="HE38" s="290">
        <f t="shared" si="153"/>
        <v>0</v>
      </c>
      <c r="HF38" s="290">
        <f t="shared" si="154"/>
        <v>0</v>
      </c>
      <c r="HG38" s="290">
        <f t="shared" si="155"/>
        <v>0</v>
      </c>
      <c r="HH38" s="290">
        <f t="shared" si="156"/>
        <v>0</v>
      </c>
      <c r="HI38" s="290">
        <f t="shared" si="157"/>
        <v>0</v>
      </c>
      <c r="HJ38" s="290">
        <f t="shared" si="158"/>
        <v>0</v>
      </c>
      <c r="HK38" s="290">
        <f t="shared" si="159"/>
        <v>0</v>
      </c>
      <c r="HL38" s="290">
        <f t="shared" si="160"/>
        <v>0</v>
      </c>
      <c r="HM38" s="290">
        <f t="shared" si="161"/>
        <v>0</v>
      </c>
      <c r="HN38" s="290">
        <f t="shared" si="162"/>
        <v>0</v>
      </c>
      <c r="HO38" s="291">
        <f t="shared" si="163"/>
        <v>0</v>
      </c>
      <c r="HP38" s="291">
        <f t="shared" si="164"/>
        <v>0</v>
      </c>
      <c r="HQ38" s="291">
        <f t="shared" si="165"/>
        <v>0</v>
      </c>
      <c r="HR38" s="292">
        <f t="shared" si="166"/>
        <v>0</v>
      </c>
      <c r="HS38" s="999">
        <v>25</v>
      </c>
      <c r="HT38" s="286">
        <f t="shared" si="305"/>
        <v>44129</v>
      </c>
      <c r="HU38" s="287">
        <f t="shared" si="29"/>
        <v>44129</v>
      </c>
      <c r="HV38" s="288">
        <f>'दैनिक माहिती'!H222</f>
        <v>0</v>
      </c>
      <c r="HW38" s="289">
        <f>'दैनिक माहिती'!E222</f>
        <v>0</v>
      </c>
      <c r="HX38" s="289">
        <f>'दैनिक माहिती'!F222</f>
        <v>0</v>
      </c>
      <c r="HY38" s="289">
        <f>'दैनिक माहिती'!G222</f>
        <v>0</v>
      </c>
      <c r="HZ38" s="290">
        <f t="shared" si="167"/>
        <v>0</v>
      </c>
      <c r="IA38" s="290">
        <f t="shared" si="168"/>
        <v>0</v>
      </c>
      <c r="IB38" s="290">
        <f t="shared" si="169"/>
        <v>0</v>
      </c>
      <c r="IC38" s="290">
        <f t="shared" si="170"/>
        <v>0</v>
      </c>
      <c r="ID38" s="290">
        <f t="shared" si="171"/>
        <v>0</v>
      </c>
      <c r="IE38" s="290">
        <f t="shared" si="172"/>
        <v>0</v>
      </c>
      <c r="IF38" s="290">
        <f t="shared" si="173"/>
        <v>0</v>
      </c>
      <c r="IG38" s="290">
        <f t="shared" si="174"/>
        <v>0</v>
      </c>
      <c r="IH38" s="290">
        <f t="shared" si="175"/>
        <v>0</v>
      </c>
      <c r="II38" s="290">
        <f t="shared" si="176"/>
        <v>0</v>
      </c>
      <c r="IJ38" s="290">
        <f t="shared" si="177"/>
        <v>0</v>
      </c>
      <c r="IK38" s="290">
        <f t="shared" si="178"/>
        <v>0</v>
      </c>
      <c r="IL38" s="290">
        <f t="shared" si="179"/>
        <v>0</v>
      </c>
      <c r="IM38" s="290">
        <f t="shared" si="180"/>
        <v>0</v>
      </c>
      <c r="IN38" s="290">
        <f t="shared" si="181"/>
        <v>0</v>
      </c>
      <c r="IO38" s="290">
        <f t="shared" si="182"/>
        <v>0</v>
      </c>
      <c r="IP38" s="290">
        <f t="shared" si="183"/>
        <v>0</v>
      </c>
      <c r="IQ38" s="290">
        <f t="shared" si="184"/>
        <v>0</v>
      </c>
      <c r="IR38" s="291">
        <f t="shared" si="185"/>
        <v>0</v>
      </c>
      <c r="IS38" s="291">
        <f t="shared" si="186"/>
        <v>0</v>
      </c>
      <c r="IT38" s="291">
        <f t="shared" si="187"/>
        <v>0</v>
      </c>
      <c r="IU38" s="292">
        <f t="shared" si="188"/>
        <v>0</v>
      </c>
      <c r="IV38" s="999">
        <v>25</v>
      </c>
      <c r="IW38" s="286">
        <f t="shared" si="306"/>
        <v>44160</v>
      </c>
      <c r="IX38" s="287">
        <f t="shared" si="30"/>
        <v>44160</v>
      </c>
      <c r="IY38" s="288" t="str">
        <f>'दैनिक माहिती'!H254</f>
        <v>वाटाणा</v>
      </c>
      <c r="IZ38" s="289">
        <f>'दैनिक माहिती'!E254</f>
        <v>22</v>
      </c>
      <c r="JA38" s="289">
        <f>'दैनिक माहिती'!F254</f>
        <v>22</v>
      </c>
      <c r="JB38" s="289">
        <f>'दैनिक माहिती'!G254</f>
        <v>22</v>
      </c>
      <c r="JC38" s="290">
        <f t="shared" si="189"/>
        <v>2.2000000000000002</v>
      </c>
      <c r="JD38" s="290">
        <f t="shared" si="190"/>
        <v>0</v>
      </c>
      <c r="JE38" s="290">
        <f t="shared" si="191"/>
        <v>0</v>
      </c>
      <c r="JF38" s="290">
        <f t="shared" si="192"/>
        <v>0</v>
      </c>
      <c r="JG38" s="290">
        <f t="shared" si="193"/>
        <v>0</v>
      </c>
      <c r="JH38" s="290">
        <f t="shared" si="194"/>
        <v>0</v>
      </c>
      <c r="JI38" s="290">
        <f t="shared" si="195"/>
        <v>0</v>
      </c>
      <c r="JJ38" s="290">
        <f t="shared" si="196"/>
        <v>0</v>
      </c>
      <c r="JK38" s="290">
        <f t="shared" si="197"/>
        <v>0.44</v>
      </c>
      <c r="JL38" s="290">
        <f t="shared" si="198"/>
        <v>6.5999999999999991E-3</v>
      </c>
      <c r="JM38" s="290">
        <f t="shared" si="199"/>
        <v>1.0999999999999999E-2</v>
      </c>
      <c r="JN38" s="290">
        <f t="shared" si="200"/>
        <v>6.5999999999999991E-3</v>
      </c>
      <c r="JO38" s="290">
        <f t="shared" si="201"/>
        <v>0</v>
      </c>
      <c r="JP38" s="290">
        <f t="shared" si="202"/>
        <v>0</v>
      </c>
      <c r="JQ38" s="290">
        <f t="shared" si="203"/>
        <v>0.11</v>
      </c>
      <c r="JR38" s="290">
        <f t="shared" si="204"/>
        <v>4.3999999999999997E-2</v>
      </c>
      <c r="JS38" s="290">
        <f t="shared" si="205"/>
        <v>2.6399999999999996E-2</v>
      </c>
      <c r="JT38" s="290">
        <f t="shared" si="206"/>
        <v>0</v>
      </c>
      <c r="JU38" s="291">
        <f t="shared" si="207"/>
        <v>15.62</v>
      </c>
      <c r="JV38" s="291">
        <f t="shared" si="208"/>
        <v>17.380000000000003</v>
      </c>
      <c r="JW38" s="291">
        <f t="shared" si="209"/>
        <v>12.76</v>
      </c>
      <c r="JX38" s="292">
        <f t="shared" si="210"/>
        <v>63.14</v>
      </c>
      <c r="JY38" s="999">
        <v>25</v>
      </c>
      <c r="JZ38" s="286">
        <f t="shared" si="307"/>
        <v>44190</v>
      </c>
      <c r="KA38" s="287">
        <f t="shared" si="31"/>
        <v>44190</v>
      </c>
      <c r="KB38" s="288">
        <f>'दैनिक माहिती'!H285</f>
        <v>0</v>
      </c>
      <c r="KC38" s="289">
        <f>'दैनिक माहिती'!E285</f>
        <v>0</v>
      </c>
      <c r="KD38" s="289">
        <f>'दैनिक माहिती'!F285</f>
        <v>0</v>
      </c>
      <c r="KE38" s="289">
        <f>'दैनिक माहिती'!G285</f>
        <v>0</v>
      </c>
      <c r="KF38" s="290">
        <f t="shared" si="211"/>
        <v>0</v>
      </c>
      <c r="KG38" s="290">
        <f t="shared" si="212"/>
        <v>0</v>
      </c>
      <c r="KH38" s="290">
        <f t="shared" si="213"/>
        <v>0</v>
      </c>
      <c r="KI38" s="290">
        <f t="shared" si="214"/>
        <v>0</v>
      </c>
      <c r="KJ38" s="290">
        <f t="shared" si="215"/>
        <v>0</v>
      </c>
      <c r="KK38" s="290">
        <f t="shared" si="216"/>
        <v>0</v>
      </c>
      <c r="KL38" s="290">
        <f t="shared" si="217"/>
        <v>0</v>
      </c>
      <c r="KM38" s="290">
        <f t="shared" si="218"/>
        <v>0</v>
      </c>
      <c r="KN38" s="290">
        <f t="shared" si="219"/>
        <v>0</v>
      </c>
      <c r="KO38" s="290">
        <f t="shared" si="220"/>
        <v>0</v>
      </c>
      <c r="KP38" s="290">
        <f t="shared" si="221"/>
        <v>0</v>
      </c>
      <c r="KQ38" s="290">
        <f t="shared" si="222"/>
        <v>0</v>
      </c>
      <c r="KR38" s="290">
        <f t="shared" si="223"/>
        <v>0</v>
      </c>
      <c r="KS38" s="290">
        <f t="shared" si="224"/>
        <v>0</v>
      </c>
      <c r="KT38" s="290">
        <f t="shared" si="225"/>
        <v>0</v>
      </c>
      <c r="KU38" s="290">
        <f t="shared" si="226"/>
        <v>0</v>
      </c>
      <c r="KV38" s="290">
        <f t="shared" si="227"/>
        <v>0</v>
      </c>
      <c r="KW38" s="290">
        <f t="shared" si="228"/>
        <v>0</v>
      </c>
      <c r="KX38" s="291">
        <f t="shared" si="229"/>
        <v>0</v>
      </c>
      <c r="KY38" s="291">
        <f t="shared" si="230"/>
        <v>0</v>
      </c>
      <c r="KZ38" s="291">
        <f t="shared" si="231"/>
        <v>0</v>
      </c>
      <c r="LA38" s="292">
        <f t="shared" si="232"/>
        <v>0</v>
      </c>
      <c r="LB38" s="999">
        <v>25</v>
      </c>
      <c r="LC38" s="286">
        <f t="shared" si="308"/>
        <v>44221</v>
      </c>
      <c r="LD38" s="287">
        <f t="shared" si="32"/>
        <v>44221</v>
      </c>
      <c r="LE38" s="288">
        <f>'दैनिक माहिती'!H317</f>
        <v>0</v>
      </c>
      <c r="LF38" s="289">
        <f>'दैनिक माहिती'!E317</f>
        <v>0</v>
      </c>
      <c r="LG38" s="289">
        <f>'दैनिक माहिती'!F317</f>
        <v>0</v>
      </c>
      <c r="LH38" s="289">
        <f>'दैनिक माहिती'!G317</f>
        <v>0</v>
      </c>
      <c r="LI38" s="290">
        <f t="shared" si="233"/>
        <v>0</v>
      </c>
      <c r="LJ38" s="290">
        <f t="shared" si="234"/>
        <v>0</v>
      </c>
      <c r="LK38" s="290">
        <f t="shared" si="235"/>
        <v>0</v>
      </c>
      <c r="LL38" s="290">
        <f t="shared" si="236"/>
        <v>0</v>
      </c>
      <c r="LM38" s="290">
        <f t="shared" si="237"/>
        <v>0</v>
      </c>
      <c r="LN38" s="290">
        <f t="shared" si="238"/>
        <v>0</v>
      </c>
      <c r="LO38" s="290">
        <f t="shared" si="239"/>
        <v>0</v>
      </c>
      <c r="LP38" s="290">
        <f t="shared" si="240"/>
        <v>0</v>
      </c>
      <c r="LQ38" s="290">
        <f t="shared" si="241"/>
        <v>0</v>
      </c>
      <c r="LR38" s="290">
        <f t="shared" si="242"/>
        <v>0</v>
      </c>
      <c r="LS38" s="290">
        <f t="shared" si="243"/>
        <v>0</v>
      </c>
      <c r="LT38" s="290">
        <f t="shared" si="244"/>
        <v>0</v>
      </c>
      <c r="LU38" s="290">
        <f t="shared" si="245"/>
        <v>0</v>
      </c>
      <c r="LV38" s="290">
        <f t="shared" si="246"/>
        <v>0</v>
      </c>
      <c r="LW38" s="290">
        <f t="shared" si="247"/>
        <v>0</v>
      </c>
      <c r="LX38" s="290">
        <f t="shared" si="248"/>
        <v>0</v>
      </c>
      <c r="LY38" s="290">
        <f t="shared" si="249"/>
        <v>0</v>
      </c>
      <c r="LZ38" s="290">
        <f t="shared" si="250"/>
        <v>0</v>
      </c>
      <c r="MA38" s="291">
        <f t="shared" si="251"/>
        <v>0</v>
      </c>
      <c r="MB38" s="291">
        <f t="shared" si="252"/>
        <v>0</v>
      </c>
      <c r="MC38" s="291">
        <f t="shared" si="253"/>
        <v>0</v>
      </c>
      <c r="MD38" s="292">
        <f t="shared" si="254"/>
        <v>0</v>
      </c>
      <c r="ME38" s="999">
        <v>25</v>
      </c>
      <c r="MF38" s="286">
        <f t="shared" si="309"/>
        <v>44252</v>
      </c>
      <c r="MG38" s="287">
        <f t="shared" si="33"/>
        <v>44252</v>
      </c>
      <c r="MH38" s="288">
        <f>'दैनिक माहिती'!H349</f>
        <v>0</v>
      </c>
      <c r="MI38" s="289">
        <f>'दैनिक माहिती'!E349</f>
        <v>0</v>
      </c>
      <c r="MJ38" s="289">
        <f>'दैनिक माहिती'!F349</f>
        <v>0</v>
      </c>
      <c r="MK38" s="289">
        <f>'दैनिक माहिती'!G349</f>
        <v>0</v>
      </c>
      <c r="ML38" s="290">
        <f t="shared" si="255"/>
        <v>0</v>
      </c>
      <c r="MM38" s="290">
        <f t="shared" si="256"/>
        <v>0</v>
      </c>
      <c r="MN38" s="290">
        <f t="shared" si="257"/>
        <v>0</v>
      </c>
      <c r="MO38" s="290">
        <f t="shared" si="258"/>
        <v>0</v>
      </c>
      <c r="MP38" s="290">
        <f t="shared" si="259"/>
        <v>0</v>
      </c>
      <c r="MQ38" s="290">
        <f t="shared" si="260"/>
        <v>0</v>
      </c>
      <c r="MR38" s="290">
        <f t="shared" si="261"/>
        <v>0</v>
      </c>
      <c r="MS38" s="290">
        <f t="shared" si="262"/>
        <v>0</v>
      </c>
      <c r="MT38" s="290">
        <f t="shared" si="263"/>
        <v>0</v>
      </c>
      <c r="MU38" s="290">
        <f t="shared" si="264"/>
        <v>0</v>
      </c>
      <c r="MV38" s="290">
        <f t="shared" si="265"/>
        <v>0</v>
      </c>
      <c r="MW38" s="290">
        <f t="shared" si="266"/>
        <v>0</v>
      </c>
      <c r="MX38" s="290">
        <f t="shared" si="267"/>
        <v>0</v>
      </c>
      <c r="MY38" s="290">
        <f t="shared" si="268"/>
        <v>0</v>
      </c>
      <c r="MZ38" s="290">
        <f t="shared" si="269"/>
        <v>0</v>
      </c>
      <c r="NA38" s="290">
        <f t="shared" si="270"/>
        <v>0</v>
      </c>
      <c r="NB38" s="290">
        <f t="shared" si="271"/>
        <v>0</v>
      </c>
      <c r="NC38" s="290">
        <f t="shared" si="272"/>
        <v>0</v>
      </c>
      <c r="ND38" s="291">
        <f t="shared" si="273"/>
        <v>0</v>
      </c>
      <c r="NE38" s="291">
        <f t="shared" si="274"/>
        <v>0</v>
      </c>
      <c r="NF38" s="291">
        <f t="shared" si="275"/>
        <v>0</v>
      </c>
      <c r="NG38" s="292">
        <f t="shared" si="276"/>
        <v>0</v>
      </c>
      <c r="NH38" s="999">
        <v>25</v>
      </c>
      <c r="NI38" s="286">
        <f t="shared" si="310"/>
        <v>44280</v>
      </c>
      <c r="NJ38" s="287">
        <f t="shared" si="34"/>
        <v>44280</v>
      </c>
      <c r="NK38" s="288">
        <f>'दैनिक माहिती'!H379</f>
        <v>0</v>
      </c>
      <c r="NL38" s="289">
        <f>'दैनिक माहिती'!E379</f>
        <v>0</v>
      </c>
      <c r="NM38" s="289">
        <f>'दैनिक माहिती'!F379</f>
        <v>0</v>
      </c>
      <c r="NN38" s="289">
        <f>'दैनिक माहिती'!G379</f>
        <v>0</v>
      </c>
      <c r="NO38" s="290">
        <f t="shared" si="277"/>
        <v>0</v>
      </c>
      <c r="NP38" s="290">
        <f t="shared" si="278"/>
        <v>0</v>
      </c>
      <c r="NQ38" s="290">
        <f t="shared" si="279"/>
        <v>0</v>
      </c>
      <c r="NR38" s="290">
        <f t="shared" si="280"/>
        <v>0</v>
      </c>
      <c r="NS38" s="290">
        <f t="shared" si="281"/>
        <v>0</v>
      </c>
      <c r="NT38" s="290">
        <f t="shared" si="282"/>
        <v>0</v>
      </c>
      <c r="NU38" s="290">
        <f t="shared" si="283"/>
        <v>0</v>
      </c>
      <c r="NV38" s="290">
        <f t="shared" si="284"/>
        <v>0</v>
      </c>
      <c r="NW38" s="290">
        <f t="shared" si="285"/>
        <v>0</v>
      </c>
      <c r="NX38" s="290">
        <f t="shared" si="286"/>
        <v>0</v>
      </c>
      <c r="NY38" s="290">
        <f t="shared" si="287"/>
        <v>0</v>
      </c>
      <c r="NZ38" s="290">
        <f t="shared" si="288"/>
        <v>0</v>
      </c>
      <c r="OA38" s="290">
        <f t="shared" si="289"/>
        <v>0</v>
      </c>
      <c r="OB38" s="290">
        <f t="shared" si="290"/>
        <v>0</v>
      </c>
      <c r="OC38" s="290">
        <f t="shared" si="291"/>
        <v>0</v>
      </c>
      <c r="OD38" s="290">
        <f t="shared" si="292"/>
        <v>0</v>
      </c>
      <c r="OE38" s="290">
        <f t="shared" si="293"/>
        <v>0</v>
      </c>
      <c r="OF38" s="290">
        <f t="shared" si="294"/>
        <v>0</v>
      </c>
      <c r="OG38" s="291">
        <f t="shared" si="295"/>
        <v>0</v>
      </c>
      <c r="OH38" s="291">
        <f t="shared" si="296"/>
        <v>0</v>
      </c>
      <c r="OI38" s="291">
        <f t="shared" si="297"/>
        <v>0</v>
      </c>
      <c r="OJ38" s="292">
        <f t="shared" si="298"/>
        <v>0</v>
      </c>
    </row>
    <row r="39" spans="50:400" ht="29.25" customHeight="1" x14ac:dyDescent="0.3">
      <c r="BA39" s="999">
        <v>26</v>
      </c>
      <c r="BB39" s="286">
        <f t="shared" si="299"/>
        <v>43947</v>
      </c>
      <c r="BC39" s="287">
        <f t="shared" si="23"/>
        <v>43947</v>
      </c>
      <c r="BD39" s="288" t="str">
        <f>'दैनिक माहिती'!H34</f>
        <v>हरभरा</v>
      </c>
      <c r="BE39" s="289">
        <f>'दैनिक माहिती'!E34</f>
        <v>22</v>
      </c>
      <c r="BF39" s="289">
        <f>'दैनिक माहिती'!F34</f>
        <v>22</v>
      </c>
      <c r="BG39" s="289">
        <f>'दैनिक माहिती'!G34</f>
        <v>22</v>
      </c>
      <c r="BH39" s="290">
        <f t="shared" si="35"/>
        <v>2.2000000000000002</v>
      </c>
      <c r="BI39" s="290">
        <f t="shared" si="36"/>
        <v>0</v>
      </c>
      <c r="BJ39" s="290">
        <f t="shared" si="37"/>
        <v>0</v>
      </c>
      <c r="BK39" s="290">
        <f t="shared" si="38"/>
        <v>0</v>
      </c>
      <c r="BL39" s="290">
        <f t="shared" si="39"/>
        <v>0</v>
      </c>
      <c r="BM39" s="290">
        <f t="shared" si="40"/>
        <v>0</v>
      </c>
      <c r="BN39" s="290">
        <f t="shared" si="41"/>
        <v>0</v>
      </c>
      <c r="BO39" s="290">
        <f t="shared" si="42"/>
        <v>0.44</v>
      </c>
      <c r="BP39" s="290">
        <f t="shared" si="43"/>
        <v>0</v>
      </c>
      <c r="BQ39" s="290">
        <f t="shared" si="44"/>
        <v>6.5999999999999991E-3</v>
      </c>
      <c r="BR39" s="290">
        <f t="shared" si="45"/>
        <v>1.0999999999999999E-2</v>
      </c>
      <c r="BS39" s="290">
        <f t="shared" si="46"/>
        <v>6.5999999999999991E-3</v>
      </c>
      <c r="BT39" s="290">
        <f t="shared" si="47"/>
        <v>0</v>
      </c>
      <c r="BU39" s="290">
        <f t="shared" si="48"/>
        <v>0</v>
      </c>
      <c r="BV39" s="290">
        <f t="shared" si="49"/>
        <v>0.11</v>
      </c>
      <c r="BW39" s="290">
        <f t="shared" si="50"/>
        <v>4.3999999999999997E-2</v>
      </c>
      <c r="BX39" s="290">
        <f t="shared" si="51"/>
        <v>2.6399999999999996E-2</v>
      </c>
      <c r="BY39" s="290">
        <f t="shared" si="52"/>
        <v>0</v>
      </c>
      <c r="BZ39" s="291">
        <f t="shared" si="53"/>
        <v>15.84</v>
      </c>
      <c r="CA39" s="291">
        <f t="shared" si="54"/>
        <v>14.08</v>
      </c>
      <c r="CB39" s="291">
        <f t="shared" si="55"/>
        <v>11.66</v>
      </c>
      <c r="CC39" s="292">
        <f t="shared" si="56"/>
        <v>58.96</v>
      </c>
      <c r="CD39" s="999">
        <v>26</v>
      </c>
      <c r="CE39" s="286">
        <f t="shared" si="300"/>
        <v>43977</v>
      </c>
      <c r="CF39" s="287">
        <f t="shared" si="24"/>
        <v>43977</v>
      </c>
      <c r="CG39" s="288">
        <f>'दैनिक माहिती'!H65</f>
        <v>0</v>
      </c>
      <c r="CH39" s="289">
        <f>'दैनिक माहिती'!E65</f>
        <v>0</v>
      </c>
      <c r="CI39" s="289">
        <f>'दैनिक माहिती'!F65</f>
        <v>0</v>
      </c>
      <c r="CJ39" s="289">
        <f>'दैनिक माहिती'!G65</f>
        <v>0</v>
      </c>
      <c r="CK39" s="290">
        <f t="shared" si="57"/>
        <v>0</v>
      </c>
      <c r="CL39" s="290">
        <f t="shared" si="58"/>
        <v>0</v>
      </c>
      <c r="CM39" s="290">
        <f t="shared" si="59"/>
        <v>0</v>
      </c>
      <c r="CN39" s="290">
        <f t="shared" si="60"/>
        <v>0</v>
      </c>
      <c r="CO39" s="290">
        <f t="shared" si="61"/>
        <v>0</v>
      </c>
      <c r="CP39" s="290">
        <f t="shared" si="62"/>
        <v>0</v>
      </c>
      <c r="CQ39" s="290">
        <f t="shared" si="63"/>
        <v>0</v>
      </c>
      <c r="CR39" s="290">
        <f t="shared" si="64"/>
        <v>0</v>
      </c>
      <c r="CS39" s="290">
        <f t="shared" si="65"/>
        <v>0</v>
      </c>
      <c r="CT39" s="290">
        <f t="shared" si="66"/>
        <v>0</v>
      </c>
      <c r="CU39" s="290">
        <f t="shared" si="67"/>
        <v>0</v>
      </c>
      <c r="CV39" s="290">
        <f t="shared" si="68"/>
        <v>0</v>
      </c>
      <c r="CW39" s="290">
        <f t="shared" si="69"/>
        <v>0</v>
      </c>
      <c r="CX39" s="290">
        <f t="shared" si="70"/>
        <v>0</v>
      </c>
      <c r="CY39" s="290">
        <f t="shared" si="71"/>
        <v>0</v>
      </c>
      <c r="CZ39" s="290">
        <f t="shared" si="72"/>
        <v>0</v>
      </c>
      <c r="DA39" s="290">
        <f t="shared" si="73"/>
        <v>0</v>
      </c>
      <c r="DB39" s="290">
        <f t="shared" si="74"/>
        <v>0</v>
      </c>
      <c r="DC39" s="291">
        <f t="shared" si="75"/>
        <v>0</v>
      </c>
      <c r="DD39" s="291">
        <f t="shared" si="76"/>
        <v>0</v>
      </c>
      <c r="DE39" s="291">
        <f t="shared" si="77"/>
        <v>0</v>
      </c>
      <c r="DF39" s="292">
        <f t="shared" si="78"/>
        <v>0</v>
      </c>
      <c r="DG39" s="999">
        <v>26</v>
      </c>
      <c r="DH39" s="286">
        <f t="shared" si="301"/>
        <v>44008</v>
      </c>
      <c r="DI39" s="287">
        <f t="shared" si="25"/>
        <v>44008</v>
      </c>
      <c r="DJ39" s="288">
        <f>'दैनिक माहिती'!H97</f>
        <v>0</v>
      </c>
      <c r="DK39" s="289">
        <f>'दैनिक माहिती'!E97</f>
        <v>0</v>
      </c>
      <c r="DL39" s="289">
        <f>'दैनिक माहिती'!F97</f>
        <v>0</v>
      </c>
      <c r="DM39" s="289">
        <f>'दैनिक माहिती'!G97</f>
        <v>0</v>
      </c>
      <c r="DN39" s="290">
        <f t="shared" si="79"/>
        <v>0</v>
      </c>
      <c r="DO39" s="290">
        <f t="shared" si="80"/>
        <v>0</v>
      </c>
      <c r="DP39" s="290">
        <f t="shared" si="81"/>
        <v>0</v>
      </c>
      <c r="DQ39" s="290">
        <f t="shared" si="82"/>
        <v>0</v>
      </c>
      <c r="DR39" s="290">
        <f t="shared" si="83"/>
        <v>0</v>
      </c>
      <c r="DS39" s="290">
        <f t="shared" si="84"/>
        <v>0</v>
      </c>
      <c r="DT39" s="290">
        <f t="shared" si="85"/>
        <v>0</v>
      </c>
      <c r="DU39" s="290">
        <f t="shared" si="86"/>
        <v>0</v>
      </c>
      <c r="DV39" s="290">
        <f t="shared" si="87"/>
        <v>0</v>
      </c>
      <c r="DW39" s="290">
        <f t="shared" si="88"/>
        <v>0</v>
      </c>
      <c r="DX39" s="290">
        <f t="shared" si="89"/>
        <v>0</v>
      </c>
      <c r="DY39" s="290">
        <f t="shared" si="90"/>
        <v>0</v>
      </c>
      <c r="DZ39" s="290">
        <f t="shared" si="91"/>
        <v>0</v>
      </c>
      <c r="EA39" s="290">
        <f t="shared" si="92"/>
        <v>0</v>
      </c>
      <c r="EB39" s="290">
        <f t="shared" si="93"/>
        <v>0</v>
      </c>
      <c r="EC39" s="290">
        <f t="shared" si="94"/>
        <v>0</v>
      </c>
      <c r="ED39" s="290">
        <f t="shared" si="95"/>
        <v>0</v>
      </c>
      <c r="EE39" s="290">
        <f t="shared" si="96"/>
        <v>0</v>
      </c>
      <c r="EF39" s="291">
        <f t="shared" si="97"/>
        <v>0</v>
      </c>
      <c r="EG39" s="291">
        <f t="shared" si="98"/>
        <v>0</v>
      </c>
      <c r="EH39" s="291">
        <f t="shared" si="99"/>
        <v>0</v>
      </c>
      <c r="EI39" s="292">
        <f t="shared" si="100"/>
        <v>0</v>
      </c>
      <c r="EJ39" s="999">
        <v>26</v>
      </c>
      <c r="EK39" s="286">
        <f t="shared" si="302"/>
        <v>44038</v>
      </c>
      <c r="EL39" s="287">
        <f t="shared" si="26"/>
        <v>44038</v>
      </c>
      <c r="EM39" s="288" t="str">
        <f>'दैनिक माहिती'!H128</f>
        <v>हरभरा</v>
      </c>
      <c r="EN39" s="289">
        <f>'दैनिक माहिती'!E128</f>
        <v>17</v>
      </c>
      <c r="EO39" s="289">
        <f>'दैनिक माहिती'!F128</f>
        <v>17</v>
      </c>
      <c r="EP39" s="289">
        <f>'दैनिक माहिती'!G128</f>
        <v>17</v>
      </c>
      <c r="EQ39" s="290">
        <f t="shared" si="101"/>
        <v>1.7000000000000002</v>
      </c>
      <c r="ER39" s="290">
        <f t="shared" si="102"/>
        <v>0</v>
      </c>
      <c r="ES39" s="290">
        <f t="shared" si="103"/>
        <v>0</v>
      </c>
      <c r="ET39" s="290">
        <f t="shared" si="104"/>
        <v>0</v>
      </c>
      <c r="EU39" s="290">
        <f t="shared" si="105"/>
        <v>0</v>
      </c>
      <c r="EV39" s="290">
        <f t="shared" si="106"/>
        <v>0</v>
      </c>
      <c r="EW39" s="290">
        <f t="shared" si="107"/>
        <v>0</v>
      </c>
      <c r="EX39" s="290">
        <f t="shared" si="108"/>
        <v>0.34</v>
      </c>
      <c r="EY39" s="290">
        <f t="shared" si="109"/>
        <v>0</v>
      </c>
      <c r="EZ39" s="290">
        <f t="shared" si="110"/>
        <v>5.0999999999999995E-3</v>
      </c>
      <c r="FA39" s="290">
        <f t="shared" si="111"/>
        <v>8.5000000000000006E-3</v>
      </c>
      <c r="FB39" s="290">
        <f t="shared" si="112"/>
        <v>5.0999999999999995E-3</v>
      </c>
      <c r="FC39" s="290">
        <f t="shared" si="113"/>
        <v>0</v>
      </c>
      <c r="FD39" s="290">
        <f t="shared" si="114"/>
        <v>0</v>
      </c>
      <c r="FE39" s="290">
        <f t="shared" si="115"/>
        <v>8.5000000000000006E-2</v>
      </c>
      <c r="FF39" s="290">
        <f t="shared" si="116"/>
        <v>3.4000000000000002E-2</v>
      </c>
      <c r="FG39" s="290">
        <f t="shared" si="117"/>
        <v>2.0399999999999998E-2</v>
      </c>
      <c r="FH39" s="290">
        <f t="shared" si="118"/>
        <v>0</v>
      </c>
      <c r="FI39" s="291">
        <f t="shared" si="119"/>
        <v>12.24</v>
      </c>
      <c r="FJ39" s="291">
        <f t="shared" si="120"/>
        <v>10.88</v>
      </c>
      <c r="FK39" s="291">
        <f t="shared" si="121"/>
        <v>9.01</v>
      </c>
      <c r="FL39" s="292">
        <f t="shared" si="122"/>
        <v>45.56</v>
      </c>
      <c r="FM39" s="999">
        <v>26</v>
      </c>
      <c r="FN39" s="286">
        <f t="shared" si="303"/>
        <v>44069</v>
      </c>
      <c r="FO39" s="287">
        <f t="shared" si="27"/>
        <v>44069</v>
      </c>
      <c r="FP39" s="288">
        <f>'दैनिक माहिती'!H160</f>
        <v>0</v>
      </c>
      <c r="FQ39" s="289">
        <f>'दैनिक माहिती'!E160</f>
        <v>0</v>
      </c>
      <c r="FR39" s="289">
        <f>'दैनिक माहिती'!F160</f>
        <v>0</v>
      </c>
      <c r="FS39" s="289">
        <f>'दैनिक माहिती'!G160</f>
        <v>0</v>
      </c>
      <c r="FT39" s="290">
        <f t="shared" si="123"/>
        <v>0</v>
      </c>
      <c r="FU39" s="290">
        <f t="shared" si="124"/>
        <v>0</v>
      </c>
      <c r="FV39" s="290">
        <f t="shared" si="125"/>
        <v>0</v>
      </c>
      <c r="FW39" s="290">
        <f t="shared" si="126"/>
        <v>0</v>
      </c>
      <c r="FX39" s="290">
        <f t="shared" si="127"/>
        <v>0</v>
      </c>
      <c r="FY39" s="290">
        <f t="shared" si="128"/>
        <v>0</v>
      </c>
      <c r="FZ39" s="290">
        <f t="shared" si="129"/>
        <v>0</v>
      </c>
      <c r="GA39" s="290">
        <f t="shared" si="130"/>
        <v>0</v>
      </c>
      <c r="GB39" s="290">
        <f t="shared" si="131"/>
        <v>0</v>
      </c>
      <c r="GC39" s="290">
        <f t="shared" si="132"/>
        <v>0</v>
      </c>
      <c r="GD39" s="290">
        <f t="shared" si="133"/>
        <v>0</v>
      </c>
      <c r="GE39" s="290">
        <f t="shared" si="134"/>
        <v>0</v>
      </c>
      <c r="GF39" s="290">
        <f t="shared" si="135"/>
        <v>0</v>
      </c>
      <c r="GG39" s="290">
        <f t="shared" si="136"/>
        <v>0</v>
      </c>
      <c r="GH39" s="290">
        <f t="shared" si="137"/>
        <v>0</v>
      </c>
      <c r="GI39" s="290">
        <f t="shared" si="138"/>
        <v>0</v>
      </c>
      <c r="GJ39" s="290">
        <f t="shared" si="139"/>
        <v>0</v>
      </c>
      <c r="GK39" s="290">
        <f t="shared" si="140"/>
        <v>0</v>
      </c>
      <c r="GL39" s="291">
        <f t="shared" si="141"/>
        <v>0</v>
      </c>
      <c r="GM39" s="291">
        <f t="shared" si="142"/>
        <v>0</v>
      </c>
      <c r="GN39" s="291">
        <f t="shared" si="143"/>
        <v>0</v>
      </c>
      <c r="GO39" s="292">
        <f t="shared" si="144"/>
        <v>0</v>
      </c>
      <c r="GP39" s="999">
        <v>26</v>
      </c>
      <c r="GQ39" s="286">
        <f t="shared" si="304"/>
        <v>44100</v>
      </c>
      <c r="GR39" s="287">
        <f t="shared" si="28"/>
        <v>44100</v>
      </c>
      <c r="GS39" s="288">
        <f>'दैनिक माहिती'!H192</f>
        <v>0</v>
      </c>
      <c r="GT39" s="289">
        <f>'दैनिक माहिती'!E192</f>
        <v>0</v>
      </c>
      <c r="GU39" s="289">
        <f>'दैनिक माहिती'!F192</f>
        <v>0</v>
      </c>
      <c r="GV39" s="289">
        <f>'दैनिक माहिती'!G192</f>
        <v>0</v>
      </c>
      <c r="GW39" s="290">
        <f t="shared" si="145"/>
        <v>0</v>
      </c>
      <c r="GX39" s="290">
        <f t="shared" si="146"/>
        <v>0</v>
      </c>
      <c r="GY39" s="290">
        <f t="shared" si="147"/>
        <v>0</v>
      </c>
      <c r="GZ39" s="290">
        <f t="shared" si="148"/>
        <v>0</v>
      </c>
      <c r="HA39" s="290">
        <f t="shared" si="149"/>
        <v>0</v>
      </c>
      <c r="HB39" s="290">
        <f t="shared" si="150"/>
        <v>0</v>
      </c>
      <c r="HC39" s="290">
        <f t="shared" si="151"/>
        <v>0</v>
      </c>
      <c r="HD39" s="290">
        <f t="shared" si="152"/>
        <v>0</v>
      </c>
      <c r="HE39" s="290">
        <f t="shared" si="153"/>
        <v>0</v>
      </c>
      <c r="HF39" s="290">
        <f t="shared" si="154"/>
        <v>0</v>
      </c>
      <c r="HG39" s="290">
        <f t="shared" si="155"/>
        <v>0</v>
      </c>
      <c r="HH39" s="290">
        <f t="shared" si="156"/>
        <v>0</v>
      </c>
      <c r="HI39" s="290">
        <f t="shared" si="157"/>
        <v>0</v>
      </c>
      <c r="HJ39" s="290">
        <f t="shared" si="158"/>
        <v>0</v>
      </c>
      <c r="HK39" s="290">
        <f t="shared" si="159"/>
        <v>0</v>
      </c>
      <c r="HL39" s="290">
        <f t="shared" si="160"/>
        <v>0</v>
      </c>
      <c r="HM39" s="290">
        <f t="shared" si="161"/>
        <v>0</v>
      </c>
      <c r="HN39" s="290">
        <f t="shared" si="162"/>
        <v>0</v>
      </c>
      <c r="HO39" s="291">
        <f t="shared" si="163"/>
        <v>0</v>
      </c>
      <c r="HP39" s="291">
        <f t="shared" si="164"/>
        <v>0</v>
      </c>
      <c r="HQ39" s="291">
        <f t="shared" si="165"/>
        <v>0</v>
      </c>
      <c r="HR39" s="292">
        <f t="shared" si="166"/>
        <v>0</v>
      </c>
      <c r="HS39" s="999">
        <v>26</v>
      </c>
      <c r="HT39" s="286">
        <f t="shared" si="305"/>
        <v>44130</v>
      </c>
      <c r="HU39" s="287">
        <f t="shared" si="29"/>
        <v>44130</v>
      </c>
      <c r="HV39" s="288">
        <f>'दैनिक माहिती'!H223</f>
        <v>0</v>
      </c>
      <c r="HW39" s="289">
        <f>'दैनिक माहिती'!E223</f>
        <v>0</v>
      </c>
      <c r="HX39" s="289">
        <f>'दैनिक माहिती'!F223</f>
        <v>0</v>
      </c>
      <c r="HY39" s="289">
        <f>'दैनिक माहिती'!G223</f>
        <v>0</v>
      </c>
      <c r="HZ39" s="290">
        <f t="shared" si="167"/>
        <v>0</v>
      </c>
      <c r="IA39" s="290">
        <f t="shared" si="168"/>
        <v>0</v>
      </c>
      <c r="IB39" s="290">
        <f t="shared" si="169"/>
        <v>0</v>
      </c>
      <c r="IC39" s="290">
        <f t="shared" si="170"/>
        <v>0</v>
      </c>
      <c r="ID39" s="290">
        <f t="shared" si="171"/>
        <v>0</v>
      </c>
      <c r="IE39" s="290">
        <f t="shared" si="172"/>
        <v>0</v>
      </c>
      <c r="IF39" s="290">
        <f t="shared" si="173"/>
        <v>0</v>
      </c>
      <c r="IG39" s="290">
        <f t="shared" si="174"/>
        <v>0</v>
      </c>
      <c r="IH39" s="290">
        <f t="shared" si="175"/>
        <v>0</v>
      </c>
      <c r="II39" s="290">
        <f t="shared" si="176"/>
        <v>0</v>
      </c>
      <c r="IJ39" s="290">
        <f t="shared" si="177"/>
        <v>0</v>
      </c>
      <c r="IK39" s="290">
        <f t="shared" si="178"/>
        <v>0</v>
      </c>
      <c r="IL39" s="290">
        <f t="shared" si="179"/>
        <v>0</v>
      </c>
      <c r="IM39" s="290">
        <f t="shared" si="180"/>
        <v>0</v>
      </c>
      <c r="IN39" s="290">
        <f t="shared" si="181"/>
        <v>0</v>
      </c>
      <c r="IO39" s="290">
        <f t="shared" si="182"/>
        <v>0</v>
      </c>
      <c r="IP39" s="290">
        <f t="shared" si="183"/>
        <v>0</v>
      </c>
      <c r="IQ39" s="290">
        <f t="shared" si="184"/>
        <v>0</v>
      </c>
      <c r="IR39" s="291">
        <f t="shared" si="185"/>
        <v>0</v>
      </c>
      <c r="IS39" s="291">
        <f t="shared" si="186"/>
        <v>0</v>
      </c>
      <c r="IT39" s="291">
        <f t="shared" si="187"/>
        <v>0</v>
      </c>
      <c r="IU39" s="292">
        <f t="shared" si="188"/>
        <v>0</v>
      </c>
      <c r="IV39" s="999">
        <v>26</v>
      </c>
      <c r="IW39" s="286">
        <f t="shared" si="306"/>
        <v>44161</v>
      </c>
      <c r="IX39" s="287">
        <f t="shared" si="30"/>
        <v>44161</v>
      </c>
      <c r="IY39" s="288" t="str">
        <f>'दैनिक माहिती'!H255</f>
        <v>मुगडाळ</v>
      </c>
      <c r="IZ39" s="289">
        <f>'दैनिक माहिती'!E255</f>
        <v>22</v>
      </c>
      <c r="JA39" s="289">
        <f>'दैनिक माहिती'!F255</f>
        <v>22</v>
      </c>
      <c r="JB39" s="289">
        <f>'दैनिक माहिती'!G255</f>
        <v>22</v>
      </c>
      <c r="JC39" s="290">
        <f t="shared" si="189"/>
        <v>2.2000000000000002</v>
      </c>
      <c r="JD39" s="290">
        <f t="shared" si="190"/>
        <v>0.44</v>
      </c>
      <c r="JE39" s="290">
        <f t="shared" si="191"/>
        <v>0</v>
      </c>
      <c r="JF39" s="290">
        <f t="shared" si="192"/>
        <v>0</v>
      </c>
      <c r="JG39" s="290">
        <f t="shared" si="193"/>
        <v>0</v>
      </c>
      <c r="JH39" s="290">
        <f t="shared" si="194"/>
        <v>0</v>
      </c>
      <c r="JI39" s="290">
        <f t="shared" si="195"/>
        <v>0</v>
      </c>
      <c r="JJ39" s="290">
        <f t="shared" si="196"/>
        <v>0</v>
      </c>
      <c r="JK39" s="290">
        <f t="shared" si="197"/>
        <v>0</v>
      </c>
      <c r="JL39" s="290">
        <f t="shared" si="198"/>
        <v>6.5999999999999991E-3</v>
      </c>
      <c r="JM39" s="290">
        <f t="shared" si="199"/>
        <v>1.0999999999999999E-2</v>
      </c>
      <c r="JN39" s="290">
        <f t="shared" si="200"/>
        <v>6.5999999999999991E-3</v>
      </c>
      <c r="JO39" s="290">
        <f t="shared" si="201"/>
        <v>0</v>
      </c>
      <c r="JP39" s="290">
        <f t="shared" si="202"/>
        <v>0</v>
      </c>
      <c r="JQ39" s="290">
        <f t="shared" si="203"/>
        <v>0.11</v>
      </c>
      <c r="JR39" s="290">
        <f t="shared" si="204"/>
        <v>4.3999999999999997E-2</v>
      </c>
      <c r="JS39" s="290">
        <f t="shared" si="205"/>
        <v>2.6399999999999996E-2</v>
      </c>
      <c r="JT39" s="290">
        <f t="shared" si="206"/>
        <v>0</v>
      </c>
      <c r="JU39" s="291">
        <f t="shared" si="207"/>
        <v>15.62</v>
      </c>
      <c r="JV39" s="291">
        <f t="shared" si="208"/>
        <v>17.380000000000003</v>
      </c>
      <c r="JW39" s="291">
        <f t="shared" si="209"/>
        <v>12.76</v>
      </c>
      <c r="JX39" s="292">
        <f t="shared" si="210"/>
        <v>63.14</v>
      </c>
      <c r="JY39" s="999">
        <v>26</v>
      </c>
      <c r="JZ39" s="286">
        <f t="shared" si="307"/>
        <v>44191</v>
      </c>
      <c r="KA39" s="287">
        <f t="shared" si="31"/>
        <v>44191</v>
      </c>
      <c r="KB39" s="288" t="str">
        <f>'दैनिक माहिती'!H286</f>
        <v>मुगडाळ</v>
      </c>
      <c r="KC39" s="289">
        <f>'दैनिक माहिती'!E286</f>
        <v>21</v>
      </c>
      <c r="KD39" s="289">
        <f>'दैनिक माहिती'!F286</f>
        <v>21</v>
      </c>
      <c r="KE39" s="289">
        <f>'दैनिक माहिती'!G286</f>
        <v>21</v>
      </c>
      <c r="KF39" s="290">
        <f t="shared" si="211"/>
        <v>2.1</v>
      </c>
      <c r="KG39" s="290">
        <f t="shared" si="212"/>
        <v>0.42</v>
      </c>
      <c r="KH39" s="290">
        <f t="shared" si="213"/>
        <v>0</v>
      </c>
      <c r="KI39" s="290">
        <f t="shared" si="214"/>
        <v>0</v>
      </c>
      <c r="KJ39" s="290">
        <f t="shared" si="215"/>
        <v>0</v>
      </c>
      <c r="KK39" s="290">
        <f t="shared" si="216"/>
        <v>0</v>
      </c>
      <c r="KL39" s="290">
        <f t="shared" si="217"/>
        <v>0</v>
      </c>
      <c r="KM39" s="290">
        <f t="shared" si="218"/>
        <v>0</v>
      </c>
      <c r="KN39" s="290">
        <f t="shared" si="219"/>
        <v>0</v>
      </c>
      <c r="KO39" s="290">
        <f t="shared" si="220"/>
        <v>6.2999999999999992E-3</v>
      </c>
      <c r="KP39" s="290">
        <f t="shared" si="221"/>
        <v>1.0500000000000001E-2</v>
      </c>
      <c r="KQ39" s="290">
        <f t="shared" si="222"/>
        <v>6.2999999999999992E-3</v>
      </c>
      <c r="KR39" s="290">
        <f t="shared" si="223"/>
        <v>0</v>
      </c>
      <c r="KS39" s="290">
        <f t="shared" si="224"/>
        <v>0</v>
      </c>
      <c r="KT39" s="290">
        <f t="shared" si="225"/>
        <v>0.105</v>
      </c>
      <c r="KU39" s="290">
        <f t="shared" si="226"/>
        <v>4.2000000000000003E-2</v>
      </c>
      <c r="KV39" s="290">
        <f t="shared" si="227"/>
        <v>2.5199999999999997E-2</v>
      </c>
      <c r="KW39" s="290">
        <f t="shared" si="228"/>
        <v>0</v>
      </c>
      <c r="KX39" s="291">
        <f t="shared" si="229"/>
        <v>14.91</v>
      </c>
      <c r="KY39" s="291">
        <f t="shared" si="230"/>
        <v>16.59</v>
      </c>
      <c r="KZ39" s="291">
        <f t="shared" si="231"/>
        <v>12.18</v>
      </c>
      <c r="LA39" s="292">
        <f t="shared" si="232"/>
        <v>60.27</v>
      </c>
      <c r="LB39" s="999">
        <v>26</v>
      </c>
      <c r="LC39" s="286">
        <f t="shared" si="308"/>
        <v>44222</v>
      </c>
      <c r="LD39" s="287">
        <f t="shared" si="32"/>
        <v>44222</v>
      </c>
      <c r="LE39" s="288">
        <f>'दैनिक माहिती'!H318</f>
        <v>0</v>
      </c>
      <c r="LF39" s="289">
        <f>'दैनिक माहिती'!E318</f>
        <v>0</v>
      </c>
      <c r="LG39" s="289">
        <f>'दैनिक माहिती'!F318</f>
        <v>0</v>
      </c>
      <c r="LH39" s="289">
        <f>'दैनिक माहिती'!G318</f>
        <v>0</v>
      </c>
      <c r="LI39" s="290">
        <f t="shared" si="233"/>
        <v>0</v>
      </c>
      <c r="LJ39" s="290">
        <f t="shared" si="234"/>
        <v>0</v>
      </c>
      <c r="LK39" s="290">
        <f t="shared" si="235"/>
        <v>0</v>
      </c>
      <c r="LL39" s="290">
        <f t="shared" si="236"/>
        <v>0</v>
      </c>
      <c r="LM39" s="290">
        <f t="shared" si="237"/>
        <v>0</v>
      </c>
      <c r="LN39" s="290">
        <f t="shared" si="238"/>
        <v>0</v>
      </c>
      <c r="LO39" s="290">
        <f t="shared" si="239"/>
        <v>0</v>
      </c>
      <c r="LP39" s="290">
        <f t="shared" si="240"/>
        <v>0</v>
      </c>
      <c r="LQ39" s="290">
        <f t="shared" si="241"/>
        <v>0</v>
      </c>
      <c r="LR39" s="290">
        <f t="shared" si="242"/>
        <v>0</v>
      </c>
      <c r="LS39" s="290">
        <f t="shared" si="243"/>
        <v>0</v>
      </c>
      <c r="LT39" s="290">
        <f t="shared" si="244"/>
        <v>0</v>
      </c>
      <c r="LU39" s="290">
        <f t="shared" si="245"/>
        <v>0</v>
      </c>
      <c r="LV39" s="290">
        <f t="shared" si="246"/>
        <v>0</v>
      </c>
      <c r="LW39" s="290">
        <f t="shared" si="247"/>
        <v>0</v>
      </c>
      <c r="LX39" s="290">
        <f t="shared" si="248"/>
        <v>0</v>
      </c>
      <c r="LY39" s="290">
        <f t="shared" si="249"/>
        <v>0</v>
      </c>
      <c r="LZ39" s="290">
        <f t="shared" si="250"/>
        <v>0</v>
      </c>
      <c r="MA39" s="291">
        <f t="shared" si="251"/>
        <v>0</v>
      </c>
      <c r="MB39" s="291">
        <f t="shared" si="252"/>
        <v>0</v>
      </c>
      <c r="MC39" s="291">
        <f t="shared" si="253"/>
        <v>0</v>
      </c>
      <c r="MD39" s="292">
        <f t="shared" si="254"/>
        <v>0</v>
      </c>
      <c r="ME39" s="999">
        <v>26</v>
      </c>
      <c r="MF39" s="286">
        <f t="shared" si="309"/>
        <v>44253</v>
      </c>
      <c r="MG39" s="287">
        <f t="shared" si="33"/>
        <v>44253</v>
      </c>
      <c r="MH39" s="288">
        <f>'दैनिक माहिती'!H350</f>
        <v>0</v>
      </c>
      <c r="MI39" s="289">
        <f>'दैनिक माहिती'!E350</f>
        <v>0</v>
      </c>
      <c r="MJ39" s="289">
        <f>'दैनिक माहिती'!F350</f>
        <v>0</v>
      </c>
      <c r="MK39" s="289">
        <f>'दैनिक माहिती'!G350</f>
        <v>0</v>
      </c>
      <c r="ML39" s="290">
        <f t="shared" si="255"/>
        <v>0</v>
      </c>
      <c r="MM39" s="290">
        <f t="shared" si="256"/>
        <v>0</v>
      </c>
      <c r="MN39" s="290">
        <f t="shared" si="257"/>
        <v>0</v>
      </c>
      <c r="MO39" s="290">
        <f t="shared" si="258"/>
        <v>0</v>
      </c>
      <c r="MP39" s="290">
        <f t="shared" si="259"/>
        <v>0</v>
      </c>
      <c r="MQ39" s="290">
        <f t="shared" si="260"/>
        <v>0</v>
      </c>
      <c r="MR39" s="290">
        <f t="shared" si="261"/>
        <v>0</v>
      </c>
      <c r="MS39" s="290">
        <f t="shared" si="262"/>
        <v>0</v>
      </c>
      <c r="MT39" s="290">
        <f t="shared" si="263"/>
        <v>0</v>
      </c>
      <c r="MU39" s="290">
        <f t="shared" si="264"/>
        <v>0</v>
      </c>
      <c r="MV39" s="290">
        <f t="shared" si="265"/>
        <v>0</v>
      </c>
      <c r="MW39" s="290">
        <f t="shared" si="266"/>
        <v>0</v>
      </c>
      <c r="MX39" s="290">
        <f t="shared" si="267"/>
        <v>0</v>
      </c>
      <c r="MY39" s="290">
        <f t="shared" si="268"/>
        <v>0</v>
      </c>
      <c r="MZ39" s="290">
        <f t="shared" si="269"/>
        <v>0</v>
      </c>
      <c r="NA39" s="290">
        <f t="shared" si="270"/>
        <v>0</v>
      </c>
      <c r="NB39" s="290">
        <f t="shared" si="271"/>
        <v>0</v>
      </c>
      <c r="NC39" s="290">
        <f t="shared" si="272"/>
        <v>0</v>
      </c>
      <c r="ND39" s="291">
        <f t="shared" si="273"/>
        <v>0</v>
      </c>
      <c r="NE39" s="291">
        <f t="shared" si="274"/>
        <v>0</v>
      </c>
      <c r="NF39" s="291">
        <f t="shared" si="275"/>
        <v>0</v>
      </c>
      <c r="NG39" s="292">
        <f t="shared" si="276"/>
        <v>0</v>
      </c>
      <c r="NH39" s="999">
        <v>26</v>
      </c>
      <c r="NI39" s="286">
        <f t="shared" si="310"/>
        <v>44281</v>
      </c>
      <c r="NJ39" s="287">
        <f t="shared" si="34"/>
        <v>44281</v>
      </c>
      <c r="NK39" s="288">
        <f>'दैनिक माहिती'!H380</f>
        <v>0</v>
      </c>
      <c r="NL39" s="289">
        <f>'दैनिक माहिती'!E380</f>
        <v>0</v>
      </c>
      <c r="NM39" s="289">
        <f>'दैनिक माहिती'!F380</f>
        <v>0</v>
      </c>
      <c r="NN39" s="289">
        <f>'दैनिक माहिती'!G380</f>
        <v>0</v>
      </c>
      <c r="NO39" s="290">
        <f t="shared" si="277"/>
        <v>0</v>
      </c>
      <c r="NP39" s="290">
        <f t="shared" si="278"/>
        <v>0</v>
      </c>
      <c r="NQ39" s="290">
        <f t="shared" si="279"/>
        <v>0</v>
      </c>
      <c r="NR39" s="290">
        <f t="shared" si="280"/>
        <v>0</v>
      </c>
      <c r="NS39" s="290">
        <f t="shared" si="281"/>
        <v>0</v>
      </c>
      <c r="NT39" s="290">
        <f t="shared" si="282"/>
        <v>0</v>
      </c>
      <c r="NU39" s="290">
        <f t="shared" si="283"/>
        <v>0</v>
      </c>
      <c r="NV39" s="290">
        <f t="shared" si="284"/>
        <v>0</v>
      </c>
      <c r="NW39" s="290">
        <f t="shared" si="285"/>
        <v>0</v>
      </c>
      <c r="NX39" s="290">
        <f t="shared" si="286"/>
        <v>0</v>
      </c>
      <c r="NY39" s="290">
        <f t="shared" si="287"/>
        <v>0</v>
      </c>
      <c r="NZ39" s="290">
        <f t="shared" si="288"/>
        <v>0</v>
      </c>
      <c r="OA39" s="290">
        <f t="shared" si="289"/>
        <v>0</v>
      </c>
      <c r="OB39" s="290">
        <f t="shared" si="290"/>
        <v>0</v>
      </c>
      <c r="OC39" s="290">
        <f t="shared" si="291"/>
        <v>0</v>
      </c>
      <c r="OD39" s="290">
        <f t="shared" si="292"/>
        <v>0</v>
      </c>
      <c r="OE39" s="290">
        <f t="shared" si="293"/>
        <v>0</v>
      </c>
      <c r="OF39" s="290">
        <f t="shared" si="294"/>
        <v>0</v>
      </c>
      <c r="OG39" s="291">
        <f t="shared" si="295"/>
        <v>0</v>
      </c>
      <c r="OH39" s="291">
        <f t="shared" si="296"/>
        <v>0</v>
      </c>
      <c r="OI39" s="291">
        <f t="shared" si="297"/>
        <v>0</v>
      </c>
      <c r="OJ39" s="292">
        <f t="shared" si="298"/>
        <v>0</v>
      </c>
    </row>
    <row r="40" spans="50:400" ht="29.25" customHeight="1" x14ac:dyDescent="0.3">
      <c r="AX40" s="1026"/>
      <c r="BA40" s="999">
        <v>27</v>
      </c>
      <c r="BB40" s="286">
        <f t="shared" si="299"/>
        <v>43948</v>
      </c>
      <c r="BC40" s="293">
        <f t="shared" si="23"/>
        <v>43948</v>
      </c>
      <c r="BD40" s="288" t="str">
        <f>'दैनिक माहिती'!H35</f>
        <v>वाटाणा</v>
      </c>
      <c r="BE40" s="289">
        <f>'दैनिक माहिती'!E35</f>
        <v>22</v>
      </c>
      <c r="BF40" s="289">
        <f>'दैनिक माहिती'!F35</f>
        <v>22</v>
      </c>
      <c r="BG40" s="289">
        <f>'दैनिक माहिती'!G35</f>
        <v>22</v>
      </c>
      <c r="BH40" s="290">
        <f t="shared" si="35"/>
        <v>2.2000000000000002</v>
      </c>
      <c r="BI40" s="290">
        <f t="shared" si="36"/>
        <v>0</v>
      </c>
      <c r="BJ40" s="290">
        <f t="shared" si="37"/>
        <v>0</v>
      </c>
      <c r="BK40" s="290">
        <f t="shared" si="38"/>
        <v>0</v>
      </c>
      <c r="BL40" s="290">
        <f t="shared" si="39"/>
        <v>0</v>
      </c>
      <c r="BM40" s="290">
        <f t="shared" si="40"/>
        <v>0</v>
      </c>
      <c r="BN40" s="290">
        <f t="shared" si="41"/>
        <v>0</v>
      </c>
      <c r="BO40" s="290">
        <f t="shared" si="42"/>
        <v>0</v>
      </c>
      <c r="BP40" s="290">
        <f t="shared" si="43"/>
        <v>0.44</v>
      </c>
      <c r="BQ40" s="290">
        <f t="shared" si="44"/>
        <v>6.5999999999999991E-3</v>
      </c>
      <c r="BR40" s="290">
        <f t="shared" si="45"/>
        <v>1.0999999999999999E-2</v>
      </c>
      <c r="BS40" s="290">
        <f t="shared" si="46"/>
        <v>6.5999999999999991E-3</v>
      </c>
      <c r="BT40" s="290">
        <f t="shared" si="47"/>
        <v>0</v>
      </c>
      <c r="BU40" s="290">
        <f t="shared" si="48"/>
        <v>0</v>
      </c>
      <c r="BV40" s="290">
        <f t="shared" si="49"/>
        <v>0.11</v>
      </c>
      <c r="BW40" s="290">
        <f t="shared" si="50"/>
        <v>4.3999999999999997E-2</v>
      </c>
      <c r="BX40" s="290">
        <f t="shared" si="51"/>
        <v>2.6399999999999996E-2</v>
      </c>
      <c r="BY40" s="290">
        <f t="shared" si="52"/>
        <v>0</v>
      </c>
      <c r="BZ40" s="291">
        <f t="shared" si="53"/>
        <v>15.84</v>
      </c>
      <c r="CA40" s="291">
        <f t="shared" si="54"/>
        <v>14.08</v>
      </c>
      <c r="CB40" s="291">
        <f t="shared" si="55"/>
        <v>11.66</v>
      </c>
      <c r="CC40" s="292">
        <f t="shared" si="56"/>
        <v>58.96</v>
      </c>
      <c r="CD40" s="999">
        <v>27</v>
      </c>
      <c r="CE40" s="286">
        <f t="shared" si="300"/>
        <v>43978</v>
      </c>
      <c r="CF40" s="293">
        <f t="shared" si="24"/>
        <v>43978</v>
      </c>
      <c r="CG40" s="288">
        <f>'दैनिक माहिती'!H66</f>
        <v>0</v>
      </c>
      <c r="CH40" s="289">
        <f>'दैनिक माहिती'!E66</f>
        <v>0</v>
      </c>
      <c r="CI40" s="289">
        <f>'दैनिक माहिती'!F66</f>
        <v>0</v>
      </c>
      <c r="CJ40" s="289">
        <f>'दैनिक माहिती'!G66</f>
        <v>0</v>
      </c>
      <c r="CK40" s="290">
        <f t="shared" si="57"/>
        <v>0</v>
      </c>
      <c r="CL40" s="290">
        <f t="shared" si="58"/>
        <v>0</v>
      </c>
      <c r="CM40" s="290">
        <f t="shared" si="59"/>
        <v>0</v>
      </c>
      <c r="CN40" s="290">
        <f t="shared" si="60"/>
        <v>0</v>
      </c>
      <c r="CO40" s="290">
        <f t="shared" si="61"/>
        <v>0</v>
      </c>
      <c r="CP40" s="290">
        <f t="shared" si="62"/>
        <v>0</v>
      </c>
      <c r="CQ40" s="290">
        <f t="shared" si="63"/>
        <v>0</v>
      </c>
      <c r="CR40" s="290">
        <f t="shared" si="64"/>
        <v>0</v>
      </c>
      <c r="CS40" s="290">
        <f t="shared" si="65"/>
        <v>0</v>
      </c>
      <c r="CT40" s="290">
        <f t="shared" si="66"/>
        <v>0</v>
      </c>
      <c r="CU40" s="290">
        <f t="shared" si="67"/>
        <v>0</v>
      </c>
      <c r="CV40" s="290">
        <f t="shared" si="68"/>
        <v>0</v>
      </c>
      <c r="CW40" s="290">
        <f t="shared" si="69"/>
        <v>0</v>
      </c>
      <c r="CX40" s="290">
        <f t="shared" si="70"/>
        <v>0</v>
      </c>
      <c r="CY40" s="290">
        <f t="shared" si="71"/>
        <v>0</v>
      </c>
      <c r="CZ40" s="290">
        <f t="shared" si="72"/>
        <v>0</v>
      </c>
      <c r="DA40" s="290">
        <f t="shared" si="73"/>
        <v>0</v>
      </c>
      <c r="DB40" s="290">
        <f t="shared" si="74"/>
        <v>0</v>
      </c>
      <c r="DC40" s="291">
        <f t="shared" si="75"/>
        <v>0</v>
      </c>
      <c r="DD40" s="291">
        <f t="shared" si="76"/>
        <v>0</v>
      </c>
      <c r="DE40" s="291">
        <f t="shared" si="77"/>
        <v>0</v>
      </c>
      <c r="DF40" s="292">
        <f t="shared" si="78"/>
        <v>0</v>
      </c>
      <c r="DG40" s="999">
        <v>27</v>
      </c>
      <c r="DH40" s="286">
        <f t="shared" si="301"/>
        <v>44009</v>
      </c>
      <c r="DI40" s="293">
        <f t="shared" si="25"/>
        <v>44009</v>
      </c>
      <c r="DJ40" s="288" t="str">
        <f>'दैनिक माहिती'!H98</f>
        <v>मुगडाळ</v>
      </c>
      <c r="DK40" s="289">
        <f>'दैनिक माहिती'!E98</f>
        <v>17</v>
      </c>
      <c r="DL40" s="289">
        <f>'दैनिक माहिती'!F98</f>
        <v>17</v>
      </c>
      <c r="DM40" s="289">
        <f>'दैनिक माहिती'!G98</f>
        <v>17</v>
      </c>
      <c r="DN40" s="290">
        <f t="shared" si="79"/>
        <v>1.7000000000000002</v>
      </c>
      <c r="DO40" s="290">
        <f t="shared" si="80"/>
        <v>0.34</v>
      </c>
      <c r="DP40" s="290">
        <f t="shared" si="81"/>
        <v>0</v>
      </c>
      <c r="DQ40" s="290">
        <f t="shared" si="82"/>
        <v>0</v>
      </c>
      <c r="DR40" s="290">
        <f t="shared" si="83"/>
        <v>0</v>
      </c>
      <c r="DS40" s="290">
        <f t="shared" si="84"/>
        <v>0</v>
      </c>
      <c r="DT40" s="290">
        <f t="shared" si="85"/>
        <v>0</v>
      </c>
      <c r="DU40" s="290">
        <f t="shared" si="86"/>
        <v>0</v>
      </c>
      <c r="DV40" s="290">
        <f t="shared" si="87"/>
        <v>0</v>
      </c>
      <c r="DW40" s="290">
        <f t="shared" si="88"/>
        <v>5.0999999999999995E-3</v>
      </c>
      <c r="DX40" s="290">
        <f t="shared" si="89"/>
        <v>8.5000000000000006E-3</v>
      </c>
      <c r="DY40" s="290">
        <f t="shared" si="90"/>
        <v>5.0999999999999995E-3</v>
      </c>
      <c r="DZ40" s="290">
        <f t="shared" si="91"/>
        <v>0</v>
      </c>
      <c r="EA40" s="290">
        <f t="shared" si="92"/>
        <v>0</v>
      </c>
      <c r="EB40" s="290">
        <f t="shared" si="93"/>
        <v>8.5000000000000006E-2</v>
      </c>
      <c r="EC40" s="290">
        <f t="shared" si="94"/>
        <v>3.4000000000000002E-2</v>
      </c>
      <c r="ED40" s="290">
        <f t="shared" si="95"/>
        <v>2.0399999999999998E-2</v>
      </c>
      <c r="EE40" s="290">
        <f t="shared" si="96"/>
        <v>0</v>
      </c>
      <c r="EF40" s="291">
        <f t="shared" si="97"/>
        <v>12.24</v>
      </c>
      <c r="EG40" s="291">
        <f t="shared" si="98"/>
        <v>10.88</v>
      </c>
      <c r="EH40" s="291">
        <f t="shared" si="99"/>
        <v>9.01</v>
      </c>
      <c r="EI40" s="292">
        <f t="shared" si="100"/>
        <v>45.56</v>
      </c>
      <c r="EJ40" s="999">
        <v>27</v>
      </c>
      <c r="EK40" s="286">
        <f t="shared" si="302"/>
        <v>44039</v>
      </c>
      <c r="EL40" s="293">
        <f t="shared" si="26"/>
        <v>44039</v>
      </c>
      <c r="EM40" s="288" t="str">
        <f>'दैनिक माहिती'!H129</f>
        <v>वाटाणा</v>
      </c>
      <c r="EN40" s="289">
        <f>'दैनिक माहिती'!E129</f>
        <v>17</v>
      </c>
      <c r="EO40" s="289">
        <f>'दैनिक माहिती'!F129</f>
        <v>17</v>
      </c>
      <c r="EP40" s="289">
        <f>'दैनिक माहिती'!G129</f>
        <v>17</v>
      </c>
      <c r="EQ40" s="290">
        <f t="shared" si="101"/>
        <v>1.7000000000000002</v>
      </c>
      <c r="ER40" s="290">
        <f t="shared" si="102"/>
        <v>0</v>
      </c>
      <c r="ES40" s="290">
        <f t="shared" si="103"/>
        <v>0</v>
      </c>
      <c r="ET40" s="290">
        <f t="shared" si="104"/>
        <v>0</v>
      </c>
      <c r="EU40" s="290">
        <f t="shared" si="105"/>
        <v>0</v>
      </c>
      <c r="EV40" s="290">
        <f t="shared" si="106"/>
        <v>0</v>
      </c>
      <c r="EW40" s="290">
        <f t="shared" si="107"/>
        <v>0</v>
      </c>
      <c r="EX40" s="290">
        <f t="shared" si="108"/>
        <v>0</v>
      </c>
      <c r="EY40" s="290">
        <f t="shared" si="109"/>
        <v>0.34</v>
      </c>
      <c r="EZ40" s="290">
        <f t="shared" si="110"/>
        <v>5.0999999999999995E-3</v>
      </c>
      <c r="FA40" s="290">
        <f t="shared" si="111"/>
        <v>8.5000000000000006E-3</v>
      </c>
      <c r="FB40" s="290">
        <f t="shared" si="112"/>
        <v>5.0999999999999995E-3</v>
      </c>
      <c r="FC40" s="290">
        <f t="shared" si="113"/>
        <v>0</v>
      </c>
      <c r="FD40" s="290">
        <f t="shared" si="114"/>
        <v>0</v>
      </c>
      <c r="FE40" s="290">
        <f t="shared" si="115"/>
        <v>8.5000000000000006E-2</v>
      </c>
      <c r="FF40" s="290">
        <f t="shared" si="116"/>
        <v>3.4000000000000002E-2</v>
      </c>
      <c r="FG40" s="290">
        <f t="shared" si="117"/>
        <v>2.0399999999999998E-2</v>
      </c>
      <c r="FH40" s="290">
        <f t="shared" si="118"/>
        <v>0</v>
      </c>
      <c r="FI40" s="291">
        <f t="shared" si="119"/>
        <v>12.24</v>
      </c>
      <c r="FJ40" s="291">
        <f t="shared" si="120"/>
        <v>10.88</v>
      </c>
      <c r="FK40" s="291">
        <f t="shared" si="121"/>
        <v>9.01</v>
      </c>
      <c r="FL40" s="292">
        <f t="shared" si="122"/>
        <v>45.56</v>
      </c>
      <c r="FM40" s="999">
        <v>27</v>
      </c>
      <c r="FN40" s="286">
        <f t="shared" si="303"/>
        <v>44070</v>
      </c>
      <c r="FO40" s="293">
        <f t="shared" si="27"/>
        <v>44070</v>
      </c>
      <c r="FP40" s="288" t="str">
        <f>'दैनिक माहिती'!H161</f>
        <v>मुगडाळ</v>
      </c>
      <c r="FQ40" s="289">
        <f>'दैनिक माहिती'!E161</f>
        <v>15</v>
      </c>
      <c r="FR40" s="289">
        <f>'दैनिक माहिती'!F161</f>
        <v>15</v>
      </c>
      <c r="FS40" s="289">
        <f>'दैनिक माहिती'!G161</f>
        <v>15</v>
      </c>
      <c r="FT40" s="290">
        <f t="shared" si="123"/>
        <v>1.5</v>
      </c>
      <c r="FU40" s="290">
        <f t="shared" si="124"/>
        <v>0.3</v>
      </c>
      <c r="FV40" s="290">
        <f t="shared" si="125"/>
        <v>0</v>
      </c>
      <c r="FW40" s="290">
        <f t="shared" si="126"/>
        <v>0</v>
      </c>
      <c r="FX40" s="290">
        <f t="shared" si="127"/>
        <v>0</v>
      </c>
      <c r="FY40" s="290">
        <f t="shared" si="128"/>
        <v>0</v>
      </c>
      <c r="FZ40" s="290">
        <f t="shared" si="129"/>
        <v>0</v>
      </c>
      <c r="GA40" s="290">
        <f t="shared" si="130"/>
        <v>0</v>
      </c>
      <c r="GB40" s="290">
        <f t="shared" si="131"/>
        <v>0</v>
      </c>
      <c r="GC40" s="290">
        <f t="shared" si="132"/>
        <v>4.4999999999999997E-3</v>
      </c>
      <c r="GD40" s="290">
        <f t="shared" si="133"/>
        <v>7.4999999999999997E-3</v>
      </c>
      <c r="GE40" s="290">
        <f t="shared" si="134"/>
        <v>4.4999999999999997E-3</v>
      </c>
      <c r="GF40" s="290">
        <f t="shared" si="135"/>
        <v>0</v>
      </c>
      <c r="GG40" s="290">
        <f t="shared" si="136"/>
        <v>0</v>
      </c>
      <c r="GH40" s="290">
        <f t="shared" si="137"/>
        <v>7.4999999999999997E-2</v>
      </c>
      <c r="GI40" s="290">
        <f t="shared" si="138"/>
        <v>0.03</v>
      </c>
      <c r="GJ40" s="290">
        <f t="shared" si="139"/>
        <v>1.7999999999999999E-2</v>
      </c>
      <c r="GK40" s="290">
        <f t="shared" si="140"/>
        <v>0</v>
      </c>
      <c r="GL40" s="291">
        <f t="shared" si="141"/>
        <v>10.799999999999999</v>
      </c>
      <c r="GM40" s="291">
        <f t="shared" si="142"/>
        <v>9.6</v>
      </c>
      <c r="GN40" s="291">
        <f t="shared" si="143"/>
        <v>7.95</v>
      </c>
      <c r="GO40" s="292">
        <f t="shared" si="144"/>
        <v>40.200000000000003</v>
      </c>
      <c r="GP40" s="999">
        <v>27</v>
      </c>
      <c r="GQ40" s="286">
        <f t="shared" si="304"/>
        <v>44101</v>
      </c>
      <c r="GR40" s="293">
        <f t="shared" si="28"/>
        <v>44101</v>
      </c>
      <c r="GS40" s="288" t="str">
        <f>'दैनिक माहिती'!H193</f>
        <v>हरभरा</v>
      </c>
      <c r="GT40" s="289">
        <f>'दैनिक माहिती'!E193</f>
        <v>22</v>
      </c>
      <c r="GU40" s="289">
        <f>'दैनिक माहिती'!F193</f>
        <v>22</v>
      </c>
      <c r="GV40" s="289">
        <f>'दैनिक माहिती'!G193</f>
        <v>22</v>
      </c>
      <c r="GW40" s="290">
        <f t="shared" si="145"/>
        <v>2.2000000000000002</v>
      </c>
      <c r="GX40" s="290">
        <f t="shared" si="146"/>
        <v>0</v>
      </c>
      <c r="GY40" s="290">
        <f t="shared" si="147"/>
        <v>0</v>
      </c>
      <c r="GZ40" s="290">
        <f t="shared" si="148"/>
        <v>0</v>
      </c>
      <c r="HA40" s="290">
        <f t="shared" si="149"/>
        <v>0</v>
      </c>
      <c r="HB40" s="290">
        <f t="shared" si="150"/>
        <v>0</v>
      </c>
      <c r="HC40" s="290">
        <f t="shared" si="151"/>
        <v>0</v>
      </c>
      <c r="HD40" s="290">
        <f t="shared" si="152"/>
        <v>0.44</v>
      </c>
      <c r="HE40" s="290">
        <f t="shared" si="153"/>
        <v>0</v>
      </c>
      <c r="HF40" s="290">
        <f t="shared" si="154"/>
        <v>6.5999999999999991E-3</v>
      </c>
      <c r="HG40" s="290">
        <f t="shared" si="155"/>
        <v>1.0999999999999999E-2</v>
      </c>
      <c r="HH40" s="290">
        <f t="shared" si="156"/>
        <v>6.5999999999999991E-3</v>
      </c>
      <c r="HI40" s="290">
        <f t="shared" si="157"/>
        <v>0</v>
      </c>
      <c r="HJ40" s="290">
        <f t="shared" si="158"/>
        <v>0</v>
      </c>
      <c r="HK40" s="290">
        <f t="shared" si="159"/>
        <v>0.11</v>
      </c>
      <c r="HL40" s="290">
        <f t="shared" si="160"/>
        <v>4.3999999999999997E-2</v>
      </c>
      <c r="HM40" s="290">
        <f t="shared" si="161"/>
        <v>2.6399999999999996E-2</v>
      </c>
      <c r="HN40" s="290">
        <f t="shared" si="162"/>
        <v>0</v>
      </c>
      <c r="HO40" s="291">
        <f t="shared" si="163"/>
        <v>15.84</v>
      </c>
      <c r="HP40" s="291">
        <f t="shared" si="164"/>
        <v>14.08</v>
      </c>
      <c r="HQ40" s="291">
        <f t="shared" si="165"/>
        <v>11.66</v>
      </c>
      <c r="HR40" s="292">
        <f t="shared" si="166"/>
        <v>58.96</v>
      </c>
      <c r="HS40" s="999">
        <v>27</v>
      </c>
      <c r="HT40" s="286">
        <f t="shared" si="305"/>
        <v>44131</v>
      </c>
      <c r="HU40" s="293">
        <f t="shared" si="29"/>
        <v>44131</v>
      </c>
      <c r="HV40" s="288">
        <f>'दैनिक माहिती'!H224</f>
        <v>0</v>
      </c>
      <c r="HW40" s="289">
        <f>'दैनिक माहिती'!E224</f>
        <v>0</v>
      </c>
      <c r="HX40" s="289">
        <f>'दैनिक माहिती'!F224</f>
        <v>0</v>
      </c>
      <c r="HY40" s="289">
        <f>'दैनिक माहिती'!G224</f>
        <v>0</v>
      </c>
      <c r="HZ40" s="290">
        <f t="shared" si="167"/>
        <v>0</v>
      </c>
      <c r="IA40" s="290">
        <f t="shared" si="168"/>
        <v>0</v>
      </c>
      <c r="IB40" s="290">
        <f t="shared" si="169"/>
        <v>0</v>
      </c>
      <c r="IC40" s="290">
        <f t="shared" si="170"/>
        <v>0</v>
      </c>
      <c r="ID40" s="290">
        <f t="shared" si="171"/>
        <v>0</v>
      </c>
      <c r="IE40" s="290">
        <f t="shared" si="172"/>
        <v>0</v>
      </c>
      <c r="IF40" s="290">
        <f t="shared" si="173"/>
        <v>0</v>
      </c>
      <c r="IG40" s="290">
        <f t="shared" si="174"/>
        <v>0</v>
      </c>
      <c r="IH40" s="290">
        <f t="shared" si="175"/>
        <v>0</v>
      </c>
      <c r="II40" s="290">
        <f t="shared" si="176"/>
        <v>0</v>
      </c>
      <c r="IJ40" s="290">
        <f t="shared" si="177"/>
        <v>0</v>
      </c>
      <c r="IK40" s="290">
        <f t="shared" si="178"/>
        <v>0</v>
      </c>
      <c r="IL40" s="290">
        <f t="shared" si="179"/>
        <v>0</v>
      </c>
      <c r="IM40" s="290">
        <f t="shared" si="180"/>
        <v>0</v>
      </c>
      <c r="IN40" s="290">
        <f t="shared" si="181"/>
        <v>0</v>
      </c>
      <c r="IO40" s="290">
        <f t="shared" si="182"/>
        <v>0</v>
      </c>
      <c r="IP40" s="290">
        <f t="shared" si="183"/>
        <v>0</v>
      </c>
      <c r="IQ40" s="290">
        <f t="shared" si="184"/>
        <v>0</v>
      </c>
      <c r="IR40" s="291">
        <f t="shared" si="185"/>
        <v>0</v>
      </c>
      <c r="IS40" s="291">
        <f t="shared" si="186"/>
        <v>0</v>
      </c>
      <c r="IT40" s="291">
        <f t="shared" si="187"/>
        <v>0</v>
      </c>
      <c r="IU40" s="292">
        <f t="shared" si="188"/>
        <v>0</v>
      </c>
      <c r="IV40" s="999">
        <v>27</v>
      </c>
      <c r="IW40" s="286">
        <f t="shared" si="306"/>
        <v>44162</v>
      </c>
      <c r="IX40" s="293">
        <f t="shared" si="30"/>
        <v>44162</v>
      </c>
      <c r="IY40" s="288">
        <f>'दैनिक माहिती'!H256</f>
        <v>0</v>
      </c>
      <c r="IZ40" s="289">
        <f>'दैनिक माहिती'!E256</f>
        <v>0</v>
      </c>
      <c r="JA40" s="289">
        <f>'दैनिक माहिती'!F256</f>
        <v>0</v>
      </c>
      <c r="JB40" s="289">
        <f>'दैनिक माहिती'!G256</f>
        <v>0</v>
      </c>
      <c r="JC40" s="290">
        <f t="shared" si="189"/>
        <v>0</v>
      </c>
      <c r="JD40" s="290">
        <f t="shared" si="190"/>
        <v>0</v>
      </c>
      <c r="JE40" s="290">
        <f t="shared" si="191"/>
        <v>0</v>
      </c>
      <c r="JF40" s="290">
        <f t="shared" si="192"/>
        <v>0</v>
      </c>
      <c r="JG40" s="290">
        <f t="shared" si="193"/>
        <v>0</v>
      </c>
      <c r="JH40" s="290">
        <f t="shared" si="194"/>
        <v>0</v>
      </c>
      <c r="JI40" s="290">
        <f t="shared" si="195"/>
        <v>0</v>
      </c>
      <c r="JJ40" s="290">
        <f t="shared" si="196"/>
        <v>0</v>
      </c>
      <c r="JK40" s="290">
        <f t="shared" si="197"/>
        <v>0</v>
      </c>
      <c r="JL40" s="290">
        <f t="shared" si="198"/>
        <v>0</v>
      </c>
      <c r="JM40" s="290">
        <f t="shared" si="199"/>
        <v>0</v>
      </c>
      <c r="JN40" s="290">
        <f t="shared" si="200"/>
        <v>0</v>
      </c>
      <c r="JO40" s="290">
        <f t="shared" si="201"/>
        <v>0</v>
      </c>
      <c r="JP40" s="290">
        <f t="shared" si="202"/>
        <v>0</v>
      </c>
      <c r="JQ40" s="290">
        <f t="shared" si="203"/>
        <v>0</v>
      </c>
      <c r="JR40" s="290">
        <f t="shared" si="204"/>
        <v>0</v>
      </c>
      <c r="JS40" s="290">
        <f t="shared" si="205"/>
        <v>0</v>
      </c>
      <c r="JT40" s="290">
        <f t="shared" si="206"/>
        <v>0</v>
      </c>
      <c r="JU40" s="291">
        <f t="shared" si="207"/>
        <v>0</v>
      </c>
      <c r="JV40" s="291">
        <f t="shared" si="208"/>
        <v>0</v>
      </c>
      <c r="JW40" s="291">
        <f t="shared" si="209"/>
        <v>0</v>
      </c>
      <c r="JX40" s="292">
        <f t="shared" si="210"/>
        <v>0</v>
      </c>
      <c r="JY40" s="999">
        <v>27</v>
      </c>
      <c r="JZ40" s="286">
        <f t="shared" si="307"/>
        <v>44192</v>
      </c>
      <c r="KA40" s="293">
        <f t="shared" si="31"/>
        <v>44192</v>
      </c>
      <c r="KB40" s="288" t="str">
        <f>'दैनिक माहिती'!H287</f>
        <v>हरभरा</v>
      </c>
      <c r="KC40" s="289">
        <f>'दैनिक माहिती'!E287</f>
        <v>21</v>
      </c>
      <c r="KD40" s="289">
        <f>'दैनिक माहिती'!F287</f>
        <v>21</v>
      </c>
      <c r="KE40" s="289">
        <f>'दैनिक माहिती'!G287</f>
        <v>21</v>
      </c>
      <c r="KF40" s="290">
        <f t="shared" si="211"/>
        <v>2.1</v>
      </c>
      <c r="KG40" s="290">
        <f t="shared" si="212"/>
        <v>0</v>
      </c>
      <c r="KH40" s="290">
        <f t="shared" si="213"/>
        <v>0</v>
      </c>
      <c r="KI40" s="290">
        <f t="shared" si="214"/>
        <v>0</v>
      </c>
      <c r="KJ40" s="290">
        <f t="shared" si="215"/>
        <v>0</v>
      </c>
      <c r="KK40" s="290">
        <f t="shared" si="216"/>
        <v>0</v>
      </c>
      <c r="KL40" s="290">
        <f t="shared" si="217"/>
        <v>0</v>
      </c>
      <c r="KM40" s="290">
        <f t="shared" si="218"/>
        <v>0.42</v>
      </c>
      <c r="KN40" s="290">
        <f t="shared" si="219"/>
        <v>0</v>
      </c>
      <c r="KO40" s="290">
        <f t="shared" si="220"/>
        <v>6.2999999999999992E-3</v>
      </c>
      <c r="KP40" s="290">
        <f t="shared" si="221"/>
        <v>1.0500000000000001E-2</v>
      </c>
      <c r="KQ40" s="290">
        <f t="shared" si="222"/>
        <v>6.2999999999999992E-3</v>
      </c>
      <c r="KR40" s="290">
        <f t="shared" si="223"/>
        <v>0</v>
      </c>
      <c r="KS40" s="290">
        <f t="shared" si="224"/>
        <v>0</v>
      </c>
      <c r="KT40" s="290">
        <f t="shared" si="225"/>
        <v>0.105</v>
      </c>
      <c r="KU40" s="290">
        <f t="shared" si="226"/>
        <v>4.2000000000000003E-2</v>
      </c>
      <c r="KV40" s="290">
        <f t="shared" si="227"/>
        <v>2.5199999999999997E-2</v>
      </c>
      <c r="KW40" s="290">
        <f t="shared" si="228"/>
        <v>0</v>
      </c>
      <c r="KX40" s="291">
        <f t="shared" si="229"/>
        <v>14.91</v>
      </c>
      <c r="KY40" s="291">
        <f t="shared" si="230"/>
        <v>16.59</v>
      </c>
      <c r="KZ40" s="291">
        <f t="shared" si="231"/>
        <v>12.18</v>
      </c>
      <c r="LA40" s="292">
        <f t="shared" si="232"/>
        <v>60.27</v>
      </c>
      <c r="LB40" s="999">
        <v>27</v>
      </c>
      <c r="LC40" s="286">
        <f t="shared" si="308"/>
        <v>44223</v>
      </c>
      <c r="LD40" s="293">
        <f t="shared" si="32"/>
        <v>44223</v>
      </c>
      <c r="LE40" s="288">
        <f>'दैनिक माहिती'!H319</f>
        <v>0</v>
      </c>
      <c r="LF40" s="289">
        <f>'दैनिक माहिती'!E319</f>
        <v>0</v>
      </c>
      <c r="LG40" s="289">
        <f>'दैनिक माहिती'!F319</f>
        <v>0</v>
      </c>
      <c r="LH40" s="289">
        <f>'दैनिक माहिती'!G319</f>
        <v>0</v>
      </c>
      <c r="LI40" s="290">
        <f t="shared" si="233"/>
        <v>0</v>
      </c>
      <c r="LJ40" s="290">
        <f t="shared" si="234"/>
        <v>0</v>
      </c>
      <c r="LK40" s="290">
        <f t="shared" si="235"/>
        <v>0</v>
      </c>
      <c r="LL40" s="290">
        <f t="shared" si="236"/>
        <v>0</v>
      </c>
      <c r="LM40" s="290">
        <f t="shared" si="237"/>
        <v>0</v>
      </c>
      <c r="LN40" s="290">
        <f t="shared" si="238"/>
        <v>0</v>
      </c>
      <c r="LO40" s="290">
        <f t="shared" si="239"/>
        <v>0</v>
      </c>
      <c r="LP40" s="290">
        <f t="shared" si="240"/>
        <v>0</v>
      </c>
      <c r="LQ40" s="290">
        <f t="shared" si="241"/>
        <v>0</v>
      </c>
      <c r="LR40" s="290">
        <f t="shared" si="242"/>
        <v>0</v>
      </c>
      <c r="LS40" s="290">
        <f t="shared" si="243"/>
        <v>0</v>
      </c>
      <c r="LT40" s="290">
        <f t="shared" si="244"/>
        <v>0</v>
      </c>
      <c r="LU40" s="290">
        <f t="shared" si="245"/>
        <v>0</v>
      </c>
      <c r="LV40" s="290">
        <f t="shared" si="246"/>
        <v>0</v>
      </c>
      <c r="LW40" s="290">
        <f t="shared" si="247"/>
        <v>0</v>
      </c>
      <c r="LX40" s="290">
        <f t="shared" si="248"/>
        <v>0</v>
      </c>
      <c r="LY40" s="290">
        <f t="shared" si="249"/>
        <v>0</v>
      </c>
      <c r="LZ40" s="290">
        <f t="shared" si="250"/>
        <v>0</v>
      </c>
      <c r="MA40" s="291">
        <f t="shared" si="251"/>
        <v>0</v>
      </c>
      <c r="MB40" s="291">
        <f t="shared" si="252"/>
        <v>0</v>
      </c>
      <c r="MC40" s="291">
        <f t="shared" si="253"/>
        <v>0</v>
      </c>
      <c r="MD40" s="292">
        <f t="shared" si="254"/>
        <v>0</v>
      </c>
      <c r="ME40" s="999">
        <v>27</v>
      </c>
      <c r="MF40" s="286">
        <f t="shared" si="309"/>
        <v>44254</v>
      </c>
      <c r="MG40" s="293">
        <f t="shared" si="33"/>
        <v>44254</v>
      </c>
      <c r="MH40" s="288">
        <f>'दैनिक माहिती'!H351</f>
        <v>0</v>
      </c>
      <c r="MI40" s="289">
        <f>'दैनिक माहिती'!E351</f>
        <v>0</v>
      </c>
      <c r="MJ40" s="289">
        <f>'दैनिक माहिती'!F351</f>
        <v>0</v>
      </c>
      <c r="MK40" s="289">
        <f>'दैनिक माहिती'!G351</f>
        <v>0</v>
      </c>
      <c r="ML40" s="290">
        <f t="shared" si="255"/>
        <v>0</v>
      </c>
      <c r="MM40" s="290">
        <f t="shared" si="256"/>
        <v>0</v>
      </c>
      <c r="MN40" s="290">
        <f t="shared" si="257"/>
        <v>0</v>
      </c>
      <c r="MO40" s="290">
        <f t="shared" si="258"/>
        <v>0</v>
      </c>
      <c r="MP40" s="290">
        <f t="shared" si="259"/>
        <v>0</v>
      </c>
      <c r="MQ40" s="290">
        <f t="shared" si="260"/>
        <v>0</v>
      </c>
      <c r="MR40" s="290">
        <f t="shared" si="261"/>
        <v>0</v>
      </c>
      <c r="MS40" s="290">
        <f t="shared" si="262"/>
        <v>0</v>
      </c>
      <c r="MT40" s="290">
        <f t="shared" si="263"/>
        <v>0</v>
      </c>
      <c r="MU40" s="290">
        <f t="shared" si="264"/>
        <v>0</v>
      </c>
      <c r="MV40" s="290">
        <f t="shared" si="265"/>
        <v>0</v>
      </c>
      <c r="MW40" s="290">
        <f t="shared" si="266"/>
        <v>0</v>
      </c>
      <c r="MX40" s="290">
        <f t="shared" si="267"/>
        <v>0</v>
      </c>
      <c r="MY40" s="290">
        <f t="shared" si="268"/>
        <v>0</v>
      </c>
      <c r="MZ40" s="290">
        <f t="shared" si="269"/>
        <v>0</v>
      </c>
      <c r="NA40" s="290">
        <f t="shared" si="270"/>
        <v>0</v>
      </c>
      <c r="NB40" s="290">
        <f t="shared" si="271"/>
        <v>0</v>
      </c>
      <c r="NC40" s="290">
        <f t="shared" si="272"/>
        <v>0</v>
      </c>
      <c r="ND40" s="291">
        <f t="shared" si="273"/>
        <v>0</v>
      </c>
      <c r="NE40" s="291">
        <f t="shared" si="274"/>
        <v>0</v>
      </c>
      <c r="NF40" s="291">
        <f t="shared" si="275"/>
        <v>0</v>
      </c>
      <c r="NG40" s="292">
        <f t="shared" si="276"/>
        <v>0</v>
      </c>
      <c r="NH40" s="999">
        <v>27</v>
      </c>
      <c r="NI40" s="286">
        <f t="shared" si="310"/>
        <v>44282</v>
      </c>
      <c r="NJ40" s="293">
        <f t="shared" si="34"/>
        <v>44282</v>
      </c>
      <c r="NK40" s="288">
        <f>'दैनिक माहिती'!H381</f>
        <v>0</v>
      </c>
      <c r="NL40" s="289">
        <f>'दैनिक माहिती'!E381</f>
        <v>0</v>
      </c>
      <c r="NM40" s="289">
        <f>'दैनिक माहिती'!F381</f>
        <v>0</v>
      </c>
      <c r="NN40" s="289">
        <f>'दैनिक माहिती'!G381</f>
        <v>0</v>
      </c>
      <c r="NO40" s="290">
        <f t="shared" si="277"/>
        <v>0</v>
      </c>
      <c r="NP40" s="290">
        <f t="shared" si="278"/>
        <v>0</v>
      </c>
      <c r="NQ40" s="290">
        <f t="shared" si="279"/>
        <v>0</v>
      </c>
      <c r="NR40" s="290">
        <f t="shared" si="280"/>
        <v>0</v>
      </c>
      <c r="NS40" s="290">
        <f t="shared" si="281"/>
        <v>0</v>
      </c>
      <c r="NT40" s="290">
        <f t="shared" si="282"/>
        <v>0</v>
      </c>
      <c r="NU40" s="290">
        <f t="shared" si="283"/>
        <v>0</v>
      </c>
      <c r="NV40" s="290">
        <f t="shared" si="284"/>
        <v>0</v>
      </c>
      <c r="NW40" s="290">
        <f t="shared" si="285"/>
        <v>0</v>
      </c>
      <c r="NX40" s="290">
        <f t="shared" si="286"/>
        <v>0</v>
      </c>
      <c r="NY40" s="290">
        <f t="shared" si="287"/>
        <v>0</v>
      </c>
      <c r="NZ40" s="290">
        <f t="shared" si="288"/>
        <v>0</v>
      </c>
      <c r="OA40" s="290">
        <f t="shared" si="289"/>
        <v>0</v>
      </c>
      <c r="OB40" s="290">
        <f t="shared" si="290"/>
        <v>0</v>
      </c>
      <c r="OC40" s="290">
        <f t="shared" si="291"/>
        <v>0</v>
      </c>
      <c r="OD40" s="290">
        <f t="shared" si="292"/>
        <v>0</v>
      </c>
      <c r="OE40" s="290">
        <f t="shared" si="293"/>
        <v>0</v>
      </c>
      <c r="OF40" s="290">
        <f t="shared" si="294"/>
        <v>0</v>
      </c>
      <c r="OG40" s="291">
        <f t="shared" si="295"/>
        <v>0</v>
      </c>
      <c r="OH40" s="291">
        <f t="shared" si="296"/>
        <v>0</v>
      </c>
      <c r="OI40" s="291">
        <f t="shared" si="297"/>
        <v>0</v>
      </c>
      <c r="OJ40" s="292">
        <f t="shared" si="298"/>
        <v>0</v>
      </c>
    </row>
    <row r="41" spans="50:400" ht="29.25" customHeight="1" x14ac:dyDescent="0.3">
      <c r="BA41" s="999">
        <v>28</v>
      </c>
      <c r="BB41" s="286">
        <f t="shared" si="299"/>
        <v>43949</v>
      </c>
      <c r="BC41" s="287">
        <f t="shared" si="23"/>
        <v>43949</v>
      </c>
      <c r="BD41" s="288" t="str">
        <f>'दैनिक माहिती'!H36</f>
        <v>हरभरा</v>
      </c>
      <c r="BE41" s="289">
        <f>'दैनिक माहिती'!E36</f>
        <v>22</v>
      </c>
      <c r="BF41" s="289">
        <f>'दैनिक माहिती'!F36</f>
        <v>22</v>
      </c>
      <c r="BG41" s="289">
        <f>'दैनिक माहिती'!G36</f>
        <v>22</v>
      </c>
      <c r="BH41" s="290">
        <f t="shared" si="35"/>
        <v>2.2000000000000002</v>
      </c>
      <c r="BI41" s="290">
        <f t="shared" si="36"/>
        <v>0</v>
      </c>
      <c r="BJ41" s="290">
        <f t="shared" si="37"/>
        <v>0</v>
      </c>
      <c r="BK41" s="290">
        <f t="shared" si="38"/>
        <v>0</v>
      </c>
      <c r="BL41" s="290">
        <f t="shared" si="39"/>
        <v>0</v>
      </c>
      <c r="BM41" s="290">
        <f t="shared" si="40"/>
        <v>0</v>
      </c>
      <c r="BN41" s="290">
        <f t="shared" si="41"/>
        <v>0</v>
      </c>
      <c r="BO41" s="290">
        <f t="shared" si="42"/>
        <v>0.44</v>
      </c>
      <c r="BP41" s="290">
        <f t="shared" si="43"/>
        <v>0</v>
      </c>
      <c r="BQ41" s="290">
        <f t="shared" si="44"/>
        <v>6.5999999999999991E-3</v>
      </c>
      <c r="BR41" s="290">
        <f t="shared" si="45"/>
        <v>1.0999999999999999E-2</v>
      </c>
      <c r="BS41" s="290">
        <f t="shared" si="46"/>
        <v>6.5999999999999991E-3</v>
      </c>
      <c r="BT41" s="290">
        <f t="shared" si="47"/>
        <v>0</v>
      </c>
      <c r="BU41" s="290">
        <f t="shared" si="48"/>
        <v>0</v>
      </c>
      <c r="BV41" s="290">
        <f t="shared" si="49"/>
        <v>0.11</v>
      </c>
      <c r="BW41" s="290">
        <f t="shared" si="50"/>
        <v>4.3999999999999997E-2</v>
      </c>
      <c r="BX41" s="290">
        <f t="shared" si="51"/>
        <v>2.6399999999999996E-2</v>
      </c>
      <c r="BY41" s="290">
        <f t="shared" si="52"/>
        <v>0</v>
      </c>
      <c r="BZ41" s="291">
        <f t="shared" si="53"/>
        <v>15.84</v>
      </c>
      <c r="CA41" s="291">
        <f t="shared" si="54"/>
        <v>14.08</v>
      </c>
      <c r="CB41" s="291">
        <f t="shared" si="55"/>
        <v>11.66</v>
      </c>
      <c r="CC41" s="292">
        <f t="shared" si="56"/>
        <v>58.96</v>
      </c>
      <c r="CD41" s="999">
        <v>28</v>
      </c>
      <c r="CE41" s="286">
        <f t="shared" si="300"/>
        <v>43979</v>
      </c>
      <c r="CF41" s="287">
        <f t="shared" si="24"/>
        <v>43979</v>
      </c>
      <c r="CG41" s="288">
        <f>'दैनिक माहिती'!H67</f>
        <v>0</v>
      </c>
      <c r="CH41" s="289">
        <f>'दैनिक माहिती'!E67</f>
        <v>0</v>
      </c>
      <c r="CI41" s="289">
        <f>'दैनिक माहिती'!F67</f>
        <v>0</v>
      </c>
      <c r="CJ41" s="289">
        <f>'दैनिक माहिती'!G67</f>
        <v>0</v>
      </c>
      <c r="CK41" s="290">
        <f t="shared" si="57"/>
        <v>0</v>
      </c>
      <c r="CL41" s="290">
        <f t="shared" si="58"/>
        <v>0</v>
      </c>
      <c r="CM41" s="290">
        <f t="shared" si="59"/>
        <v>0</v>
      </c>
      <c r="CN41" s="290">
        <f t="shared" si="60"/>
        <v>0</v>
      </c>
      <c r="CO41" s="290">
        <f t="shared" si="61"/>
        <v>0</v>
      </c>
      <c r="CP41" s="290">
        <f t="shared" si="62"/>
        <v>0</v>
      </c>
      <c r="CQ41" s="290">
        <f t="shared" si="63"/>
        <v>0</v>
      </c>
      <c r="CR41" s="290">
        <f t="shared" si="64"/>
        <v>0</v>
      </c>
      <c r="CS41" s="290">
        <f t="shared" si="65"/>
        <v>0</v>
      </c>
      <c r="CT41" s="290">
        <f t="shared" si="66"/>
        <v>0</v>
      </c>
      <c r="CU41" s="290">
        <f t="shared" si="67"/>
        <v>0</v>
      </c>
      <c r="CV41" s="290">
        <f t="shared" si="68"/>
        <v>0</v>
      </c>
      <c r="CW41" s="290">
        <f t="shared" si="69"/>
        <v>0</v>
      </c>
      <c r="CX41" s="290">
        <f t="shared" si="70"/>
        <v>0</v>
      </c>
      <c r="CY41" s="290">
        <f t="shared" si="71"/>
        <v>0</v>
      </c>
      <c r="CZ41" s="290">
        <f t="shared" si="72"/>
        <v>0</v>
      </c>
      <c r="DA41" s="290">
        <f t="shared" si="73"/>
        <v>0</v>
      </c>
      <c r="DB41" s="290">
        <f t="shared" si="74"/>
        <v>0</v>
      </c>
      <c r="DC41" s="291">
        <f t="shared" si="75"/>
        <v>0</v>
      </c>
      <c r="DD41" s="291">
        <f t="shared" si="76"/>
        <v>0</v>
      </c>
      <c r="DE41" s="291">
        <f t="shared" si="77"/>
        <v>0</v>
      </c>
      <c r="DF41" s="292">
        <f t="shared" si="78"/>
        <v>0</v>
      </c>
      <c r="DG41" s="999">
        <v>28</v>
      </c>
      <c r="DH41" s="286">
        <f t="shared" si="301"/>
        <v>44010</v>
      </c>
      <c r="DI41" s="287">
        <f t="shared" si="25"/>
        <v>44010</v>
      </c>
      <c r="DJ41" s="288" t="str">
        <f>'दैनिक माहिती'!H99</f>
        <v>हरभरा</v>
      </c>
      <c r="DK41" s="289">
        <f>'दैनिक माहिती'!E99</f>
        <v>17</v>
      </c>
      <c r="DL41" s="289">
        <f>'दैनिक माहिती'!F99</f>
        <v>17</v>
      </c>
      <c r="DM41" s="289">
        <f>'दैनिक माहिती'!G99</f>
        <v>17</v>
      </c>
      <c r="DN41" s="290">
        <f t="shared" si="79"/>
        <v>1.7000000000000002</v>
      </c>
      <c r="DO41" s="290">
        <f t="shared" si="80"/>
        <v>0</v>
      </c>
      <c r="DP41" s="290">
        <f t="shared" si="81"/>
        <v>0</v>
      </c>
      <c r="DQ41" s="290">
        <f t="shared" si="82"/>
        <v>0</v>
      </c>
      <c r="DR41" s="290">
        <f t="shared" si="83"/>
        <v>0</v>
      </c>
      <c r="DS41" s="290">
        <f t="shared" si="84"/>
        <v>0</v>
      </c>
      <c r="DT41" s="290">
        <f t="shared" si="85"/>
        <v>0</v>
      </c>
      <c r="DU41" s="290">
        <f t="shared" si="86"/>
        <v>0.34</v>
      </c>
      <c r="DV41" s="290">
        <f t="shared" si="87"/>
        <v>0</v>
      </c>
      <c r="DW41" s="290">
        <f t="shared" si="88"/>
        <v>5.0999999999999995E-3</v>
      </c>
      <c r="DX41" s="290">
        <f t="shared" si="89"/>
        <v>8.5000000000000006E-3</v>
      </c>
      <c r="DY41" s="290">
        <f t="shared" si="90"/>
        <v>5.0999999999999995E-3</v>
      </c>
      <c r="DZ41" s="290">
        <f t="shared" si="91"/>
        <v>0</v>
      </c>
      <c r="EA41" s="290">
        <f t="shared" si="92"/>
        <v>0</v>
      </c>
      <c r="EB41" s="290">
        <f t="shared" si="93"/>
        <v>8.5000000000000006E-2</v>
      </c>
      <c r="EC41" s="290">
        <f t="shared" si="94"/>
        <v>3.4000000000000002E-2</v>
      </c>
      <c r="ED41" s="290">
        <f t="shared" si="95"/>
        <v>2.0399999999999998E-2</v>
      </c>
      <c r="EE41" s="290">
        <f t="shared" si="96"/>
        <v>0</v>
      </c>
      <c r="EF41" s="291">
        <f t="shared" si="97"/>
        <v>12.24</v>
      </c>
      <c r="EG41" s="291">
        <f t="shared" si="98"/>
        <v>10.88</v>
      </c>
      <c r="EH41" s="291">
        <f t="shared" si="99"/>
        <v>9.01</v>
      </c>
      <c r="EI41" s="292">
        <f t="shared" si="100"/>
        <v>45.56</v>
      </c>
      <c r="EJ41" s="999">
        <v>28</v>
      </c>
      <c r="EK41" s="286">
        <f t="shared" si="302"/>
        <v>44040</v>
      </c>
      <c r="EL41" s="287">
        <f t="shared" si="26"/>
        <v>44040</v>
      </c>
      <c r="EM41" s="288" t="str">
        <f>'दैनिक माहिती'!H130</f>
        <v>हरभरा</v>
      </c>
      <c r="EN41" s="289">
        <f>'दैनिक माहिती'!E130</f>
        <v>17</v>
      </c>
      <c r="EO41" s="289">
        <f>'दैनिक माहिती'!F130</f>
        <v>17</v>
      </c>
      <c r="EP41" s="289">
        <f>'दैनिक माहिती'!G130</f>
        <v>17</v>
      </c>
      <c r="EQ41" s="290">
        <f t="shared" si="101"/>
        <v>1.7000000000000002</v>
      </c>
      <c r="ER41" s="290">
        <f t="shared" si="102"/>
        <v>0</v>
      </c>
      <c r="ES41" s="290">
        <f t="shared" si="103"/>
        <v>0</v>
      </c>
      <c r="ET41" s="290">
        <f t="shared" si="104"/>
        <v>0</v>
      </c>
      <c r="EU41" s="290">
        <f t="shared" si="105"/>
        <v>0</v>
      </c>
      <c r="EV41" s="290">
        <f t="shared" si="106"/>
        <v>0</v>
      </c>
      <c r="EW41" s="290">
        <f t="shared" si="107"/>
        <v>0</v>
      </c>
      <c r="EX41" s="290">
        <f t="shared" si="108"/>
        <v>0.34</v>
      </c>
      <c r="EY41" s="290">
        <f t="shared" si="109"/>
        <v>0</v>
      </c>
      <c r="EZ41" s="290">
        <f t="shared" si="110"/>
        <v>5.0999999999999995E-3</v>
      </c>
      <c r="FA41" s="290">
        <f t="shared" si="111"/>
        <v>8.5000000000000006E-3</v>
      </c>
      <c r="FB41" s="290">
        <f t="shared" si="112"/>
        <v>5.0999999999999995E-3</v>
      </c>
      <c r="FC41" s="290">
        <f t="shared" si="113"/>
        <v>0</v>
      </c>
      <c r="FD41" s="290">
        <f t="shared" si="114"/>
        <v>0</v>
      </c>
      <c r="FE41" s="290">
        <f t="shared" si="115"/>
        <v>8.5000000000000006E-2</v>
      </c>
      <c r="FF41" s="290">
        <f t="shared" si="116"/>
        <v>3.4000000000000002E-2</v>
      </c>
      <c r="FG41" s="290">
        <f t="shared" si="117"/>
        <v>2.0399999999999998E-2</v>
      </c>
      <c r="FH41" s="290">
        <f t="shared" si="118"/>
        <v>0</v>
      </c>
      <c r="FI41" s="291">
        <f t="shared" si="119"/>
        <v>12.24</v>
      </c>
      <c r="FJ41" s="291">
        <f t="shared" si="120"/>
        <v>10.88</v>
      </c>
      <c r="FK41" s="291">
        <f t="shared" si="121"/>
        <v>9.01</v>
      </c>
      <c r="FL41" s="292">
        <f t="shared" si="122"/>
        <v>45.56</v>
      </c>
      <c r="FM41" s="999">
        <v>28</v>
      </c>
      <c r="FN41" s="286">
        <f t="shared" si="303"/>
        <v>44071</v>
      </c>
      <c r="FO41" s="287">
        <f t="shared" si="27"/>
        <v>44071</v>
      </c>
      <c r="FP41" s="288">
        <f>'दैनिक माहिती'!H162</f>
        <v>0</v>
      </c>
      <c r="FQ41" s="289">
        <f>'दैनिक माहिती'!E162</f>
        <v>0</v>
      </c>
      <c r="FR41" s="289">
        <f>'दैनिक माहिती'!F162</f>
        <v>0</v>
      </c>
      <c r="FS41" s="289">
        <f>'दैनिक माहिती'!G162</f>
        <v>0</v>
      </c>
      <c r="FT41" s="290">
        <f t="shared" si="123"/>
        <v>0</v>
      </c>
      <c r="FU41" s="290">
        <f t="shared" si="124"/>
        <v>0</v>
      </c>
      <c r="FV41" s="290">
        <f t="shared" si="125"/>
        <v>0</v>
      </c>
      <c r="FW41" s="290">
        <f t="shared" si="126"/>
        <v>0</v>
      </c>
      <c r="FX41" s="290">
        <f t="shared" si="127"/>
        <v>0</v>
      </c>
      <c r="FY41" s="290">
        <f t="shared" si="128"/>
        <v>0</v>
      </c>
      <c r="FZ41" s="290">
        <f t="shared" si="129"/>
        <v>0</v>
      </c>
      <c r="GA41" s="290">
        <f t="shared" si="130"/>
        <v>0</v>
      </c>
      <c r="GB41" s="290">
        <f t="shared" si="131"/>
        <v>0</v>
      </c>
      <c r="GC41" s="290">
        <f t="shared" si="132"/>
        <v>0</v>
      </c>
      <c r="GD41" s="290">
        <f t="shared" si="133"/>
        <v>0</v>
      </c>
      <c r="GE41" s="290">
        <f t="shared" si="134"/>
        <v>0</v>
      </c>
      <c r="GF41" s="290">
        <f t="shared" si="135"/>
        <v>0</v>
      </c>
      <c r="GG41" s="290">
        <f t="shared" si="136"/>
        <v>0</v>
      </c>
      <c r="GH41" s="290">
        <f t="shared" si="137"/>
        <v>0</v>
      </c>
      <c r="GI41" s="290">
        <f t="shared" si="138"/>
        <v>0</v>
      </c>
      <c r="GJ41" s="290">
        <f t="shared" si="139"/>
        <v>0</v>
      </c>
      <c r="GK41" s="290">
        <f t="shared" si="140"/>
        <v>0</v>
      </c>
      <c r="GL41" s="291">
        <f t="shared" si="141"/>
        <v>0</v>
      </c>
      <c r="GM41" s="291">
        <f t="shared" si="142"/>
        <v>0</v>
      </c>
      <c r="GN41" s="291">
        <f t="shared" si="143"/>
        <v>0</v>
      </c>
      <c r="GO41" s="292">
        <f t="shared" si="144"/>
        <v>0</v>
      </c>
      <c r="GP41" s="999">
        <v>28</v>
      </c>
      <c r="GQ41" s="286">
        <f t="shared" si="304"/>
        <v>44102</v>
      </c>
      <c r="GR41" s="287">
        <f t="shared" si="28"/>
        <v>44102</v>
      </c>
      <c r="GS41" s="288" t="str">
        <f>'दैनिक माहिती'!H194</f>
        <v>वाटाणा</v>
      </c>
      <c r="GT41" s="289">
        <f>'दैनिक माहिती'!E194</f>
        <v>22</v>
      </c>
      <c r="GU41" s="289">
        <f>'दैनिक माहिती'!F194</f>
        <v>22</v>
      </c>
      <c r="GV41" s="289">
        <f>'दैनिक माहिती'!G194</f>
        <v>22</v>
      </c>
      <c r="GW41" s="290">
        <f t="shared" si="145"/>
        <v>2.2000000000000002</v>
      </c>
      <c r="GX41" s="290">
        <f t="shared" si="146"/>
        <v>0</v>
      </c>
      <c r="GY41" s="290">
        <f t="shared" si="147"/>
        <v>0</v>
      </c>
      <c r="GZ41" s="290">
        <f t="shared" si="148"/>
        <v>0</v>
      </c>
      <c r="HA41" s="290">
        <f t="shared" si="149"/>
        <v>0</v>
      </c>
      <c r="HB41" s="290">
        <f t="shared" si="150"/>
        <v>0</v>
      </c>
      <c r="HC41" s="290">
        <f t="shared" si="151"/>
        <v>0</v>
      </c>
      <c r="HD41" s="290">
        <f t="shared" si="152"/>
        <v>0</v>
      </c>
      <c r="HE41" s="290">
        <f t="shared" si="153"/>
        <v>0.44</v>
      </c>
      <c r="HF41" s="290">
        <f t="shared" si="154"/>
        <v>6.5999999999999991E-3</v>
      </c>
      <c r="HG41" s="290">
        <f t="shared" si="155"/>
        <v>1.0999999999999999E-2</v>
      </c>
      <c r="HH41" s="290">
        <f t="shared" si="156"/>
        <v>6.5999999999999991E-3</v>
      </c>
      <c r="HI41" s="290">
        <f t="shared" si="157"/>
        <v>0</v>
      </c>
      <c r="HJ41" s="290">
        <f t="shared" si="158"/>
        <v>0</v>
      </c>
      <c r="HK41" s="290">
        <f t="shared" si="159"/>
        <v>0.11</v>
      </c>
      <c r="HL41" s="290">
        <f t="shared" si="160"/>
        <v>4.3999999999999997E-2</v>
      </c>
      <c r="HM41" s="290">
        <f t="shared" si="161"/>
        <v>2.6399999999999996E-2</v>
      </c>
      <c r="HN41" s="290">
        <f t="shared" si="162"/>
        <v>0</v>
      </c>
      <c r="HO41" s="291">
        <f t="shared" si="163"/>
        <v>15.84</v>
      </c>
      <c r="HP41" s="291">
        <f t="shared" si="164"/>
        <v>14.08</v>
      </c>
      <c r="HQ41" s="291">
        <f t="shared" si="165"/>
        <v>11.66</v>
      </c>
      <c r="HR41" s="292">
        <f t="shared" si="166"/>
        <v>58.96</v>
      </c>
      <c r="HS41" s="999">
        <v>28</v>
      </c>
      <c r="HT41" s="286">
        <f t="shared" si="305"/>
        <v>44132</v>
      </c>
      <c r="HU41" s="287">
        <f t="shared" si="29"/>
        <v>44132</v>
      </c>
      <c r="HV41" s="288">
        <f>'दैनिक माहिती'!H225</f>
        <v>0</v>
      </c>
      <c r="HW41" s="289">
        <f>'दैनिक माहिती'!E225</f>
        <v>0</v>
      </c>
      <c r="HX41" s="289">
        <f>'दैनिक माहिती'!F225</f>
        <v>0</v>
      </c>
      <c r="HY41" s="289">
        <f>'दैनिक माहिती'!G225</f>
        <v>0</v>
      </c>
      <c r="HZ41" s="290">
        <f t="shared" si="167"/>
        <v>0</v>
      </c>
      <c r="IA41" s="290">
        <f t="shared" si="168"/>
        <v>0</v>
      </c>
      <c r="IB41" s="290">
        <f t="shared" si="169"/>
        <v>0</v>
      </c>
      <c r="IC41" s="290">
        <f t="shared" si="170"/>
        <v>0</v>
      </c>
      <c r="ID41" s="290">
        <f t="shared" si="171"/>
        <v>0</v>
      </c>
      <c r="IE41" s="290">
        <f t="shared" si="172"/>
        <v>0</v>
      </c>
      <c r="IF41" s="290">
        <f t="shared" si="173"/>
        <v>0</v>
      </c>
      <c r="IG41" s="290">
        <f t="shared" si="174"/>
        <v>0</v>
      </c>
      <c r="IH41" s="290">
        <f t="shared" si="175"/>
        <v>0</v>
      </c>
      <c r="II41" s="290">
        <f t="shared" si="176"/>
        <v>0</v>
      </c>
      <c r="IJ41" s="290">
        <f t="shared" si="177"/>
        <v>0</v>
      </c>
      <c r="IK41" s="290">
        <f t="shared" si="178"/>
        <v>0</v>
      </c>
      <c r="IL41" s="290">
        <f t="shared" si="179"/>
        <v>0</v>
      </c>
      <c r="IM41" s="290">
        <f t="shared" si="180"/>
        <v>0</v>
      </c>
      <c r="IN41" s="290">
        <f t="shared" si="181"/>
        <v>0</v>
      </c>
      <c r="IO41" s="290">
        <f t="shared" si="182"/>
        <v>0</v>
      </c>
      <c r="IP41" s="290">
        <f t="shared" si="183"/>
        <v>0</v>
      </c>
      <c r="IQ41" s="290">
        <f t="shared" si="184"/>
        <v>0</v>
      </c>
      <c r="IR41" s="291">
        <f t="shared" si="185"/>
        <v>0</v>
      </c>
      <c r="IS41" s="291">
        <f t="shared" si="186"/>
        <v>0</v>
      </c>
      <c r="IT41" s="291">
        <f t="shared" si="187"/>
        <v>0</v>
      </c>
      <c r="IU41" s="292">
        <f t="shared" si="188"/>
        <v>0</v>
      </c>
      <c r="IV41" s="999">
        <v>28</v>
      </c>
      <c r="IW41" s="286">
        <f t="shared" si="306"/>
        <v>44163</v>
      </c>
      <c r="IX41" s="287">
        <f t="shared" si="30"/>
        <v>44163</v>
      </c>
      <c r="IY41" s="288" t="str">
        <f>'दैनिक माहिती'!H257</f>
        <v>मुगडाळ</v>
      </c>
      <c r="IZ41" s="289">
        <f>'दैनिक माहिती'!E257</f>
        <v>22</v>
      </c>
      <c r="JA41" s="289">
        <f>'दैनिक माहिती'!F257</f>
        <v>22</v>
      </c>
      <c r="JB41" s="289">
        <f>'दैनिक माहिती'!G257</f>
        <v>22</v>
      </c>
      <c r="JC41" s="290">
        <f t="shared" si="189"/>
        <v>2.2000000000000002</v>
      </c>
      <c r="JD41" s="290">
        <f t="shared" si="190"/>
        <v>0.44</v>
      </c>
      <c r="JE41" s="290">
        <f t="shared" si="191"/>
        <v>0</v>
      </c>
      <c r="JF41" s="290">
        <f t="shared" si="192"/>
        <v>0</v>
      </c>
      <c r="JG41" s="290">
        <f t="shared" si="193"/>
        <v>0</v>
      </c>
      <c r="JH41" s="290">
        <f t="shared" si="194"/>
        <v>0</v>
      </c>
      <c r="JI41" s="290">
        <f t="shared" si="195"/>
        <v>0</v>
      </c>
      <c r="JJ41" s="290">
        <f t="shared" si="196"/>
        <v>0</v>
      </c>
      <c r="JK41" s="290">
        <f t="shared" si="197"/>
        <v>0</v>
      </c>
      <c r="JL41" s="290">
        <f t="shared" si="198"/>
        <v>6.5999999999999991E-3</v>
      </c>
      <c r="JM41" s="290">
        <f t="shared" si="199"/>
        <v>1.0999999999999999E-2</v>
      </c>
      <c r="JN41" s="290">
        <f t="shared" si="200"/>
        <v>6.5999999999999991E-3</v>
      </c>
      <c r="JO41" s="290">
        <f t="shared" si="201"/>
        <v>0</v>
      </c>
      <c r="JP41" s="290">
        <f t="shared" si="202"/>
        <v>0</v>
      </c>
      <c r="JQ41" s="290">
        <f t="shared" si="203"/>
        <v>0.11</v>
      </c>
      <c r="JR41" s="290">
        <f t="shared" si="204"/>
        <v>4.3999999999999997E-2</v>
      </c>
      <c r="JS41" s="290">
        <f t="shared" si="205"/>
        <v>2.6399999999999996E-2</v>
      </c>
      <c r="JT41" s="290">
        <f t="shared" si="206"/>
        <v>0</v>
      </c>
      <c r="JU41" s="291">
        <f t="shared" si="207"/>
        <v>15.62</v>
      </c>
      <c r="JV41" s="291">
        <f t="shared" si="208"/>
        <v>17.380000000000003</v>
      </c>
      <c r="JW41" s="291">
        <f t="shared" si="209"/>
        <v>12.76</v>
      </c>
      <c r="JX41" s="292">
        <f t="shared" si="210"/>
        <v>63.14</v>
      </c>
      <c r="JY41" s="999">
        <v>28</v>
      </c>
      <c r="JZ41" s="286">
        <f t="shared" si="307"/>
        <v>44193</v>
      </c>
      <c r="KA41" s="287">
        <f t="shared" si="31"/>
        <v>44193</v>
      </c>
      <c r="KB41" s="288" t="str">
        <f>'दैनिक माहिती'!H288</f>
        <v>वाटाणा</v>
      </c>
      <c r="KC41" s="289">
        <f>'दैनिक माहिती'!E288</f>
        <v>21</v>
      </c>
      <c r="KD41" s="289">
        <f>'दैनिक माहिती'!F288</f>
        <v>21</v>
      </c>
      <c r="KE41" s="289">
        <f>'दैनिक माहिती'!G288</f>
        <v>21</v>
      </c>
      <c r="KF41" s="290">
        <f t="shared" si="211"/>
        <v>2.1</v>
      </c>
      <c r="KG41" s="290">
        <f t="shared" si="212"/>
        <v>0</v>
      </c>
      <c r="KH41" s="290">
        <f t="shared" si="213"/>
        <v>0</v>
      </c>
      <c r="KI41" s="290">
        <f t="shared" si="214"/>
        <v>0</v>
      </c>
      <c r="KJ41" s="290">
        <f t="shared" si="215"/>
        <v>0</v>
      </c>
      <c r="KK41" s="290">
        <f t="shared" si="216"/>
        <v>0</v>
      </c>
      <c r="KL41" s="290">
        <f t="shared" si="217"/>
        <v>0</v>
      </c>
      <c r="KM41" s="290">
        <f t="shared" si="218"/>
        <v>0</v>
      </c>
      <c r="KN41" s="290">
        <f t="shared" si="219"/>
        <v>0.42</v>
      </c>
      <c r="KO41" s="290">
        <f t="shared" si="220"/>
        <v>6.2999999999999992E-3</v>
      </c>
      <c r="KP41" s="290">
        <f t="shared" si="221"/>
        <v>1.0500000000000001E-2</v>
      </c>
      <c r="KQ41" s="290">
        <f t="shared" si="222"/>
        <v>6.2999999999999992E-3</v>
      </c>
      <c r="KR41" s="290">
        <f t="shared" si="223"/>
        <v>0</v>
      </c>
      <c r="KS41" s="290">
        <f t="shared" si="224"/>
        <v>0</v>
      </c>
      <c r="KT41" s="290">
        <f t="shared" si="225"/>
        <v>0.105</v>
      </c>
      <c r="KU41" s="290">
        <f t="shared" si="226"/>
        <v>4.2000000000000003E-2</v>
      </c>
      <c r="KV41" s="290">
        <f t="shared" si="227"/>
        <v>2.5199999999999997E-2</v>
      </c>
      <c r="KW41" s="290">
        <f t="shared" si="228"/>
        <v>0</v>
      </c>
      <c r="KX41" s="291">
        <f t="shared" si="229"/>
        <v>14.91</v>
      </c>
      <c r="KY41" s="291">
        <f t="shared" si="230"/>
        <v>16.59</v>
      </c>
      <c r="KZ41" s="291">
        <f t="shared" si="231"/>
        <v>12.18</v>
      </c>
      <c r="LA41" s="292">
        <f t="shared" si="232"/>
        <v>60.27</v>
      </c>
      <c r="LB41" s="999">
        <v>28</v>
      </c>
      <c r="LC41" s="286">
        <f t="shared" si="308"/>
        <v>44224</v>
      </c>
      <c r="LD41" s="287">
        <f t="shared" si="32"/>
        <v>44224</v>
      </c>
      <c r="LE41" s="288">
        <f>'दैनिक माहिती'!H320</f>
        <v>0</v>
      </c>
      <c r="LF41" s="289">
        <f>'दैनिक माहिती'!E320</f>
        <v>0</v>
      </c>
      <c r="LG41" s="289">
        <f>'दैनिक माहिती'!F320</f>
        <v>0</v>
      </c>
      <c r="LH41" s="289">
        <f>'दैनिक माहिती'!G320</f>
        <v>0</v>
      </c>
      <c r="LI41" s="290">
        <f t="shared" si="233"/>
        <v>0</v>
      </c>
      <c r="LJ41" s="290">
        <f t="shared" si="234"/>
        <v>0</v>
      </c>
      <c r="LK41" s="290">
        <f t="shared" si="235"/>
        <v>0</v>
      </c>
      <c r="LL41" s="290">
        <f t="shared" si="236"/>
        <v>0</v>
      </c>
      <c r="LM41" s="290">
        <f t="shared" si="237"/>
        <v>0</v>
      </c>
      <c r="LN41" s="290">
        <f t="shared" si="238"/>
        <v>0</v>
      </c>
      <c r="LO41" s="290">
        <f t="shared" si="239"/>
        <v>0</v>
      </c>
      <c r="LP41" s="290">
        <f t="shared" si="240"/>
        <v>0</v>
      </c>
      <c r="LQ41" s="290">
        <f t="shared" si="241"/>
        <v>0</v>
      </c>
      <c r="LR41" s="290">
        <f t="shared" si="242"/>
        <v>0</v>
      </c>
      <c r="LS41" s="290">
        <f t="shared" si="243"/>
        <v>0</v>
      </c>
      <c r="LT41" s="290">
        <f t="shared" si="244"/>
        <v>0</v>
      </c>
      <c r="LU41" s="290">
        <f t="shared" si="245"/>
        <v>0</v>
      </c>
      <c r="LV41" s="290">
        <f t="shared" si="246"/>
        <v>0</v>
      </c>
      <c r="LW41" s="290">
        <f t="shared" si="247"/>
        <v>0</v>
      </c>
      <c r="LX41" s="290">
        <f t="shared" si="248"/>
        <v>0</v>
      </c>
      <c r="LY41" s="290">
        <f t="shared" si="249"/>
        <v>0</v>
      </c>
      <c r="LZ41" s="290">
        <f t="shared" si="250"/>
        <v>0</v>
      </c>
      <c r="MA41" s="291">
        <f t="shared" si="251"/>
        <v>0</v>
      </c>
      <c r="MB41" s="291">
        <f t="shared" si="252"/>
        <v>0</v>
      </c>
      <c r="MC41" s="291">
        <f t="shared" si="253"/>
        <v>0</v>
      </c>
      <c r="MD41" s="292">
        <f t="shared" si="254"/>
        <v>0</v>
      </c>
      <c r="ME41" s="999">
        <v>28</v>
      </c>
      <c r="MF41" s="286">
        <f t="shared" si="309"/>
        <v>44255</v>
      </c>
      <c r="MG41" s="287">
        <f t="shared" si="33"/>
        <v>44255</v>
      </c>
      <c r="MH41" s="288">
        <f>'दैनिक माहिती'!H352</f>
        <v>0</v>
      </c>
      <c r="MI41" s="289">
        <f>'दैनिक माहिती'!E352</f>
        <v>0</v>
      </c>
      <c r="MJ41" s="289">
        <f>'दैनिक माहिती'!F352</f>
        <v>0</v>
      </c>
      <c r="MK41" s="289">
        <f>'दैनिक माहिती'!G352</f>
        <v>0</v>
      </c>
      <c r="ML41" s="290">
        <f t="shared" si="255"/>
        <v>0</v>
      </c>
      <c r="MM41" s="290">
        <f t="shared" si="256"/>
        <v>0</v>
      </c>
      <c r="MN41" s="290">
        <f t="shared" si="257"/>
        <v>0</v>
      </c>
      <c r="MO41" s="290">
        <f t="shared" si="258"/>
        <v>0</v>
      </c>
      <c r="MP41" s="290">
        <f t="shared" si="259"/>
        <v>0</v>
      </c>
      <c r="MQ41" s="290">
        <f t="shared" si="260"/>
        <v>0</v>
      </c>
      <c r="MR41" s="290">
        <f t="shared" si="261"/>
        <v>0</v>
      </c>
      <c r="MS41" s="290">
        <f t="shared" si="262"/>
        <v>0</v>
      </c>
      <c r="MT41" s="290">
        <f t="shared" si="263"/>
        <v>0</v>
      </c>
      <c r="MU41" s="290">
        <f t="shared" si="264"/>
        <v>0</v>
      </c>
      <c r="MV41" s="290">
        <f t="shared" si="265"/>
        <v>0</v>
      </c>
      <c r="MW41" s="290">
        <f t="shared" si="266"/>
        <v>0</v>
      </c>
      <c r="MX41" s="290">
        <f t="shared" si="267"/>
        <v>0</v>
      </c>
      <c r="MY41" s="290">
        <f t="shared" si="268"/>
        <v>0</v>
      </c>
      <c r="MZ41" s="290">
        <f t="shared" si="269"/>
        <v>0</v>
      </c>
      <c r="NA41" s="290">
        <f t="shared" si="270"/>
        <v>0</v>
      </c>
      <c r="NB41" s="290">
        <f t="shared" si="271"/>
        <v>0</v>
      </c>
      <c r="NC41" s="290">
        <f t="shared" si="272"/>
        <v>0</v>
      </c>
      <c r="ND41" s="291">
        <f t="shared" si="273"/>
        <v>0</v>
      </c>
      <c r="NE41" s="291">
        <f t="shared" si="274"/>
        <v>0</v>
      </c>
      <c r="NF41" s="291">
        <f t="shared" si="275"/>
        <v>0</v>
      </c>
      <c r="NG41" s="292">
        <f t="shared" si="276"/>
        <v>0</v>
      </c>
      <c r="NH41" s="999">
        <v>28</v>
      </c>
      <c r="NI41" s="286">
        <f t="shared" si="310"/>
        <v>44283</v>
      </c>
      <c r="NJ41" s="287">
        <f t="shared" si="34"/>
        <v>44283</v>
      </c>
      <c r="NK41" s="288">
        <f>'दैनिक माहिती'!H382</f>
        <v>0</v>
      </c>
      <c r="NL41" s="289">
        <f>'दैनिक माहिती'!E382</f>
        <v>0</v>
      </c>
      <c r="NM41" s="289">
        <f>'दैनिक माहिती'!F382</f>
        <v>0</v>
      </c>
      <c r="NN41" s="289">
        <f>'दैनिक माहिती'!G382</f>
        <v>0</v>
      </c>
      <c r="NO41" s="290">
        <f t="shared" si="277"/>
        <v>0</v>
      </c>
      <c r="NP41" s="290">
        <f t="shared" si="278"/>
        <v>0</v>
      </c>
      <c r="NQ41" s="290">
        <f t="shared" si="279"/>
        <v>0</v>
      </c>
      <c r="NR41" s="290">
        <f t="shared" si="280"/>
        <v>0</v>
      </c>
      <c r="NS41" s="290">
        <f t="shared" si="281"/>
        <v>0</v>
      </c>
      <c r="NT41" s="290">
        <f t="shared" si="282"/>
        <v>0</v>
      </c>
      <c r="NU41" s="290">
        <f t="shared" si="283"/>
        <v>0</v>
      </c>
      <c r="NV41" s="290">
        <f t="shared" si="284"/>
        <v>0</v>
      </c>
      <c r="NW41" s="290">
        <f t="shared" si="285"/>
        <v>0</v>
      </c>
      <c r="NX41" s="290">
        <f t="shared" si="286"/>
        <v>0</v>
      </c>
      <c r="NY41" s="290">
        <f t="shared" si="287"/>
        <v>0</v>
      </c>
      <c r="NZ41" s="290">
        <f t="shared" si="288"/>
        <v>0</v>
      </c>
      <c r="OA41" s="290">
        <f t="shared" si="289"/>
        <v>0</v>
      </c>
      <c r="OB41" s="290">
        <f t="shared" si="290"/>
        <v>0</v>
      </c>
      <c r="OC41" s="290">
        <f t="shared" si="291"/>
        <v>0</v>
      </c>
      <c r="OD41" s="290">
        <f t="shared" si="292"/>
        <v>0</v>
      </c>
      <c r="OE41" s="290">
        <f t="shared" si="293"/>
        <v>0</v>
      </c>
      <c r="OF41" s="290">
        <f t="shared" si="294"/>
        <v>0</v>
      </c>
      <c r="OG41" s="291">
        <f t="shared" si="295"/>
        <v>0</v>
      </c>
      <c r="OH41" s="291">
        <f t="shared" si="296"/>
        <v>0</v>
      </c>
      <c r="OI41" s="291">
        <f t="shared" si="297"/>
        <v>0</v>
      </c>
      <c r="OJ41" s="292">
        <f t="shared" si="298"/>
        <v>0</v>
      </c>
    </row>
    <row r="42" spans="50:400" ht="29.25" customHeight="1" x14ac:dyDescent="0.3">
      <c r="BA42" s="999">
        <v>29</v>
      </c>
      <c r="BB42" s="286">
        <f t="shared" si="299"/>
        <v>43950</v>
      </c>
      <c r="BC42" s="293">
        <f t="shared" si="23"/>
        <v>43950</v>
      </c>
      <c r="BD42" s="288" t="str">
        <f>'दैनिक माहिती'!H37</f>
        <v>वाटाणा</v>
      </c>
      <c r="BE42" s="289">
        <f>'दैनिक माहिती'!E37</f>
        <v>22</v>
      </c>
      <c r="BF42" s="289">
        <f>'दैनिक माहिती'!F37</f>
        <v>22</v>
      </c>
      <c r="BG42" s="289">
        <f>'दैनिक माहिती'!G37</f>
        <v>22</v>
      </c>
      <c r="BH42" s="290">
        <f t="shared" si="35"/>
        <v>2.2000000000000002</v>
      </c>
      <c r="BI42" s="290">
        <f t="shared" si="36"/>
        <v>0</v>
      </c>
      <c r="BJ42" s="290">
        <f t="shared" si="37"/>
        <v>0</v>
      </c>
      <c r="BK42" s="290">
        <f t="shared" si="38"/>
        <v>0</v>
      </c>
      <c r="BL42" s="290">
        <f t="shared" si="39"/>
        <v>0</v>
      </c>
      <c r="BM42" s="290">
        <f t="shared" si="40"/>
        <v>0</v>
      </c>
      <c r="BN42" s="290">
        <f t="shared" si="41"/>
        <v>0</v>
      </c>
      <c r="BO42" s="290">
        <f t="shared" si="42"/>
        <v>0</v>
      </c>
      <c r="BP42" s="290">
        <f t="shared" si="43"/>
        <v>0.44</v>
      </c>
      <c r="BQ42" s="290">
        <f t="shared" si="44"/>
        <v>6.5999999999999991E-3</v>
      </c>
      <c r="BR42" s="290">
        <f t="shared" si="45"/>
        <v>1.0999999999999999E-2</v>
      </c>
      <c r="BS42" s="290">
        <f t="shared" si="46"/>
        <v>6.5999999999999991E-3</v>
      </c>
      <c r="BT42" s="290">
        <f t="shared" si="47"/>
        <v>0</v>
      </c>
      <c r="BU42" s="290">
        <f t="shared" si="48"/>
        <v>0</v>
      </c>
      <c r="BV42" s="290">
        <f t="shared" si="49"/>
        <v>0.11</v>
      </c>
      <c r="BW42" s="290">
        <f t="shared" si="50"/>
        <v>4.3999999999999997E-2</v>
      </c>
      <c r="BX42" s="290">
        <f t="shared" si="51"/>
        <v>2.6399999999999996E-2</v>
      </c>
      <c r="BY42" s="290">
        <f t="shared" si="52"/>
        <v>0</v>
      </c>
      <c r="BZ42" s="291">
        <f t="shared" si="53"/>
        <v>15.84</v>
      </c>
      <c r="CA42" s="291">
        <f t="shared" si="54"/>
        <v>14.08</v>
      </c>
      <c r="CB42" s="291">
        <f t="shared" si="55"/>
        <v>11.66</v>
      </c>
      <c r="CC42" s="292">
        <f t="shared" si="56"/>
        <v>58.96</v>
      </c>
      <c r="CD42" s="999">
        <v>29</v>
      </c>
      <c r="CE42" s="286">
        <f t="shared" si="300"/>
        <v>43980</v>
      </c>
      <c r="CF42" s="293">
        <f t="shared" si="24"/>
        <v>43980</v>
      </c>
      <c r="CG42" s="288">
        <f>'दैनिक माहिती'!H68</f>
        <v>0</v>
      </c>
      <c r="CH42" s="289">
        <f>'दैनिक माहिती'!E68</f>
        <v>0</v>
      </c>
      <c r="CI42" s="289">
        <f>'दैनिक माहिती'!F68</f>
        <v>0</v>
      </c>
      <c r="CJ42" s="289">
        <f>'दैनिक माहिती'!G68</f>
        <v>0</v>
      </c>
      <c r="CK42" s="290">
        <f t="shared" si="57"/>
        <v>0</v>
      </c>
      <c r="CL42" s="290">
        <f t="shared" si="58"/>
        <v>0</v>
      </c>
      <c r="CM42" s="290">
        <f t="shared" si="59"/>
        <v>0</v>
      </c>
      <c r="CN42" s="290">
        <f t="shared" si="60"/>
        <v>0</v>
      </c>
      <c r="CO42" s="290">
        <f t="shared" si="61"/>
        <v>0</v>
      </c>
      <c r="CP42" s="290">
        <f t="shared" si="62"/>
        <v>0</v>
      </c>
      <c r="CQ42" s="290">
        <f t="shared" si="63"/>
        <v>0</v>
      </c>
      <c r="CR42" s="290">
        <f t="shared" si="64"/>
        <v>0</v>
      </c>
      <c r="CS42" s="290">
        <f t="shared" si="65"/>
        <v>0</v>
      </c>
      <c r="CT42" s="290">
        <f t="shared" si="66"/>
        <v>0</v>
      </c>
      <c r="CU42" s="290">
        <f t="shared" si="67"/>
        <v>0</v>
      </c>
      <c r="CV42" s="290">
        <f t="shared" si="68"/>
        <v>0</v>
      </c>
      <c r="CW42" s="290">
        <f t="shared" si="69"/>
        <v>0</v>
      </c>
      <c r="CX42" s="290">
        <f t="shared" si="70"/>
        <v>0</v>
      </c>
      <c r="CY42" s="290">
        <f t="shared" si="71"/>
        <v>0</v>
      </c>
      <c r="CZ42" s="290">
        <f t="shared" si="72"/>
        <v>0</v>
      </c>
      <c r="DA42" s="290">
        <f t="shared" si="73"/>
        <v>0</v>
      </c>
      <c r="DB42" s="290">
        <f t="shared" si="74"/>
        <v>0</v>
      </c>
      <c r="DC42" s="291">
        <f t="shared" si="75"/>
        <v>0</v>
      </c>
      <c r="DD42" s="291">
        <f t="shared" si="76"/>
        <v>0</v>
      </c>
      <c r="DE42" s="291">
        <f t="shared" si="77"/>
        <v>0</v>
      </c>
      <c r="DF42" s="292">
        <f t="shared" si="78"/>
        <v>0</v>
      </c>
      <c r="DG42" s="999">
        <v>29</v>
      </c>
      <c r="DH42" s="286">
        <f t="shared" si="301"/>
        <v>44011</v>
      </c>
      <c r="DI42" s="293">
        <f t="shared" si="25"/>
        <v>44011</v>
      </c>
      <c r="DJ42" s="288" t="str">
        <f>'दैनिक माहिती'!H100</f>
        <v>वाटाणा</v>
      </c>
      <c r="DK42" s="289">
        <f>'दैनिक माहिती'!E100</f>
        <v>17</v>
      </c>
      <c r="DL42" s="289">
        <f>'दैनिक माहिती'!F100</f>
        <v>17</v>
      </c>
      <c r="DM42" s="289">
        <f>'दैनिक माहिती'!G100</f>
        <v>17</v>
      </c>
      <c r="DN42" s="290">
        <f t="shared" si="79"/>
        <v>1.7000000000000002</v>
      </c>
      <c r="DO42" s="290">
        <f t="shared" si="80"/>
        <v>0</v>
      </c>
      <c r="DP42" s="290">
        <f t="shared" si="81"/>
        <v>0</v>
      </c>
      <c r="DQ42" s="290">
        <f t="shared" si="82"/>
        <v>0</v>
      </c>
      <c r="DR42" s="290">
        <f t="shared" si="83"/>
        <v>0</v>
      </c>
      <c r="DS42" s="290">
        <f t="shared" si="84"/>
        <v>0</v>
      </c>
      <c r="DT42" s="290">
        <f t="shared" si="85"/>
        <v>0</v>
      </c>
      <c r="DU42" s="290">
        <f t="shared" si="86"/>
        <v>0</v>
      </c>
      <c r="DV42" s="290">
        <f t="shared" si="87"/>
        <v>0.34</v>
      </c>
      <c r="DW42" s="290">
        <f t="shared" si="88"/>
        <v>5.0999999999999995E-3</v>
      </c>
      <c r="DX42" s="290">
        <f t="shared" si="89"/>
        <v>8.5000000000000006E-3</v>
      </c>
      <c r="DY42" s="290">
        <f t="shared" si="90"/>
        <v>5.0999999999999995E-3</v>
      </c>
      <c r="DZ42" s="290">
        <f t="shared" si="91"/>
        <v>0</v>
      </c>
      <c r="EA42" s="290">
        <f t="shared" si="92"/>
        <v>0</v>
      </c>
      <c r="EB42" s="290">
        <f t="shared" si="93"/>
        <v>8.5000000000000006E-2</v>
      </c>
      <c r="EC42" s="290">
        <f t="shared" si="94"/>
        <v>3.4000000000000002E-2</v>
      </c>
      <c r="ED42" s="290">
        <f t="shared" si="95"/>
        <v>2.0399999999999998E-2</v>
      </c>
      <c r="EE42" s="290">
        <f t="shared" si="96"/>
        <v>0</v>
      </c>
      <c r="EF42" s="291">
        <f t="shared" si="97"/>
        <v>12.24</v>
      </c>
      <c r="EG42" s="291">
        <f t="shared" si="98"/>
        <v>10.88</v>
      </c>
      <c r="EH42" s="291">
        <f t="shared" si="99"/>
        <v>9.01</v>
      </c>
      <c r="EI42" s="292">
        <f t="shared" si="100"/>
        <v>45.56</v>
      </c>
      <c r="EJ42" s="999">
        <v>29</v>
      </c>
      <c r="EK42" s="286">
        <f t="shared" si="302"/>
        <v>44041</v>
      </c>
      <c r="EL42" s="293">
        <f t="shared" si="26"/>
        <v>44041</v>
      </c>
      <c r="EM42" s="288" t="str">
        <f>'दैनिक माहिती'!H131</f>
        <v>वाटाणा</v>
      </c>
      <c r="EN42" s="289">
        <f>'दैनिक माहिती'!E131</f>
        <v>17</v>
      </c>
      <c r="EO42" s="289">
        <f>'दैनिक माहिती'!F131</f>
        <v>17</v>
      </c>
      <c r="EP42" s="289">
        <f>'दैनिक माहिती'!G131</f>
        <v>17</v>
      </c>
      <c r="EQ42" s="290">
        <f t="shared" si="101"/>
        <v>1.7000000000000002</v>
      </c>
      <c r="ER42" s="290">
        <f t="shared" si="102"/>
        <v>0</v>
      </c>
      <c r="ES42" s="290">
        <f t="shared" si="103"/>
        <v>0</v>
      </c>
      <c r="ET42" s="290">
        <f t="shared" si="104"/>
        <v>0</v>
      </c>
      <c r="EU42" s="290">
        <f t="shared" si="105"/>
        <v>0</v>
      </c>
      <c r="EV42" s="290">
        <f t="shared" si="106"/>
        <v>0</v>
      </c>
      <c r="EW42" s="290">
        <f t="shared" si="107"/>
        <v>0</v>
      </c>
      <c r="EX42" s="290">
        <f t="shared" si="108"/>
        <v>0</v>
      </c>
      <c r="EY42" s="290">
        <f t="shared" si="109"/>
        <v>0.34</v>
      </c>
      <c r="EZ42" s="290">
        <f t="shared" si="110"/>
        <v>5.0999999999999995E-3</v>
      </c>
      <c r="FA42" s="290">
        <f t="shared" si="111"/>
        <v>8.5000000000000006E-3</v>
      </c>
      <c r="FB42" s="290">
        <f t="shared" si="112"/>
        <v>5.0999999999999995E-3</v>
      </c>
      <c r="FC42" s="290">
        <f t="shared" si="113"/>
        <v>0</v>
      </c>
      <c r="FD42" s="290">
        <f t="shared" si="114"/>
        <v>0</v>
      </c>
      <c r="FE42" s="290">
        <f t="shared" si="115"/>
        <v>8.5000000000000006E-2</v>
      </c>
      <c r="FF42" s="290">
        <f t="shared" si="116"/>
        <v>3.4000000000000002E-2</v>
      </c>
      <c r="FG42" s="290">
        <f t="shared" si="117"/>
        <v>2.0399999999999998E-2</v>
      </c>
      <c r="FH42" s="290">
        <f t="shared" si="118"/>
        <v>0</v>
      </c>
      <c r="FI42" s="291">
        <f t="shared" si="119"/>
        <v>12.24</v>
      </c>
      <c r="FJ42" s="291">
        <f t="shared" si="120"/>
        <v>10.88</v>
      </c>
      <c r="FK42" s="291">
        <f t="shared" si="121"/>
        <v>9.01</v>
      </c>
      <c r="FL42" s="292">
        <f t="shared" si="122"/>
        <v>45.56</v>
      </c>
      <c r="FM42" s="999">
        <v>29</v>
      </c>
      <c r="FN42" s="286">
        <f t="shared" si="303"/>
        <v>44072</v>
      </c>
      <c r="FO42" s="293">
        <f t="shared" si="27"/>
        <v>44072</v>
      </c>
      <c r="FP42" s="288" t="str">
        <f>'दैनिक माहिती'!H163</f>
        <v>मुगडाळ</v>
      </c>
      <c r="FQ42" s="289">
        <f>'दैनिक माहिती'!E163</f>
        <v>15</v>
      </c>
      <c r="FR42" s="289">
        <f>'दैनिक माहिती'!F163</f>
        <v>15</v>
      </c>
      <c r="FS42" s="289">
        <f>'दैनिक माहिती'!G163</f>
        <v>15</v>
      </c>
      <c r="FT42" s="290">
        <f t="shared" si="123"/>
        <v>1.5</v>
      </c>
      <c r="FU42" s="290">
        <f t="shared" si="124"/>
        <v>0.3</v>
      </c>
      <c r="FV42" s="290">
        <f t="shared" si="125"/>
        <v>0</v>
      </c>
      <c r="FW42" s="290">
        <f t="shared" si="126"/>
        <v>0</v>
      </c>
      <c r="FX42" s="290">
        <f t="shared" si="127"/>
        <v>0</v>
      </c>
      <c r="FY42" s="290">
        <f t="shared" si="128"/>
        <v>0</v>
      </c>
      <c r="FZ42" s="290">
        <f t="shared" si="129"/>
        <v>0</v>
      </c>
      <c r="GA42" s="290">
        <f t="shared" si="130"/>
        <v>0</v>
      </c>
      <c r="GB42" s="290">
        <f t="shared" si="131"/>
        <v>0</v>
      </c>
      <c r="GC42" s="290">
        <f t="shared" si="132"/>
        <v>4.4999999999999997E-3</v>
      </c>
      <c r="GD42" s="290">
        <f t="shared" si="133"/>
        <v>7.4999999999999997E-3</v>
      </c>
      <c r="GE42" s="290">
        <f t="shared" si="134"/>
        <v>4.4999999999999997E-3</v>
      </c>
      <c r="GF42" s="290">
        <f t="shared" si="135"/>
        <v>0</v>
      </c>
      <c r="GG42" s="290">
        <f t="shared" si="136"/>
        <v>0</v>
      </c>
      <c r="GH42" s="290">
        <f t="shared" si="137"/>
        <v>7.4999999999999997E-2</v>
      </c>
      <c r="GI42" s="290">
        <f t="shared" si="138"/>
        <v>0.03</v>
      </c>
      <c r="GJ42" s="290">
        <f t="shared" si="139"/>
        <v>1.7999999999999999E-2</v>
      </c>
      <c r="GK42" s="290">
        <f t="shared" si="140"/>
        <v>0</v>
      </c>
      <c r="GL42" s="291">
        <f t="shared" si="141"/>
        <v>10.799999999999999</v>
      </c>
      <c r="GM42" s="291">
        <f t="shared" si="142"/>
        <v>9.6</v>
      </c>
      <c r="GN42" s="291">
        <f t="shared" si="143"/>
        <v>7.95</v>
      </c>
      <c r="GO42" s="292">
        <f t="shared" si="144"/>
        <v>40.200000000000003</v>
      </c>
      <c r="GP42" s="999">
        <v>29</v>
      </c>
      <c r="GQ42" s="286">
        <f t="shared" si="304"/>
        <v>44103</v>
      </c>
      <c r="GR42" s="293">
        <f t="shared" si="28"/>
        <v>44103</v>
      </c>
      <c r="GS42" s="288" t="str">
        <f>'दैनिक माहिती'!H195</f>
        <v>हरभरा</v>
      </c>
      <c r="GT42" s="289">
        <f>'दैनिक माहिती'!E195</f>
        <v>22</v>
      </c>
      <c r="GU42" s="289">
        <f>'दैनिक माहिती'!F195</f>
        <v>22</v>
      </c>
      <c r="GV42" s="289">
        <f>'दैनिक माहिती'!G195</f>
        <v>22</v>
      </c>
      <c r="GW42" s="290">
        <f t="shared" si="145"/>
        <v>2.2000000000000002</v>
      </c>
      <c r="GX42" s="290">
        <f t="shared" si="146"/>
        <v>0</v>
      </c>
      <c r="GY42" s="290">
        <f t="shared" si="147"/>
        <v>0</v>
      </c>
      <c r="GZ42" s="290">
        <f t="shared" si="148"/>
        <v>0</v>
      </c>
      <c r="HA42" s="290">
        <f t="shared" si="149"/>
        <v>0</v>
      </c>
      <c r="HB42" s="290">
        <f t="shared" si="150"/>
        <v>0</v>
      </c>
      <c r="HC42" s="290">
        <f t="shared" si="151"/>
        <v>0</v>
      </c>
      <c r="HD42" s="290">
        <f t="shared" si="152"/>
        <v>0.44</v>
      </c>
      <c r="HE42" s="290">
        <f t="shared" si="153"/>
        <v>0</v>
      </c>
      <c r="HF42" s="290">
        <f t="shared" si="154"/>
        <v>6.5999999999999991E-3</v>
      </c>
      <c r="HG42" s="290">
        <f t="shared" si="155"/>
        <v>1.0999999999999999E-2</v>
      </c>
      <c r="HH42" s="290">
        <f t="shared" si="156"/>
        <v>6.5999999999999991E-3</v>
      </c>
      <c r="HI42" s="290">
        <f t="shared" si="157"/>
        <v>0</v>
      </c>
      <c r="HJ42" s="290">
        <f t="shared" si="158"/>
        <v>0</v>
      </c>
      <c r="HK42" s="290">
        <f t="shared" si="159"/>
        <v>0.11</v>
      </c>
      <c r="HL42" s="290">
        <f t="shared" si="160"/>
        <v>4.3999999999999997E-2</v>
      </c>
      <c r="HM42" s="290">
        <f t="shared" si="161"/>
        <v>2.6399999999999996E-2</v>
      </c>
      <c r="HN42" s="290">
        <f t="shared" si="162"/>
        <v>0</v>
      </c>
      <c r="HO42" s="291">
        <f t="shared" si="163"/>
        <v>15.84</v>
      </c>
      <c r="HP42" s="291">
        <f t="shared" si="164"/>
        <v>14.08</v>
      </c>
      <c r="HQ42" s="291">
        <f t="shared" si="165"/>
        <v>11.66</v>
      </c>
      <c r="HR42" s="292">
        <f t="shared" si="166"/>
        <v>58.96</v>
      </c>
      <c r="HS42" s="999">
        <v>29</v>
      </c>
      <c r="HT42" s="286">
        <f t="shared" si="305"/>
        <v>44133</v>
      </c>
      <c r="HU42" s="293">
        <f t="shared" si="29"/>
        <v>44133</v>
      </c>
      <c r="HV42" s="288">
        <f>'दैनिक माहिती'!H226</f>
        <v>0</v>
      </c>
      <c r="HW42" s="289">
        <f>'दैनिक माहिती'!E226</f>
        <v>0</v>
      </c>
      <c r="HX42" s="289">
        <f>'दैनिक माहिती'!F226</f>
        <v>0</v>
      </c>
      <c r="HY42" s="289">
        <f>'दैनिक माहिती'!G226</f>
        <v>0</v>
      </c>
      <c r="HZ42" s="290">
        <f t="shared" si="167"/>
        <v>0</v>
      </c>
      <c r="IA42" s="290">
        <f t="shared" si="168"/>
        <v>0</v>
      </c>
      <c r="IB42" s="290">
        <f t="shared" si="169"/>
        <v>0</v>
      </c>
      <c r="IC42" s="290">
        <f t="shared" si="170"/>
        <v>0</v>
      </c>
      <c r="ID42" s="290">
        <f t="shared" si="171"/>
        <v>0</v>
      </c>
      <c r="IE42" s="290">
        <f t="shared" si="172"/>
        <v>0</v>
      </c>
      <c r="IF42" s="290">
        <f t="shared" si="173"/>
        <v>0</v>
      </c>
      <c r="IG42" s="290">
        <f t="shared" si="174"/>
        <v>0</v>
      </c>
      <c r="IH42" s="290">
        <f t="shared" si="175"/>
        <v>0</v>
      </c>
      <c r="II42" s="290">
        <f t="shared" si="176"/>
        <v>0</v>
      </c>
      <c r="IJ42" s="290">
        <f t="shared" si="177"/>
        <v>0</v>
      </c>
      <c r="IK42" s="290">
        <f t="shared" si="178"/>
        <v>0</v>
      </c>
      <c r="IL42" s="290">
        <f t="shared" si="179"/>
        <v>0</v>
      </c>
      <c r="IM42" s="290">
        <f t="shared" si="180"/>
        <v>0</v>
      </c>
      <c r="IN42" s="290">
        <f t="shared" si="181"/>
        <v>0</v>
      </c>
      <c r="IO42" s="290">
        <f t="shared" si="182"/>
        <v>0</v>
      </c>
      <c r="IP42" s="290">
        <f t="shared" si="183"/>
        <v>0</v>
      </c>
      <c r="IQ42" s="290">
        <f t="shared" si="184"/>
        <v>0</v>
      </c>
      <c r="IR42" s="291">
        <f t="shared" si="185"/>
        <v>0</v>
      </c>
      <c r="IS42" s="291">
        <f t="shared" si="186"/>
        <v>0</v>
      </c>
      <c r="IT42" s="291">
        <f t="shared" si="187"/>
        <v>0</v>
      </c>
      <c r="IU42" s="292">
        <f t="shared" si="188"/>
        <v>0</v>
      </c>
      <c r="IV42" s="999">
        <v>29</v>
      </c>
      <c r="IW42" s="286">
        <f t="shared" si="306"/>
        <v>44164</v>
      </c>
      <c r="IX42" s="293">
        <f t="shared" si="30"/>
        <v>44164</v>
      </c>
      <c r="IY42" s="288" t="str">
        <f>'दैनिक माहिती'!H258</f>
        <v>हरभरा</v>
      </c>
      <c r="IZ42" s="289">
        <f>'दैनिक माहिती'!E258</f>
        <v>22</v>
      </c>
      <c r="JA42" s="289">
        <f>'दैनिक माहिती'!F258</f>
        <v>22</v>
      </c>
      <c r="JB42" s="289">
        <f>'दैनिक माहिती'!G258</f>
        <v>22</v>
      </c>
      <c r="JC42" s="290">
        <f t="shared" si="189"/>
        <v>2.2000000000000002</v>
      </c>
      <c r="JD42" s="290">
        <f t="shared" si="190"/>
        <v>0</v>
      </c>
      <c r="JE42" s="290">
        <f t="shared" si="191"/>
        <v>0</v>
      </c>
      <c r="JF42" s="290">
        <f t="shared" si="192"/>
        <v>0</v>
      </c>
      <c r="JG42" s="290">
        <f t="shared" si="193"/>
        <v>0</v>
      </c>
      <c r="JH42" s="290">
        <f t="shared" si="194"/>
        <v>0</v>
      </c>
      <c r="JI42" s="290">
        <f t="shared" si="195"/>
        <v>0</v>
      </c>
      <c r="JJ42" s="290">
        <f t="shared" si="196"/>
        <v>0.44</v>
      </c>
      <c r="JK42" s="290">
        <f t="shared" si="197"/>
        <v>0</v>
      </c>
      <c r="JL42" s="290">
        <f t="shared" si="198"/>
        <v>6.5999999999999991E-3</v>
      </c>
      <c r="JM42" s="290">
        <f t="shared" si="199"/>
        <v>1.0999999999999999E-2</v>
      </c>
      <c r="JN42" s="290">
        <f t="shared" si="200"/>
        <v>6.5999999999999991E-3</v>
      </c>
      <c r="JO42" s="290">
        <f t="shared" si="201"/>
        <v>0</v>
      </c>
      <c r="JP42" s="290">
        <f t="shared" si="202"/>
        <v>0</v>
      </c>
      <c r="JQ42" s="290">
        <f t="shared" si="203"/>
        <v>0.11</v>
      </c>
      <c r="JR42" s="290">
        <f t="shared" si="204"/>
        <v>4.3999999999999997E-2</v>
      </c>
      <c r="JS42" s="290">
        <f t="shared" si="205"/>
        <v>2.6399999999999996E-2</v>
      </c>
      <c r="JT42" s="290">
        <f t="shared" si="206"/>
        <v>0</v>
      </c>
      <c r="JU42" s="291">
        <f t="shared" si="207"/>
        <v>15.62</v>
      </c>
      <c r="JV42" s="291">
        <f t="shared" si="208"/>
        <v>17.380000000000003</v>
      </c>
      <c r="JW42" s="291">
        <f t="shared" si="209"/>
        <v>12.76</v>
      </c>
      <c r="JX42" s="292">
        <f t="shared" si="210"/>
        <v>63.14</v>
      </c>
      <c r="JY42" s="999">
        <v>29</v>
      </c>
      <c r="JZ42" s="286">
        <f t="shared" si="307"/>
        <v>44194</v>
      </c>
      <c r="KA42" s="293">
        <f t="shared" si="31"/>
        <v>44194</v>
      </c>
      <c r="KB42" s="288" t="str">
        <f>'दैनिक माहिती'!H289</f>
        <v>हरभरा</v>
      </c>
      <c r="KC42" s="289">
        <f>'दैनिक माहिती'!E289</f>
        <v>21</v>
      </c>
      <c r="KD42" s="289">
        <f>'दैनिक माहिती'!F289</f>
        <v>21</v>
      </c>
      <c r="KE42" s="289">
        <f>'दैनिक माहिती'!G289</f>
        <v>21</v>
      </c>
      <c r="KF42" s="290">
        <f t="shared" si="211"/>
        <v>2.1</v>
      </c>
      <c r="KG42" s="290">
        <f t="shared" si="212"/>
        <v>0</v>
      </c>
      <c r="KH42" s="290">
        <f t="shared" si="213"/>
        <v>0</v>
      </c>
      <c r="KI42" s="290">
        <f t="shared" si="214"/>
        <v>0</v>
      </c>
      <c r="KJ42" s="290">
        <f t="shared" si="215"/>
        <v>0</v>
      </c>
      <c r="KK42" s="290">
        <f t="shared" si="216"/>
        <v>0</v>
      </c>
      <c r="KL42" s="290">
        <f t="shared" si="217"/>
        <v>0</v>
      </c>
      <c r="KM42" s="290">
        <f t="shared" si="218"/>
        <v>0.42</v>
      </c>
      <c r="KN42" s="290">
        <f t="shared" si="219"/>
        <v>0</v>
      </c>
      <c r="KO42" s="290">
        <f t="shared" si="220"/>
        <v>6.2999999999999992E-3</v>
      </c>
      <c r="KP42" s="290">
        <f t="shared" si="221"/>
        <v>1.0500000000000001E-2</v>
      </c>
      <c r="KQ42" s="290">
        <f t="shared" si="222"/>
        <v>6.2999999999999992E-3</v>
      </c>
      <c r="KR42" s="290">
        <f t="shared" si="223"/>
        <v>0</v>
      </c>
      <c r="KS42" s="290">
        <f t="shared" si="224"/>
        <v>0</v>
      </c>
      <c r="KT42" s="290">
        <f t="shared" si="225"/>
        <v>0.105</v>
      </c>
      <c r="KU42" s="290">
        <f t="shared" si="226"/>
        <v>4.2000000000000003E-2</v>
      </c>
      <c r="KV42" s="290">
        <f t="shared" si="227"/>
        <v>2.5199999999999997E-2</v>
      </c>
      <c r="KW42" s="290">
        <f t="shared" si="228"/>
        <v>0</v>
      </c>
      <c r="KX42" s="291">
        <f t="shared" si="229"/>
        <v>14.91</v>
      </c>
      <c r="KY42" s="291">
        <f t="shared" si="230"/>
        <v>16.59</v>
      </c>
      <c r="KZ42" s="291">
        <f t="shared" si="231"/>
        <v>12.18</v>
      </c>
      <c r="LA42" s="292">
        <f t="shared" si="232"/>
        <v>60.27</v>
      </c>
      <c r="LB42" s="999">
        <v>29</v>
      </c>
      <c r="LC42" s="286">
        <f t="shared" si="308"/>
        <v>44225</v>
      </c>
      <c r="LD42" s="293">
        <f t="shared" si="32"/>
        <v>44225</v>
      </c>
      <c r="LE42" s="288">
        <f>'दैनिक माहिती'!H321</f>
        <v>0</v>
      </c>
      <c r="LF42" s="289">
        <f>'दैनिक माहिती'!E321</f>
        <v>0</v>
      </c>
      <c r="LG42" s="289">
        <f>'दैनिक माहिती'!F321</f>
        <v>0</v>
      </c>
      <c r="LH42" s="289">
        <f>'दैनिक माहिती'!G321</f>
        <v>0</v>
      </c>
      <c r="LI42" s="290">
        <f t="shared" si="233"/>
        <v>0</v>
      </c>
      <c r="LJ42" s="290">
        <f t="shared" si="234"/>
        <v>0</v>
      </c>
      <c r="LK42" s="290">
        <f t="shared" si="235"/>
        <v>0</v>
      </c>
      <c r="LL42" s="290">
        <f t="shared" si="236"/>
        <v>0</v>
      </c>
      <c r="LM42" s="290">
        <f t="shared" si="237"/>
        <v>0</v>
      </c>
      <c r="LN42" s="290">
        <f t="shared" si="238"/>
        <v>0</v>
      </c>
      <c r="LO42" s="290">
        <f t="shared" si="239"/>
        <v>0</v>
      </c>
      <c r="LP42" s="290">
        <f t="shared" si="240"/>
        <v>0</v>
      </c>
      <c r="LQ42" s="290">
        <f t="shared" si="241"/>
        <v>0</v>
      </c>
      <c r="LR42" s="290">
        <f t="shared" si="242"/>
        <v>0</v>
      </c>
      <c r="LS42" s="290">
        <f t="shared" si="243"/>
        <v>0</v>
      </c>
      <c r="LT42" s="290">
        <f t="shared" si="244"/>
        <v>0</v>
      </c>
      <c r="LU42" s="290">
        <f t="shared" si="245"/>
        <v>0</v>
      </c>
      <c r="LV42" s="290">
        <f t="shared" si="246"/>
        <v>0</v>
      </c>
      <c r="LW42" s="290">
        <f t="shared" si="247"/>
        <v>0</v>
      </c>
      <c r="LX42" s="290">
        <f t="shared" si="248"/>
        <v>0</v>
      </c>
      <c r="LY42" s="290">
        <f t="shared" si="249"/>
        <v>0</v>
      </c>
      <c r="LZ42" s="290">
        <f t="shared" si="250"/>
        <v>0</v>
      </c>
      <c r="MA42" s="291">
        <f t="shared" si="251"/>
        <v>0</v>
      </c>
      <c r="MB42" s="291">
        <f t="shared" si="252"/>
        <v>0</v>
      </c>
      <c r="MC42" s="291">
        <f t="shared" si="253"/>
        <v>0</v>
      </c>
      <c r="MD42" s="292">
        <f t="shared" si="254"/>
        <v>0</v>
      </c>
      <c r="ME42" s="999">
        <v>29</v>
      </c>
      <c r="MF42" s="286">
        <f t="shared" si="309"/>
        <v>44256</v>
      </c>
      <c r="MG42" s="293">
        <f t="shared" si="33"/>
        <v>44256</v>
      </c>
      <c r="MH42" s="288">
        <f>'दैनिक माहिती'!H353</f>
        <v>0</v>
      </c>
      <c r="MI42" s="289">
        <f>'दैनिक माहिती'!E353</f>
        <v>0</v>
      </c>
      <c r="MJ42" s="289">
        <f>'दैनिक माहिती'!F353</f>
        <v>0</v>
      </c>
      <c r="MK42" s="289">
        <f>'दैनिक माहिती'!G353</f>
        <v>0</v>
      </c>
      <c r="ML42" s="290">
        <f t="shared" si="255"/>
        <v>0</v>
      </c>
      <c r="MM42" s="290">
        <f t="shared" si="256"/>
        <v>0</v>
      </c>
      <c r="MN42" s="290">
        <f t="shared" si="257"/>
        <v>0</v>
      </c>
      <c r="MO42" s="290">
        <f t="shared" si="258"/>
        <v>0</v>
      </c>
      <c r="MP42" s="290">
        <f t="shared" si="259"/>
        <v>0</v>
      </c>
      <c r="MQ42" s="290">
        <f t="shared" si="260"/>
        <v>0</v>
      </c>
      <c r="MR42" s="290">
        <f t="shared" si="261"/>
        <v>0</v>
      </c>
      <c r="MS42" s="290">
        <f t="shared" si="262"/>
        <v>0</v>
      </c>
      <c r="MT42" s="290">
        <f t="shared" si="263"/>
        <v>0</v>
      </c>
      <c r="MU42" s="290">
        <f t="shared" si="264"/>
        <v>0</v>
      </c>
      <c r="MV42" s="290">
        <f t="shared" si="265"/>
        <v>0</v>
      </c>
      <c r="MW42" s="290">
        <f t="shared" si="266"/>
        <v>0</v>
      </c>
      <c r="MX42" s="290">
        <f t="shared" si="267"/>
        <v>0</v>
      </c>
      <c r="MY42" s="290">
        <f t="shared" si="268"/>
        <v>0</v>
      </c>
      <c r="MZ42" s="290">
        <f t="shared" si="269"/>
        <v>0</v>
      </c>
      <c r="NA42" s="290">
        <f t="shared" si="270"/>
        <v>0</v>
      </c>
      <c r="NB42" s="290">
        <f t="shared" si="271"/>
        <v>0</v>
      </c>
      <c r="NC42" s="290">
        <f t="shared" si="272"/>
        <v>0</v>
      </c>
      <c r="ND42" s="291">
        <f t="shared" si="273"/>
        <v>0</v>
      </c>
      <c r="NE42" s="291">
        <f t="shared" si="274"/>
        <v>0</v>
      </c>
      <c r="NF42" s="291">
        <f t="shared" si="275"/>
        <v>0</v>
      </c>
      <c r="NG42" s="292">
        <f t="shared" si="276"/>
        <v>0</v>
      </c>
      <c r="NH42" s="999">
        <v>29</v>
      </c>
      <c r="NI42" s="286">
        <f t="shared" si="310"/>
        <v>44284</v>
      </c>
      <c r="NJ42" s="293">
        <f t="shared" si="34"/>
        <v>44284</v>
      </c>
      <c r="NK42" s="288">
        <f>'दैनिक माहिती'!H383</f>
        <v>0</v>
      </c>
      <c r="NL42" s="289">
        <f>'दैनिक माहिती'!E383</f>
        <v>0</v>
      </c>
      <c r="NM42" s="289">
        <f>'दैनिक माहिती'!F383</f>
        <v>0</v>
      </c>
      <c r="NN42" s="289">
        <f>'दैनिक माहिती'!G383</f>
        <v>0</v>
      </c>
      <c r="NO42" s="290">
        <f t="shared" si="277"/>
        <v>0</v>
      </c>
      <c r="NP42" s="290">
        <f t="shared" si="278"/>
        <v>0</v>
      </c>
      <c r="NQ42" s="290">
        <f t="shared" si="279"/>
        <v>0</v>
      </c>
      <c r="NR42" s="290">
        <f t="shared" si="280"/>
        <v>0</v>
      </c>
      <c r="NS42" s="290">
        <f t="shared" si="281"/>
        <v>0</v>
      </c>
      <c r="NT42" s="290">
        <f t="shared" si="282"/>
        <v>0</v>
      </c>
      <c r="NU42" s="290">
        <f t="shared" si="283"/>
        <v>0</v>
      </c>
      <c r="NV42" s="290">
        <f t="shared" si="284"/>
        <v>0</v>
      </c>
      <c r="NW42" s="290">
        <f t="shared" si="285"/>
        <v>0</v>
      </c>
      <c r="NX42" s="290">
        <f t="shared" si="286"/>
        <v>0</v>
      </c>
      <c r="NY42" s="290">
        <f t="shared" si="287"/>
        <v>0</v>
      </c>
      <c r="NZ42" s="290">
        <f t="shared" si="288"/>
        <v>0</v>
      </c>
      <c r="OA42" s="290">
        <f t="shared" si="289"/>
        <v>0</v>
      </c>
      <c r="OB42" s="290">
        <f t="shared" si="290"/>
        <v>0</v>
      </c>
      <c r="OC42" s="290">
        <f t="shared" si="291"/>
        <v>0</v>
      </c>
      <c r="OD42" s="290">
        <f t="shared" si="292"/>
        <v>0</v>
      </c>
      <c r="OE42" s="290">
        <f t="shared" si="293"/>
        <v>0</v>
      </c>
      <c r="OF42" s="290">
        <f t="shared" si="294"/>
        <v>0</v>
      </c>
      <c r="OG42" s="291">
        <f t="shared" si="295"/>
        <v>0</v>
      </c>
      <c r="OH42" s="291">
        <f t="shared" si="296"/>
        <v>0</v>
      </c>
      <c r="OI42" s="291">
        <f t="shared" si="297"/>
        <v>0</v>
      </c>
      <c r="OJ42" s="292">
        <f t="shared" si="298"/>
        <v>0</v>
      </c>
    </row>
    <row r="43" spans="50:400" ht="29.25" customHeight="1" x14ac:dyDescent="0.3">
      <c r="BA43" s="999">
        <v>30</v>
      </c>
      <c r="BB43" s="286">
        <f t="shared" si="299"/>
        <v>43951</v>
      </c>
      <c r="BC43" s="287">
        <f t="shared" si="23"/>
        <v>43951</v>
      </c>
      <c r="BD43" s="288" t="str">
        <f>'दैनिक माहिती'!H38</f>
        <v>मुगडाळ</v>
      </c>
      <c r="BE43" s="289">
        <f>'दैनिक माहिती'!E38</f>
        <v>22</v>
      </c>
      <c r="BF43" s="289">
        <f>'दैनिक माहिती'!F38</f>
        <v>22</v>
      </c>
      <c r="BG43" s="289">
        <f>'दैनिक माहिती'!G38</f>
        <v>22</v>
      </c>
      <c r="BH43" s="290">
        <f t="shared" si="35"/>
        <v>2.2000000000000002</v>
      </c>
      <c r="BI43" s="290">
        <f t="shared" si="36"/>
        <v>0.44</v>
      </c>
      <c r="BJ43" s="290">
        <f t="shared" si="37"/>
        <v>0</v>
      </c>
      <c r="BK43" s="290">
        <f t="shared" si="38"/>
        <v>0</v>
      </c>
      <c r="BL43" s="290">
        <f t="shared" si="39"/>
        <v>0</v>
      </c>
      <c r="BM43" s="290">
        <f t="shared" si="40"/>
        <v>0</v>
      </c>
      <c r="BN43" s="290">
        <f t="shared" si="41"/>
        <v>0</v>
      </c>
      <c r="BO43" s="290">
        <f t="shared" si="42"/>
        <v>0</v>
      </c>
      <c r="BP43" s="290">
        <f t="shared" si="43"/>
        <v>0</v>
      </c>
      <c r="BQ43" s="290">
        <f t="shared" si="44"/>
        <v>6.5999999999999991E-3</v>
      </c>
      <c r="BR43" s="290">
        <f t="shared" si="45"/>
        <v>1.0999999999999999E-2</v>
      </c>
      <c r="BS43" s="290">
        <f t="shared" si="46"/>
        <v>6.5999999999999991E-3</v>
      </c>
      <c r="BT43" s="290">
        <f t="shared" si="47"/>
        <v>0</v>
      </c>
      <c r="BU43" s="290">
        <f t="shared" si="48"/>
        <v>0</v>
      </c>
      <c r="BV43" s="290">
        <f t="shared" si="49"/>
        <v>0.11</v>
      </c>
      <c r="BW43" s="290">
        <f t="shared" si="50"/>
        <v>4.3999999999999997E-2</v>
      </c>
      <c r="BX43" s="290">
        <f t="shared" si="51"/>
        <v>2.6399999999999996E-2</v>
      </c>
      <c r="BY43" s="290">
        <f t="shared" si="52"/>
        <v>0</v>
      </c>
      <c r="BZ43" s="291">
        <f t="shared" si="53"/>
        <v>15.84</v>
      </c>
      <c r="CA43" s="291">
        <f t="shared" si="54"/>
        <v>14.08</v>
      </c>
      <c r="CB43" s="291">
        <f t="shared" si="55"/>
        <v>11.66</v>
      </c>
      <c r="CC43" s="292">
        <f t="shared" si="56"/>
        <v>58.96</v>
      </c>
      <c r="CD43" s="999">
        <v>30</v>
      </c>
      <c r="CE43" s="286">
        <f t="shared" si="300"/>
        <v>43981</v>
      </c>
      <c r="CF43" s="287">
        <f t="shared" si="24"/>
        <v>43981</v>
      </c>
      <c r="CG43" s="288">
        <f>'दैनिक माहिती'!H69</f>
        <v>0</v>
      </c>
      <c r="CH43" s="289">
        <f>'दैनिक माहिती'!E69</f>
        <v>0</v>
      </c>
      <c r="CI43" s="289">
        <f>'दैनिक माहिती'!F69</f>
        <v>0</v>
      </c>
      <c r="CJ43" s="289">
        <f>'दैनिक माहिती'!G69</f>
        <v>0</v>
      </c>
      <c r="CK43" s="290">
        <f t="shared" si="57"/>
        <v>0</v>
      </c>
      <c r="CL43" s="290">
        <f t="shared" si="58"/>
        <v>0</v>
      </c>
      <c r="CM43" s="290">
        <f t="shared" si="59"/>
        <v>0</v>
      </c>
      <c r="CN43" s="290">
        <f t="shared" si="60"/>
        <v>0</v>
      </c>
      <c r="CO43" s="290">
        <f t="shared" si="61"/>
        <v>0</v>
      </c>
      <c r="CP43" s="290">
        <f t="shared" si="62"/>
        <v>0</v>
      </c>
      <c r="CQ43" s="290">
        <f t="shared" si="63"/>
        <v>0</v>
      </c>
      <c r="CR43" s="290">
        <f t="shared" si="64"/>
        <v>0</v>
      </c>
      <c r="CS43" s="290">
        <f t="shared" si="65"/>
        <v>0</v>
      </c>
      <c r="CT43" s="290">
        <f t="shared" si="66"/>
        <v>0</v>
      </c>
      <c r="CU43" s="290">
        <f t="shared" si="67"/>
        <v>0</v>
      </c>
      <c r="CV43" s="290">
        <f t="shared" si="68"/>
        <v>0</v>
      </c>
      <c r="CW43" s="290">
        <f t="shared" si="69"/>
        <v>0</v>
      </c>
      <c r="CX43" s="290">
        <f t="shared" si="70"/>
        <v>0</v>
      </c>
      <c r="CY43" s="290">
        <f t="shared" si="71"/>
        <v>0</v>
      </c>
      <c r="CZ43" s="290">
        <f t="shared" si="72"/>
        <v>0</v>
      </c>
      <c r="DA43" s="290">
        <f t="shared" si="73"/>
        <v>0</v>
      </c>
      <c r="DB43" s="290">
        <f t="shared" si="74"/>
        <v>0</v>
      </c>
      <c r="DC43" s="291">
        <f t="shared" si="75"/>
        <v>0</v>
      </c>
      <c r="DD43" s="291">
        <f t="shared" si="76"/>
        <v>0</v>
      </c>
      <c r="DE43" s="291">
        <f t="shared" si="77"/>
        <v>0</v>
      </c>
      <c r="DF43" s="292">
        <f t="shared" si="78"/>
        <v>0</v>
      </c>
      <c r="DG43" s="999">
        <v>30</v>
      </c>
      <c r="DH43" s="286">
        <f t="shared" si="301"/>
        <v>44012</v>
      </c>
      <c r="DI43" s="287">
        <f t="shared" si="25"/>
        <v>44012</v>
      </c>
      <c r="DJ43" s="288" t="str">
        <f>'दैनिक माहिती'!H101</f>
        <v>हरभरा</v>
      </c>
      <c r="DK43" s="289">
        <f>'दैनिक माहिती'!E101</f>
        <v>17</v>
      </c>
      <c r="DL43" s="289">
        <f>'दैनिक माहिती'!F101</f>
        <v>17</v>
      </c>
      <c r="DM43" s="289">
        <f>'दैनिक माहिती'!G101</f>
        <v>17</v>
      </c>
      <c r="DN43" s="290">
        <f t="shared" si="79"/>
        <v>1.7000000000000002</v>
      </c>
      <c r="DO43" s="290">
        <f t="shared" si="80"/>
        <v>0</v>
      </c>
      <c r="DP43" s="290">
        <f t="shared" si="81"/>
        <v>0</v>
      </c>
      <c r="DQ43" s="290">
        <f t="shared" si="82"/>
        <v>0</v>
      </c>
      <c r="DR43" s="290">
        <f t="shared" si="83"/>
        <v>0</v>
      </c>
      <c r="DS43" s="290">
        <f t="shared" si="84"/>
        <v>0</v>
      </c>
      <c r="DT43" s="290">
        <f t="shared" si="85"/>
        <v>0</v>
      </c>
      <c r="DU43" s="290">
        <f t="shared" si="86"/>
        <v>0.34</v>
      </c>
      <c r="DV43" s="290">
        <f t="shared" si="87"/>
        <v>0</v>
      </c>
      <c r="DW43" s="290">
        <f t="shared" si="88"/>
        <v>5.0999999999999995E-3</v>
      </c>
      <c r="DX43" s="290">
        <f t="shared" si="89"/>
        <v>8.5000000000000006E-3</v>
      </c>
      <c r="DY43" s="290">
        <f t="shared" si="90"/>
        <v>5.0999999999999995E-3</v>
      </c>
      <c r="DZ43" s="290">
        <f t="shared" si="91"/>
        <v>0</v>
      </c>
      <c r="EA43" s="290">
        <f t="shared" si="92"/>
        <v>0</v>
      </c>
      <c r="EB43" s="290">
        <f t="shared" si="93"/>
        <v>8.5000000000000006E-2</v>
      </c>
      <c r="EC43" s="290">
        <f t="shared" si="94"/>
        <v>3.4000000000000002E-2</v>
      </c>
      <c r="ED43" s="290">
        <f t="shared" si="95"/>
        <v>2.0399999999999998E-2</v>
      </c>
      <c r="EE43" s="290">
        <f t="shared" si="96"/>
        <v>0</v>
      </c>
      <c r="EF43" s="291">
        <f t="shared" si="97"/>
        <v>12.24</v>
      </c>
      <c r="EG43" s="291">
        <f t="shared" si="98"/>
        <v>10.88</v>
      </c>
      <c r="EH43" s="291">
        <f t="shared" si="99"/>
        <v>9.01</v>
      </c>
      <c r="EI43" s="292">
        <f t="shared" si="100"/>
        <v>45.56</v>
      </c>
      <c r="EJ43" s="999">
        <v>30</v>
      </c>
      <c r="EK43" s="286">
        <f t="shared" si="302"/>
        <v>44042</v>
      </c>
      <c r="EL43" s="287">
        <f t="shared" si="26"/>
        <v>44042</v>
      </c>
      <c r="EM43" s="288" t="str">
        <f>'दैनिक माहिती'!H132</f>
        <v>मुगडाळ</v>
      </c>
      <c r="EN43" s="289">
        <f>'दैनिक माहिती'!E132</f>
        <v>17</v>
      </c>
      <c r="EO43" s="289">
        <f>'दैनिक माहिती'!F132</f>
        <v>17</v>
      </c>
      <c r="EP43" s="289">
        <f>'दैनिक माहिती'!G132</f>
        <v>17</v>
      </c>
      <c r="EQ43" s="290">
        <f t="shared" si="101"/>
        <v>1.7000000000000002</v>
      </c>
      <c r="ER43" s="290">
        <f t="shared" si="102"/>
        <v>0.34</v>
      </c>
      <c r="ES43" s="290">
        <f t="shared" si="103"/>
        <v>0</v>
      </c>
      <c r="ET43" s="290">
        <f t="shared" si="104"/>
        <v>0</v>
      </c>
      <c r="EU43" s="290">
        <f t="shared" si="105"/>
        <v>0</v>
      </c>
      <c r="EV43" s="290">
        <f t="shared" si="106"/>
        <v>0</v>
      </c>
      <c r="EW43" s="290">
        <f t="shared" si="107"/>
        <v>0</v>
      </c>
      <c r="EX43" s="290">
        <f t="shared" si="108"/>
        <v>0</v>
      </c>
      <c r="EY43" s="290">
        <f t="shared" si="109"/>
        <v>0</v>
      </c>
      <c r="EZ43" s="290">
        <f t="shared" si="110"/>
        <v>5.0999999999999995E-3</v>
      </c>
      <c r="FA43" s="290">
        <f t="shared" si="111"/>
        <v>8.5000000000000006E-3</v>
      </c>
      <c r="FB43" s="290">
        <f t="shared" si="112"/>
        <v>5.0999999999999995E-3</v>
      </c>
      <c r="FC43" s="290">
        <f t="shared" si="113"/>
        <v>0</v>
      </c>
      <c r="FD43" s="290">
        <f t="shared" si="114"/>
        <v>0</v>
      </c>
      <c r="FE43" s="290">
        <f t="shared" si="115"/>
        <v>8.5000000000000006E-2</v>
      </c>
      <c r="FF43" s="290">
        <f t="shared" si="116"/>
        <v>3.4000000000000002E-2</v>
      </c>
      <c r="FG43" s="290">
        <f t="shared" si="117"/>
        <v>2.0399999999999998E-2</v>
      </c>
      <c r="FH43" s="290">
        <f t="shared" si="118"/>
        <v>0</v>
      </c>
      <c r="FI43" s="291">
        <f t="shared" si="119"/>
        <v>12.24</v>
      </c>
      <c r="FJ43" s="291">
        <f t="shared" si="120"/>
        <v>10.88</v>
      </c>
      <c r="FK43" s="291">
        <f t="shared" si="121"/>
        <v>9.01</v>
      </c>
      <c r="FL43" s="292">
        <f t="shared" si="122"/>
        <v>45.56</v>
      </c>
      <c r="FM43" s="999">
        <v>30</v>
      </c>
      <c r="FN43" s="286">
        <f t="shared" si="303"/>
        <v>44073</v>
      </c>
      <c r="FO43" s="287">
        <f t="shared" si="27"/>
        <v>44073</v>
      </c>
      <c r="FP43" s="288" t="str">
        <f>'दैनिक माहिती'!H164</f>
        <v>हरभरा</v>
      </c>
      <c r="FQ43" s="289">
        <f>'दैनिक माहिती'!E164</f>
        <v>15</v>
      </c>
      <c r="FR43" s="289">
        <f>'दैनिक माहिती'!F164</f>
        <v>15</v>
      </c>
      <c r="FS43" s="289">
        <f>'दैनिक माहिती'!G164</f>
        <v>15</v>
      </c>
      <c r="FT43" s="290">
        <f t="shared" si="123"/>
        <v>1.5</v>
      </c>
      <c r="FU43" s="290">
        <f t="shared" si="124"/>
        <v>0</v>
      </c>
      <c r="FV43" s="290">
        <f t="shared" si="125"/>
        <v>0</v>
      </c>
      <c r="FW43" s="290">
        <f t="shared" si="126"/>
        <v>0</v>
      </c>
      <c r="FX43" s="290">
        <f t="shared" si="127"/>
        <v>0</v>
      </c>
      <c r="FY43" s="290">
        <f t="shared" si="128"/>
        <v>0</v>
      </c>
      <c r="FZ43" s="290">
        <f t="shared" si="129"/>
        <v>0</v>
      </c>
      <c r="GA43" s="290">
        <f t="shared" si="130"/>
        <v>0.3</v>
      </c>
      <c r="GB43" s="290">
        <f t="shared" si="131"/>
        <v>0</v>
      </c>
      <c r="GC43" s="290">
        <f t="shared" si="132"/>
        <v>4.4999999999999997E-3</v>
      </c>
      <c r="GD43" s="290">
        <f t="shared" si="133"/>
        <v>7.4999999999999997E-3</v>
      </c>
      <c r="GE43" s="290">
        <f t="shared" si="134"/>
        <v>4.4999999999999997E-3</v>
      </c>
      <c r="GF43" s="290">
        <f t="shared" si="135"/>
        <v>0</v>
      </c>
      <c r="GG43" s="290">
        <f t="shared" si="136"/>
        <v>0</v>
      </c>
      <c r="GH43" s="290">
        <f t="shared" si="137"/>
        <v>7.4999999999999997E-2</v>
      </c>
      <c r="GI43" s="290">
        <f t="shared" si="138"/>
        <v>0.03</v>
      </c>
      <c r="GJ43" s="290">
        <f t="shared" si="139"/>
        <v>1.7999999999999999E-2</v>
      </c>
      <c r="GK43" s="290">
        <f t="shared" si="140"/>
        <v>0</v>
      </c>
      <c r="GL43" s="291">
        <f t="shared" si="141"/>
        <v>10.799999999999999</v>
      </c>
      <c r="GM43" s="291">
        <f t="shared" si="142"/>
        <v>9.6</v>
      </c>
      <c r="GN43" s="291">
        <f t="shared" si="143"/>
        <v>7.95</v>
      </c>
      <c r="GO43" s="292">
        <f t="shared" si="144"/>
        <v>40.200000000000003</v>
      </c>
      <c r="GP43" s="999">
        <v>30</v>
      </c>
      <c r="GQ43" s="286">
        <f t="shared" si="304"/>
        <v>44104</v>
      </c>
      <c r="GR43" s="287">
        <f t="shared" si="28"/>
        <v>44104</v>
      </c>
      <c r="GS43" s="288" t="str">
        <f>'दैनिक माहिती'!H196</f>
        <v>वाटाणा</v>
      </c>
      <c r="GT43" s="289">
        <f>'दैनिक माहिती'!E196</f>
        <v>22</v>
      </c>
      <c r="GU43" s="289">
        <f>'दैनिक माहिती'!F196</f>
        <v>22</v>
      </c>
      <c r="GV43" s="289">
        <f>'दैनिक माहिती'!G196</f>
        <v>22</v>
      </c>
      <c r="GW43" s="290">
        <f t="shared" si="145"/>
        <v>2.2000000000000002</v>
      </c>
      <c r="GX43" s="290">
        <f t="shared" si="146"/>
        <v>0</v>
      </c>
      <c r="GY43" s="290">
        <f t="shared" si="147"/>
        <v>0</v>
      </c>
      <c r="GZ43" s="290">
        <f t="shared" si="148"/>
        <v>0</v>
      </c>
      <c r="HA43" s="290">
        <f t="shared" si="149"/>
        <v>0</v>
      </c>
      <c r="HB43" s="290">
        <f t="shared" si="150"/>
        <v>0</v>
      </c>
      <c r="HC43" s="290">
        <f t="shared" si="151"/>
        <v>0</v>
      </c>
      <c r="HD43" s="290">
        <f t="shared" si="152"/>
        <v>0</v>
      </c>
      <c r="HE43" s="290">
        <f t="shared" si="153"/>
        <v>0.44</v>
      </c>
      <c r="HF43" s="290">
        <f t="shared" si="154"/>
        <v>6.5999999999999991E-3</v>
      </c>
      <c r="HG43" s="290">
        <f t="shared" si="155"/>
        <v>1.0999999999999999E-2</v>
      </c>
      <c r="HH43" s="290">
        <f t="shared" si="156"/>
        <v>6.5999999999999991E-3</v>
      </c>
      <c r="HI43" s="290">
        <f t="shared" si="157"/>
        <v>0</v>
      </c>
      <c r="HJ43" s="290">
        <f t="shared" si="158"/>
        <v>0</v>
      </c>
      <c r="HK43" s="290">
        <f t="shared" si="159"/>
        <v>0.11</v>
      </c>
      <c r="HL43" s="290">
        <f t="shared" si="160"/>
        <v>4.3999999999999997E-2</v>
      </c>
      <c r="HM43" s="290">
        <f t="shared" si="161"/>
        <v>2.6399999999999996E-2</v>
      </c>
      <c r="HN43" s="290">
        <f t="shared" si="162"/>
        <v>0</v>
      </c>
      <c r="HO43" s="291">
        <f t="shared" si="163"/>
        <v>15.84</v>
      </c>
      <c r="HP43" s="291">
        <f t="shared" si="164"/>
        <v>14.08</v>
      </c>
      <c r="HQ43" s="291">
        <f t="shared" si="165"/>
        <v>11.66</v>
      </c>
      <c r="HR43" s="292">
        <f t="shared" si="166"/>
        <v>58.96</v>
      </c>
      <c r="HS43" s="999">
        <v>30</v>
      </c>
      <c r="HT43" s="286">
        <f t="shared" si="305"/>
        <v>44134</v>
      </c>
      <c r="HU43" s="287">
        <f t="shared" si="29"/>
        <v>44134</v>
      </c>
      <c r="HV43" s="288">
        <f>'दैनिक माहिती'!H227</f>
        <v>0</v>
      </c>
      <c r="HW43" s="289">
        <f>'दैनिक माहिती'!E227</f>
        <v>0</v>
      </c>
      <c r="HX43" s="289">
        <f>'दैनिक माहिती'!F227</f>
        <v>0</v>
      </c>
      <c r="HY43" s="289">
        <f>'दैनिक माहिती'!G227</f>
        <v>0</v>
      </c>
      <c r="HZ43" s="290">
        <f t="shared" si="167"/>
        <v>0</v>
      </c>
      <c r="IA43" s="290">
        <f t="shared" si="168"/>
        <v>0</v>
      </c>
      <c r="IB43" s="290">
        <f t="shared" si="169"/>
        <v>0</v>
      </c>
      <c r="IC43" s="290">
        <f t="shared" si="170"/>
        <v>0</v>
      </c>
      <c r="ID43" s="290">
        <f t="shared" si="171"/>
        <v>0</v>
      </c>
      <c r="IE43" s="290">
        <f t="shared" si="172"/>
        <v>0</v>
      </c>
      <c r="IF43" s="290">
        <f t="shared" si="173"/>
        <v>0</v>
      </c>
      <c r="IG43" s="290">
        <f t="shared" si="174"/>
        <v>0</v>
      </c>
      <c r="IH43" s="290">
        <f t="shared" si="175"/>
        <v>0</v>
      </c>
      <c r="II43" s="290">
        <f t="shared" si="176"/>
        <v>0</v>
      </c>
      <c r="IJ43" s="290">
        <f t="shared" si="177"/>
        <v>0</v>
      </c>
      <c r="IK43" s="290">
        <f t="shared" si="178"/>
        <v>0</v>
      </c>
      <c r="IL43" s="290">
        <f t="shared" si="179"/>
        <v>0</v>
      </c>
      <c r="IM43" s="290">
        <f t="shared" si="180"/>
        <v>0</v>
      </c>
      <c r="IN43" s="290">
        <f t="shared" si="181"/>
        <v>0</v>
      </c>
      <c r="IO43" s="290">
        <f t="shared" si="182"/>
        <v>0</v>
      </c>
      <c r="IP43" s="290">
        <f t="shared" si="183"/>
        <v>0</v>
      </c>
      <c r="IQ43" s="290">
        <f t="shared" si="184"/>
        <v>0</v>
      </c>
      <c r="IR43" s="291">
        <f t="shared" si="185"/>
        <v>0</v>
      </c>
      <c r="IS43" s="291">
        <f t="shared" si="186"/>
        <v>0</v>
      </c>
      <c r="IT43" s="291">
        <f t="shared" si="187"/>
        <v>0</v>
      </c>
      <c r="IU43" s="292">
        <f t="shared" si="188"/>
        <v>0</v>
      </c>
      <c r="IV43" s="999">
        <v>30</v>
      </c>
      <c r="IW43" s="286">
        <f t="shared" si="306"/>
        <v>44165</v>
      </c>
      <c r="IX43" s="287">
        <f t="shared" si="30"/>
        <v>44165</v>
      </c>
      <c r="IY43" s="288" t="str">
        <f>'दैनिक माहिती'!H259</f>
        <v>वाटाणा</v>
      </c>
      <c r="IZ43" s="289">
        <f>'दैनिक माहिती'!E259</f>
        <v>22</v>
      </c>
      <c r="JA43" s="289">
        <f>'दैनिक माहिती'!F259</f>
        <v>22</v>
      </c>
      <c r="JB43" s="289">
        <f>'दैनिक माहिती'!G259</f>
        <v>22</v>
      </c>
      <c r="JC43" s="290">
        <f t="shared" si="189"/>
        <v>2.2000000000000002</v>
      </c>
      <c r="JD43" s="290">
        <f t="shared" si="190"/>
        <v>0</v>
      </c>
      <c r="JE43" s="290">
        <f t="shared" si="191"/>
        <v>0</v>
      </c>
      <c r="JF43" s="290">
        <f t="shared" si="192"/>
        <v>0</v>
      </c>
      <c r="JG43" s="290">
        <f t="shared" si="193"/>
        <v>0</v>
      </c>
      <c r="JH43" s="290">
        <f t="shared" si="194"/>
        <v>0</v>
      </c>
      <c r="JI43" s="290">
        <f t="shared" si="195"/>
        <v>0</v>
      </c>
      <c r="JJ43" s="290">
        <f t="shared" si="196"/>
        <v>0</v>
      </c>
      <c r="JK43" s="290">
        <f t="shared" si="197"/>
        <v>0.44</v>
      </c>
      <c r="JL43" s="290">
        <f t="shared" si="198"/>
        <v>6.5999999999999991E-3</v>
      </c>
      <c r="JM43" s="290">
        <f t="shared" si="199"/>
        <v>1.0999999999999999E-2</v>
      </c>
      <c r="JN43" s="290">
        <f t="shared" si="200"/>
        <v>6.5999999999999991E-3</v>
      </c>
      <c r="JO43" s="290">
        <f t="shared" si="201"/>
        <v>0</v>
      </c>
      <c r="JP43" s="290">
        <f t="shared" si="202"/>
        <v>0</v>
      </c>
      <c r="JQ43" s="290">
        <f t="shared" si="203"/>
        <v>0.11</v>
      </c>
      <c r="JR43" s="290">
        <f t="shared" si="204"/>
        <v>4.3999999999999997E-2</v>
      </c>
      <c r="JS43" s="290">
        <f t="shared" si="205"/>
        <v>2.6399999999999996E-2</v>
      </c>
      <c r="JT43" s="290">
        <f t="shared" si="206"/>
        <v>0</v>
      </c>
      <c r="JU43" s="291">
        <f t="shared" si="207"/>
        <v>15.62</v>
      </c>
      <c r="JV43" s="291">
        <f t="shared" si="208"/>
        <v>17.380000000000003</v>
      </c>
      <c r="JW43" s="291">
        <f t="shared" si="209"/>
        <v>12.76</v>
      </c>
      <c r="JX43" s="292">
        <f t="shared" si="210"/>
        <v>63.14</v>
      </c>
      <c r="JY43" s="999">
        <v>30</v>
      </c>
      <c r="JZ43" s="286">
        <f t="shared" si="307"/>
        <v>44195</v>
      </c>
      <c r="KA43" s="287">
        <f t="shared" si="31"/>
        <v>44195</v>
      </c>
      <c r="KB43" s="288" t="str">
        <f>'दैनिक माहिती'!H290</f>
        <v>वाटाणा</v>
      </c>
      <c r="KC43" s="289">
        <f>'दैनिक माहिती'!E290</f>
        <v>21</v>
      </c>
      <c r="KD43" s="289">
        <f>'दैनिक माहिती'!F290</f>
        <v>21</v>
      </c>
      <c r="KE43" s="289">
        <f>'दैनिक माहिती'!G290</f>
        <v>21</v>
      </c>
      <c r="KF43" s="290">
        <f t="shared" si="211"/>
        <v>2.1</v>
      </c>
      <c r="KG43" s="290">
        <f t="shared" si="212"/>
        <v>0</v>
      </c>
      <c r="KH43" s="290">
        <f t="shared" si="213"/>
        <v>0</v>
      </c>
      <c r="KI43" s="290">
        <f t="shared" si="214"/>
        <v>0</v>
      </c>
      <c r="KJ43" s="290">
        <f t="shared" si="215"/>
        <v>0</v>
      </c>
      <c r="KK43" s="290">
        <f t="shared" si="216"/>
        <v>0</v>
      </c>
      <c r="KL43" s="290">
        <f t="shared" si="217"/>
        <v>0</v>
      </c>
      <c r="KM43" s="290">
        <f t="shared" si="218"/>
        <v>0</v>
      </c>
      <c r="KN43" s="290">
        <f t="shared" si="219"/>
        <v>0.42</v>
      </c>
      <c r="KO43" s="290">
        <f t="shared" si="220"/>
        <v>6.2999999999999992E-3</v>
      </c>
      <c r="KP43" s="290">
        <f t="shared" si="221"/>
        <v>1.0500000000000001E-2</v>
      </c>
      <c r="KQ43" s="290">
        <f t="shared" si="222"/>
        <v>6.2999999999999992E-3</v>
      </c>
      <c r="KR43" s="290">
        <f t="shared" si="223"/>
        <v>0</v>
      </c>
      <c r="KS43" s="290">
        <f t="shared" si="224"/>
        <v>0</v>
      </c>
      <c r="KT43" s="290">
        <f t="shared" si="225"/>
        <v>0.105</v>
      </c>
      <c r="KU43" s="290">
        <f t="shared" si="226"/>
        <v>4.2000000000000003E-2</v>
      </c>
      <c r="KV43" s="290">
        <f t="shared" si="227"/>
        <v>2.5199999999999997E-2</v>
      </c>
      <c r="KW43" s="290">
        <f t="shared" si="228"/>
        <v>0</v>
      </c>
      <c r="KX43" s="291">
        <f t="shared" si="229"/>
        <v>14.91</v>
      </c>
      <c r="KY43" s="291">
        <f t="shared" si="230"/>
        <v>16.59</v>
      </c>
      <c r="KZ43" s="291">
        <f t="shared" si="231"/>
        <v>12.18</v>
      </c>
      <c r="LA43" s="292">
        <f t="shared" si="232"/>
        <v>60.27</v>
      </c>
      <c r="LB43" s="999">
        <v>30</v>
      </c>
      <c r="LC43" s="286">
        <f t="shared" si="308"/>
        <v>44226</v>
      </c>
      <c r="LD43" s="287">
        <f t="shared" si="32"/>
        <v>44226</v>
      </c>
      <c r="LE43" s="288">
        <f>'दैनिक माहिती'!H322</f>
        <v>0</v>
      </c>
      <c r="LF43" s="289">
        <f>'दैनिक माहिती'!E322</f>
        <v>0</v>
      </c>
      <c r="LG43" s="289">
        <f>'दैनिक माहिती'!F322</f>
        <v>0</v>
      </c>
      <c r="LH43" s="289">
        <f>'दैनिक माहिती'!G322</f>
        <v>0</v>
      </c>
      <c r="LI43" s="290">
        <f t="shared" si="233"/>
        <v>0</v>
      </c>
      <c r="LJ43" s="290">
        <f t="shared" si="234"/>
        <v>0</v>
      </c>
      <c r="LK43" s="290">
        <f t="shared" si="235"/>
        <v>0</v>
      </c>
      <c r="LL43" s="290">
        <f t="shared" si="236"/>
        <v>0</v>
      </c>
      <c r="LM43" s="290">
        <f t="shared" si="237"/>
        <v>0</v>
      </c>
      <c r="LN43" s="290">
        <f t="shared" si="238"/>
        <v>0</v>
      </c>
      <c r="LO43" s="290">
        <f t="shared" si="239"/>
        <v>0</v>
      </c>
      <c r="LP43" s="290">
        <f t="shared" si="240"/>
        <v>0</v>
      </c>
      <c r="LQ43" s="290">
        <f t="shared" si="241"/>
        <v>0</v>
      </c>
      <c r="LR43" s="290">
        <f t="shared" si="242"/>
        <v>0</v>
      </c>
      <c r="LS43" s="290">
        <f t="shared" si="243"/>
        <v>0</v>
      </c>
      <c r="LT43" s="290">
        <f t="shared" si="244"/>
        <v>0</v>
      </c>
      <c r="LU43" s="290">
        <f t="shared" si="245"/>
        <v>0</v>
      </c>
      <c r="LV43" s="290">
        <f t="shared" si="246"/>
        <v>0</v>
      </c>
      <c r="LW43" s="290">
        <f t="shared" si="247"/>
        <v>0</v>
      </c>
      <c r="LX43" s="290">
        <f t="shared" si="248"/>
        <v>0</v>
      </c>
      <c r="LY43" s="290">
        <f t="shared" si="249"/>
        <v>0</v>
      </c>
      <c r="LZ43" s="290">
        <f t="shared" si="250"/>
        <v>0</v>
      </c>
      <c r="MA43" s="291">
        <f t="shared" si="251"/>
        <v>0</v>
      </c>
      <c r="MB43" s="291">
        <f t="shared" si="252"/>
        <v>0</v>
      </c>
      <c r="MC43" s="291">
        <f t="shared" si="253"/>
        <v>0</v>
      </c>
      <c r="MD43" s="292">
        <f t="shared" si="254"/>
        <v>0</v>
      </c>
      <c r="ME43" s="999">
        <v>30</v>
      </c>
      <c r="MF43" s="286">
        <f t="shared" si="309"/>
        <v>44257</v>
      </c>
      <c r="MG43" s="287">
        <f t="shared" si="33"/>
        <v>44257</v>
      </c>
      <c r="MH43" s="288"/>
      <c r="MI43" s="289"/>
      <c r="MJ43" s="289"/>
      <c r="MK43" s="289"/>
      <c r="ML43" s="290">
        <f t="shared" si="255"/>
        <v>0</v>
      </c>
      <c r="MM43" s="290">
        <f t="shared" si="256"/>
        <v>0</v>
      </c>
      <c r="MN43" s="290">
        <f t="shared" si="257"/>
        <v>0</v>
      </c>
      <c r="MO43" s="290">
        <f t="shared" si="258"/>
        <v>0</v>
      </c>
      <c r="MP43" s="290">
        <f t="shared" si="259"/>
        <v>0</v>
      </c>
      <c r="MQ43" s="290">
        <f t="shared" si="260"/>
        <v>0</v>
      </c>
      <c r="MR43" s="290">
        <f t="shared" si="261"/>
        <v>0</v>
      </c>
      <c r="MS43" s="290">
        <f t="shared" si="262"/>
        <v>0</v>
      </c>
      <c r="MT43" s="290">
        <f t="shared" si="263"/>
        <v>0</v>
      </c>
      <c r="MU43" s="290">
        <f t="shared" si="264"/>
        <v>0</v>
      </c>
      <c r="MV43" s="290">
        <f t="shared" si="265"/>
        <v>0</v>
      </c>
      <c r="MW43" s="290">
        <f t="shared" si="266"/>
        <v>0</v>
      </c>
      <c r="MX43" s="290">
        <f t="shared" si="267"/>
        <v>0</v>
      </c>
      <c r="MY43" s="290">
        <f t="shared" si="268"/>
        <v>0</v>
      </c>
      <c r="MZ43" s="290">
        <f t="shared" si="269"/>
        <v>0</v>
      </c>
      <c r="NA43" s="290">
        <f t="shared" si="270"/>
        <v>0</v>
      </c>
      <c r="NB43" s="290">
        <f t="shared" si="271"/>
        <v>0</v>
      </c>
      <c r="NC43" s="290">
        <f t="shared" si="272"/>
        <v>0</v>
      </c>
      <c r="ND43" s="291">
        <f t="shared" si="273"/>
        <v>0</v>
      </c>
      <c r="NE43" s="291">
        <f t="shared" si="274"/>
        <v>0</v>
      </c>
      <c r="NF43" s="291">
        <f t="shared" si="275"/>
        <v>0</v>
      </c>
      <c r="NG43" s="292">
        <f t="shared" si="276"/>
        <v>0</v>
      </c>
      <c r="NH43" s="999">
        <v>30</v>
      </c>
      <c r="NI43" s="286">
        <f t="shared" si="310"/>
        <v>44285</v>
      </c>
      <c r="NJ43" s="287">
        <f t="shared" si="34"/>
        <v>44285</v>
      </c>
      <c r="NK43" s="288">
        <f>'दैनिक माहिती'!H384</f>
        <v>0</v>
      </c>
      <c r="NL43" s="289">
        <f>'दैनिक माहिती'!E384</f>
        <v>0</v>
      </c>
      <c r="NM43" s="289">
        <f>'दैनिक माहिती'!F384</f>
        <v>0</v>
      </c>
      <c r="NN43" s="289">
        <f>'दैनिक माहिती'!G384</f>
        <v>0</v>
      </c>
      <c r="NO43" s="290">
        <f t="shared" si="277"/>
        <v>0</v>
      </c>
      <c r="NP43" s="290">
        <f t="shared" si="278"/>
        <v>0</v>
      </c>
      <c r="NQ43" s="290">
        <f t="shared" si="279"/>
        <v>0</v>
      </c>
      <c r="NR43" s="290">
        <f t="shared" si="280"/>
        <v>0</v>
      </c>
      <c r="NS43" s="290">
        <f t="shared" si="281"/>
        <v>0</v>
      </c>
      <c r="NT43" s="290">
        <f t="shared" si="282"/>
        <v>0</v>
      </c>
      <c r="NU43" s="290">
        <f t="shared" si="283"/>
        <v>0</v>
      </c>
      <c r="NV43" s="290">
        <f t="shared" si="284"/>
        <v>0</v>
      </c>
      <c r="NW43" s="290">
        <f t="shared" si="285"/>
        <v>0</v>
      </c>
      <c r="NX43" s="290">
        <f t="shared" si="286"/>
        <v>0</v>
      </c>
      <c r="NY43" s="290">
        <f t="shared" si="287"/>
        <v>0</v>
      </c>
      <c r="NZ43" s="290">
        <f t="shared" si="288"/>
        <v>0</v>
      </c>
      <c r="OA43" s="290">
        <f t="shared" si="289"/>
        <v>0</v>
      </c>
      <c r="OB43" s="290">
        <f t="shared" si="290"/>
        <v>0</v>
      </c>
      <c r="OC43" s="290">
        <f t="shared" si="291"/>
        <v>0</v>
      </c>
      <c r="OD43" s="290">
        <f t="shared" si="292"/>
        <v>0</v>
      </c>
      <c r="OE43" s="290">
        <f t="shared" si="293"/>
        <v>0</v>
      </c>
      <c r="OF43" s="290">
        <f t="shared" si="294"/>
        <v>0</v>
      </c>
      <c r="OG43" s="291">
        <f t="shared" si="295"/>
        <v>0</v>
      </c>
      <c r="OH43" s="291">
        <f t="shared" si="296"/>
        <v>0</v>
      </c>
      <c r="OI43" s="291">
        <f t="shared" si="297"/>
        <v>0</v>
      </c>
      <c r="OJ43" s="292">
        <f t="shared" si="298"/>
        <v>0</v>
      </c>
    </row>
    <row r="44" spans="50:400" ht="29.25" customHeight="1" x14ac:dyDescent="0.3">
      <c r="BA44" s="999">
        <v>31</v>
      </c>
      <c r="BB44" s="286">
        <f t="shared" si="299"/>
        <v>43952</v>
      </c>
      <c r="BC44" s="287">
        <f t="shared" si="23"/>
        <v>43952</v>
      </c>
      <c r="BD44" s="288"/>
      <c r="BE44" s="289"/>
      <c r="BF44" s="289"/>
      <c r="BG44" s="289"/>
      <c r="BH44" s="290">
        <f t="shared" si="35"/>
        <v>0</v>
      </c>
      <c r="BI44" s="290">
        <f t="shared" si="36"/>
        <v>0</v>
      </c>
      <c r="BJ44" s="290">
        <f t="shared" si="37"/>
        <v>0</v>
      </c>
      <c r="BK44" s="290">
        <f t="shared" si="38"/>
        <v>0</v>
      </c>
      <c r="BL44" s="290">
        <f t="shared" si="39"/>
        <v>0</v>
      </c>
      <c r="BM44" s="290">
        <f t="shared" si="40"/>
        <v>0</v>
      </c>
      <c r="BN44" s="290">
        <f t="shared" si="41"/>
        <v>0</v>
      </c>
      <c r="BO44" s="290">
        <f t="shared" si="42"/>
        <v>0</v>
      </c>
      <c r="BP44" s="290">
        <f t="shared" si="43"/>
        <v>0</v>
      </c>
      <c r="BQ44" s="290">
        <f t="shared" si="44"/>
        <v>0</v>
      </c>
      <c r="BR44" s="290">
        <f t="shared" si="45"/>
        <v>0</v>
      </c>
      <c r="BS44" s="290">
        <f t="shared" si="46"/>
        <v>0</v>
      </c>
      <c r="BT44" s="290">
        <f t="shared" si="47"/>
        <v>0</v>
      </c>
      <c r="BU44" s="290">
        <f t="shared" si="48"/>
        <v>0</v>
      </c>
      <c r="BV44" s="290">
        <f t="shared" si="49"/>
        <v>0</v>
      </c>
      <c r="BW44" s="290">
        <f t="shared" si="50"/>
        <v>0</v>
      </c>
      <c r="BX44" s="290">
        <f t="shared" si="51"/>
        <v>0</v>
      </c>
      <c r="BY44" s="290">
        <f t="shared" si="52"/>
        <v>0</v>
      </c>
      <c r="BZ44" s="291">
        <f t="shared" si="53"/>
        <v>0</v>
      </c>
      <c r="CA44" s="291">
        <f t="shared" si="54"/>
        <v>0</v>
      </c>
      <c r="CB44" s="291">
        <f t="shared" si="55"/>
        <v>0</v>
      </c>
      <c r="CC44" s="292">
        <f t="shared" si="56"/>
        <v>0</v>
      </c>
      <c r="CD44" s="999">
        <v>31</v>
      </c>
      <c r="CE44" s="286">
        <f t="shared" si="300"/>
        <v>43982</v>
      </c>
      <c r="CF44" s="287">
        <f t="shared" si="24"/>
        <v>43982</v>
      </c>
      <c r="CG44" s="288">
        <f>'दैनिक माहिती'!H70</f>
        <v>0</v>
      </c>
      <c r="CH44" s="289">
        <f>'दैनिक माहिती'!E70</f>
        <v>0</v>
      </c>
      <c r="CI44" s="289">
        <f>'दैनिक माहिती'!F70</f>
        <v>0</v>
      </c>
      <c r="CJ44" s="289">
        <f>'दैनिक माहिती'!G70</f>
        <v>0</v>
      </c>
      <c r="CK44" s="290">
        <f t="shared" si="57"/>
        <v>0</v>
      </c>
      <c r="CL44" s="290">
        <f t="shared" si="58"/>
        <v>0</v>
      </c>
      <c r="CM44" s="290">
        <f t="shared" si="59"/>
        <v>0</v>
      </c>
      <c r="CN44" s="290">
        <f t="shared" si="60"/>
        <v>0</v>
      </c>
      <c r="CO44" s="290">
        <f t="shared" si="61"/>
        <v>0</v>
      </c>
      <c r="CP44" s="290">
        <f t="shared" si="62"/>
        <v>0</v>
      </c>
      <c r="CQ44" s="290">
        <f t="shared" si="63"/>
        <v>0</v>
      </c>
      <c r="CR44" s="290">
        <f t="shared" si="64"/>
        <v>0</v>
      </c>
      <c r="CS44" s="290">
        <f t="shared" si="65"/>
        <v>0</v>
      </c>
      <c r="CT44" s="290">
        <f t="shared" si="66"/>
        <v>0</v>
      </c>
      <c r="CU44" s="290">
        <f t="shared" si="67"/>
        <v>0</v>
      </c>
      <c r="CV44" s="290">
        <f t="shared" si="68"/>
        <v>0</v>
      </c>
      <c r="CW44" s="290">
        <f t="shared" si="69"/>
        <v>0</v>
      </c>
      <c r="CX44" s="290">
        <f t="shared" si="70"/>
        <v>0</v>
      </c>
      <c r="CY44" s="290">
        <f t="shared" si="71"/>
        <v>0</v>
      </c>
      <c r="CZ44" s="290">
        <f t="shared" si="72"/>
        <v>0</v>
      </c>
      <c r="DA44" s="290">
        <f t="shared" si="73"/>
        <v>0</v>
      </c>
      <c r="DB44" s="290">
        <f t="shared" si="74"/>
        <v>0</v>
      </c>
      <c r="DC44" s="291">
        <f t="shared" si="75"/>
        <v>0</v>
      </c>
      <c r="DD44" s="291">
        <f t="shared" si="76"/>
        <v>0</v>
      </c>
      <c r="DE44" s="291">
        <f t="shared" si="77"/>
        <v>0</v>
      </c>
      <c r="DF44" s="292">
        <f t="shared" si="78"/>
        <v>0</v>
      </c>
      <c r="DG44" s="999">
        <v>31</v>
      </c>
      <c r="DH44" s="286">
        <f t="shared" si="301"/>
        <v>44013</v>
      </c>
      <c r="DI44" s="287">
        <f t="shared" si="25"/>
        <v>44013</v>
      </c>
      <c r="DJ44" s="288"/>
      <c r="DK44" s="289"/>
      <c r="DL44" s="289"/>
      <c r="DM44" s="289"/>
      <c r="DN44" s="290">
        <f t="shared" si="79"/>
        <v>0</v>
      </c>
      <c r="DO44" s="290">
        <f t="shared" si="80"/>
        <v>0</v>
      </c>
      <c r="DP44" s="290">
        <f t="shared" si="81"/>
        <v>0</v>
      </c>
      <c r="DQ44" s="290">
        <f t="shared" si="82"/>
        <v>0</v>
      </c>
      <c r="DR44" s="290">
        <f t="shared" si="83"/>
        <v>0</v>
      </c>
      <c r="DS44" s="290">
        <f t="shared" si="84"/>
        <v>0</v>
      </c>
      <c r="DT44" s="290">
        <f t="shared" si="85"/>
        <v>0</v>
      </c>
      <c r="DU44" s="290">
        <f t="shared" si="86"/>
        <v>0</v>
      </c>
      <c r="DV44" s="290">
        <f t="shared" si="87"/>
        <v>0</v>
      </c>
      <c r="DW44" s="290">
        <f t="shared" si="88"/>
        <v>0</v>
      </c>
      <c r="DX44" s="290">
        <f t="shared" si="89"/>
        <v>0</v>
      </c>
      <c r="DY44" s="290">
        <f t="shared" si="90"/>
        <v>0</v>
      </c>
      <c r="DZ44" s="290">
        <f t="shared" si="91"/>
        <v>0</v>
      </c>
      <c r="EA44" s="290">
        <f t="shared" si="92"/>
        <v>0</v>
      </c>
      <c r="EB44" s="290">
        <f t="shared" si="93"/>
        <v>0</v>
      </c>
      <c r="EC44" s="290">
        <f t="shared" si="94"/>
        <v>0</v>
      </c>
      <c r="ED44" s="290">
        <f t="shared" si="95"/>
        <v>0</v>
      </c>
      <c r="EE44" s="290">
        <f t="shared" si="96"/>
        <v>0</v>
      </c>
      <c r="EF44" s="291">
        <f t="shared" si="97"/>
        <v>0</v>
      </c>
      <c r="EG44" s="291">
        <f t="shared" si="98"/>
        <v>0</v>
      </c>
      <c r="EH44" s="291">
        <f t="shared" si="99"/>
        <v>0</v>
      </c>
      <c r="EI44" s="292">
        <f t="shared" si="100"/>
        <v>0</v>
      </c>
      <c r="EJ44" s="999">
        <v>31</v>
      </c>
      <c r="EK44" s="286">
        <f t="shared" si="302"/>
        <v>44043</v>
      </c>
      <c r="EL44" s="287">
        <f t="shared" si="26"/>
        <v>44043</v>
      </c>
      <c r="EM44" s="288">
        <f>'दैनिक माहिती'!H133</f>
        <v>0</v>
      </c>
      <c r="EN44" s="289">
        <f>'दैनिक माहिती'!E133</f>
        <v>0</v>
      </c>
      <c r="EO44" s="289">
        <f>'दैनिक माहिती'!F133</f>
        <v>0</v>
      </c>
      <c r="EP44" s="289">
        <f>'दैनिक माहिती'!G133</f>
        <v>0</v>
      </c>
      <c r="EQ44" s="290">
        <f t="shared" si="101"/>
        <v>0</v>
      </c>
      <c r="ER44" s="290">
        <f t="shared" si="102"/>
        <v>0</v>
      </c>
      <c r="ES44" s="290">
        <f t="shared" si="103"/>
        <v>0</v>
      </c>
      <c r="ET44" s="290">
        <f t="shared" si="104"/>
        <v>0</v>
      </c>
      <c r="EU44" s="290">
        <f t="shared" si="105"/>
        <v>0</v>
      </c>
      <c r="EV44" s="290">
        <f t="shared" si="106"/>
        <v>0</v>
      </c>
      <c r="EW44" s="290">
        <f t="shared" si="107"/>
        <v>0</v>
      </c>
      <c r="EX44" s="290">
        <f t="shared" si="108"/>
        <v>0</v>
      </c>
      <c r="EY44" s="290">
        <f t="shared" si="109"/>
        <v>0</v>
      </c>
      <c r="EZ44" s="290">
        <f t="shared" si="110"/>
        <v>0</v>
      </c>
      <c r="FA44" s="290">
        <f t="shared" si="111"/>
        <v>0</v>
      </c>
      <c r="FB44" s="290">
        <f t="shared" si="112"/>
        <v>0</v>
      </c>
      <c r="FC44" s="290">
        <f t="shared" si="113"/>
        <v>0</v>
      </c>
      <c r="FD44" s="290">
        <f t="shared" si="114"/>
        <v>0</v>
      </c>
      <c r="FE44" s="290">
        <f t="shared" si="115"/>
        <v>0</v>
      </c>
      <c r="FF44" s="290">
        <f t="shared" si="116"/>
        <v>0</v>
      </c>
      <c r="FG44" s="290">
        <f t="shared" si="117"/>
        <v>0</v>
      </c>
      <c r="FH44" s="290">
        <f t="shared" si="118"/>
        <v>0</v>
      </c>
      <c r="FI44" s="291">
        <f t="shared" si="119"/>
        <v>0</v>
      </c>
      <c r="FJ44" s="291">
        <f t="shared" si="120"/>
        <v>0</v>
      </c>
      <c r="FK44" s="291">
        <f t="shared" si="121"/>
        <v>0</v>
      </c>
      <c r="FL44" s="292">
        <f t="shared" si="122"/>
        <v>0</v>
      </c>
      <c r="FM44" s="999">
        <v>31</v>
      </c>
      <c r="FN44" s="286">
        <f t="shared" si="303"/>
        <v>44074</v>
      </c>
      <c r="FO44" s="287">
        <f t="shared" si="27"/>
        <v>44074</v>
      </c>
      <c r="FP44" s="288">
        <f>'दैनिक माहिती'!H165</f>
        <v>0</v>
      </c>
      <c r="FQ44" s="289">
        <f>'दैनिक माहिती'!E165</f>
        <v>0</v>
      </c>
      <c r="FR44" s="289">
        <f>'दैनिक माहिती'!F165</f>
        <v>0</v>
      </c>
      <c r="FS44" s="289">
        <f>'दैनिक माहिती'!G165</f>
        <v>0</v>
      </c>
      <c r="FT44" s="290">
        <f t="shared" si="123"/>
        <v>0</v>
      </c>
      <c r="FU44" s="290">
        <f t="shared" si="124"/>
        <v>0</v>
      </c>
      <c r="FV44" s="290">
        <f t="shared" si="125"/>
        <v>0</v>
      </c>
      <c r="FW44" s="290">
        <f t="shared" si="126"/>
        <v>0</v>
      </c>
      <c r="FX44" s="290">
        <f t="shared" si="127"/>
        <v>0</v>
      </c>
      <c r="FY44" s="290">
        <f t="shared" si="128"/>
        <v>0</v>
      </c>
      <c r="FZ44" s="290">
        <f t="shared" si="129"/>
        <v>0</v>
      </c>
      <c r="GA44" s="290">
        <f t="shared" si="130"/>
        <v>0</v>
      </c>
      <c r="GB44" s="290">
        <f t="shared" si="131"/>
        <v>0</v>
      </c>
      <c r="GC44" s="290">
        <f t="shared" si="132"/>
        <v>0</v>
      </c>
      <c r="GD44" s="290">
        <f t="shared" si="133"/>
        <v>0</v>
      </c>
      <c r="GE44" s="290">
        <f t="shared" si="134"/>
        <v>0</v>
      </c>
      <c r="GF44" s="290">
        <f t="shared" si="135"/>
        <v>0</v>
      </c>
      <c r="GG44" s="290">
        <f t="shared" si="136"/>
        <v>0</v>
      </c>
      <c r="GH44" s="290">
        <f t="shared" si="137"/>
        <v>0</v>
      </c>
      <c r="GI44" s="290">
        <f t="shared" si="138"/>
        <v>0</v>
      </c>
      <c r="GJ44" s="290">
        <f t="shared" si="139"/>
        <v>0</v>
      </c>
      <c r="GK44" s="290">
        <f t="shared" si="140"/>
        <v>0</v>
      </c>
      <c r="GL44" s="291">
        <f t="shared" si="141"/>
        <v>0</v>
      </c>
      <c r="GM44" s="291">
        <f t="shared" si="142"/>
        <v>0</v>
      </c>
      <c r="GN44" s="291">
        <f t="shared" si="143"/>
        <v>0</v>
      </c>
      <c r="GO44" s="292">
        <f t="shared" si="144"/>
        <v>0</v>
      </c>
      <c r="GP44" s="999">
        <v>31</v>
      </c>
      <c r="GQ44" s="286">
        <f t="shared" si="304"/>
        <v>44105</v>
      </c>
      <c r="GR44" s="287">
        <f t="shared" si="28"/>
        <v>44105</v>
      </c>
      <c r="GS44" s="288"/>
      <c r="GT44" s="289"/>
      <c r="GU44" s="289"/>
      <c r="GV44" s="289"/>
      <c r="GW44" s="290">
        <f t="shared" si="145"/>
        <v>0</v>
      </c>
      <c r="GX44" s="290">
        <f t="shared" si="146"/>
        <v>0</v>
      </c>
      <c r="GY44" s="290">
        <f t="shared" si="147"/>
        <v>0</v>
      </c>
      <c r="GZ44" s="290">
        <f t="shared" si="148"/>
        <v>0</v>
      </c>
      <c r="HA44" s="290">
        <f t="shared" si="149"/>
        <v>0</v>
      </c>
      <c r="HB44" s="290">
        <f t="shared" si="150"/>
        <v>0</v>
      </c>
      <c r="HC44" s="290">
        <f t="shared" si="151"/>
        <v>0</v>
      </c>
      <c r="HD44" s="290">
        <f t="shared" si="152"/>
        <v>0</v>
      </c>
      <c r="HE44" s="290">
        <f t="shared" si="153"/>
        <v>0</v>
      </c>
      <c r="HF44" s="290">
        <f t="shared" si="154"/>
        <v>0</v>
      </c>
      <c r="HG44" s="290">
        <f t="shared" si="155"/>
        <v>0</v>
      </c>
      <c r="HH44" s="290">
        <f t="shared" si="156"/>
        <v>0</v>
      </c>
      <c r="HI44" s="290">
        <f t="shared" si="157"/>
        <v>0</v>
      </c>
      <c r="HJ44" s="290">
        <f t="shared" si="158"/>
        <v>0</v>
      </c>
      <c r="HK44" s="290">
        <f t="shared" si="159"/>
        <v>0</v>
      </c>
      <c r="HL44" s="290">
        <f t="shared" si="160"/>
        <v>0</v>
      </c>
      <c r="HM44" s="290">
        <f t="shared" si="161"/>
        <v>0</v>
      </c>
      <c r="HN44" s="290">
        <f t="shared" si="162"/>
        <v>0</v>
      </c>
      <c r="HO44" s="291">
        <f t="shared" si="163"/>
        <v>0</v>
      </c>
      <c r="HP44" s="291">
        <f t="shared" si="164"/>
        <v>0</v>
      </c>
      <c r="HQ44" s="291">
        <f t="shared" si="165"/>
        <v>0</v>
      </c>
      <c r="HR44" s="292">
        <f t="shared" si="166"/>
        <v>0</v>
      </c>
      <c r="HS44" s="999">
        <v>31</v>
      </c>
      <c r="HT44" s="286">
        <f t="shared" si="305"/>
        <v>44135</v>
      </c>
      <c r="HU44" s="287">
        <f t="shared" si="29"/>
        <v>44135</v>
      </c>
      <c r="HV44" s="288">
        <f>'दैनिक माहिती'!H228</f>
        <v>0</v>
      </c>
      <c r="HW44" s="289">
        <f>'दैनिक माहिती'!E228</f>
        <v>0</v>
      </c>
      <c r="HX44" s="289">
        <f>'दैनिक माहिती'!F228</f>
        <v>0</v>
      </c>
      <c r="HY44" s="289">
        <f>'दैनिक माहिती'!G228</f>
        <v>0</v>
      </c>
      <c r="HZ44" s="290">
        <f t="shared" si="167"/>
        <v>0</v>
      </c>
      <c r="IA44" s="290">
        <f t="shared" si="168"/>
        <v>0</v>
      </c>
      <c r="IB44" s="290">
        <f t="shared" si="169"/>
        <v>0</v>
      </c>
      <c r="IC44" s="290">
        <f t="shared" si="170"/>
        <v>0</v>
      </c>
      <c r="ID44" s="290">
        <f t="shared" si="171"/>
        <v>0</v>
      </c>
      <c r="IE44" s="290">
        <f t="shared" si="172"/>
        <v>0</v>
      </c>
      <c r="IF44" s="290">
        <f t="shared" si="173"/>
        <v>0</v>
      </c>
      <c r="IG44" s="290">
        <f t="shared" si="174"/>
        <v>0</v>
      </c>
      <c r="IH44" s="290">
        <f t="shared" si="175"/>
        <v>0</v>
      </c>
      <c r="II44" s="290">
        <f t="shared" si="176"/>
        <v>0</v>
      </c>
      <c r="IJ44" s="290">
        <f t="shared" si="177"/>
        <v>0</v>
      </c>
      <c r="IK44" s="290">
        <f t="shared" si="178"/>
        <v>0</v>
      </c>
      <c r="IL44" s="290">
        <f t="shared" si="179"/>
        <v>0</v>
      </c>
      <c r="IM44" s="290">
        <f t="shared" si="180"/>
        <v>0</v>
      </c>
      <c r="IN44" s="290">
        <f t="shared" si="181"/>
        <v>0</v>
      </c>
      <c r="IO44" s="290">
        <f t="shared" si="182"/>
        <v>0</v>
      </c>
      <c r="IP44" s="290">
        <f t="shared" si="183"/>
        <v>0</v>
      </c>
      <c r="IQ44" s="290">
        <f t="shared" si="184"/>
        <v>0</v>
      </c>
      <c r="IR44" s="291">
        <f t="shared" si="185"/>
        <v>0</v>
      </c>
      <c r="IS44" s="291">
        <f t="shared" si="186"/>
        <v>0</v>
      </c>
      <c r="IT44" s="291">
        <f t="shared" si="187"/>
        <v>0</v>
      </c>
      <c r="IU44" s="292">
        <f t="shared" si="188"/>
        <v>0</v>
      </c>
      <c r="IV44" s="999">
        <v>31</v>
      </c>
      <c r="IW44" s="286">
        <f t="shared" si="306"/>
        <v>44166</v>
      </c>
      <c r="IX44" s="287">
        <f t="shared" si="30"/>
        <v>44166</v>
      </c>
      <c r="IY44" s="288"/>
      <c r="IZ44" s="289"/>
      <c r="JA44" s="289"/>
      <c r="JB44" s="289"/>
      <c r="JC44" s="290">
        <f t="shared" si="189"/>
        <v>0</v>
      </c>
      <c r="JD44" s="290">
        <f t="shared" si="190"/>
        <v>0</v>
      </c>
      <c r="JE44" s="290">
        <f t="shared" si="191"/>
        <v>0</v>
      </c>
      <c r="JF44" s="290">
        <f t="shared" si="192"/>
        <v>0</v>
      </c>
      <c r="JG44" s="290">
        <f t="shared" si="193"/>
        <v>0</v>
      </c>
      <c r="JH44" s="290">
        <f t="shared" si="194"/>
        <v>0</v>
      </c>
      <c r="JI44" s="290">
        <f t="shared" si="195"/>
        <v>0</v>
      </c>
      <c r="JJ44" s="290">
        <f t="shared" si="196"/>
        <v>0</v>
      </c>
      <c r="JK44" s="290">
        <f t="shared" si="197"/>
        <v>0</v>
      </c>
      <c r="JL44" s="290">
        <f t="shared" si="198"/>
        <v>0</v>
      </c>
      <c r="JM44" s="290">
        <f t="shared" si="199"/>
        <v>0</v>
      </c>
      <c r="JN44" s="290">
        <f t="shared" si="200"/>
        <v>0</v>
      </c>
      <c r="JO44" s="290">
        <f t="shared" si="201"/>
        <v>0</v>
      </c>
      <c r="JP44" s="290">
        <f t="shared" si="202"/>
        <v>0</v>
      </c>
      <c r="JQ44" s="290">
        <f t="shared" si="203"/>
        <v>0</v>
      </c>
      <c r="JR44" s="290">
        <f t="shared" si="204"/>
        <v>0</v>
      </c>
      <c r="JS44" s="290">
        <f t="shared" si="205"/>
        <v>0</v>
      </c>
      <c r="JT44" s="290">
        <f t="shared" si="206"/>
        <v>0</v>
      </c>
      <c r="JU44" s="291">
        <f t="shared" si="207"/>
        <v>0</v>
      </c>
      <c r="JV44" s="291">
        <f t="shared" si="208"/>
        <v>0</v>
      </c>
      <c r="JW44" s="291">
        <f t="shared" si="209"/>
        <v>0</v>
      </c>
      <c r="JX44" s="292">
        <f t="shared" si="210"/>
        <v>0</v>
      </c>
      <c r="JY44" s="999">
        <v>31</v>
      </c>
      <c r="JZ44" s="286">
        <f t="shared" si="307"/>
        <v>44196</v>
      </c>
      <c r="KA44" s="287">
        <f t="shared" si="31"/>
        <v>44196</v>
      </c>
      <c r="KB44" s="288" t="str">
        <f>'दैनिक माहिती'!H291</f>
        <v>मुगडाळ</v>
      </c>
      <c r="KC44" s="289">
        <f>'दैनिक माहिती'!E291</f>
        <v>21</v>
      </c>
      <c r="KD44" s="289">
        <f>'दैनिक माहिती'!F291</f>
        <v>21</v>
      </c>
      <c r="KE44" s="289">
        <f>'दैनिक माहिती'!G291</f>
        <v>21</v>
      </c>
      <c r="KF44" s="290">
        <f t="shared" si="211"/>
        <v>2.1</v>
      </c>
      <c r="KG44" s="290">
        <f t="shared" si="212"/>
        <v>0.42</v>
      </c>
      <c r="KH44" s="290">
        <f t="shared" si="213"/>
        <v>0</v>
      </c>
      <c r="KI44" s="290">
        <f t="shared" si="214"/>
        <v>0</v>
      </c>
      <c r="KJ44" s="290">
        <f t="shared" si="215"/>
        <v>0</v>
      </c>
      <c r="KK44" s="290">
        <f t="shared" si="216"/>
        <v>0</v>
      </c>
      <c r="KL44" s="290">
        <f t="shared" si="217"/>
        <v>0</v>
      </c>
      <c r="KM44" s="290">
        <f t="shared" si="218"/>
        <v>0</v>
      </c>
      <c r="KN44" s="290">
        <f t="shared" si="219"/>
        <v>0</v>
      </c>
      <c r="KO44" s="290">
        <f t="shared" si="220"/>
        <v>6.2999999999999992E-3</v>
      </c>
      <c r="KP44" s="290">
        <f t="shared" si="221"/>
        <v>1.0500000000000001E-2</v>
      </c>
      <c r="KQ44" s="290">
        <f t="shared" si="222"/>
        <v>6.2999999999999992E-3</v>
      </c>
      <c r="KR44" s="290">
        <f t="shared" si="223"/>
        <v>0</v>
      </c>
      <c r="KS44" s="290">
        <f t="shared" si="224"/>
        <v>0</v>
      </c>
      <c r="KT44" s="290">
        <f t="shared" si="225"/>
        <v>0.105</v>
      </c>
      <c r="KU44" s="290">
        <f t="shared" si="226"/>
        <v>4.2000000000000003E-2</v>
      </c>
      <c r="KV44" s="290">
        <f t="shared" si="227"/>
        <v>2.5199999999999997E-2</v>
      </c>
      <c r="KW44" s="290">
        <f t="shared" si="228"/>
        <v>0</v>
      </c>
      <c r="KX44" s="291">
        <f t="shared" si="229"/>
        <v>14.91</v>
      </c>
      <c r="KY44" s="291">
        <f t="shared" si="230"/>
        <v>16.59</v>
      </c>
      <c r="KZ44" s="291">
        <f t="shared" si="231"/>
        <v>12.18</v>
      </c>
      <c r="LA44" s="292">
        <f t="shared" si="232"/>
        <v>60.27</v>
      </c>
      <c r="LB44" s="999">
        <v>31</v>
      </c>
      <c r="LC44" s="286">
        <f t="shared" si="308"/>
        <v>44227</v>
      </c>
      <c r="LD44" s="287">
        <f t="shared" si="32"/>
        <v>44227</v>
      </c>
      <c r="LE44" s="288">
        <f>'दैनिक माहिती'!H323</f>
        <v>0</v>
      </c>
      <c r="LF44" s="289">
        <f>'दैनिक माहिती'!E323</f>
        <v>0</v>
      </c>
      <c r="LG44" s="289">
        <f>'दैनिक माहिती'!F323</f>
        <v>0</v>
      </c>
      <c r="LH44" s="289">
        <f>'दैनिक माहिती'!G323</f>
        <v>0</v>
      </c>
      <c r="LI44" s="290">
        <f t="shared" si="233"/>
        <v>0</v>
      </c>
      <c r="LJ44" s="290">
        <f t="shared" si="234"/>
        <v>0</v>
      </c>
      <c r="LK44" s="290">
        <f t="shared" si="235"/>
        <v>0</v>
      </c>
      <c r="LL44" s="290">
        <f t="shared" si="236"/>
        <v>0</v>
      </c>
      <c r="LM44" s="290">
        <f t="shared" si="237"/>
        <v>0</v>
      </c>
      <c r="LN44" s="290">
        <f t="shared" si="238"/>
        <v>0</v>
      </c>
      <c r="LO44" s="290">
        <f t="shared" si="239"/>
        <v>0</v>
      </c>
      <c r="LP44" s="290">
        <f t="shared" si="240"/>
        <v>0</v>
      </c>
      <c r="LQ44" s="290">
        <f t="shared" si="241"/>
        <v>0</v>
      </c>
      <c r="LR44" s="290">
        <f t="shared" si="242"/>
        <v>0</v>
      </c>
      <c r="LS44" s="290">
        <f t="shared" si="243"/>
        <v>0</v>
      </c>
      <c r="LT44" s="290">
        <f t="shared" si="244"/>
        <v>0</v>
      </c>
      <c r="LU44" s="290">
        <f t="shared" si="245"/>
        <v>0</v>
      </c>
      <c r="LV44" s="290">
        <f t="shared" si="246"/>
        <v>0</v>
      </c>
      <c r="LW44" s="290">
        <f t="shared" si="247"/>
        <v>0</v>
      </c>
      <c r="LX44" s="290">
        <f t="shared" si="248"/>
        <v>0</v>
      </c>
      <c r="LY44" s="290">
        <f t="shared" si="249"/>
        <v>0</v>
      </c>
      <c r="LZ44" s="290">
        <f t="shared" si="250"/>
        <v>0</v>
      </c>
      <c r="MA44" s="291">
        <f t="shared" si="251"/>
        <v>0</v>
      </c>
      <c r="MB44" s="291">
        <f t="shared" si="252"/>
        <v>0</v>
      </c>
      <c r="MC44" s="291">
        <f t="shared" si="253"/>
        <v>0</v>
      </c>
      <c r="MD44" s="292">
        <f t="shared" si="254"/>
        <v>0</v>
      </c>
      <c r="ME44" s="999">
        <v>31</v>
      </c>
      <c r="MF44" s="286">
        <f t="shared" si="309"/>
        <v>44258</v>
      </c>
      <c r="MG44" s="287">
        <f t="shared" si="33"/>
        <v>44258</v>
      </c>
      <c r="MH44" s="288"/>
      <c r="MI44" s="289"/>
      <c r="MJ44" s="289"/>
      <c r="MK44" s="289"/>
      <c r="ML44" s="290">
        <f t="shared" si="255"/>
        <v>0</v>
      </c>
      <c r="MM44" s="290">
        <f t="shared" si="256"/>
        <v>0</v>
      </c>
      <c r="MN44" s="290">
        <f t="shared" si="257"/>
        <v>0</v>
      </c>
      <c r="MO44" s="290">
        <f t="shared" si="258"/>
        <v>0</v>
      </c>
      <c r="MP44" s="290">
        <f t="shared" si="259"/>
        <v>0</v>
      </c>
      <c r="MQ44" s="290">
        <f t="shared" si="260"/>
        <v>0</v>
      </c>
      <c r="MR44" s="290">
        <f t="shared" si="261"/>
        <v>0</v>
      </c>
      <c r="MS44" s="290">
        <f t="shared" si="262"/>
        <v>0</v>
      </c>
      <c r="MT44" s="290">
        <f t="shared" si="263"/>
        <v>0</v>
      </c>
      <c r="MU44" s="290">
        <f t="shared" si="264"/>
        <v>0</v>
      </c>
      <c r="MV44" s="290">
        <f t="shared" si="265"/>
        <v>0</v>
      </c>
      <c r="MW44" s="290">
        <f t="shared" si="266"/>
        <v>0</v>
      </c>
      <c r="MX44" s="290">
        <f t="shared" si="267"/>
        <v>0</v>
      </c>
      <c r="MY44" s="290">
        <f t="shared" si="268"/>
        <v>0</v>
      </c>
      <c r="MZ44" s="290">
        <f t="shared" si="269"/>
        <v>0</v>
      </c>
      <c r="NA44" s="290">
        <f t="shared" si="270"/>
        <v>0</v>
      </c>
      <c r="NB44" s="290">
        <f t="shared" si="271"/>
        <v>0</v>
      </c>
      <c r="NC44" s="290">
        <f t="shared" si="272"/>
        <v>0</v>
      </c>
      <c r="ND44" s="291">
        <f t="shared" si="273"/>
        <v>0</v>
      </c>
      <c r="NE44" s="291">
        <f t="shared" si="274"/>
        <v>0</v>
      </c>
      <c r="NF44" s="291">
        <f t="shared" si="275"/>
        <v>0</v>
      </c>
      <c r="NG44" s="292">
        <f t="shared" si="276"/>
        <v>0</v>
      </c>
      <c r="NH44" s="999">
        <v>31</v>
      </c>
      <c r="NI44" s="286">
        <f t="shared" si="310"/>
        <v>44286</v>
      </c>
      <c r="NJ44" s="287">
        <f t="shared" si="34"/>
        <v>44286</v>
      </c>
      <c r="NK44" s="288">
        <f>'दैनिक माहिती'!H385</f>
        <v>0</v>
      </c>
      <c r="NL44" s="289">
        <f>'दैनिक माहिती'!E385</f>
        <v>0</v>
      </c>
      <c r="NM44" s="289">
        <f>'दैनिक माहिती'!F385</f>
        <v>0</v>
      </c>
      <c r="NN44" s="289">
        <f>'दैनिक माहिती'!G385</f>
        <v>0</v>
      </c>
      <c r="NO44" s="290">
        <f t="shared" si="277"/>
        <v>0</v>
      </c>
      <c r="NP44" s="290">
        <f t="shared" si="278"/>
        <v>0</v>
      </c>
      <c r="NQ44" s="290">
        <f t="shared" si="279"/>
        <v>0</v>
      </c>
      <c r="NR44" s="290">
        <f t="shared" si="280"/>
        <v>0</v>
      </c>
      <c r="NS44" s="290">
        <f t="shared" si="281"/>
        <v>0</v>
      </c>
      <c r="NT44" s="290">
        <f t="shared" si="282"/>
        <v>0</v>
      </c>
      <c r="NU44" s="290">
        <f t="shared" si="283"/>
        <v>0</v>
      </c>
      <c r="NV44" s="290">
        <f t="shared" si="284"/>
        <v>0</v>
      </c>
      <c r="NW44" s="290">
        <f t="shared" si="285"/>
        <v>0</v>
      </c>
      <c r="NX44" s="290">
        <f t="shared" si="286"/>
        <v>0</v>
      </c>
      <c r="NY44" s="290">
        <f t="shared" si="287"/>
        <v>0</v>
      </c>
      <c r="NZ44" s="290">
        <f t="shared" si="288"/>
        <v>0</v>
      </c>
      <c r="OA44" s="290">
        <f t="shared" si="289"/>
        <v>0</v>
      </c>
      <c r="OB44" s="290">
        <f t="shared" si="290"/>
        <v>0</v>
      </c>
      <c r="OC44" s="290">
        <f t="shared" si="291"/>
        <v>0</v>
      </c>
      <c r="OD44" s="290">
        <f t="shared" si="292"/>
        <v>0</v>
      </c>
      <c r="OE44" s="290">
        <f t="shared" si="293"/>
        <v>0</v>
      </c>
      <c r="OF44" s="290">
        <f t="shared" si="294"/>
        <v>0</v>
      </c>
      <c r="OG44" s="291">
        <f t="shared" si="295"/>
        <v>0</v>
      </c>
      <c r="OH44" s="291">
        <f t="shared" si="296"/>
        <v>0</v>
      </c>
      <c r="OI44" s="291">
        <f t="shared" si="297"/>
        <v>0</v>
      </c>
      <c r="OJ44" s="292">
        <f t="shared" si="298"/>
        <v>0</v>
      </c>
    </row>
    <row r="45" spans="50:400" ht="29.25" customHeight="1" x14ac:dyDescent="0.3">
      <c r="BA45" s="2019" t="s">
        <v>218</v>
      </c>
      <c r="BB45" s="2019"/>
      <c r="BC45" s="2019"/>
      <c r="BD45" s="294">
        <f>COUNTIF($BE$14:$BE$43,"&gt;0")</f>
        <v>23</v>
      </c>
      <c r="BE45" s="295">
        <f>SUM(BE14:BE44)</f>
        <v>506</v>
      </c>
      <c r="BF45" s="295">
        <f>SUM(BF14:BF44)</f>
        <v>506</v>
      </c>
      <c r="BG45" s="295">
        <f>SUM(BG14:BG44)</f>
        <v>506</v>
      </c>
      <c r="BH45" s="296">
        <f>SUM(BH14:BH44)</f>
        <v>50.600000000000016</v>
      </c>
      <c r="BI45" s="296">
        <f t="shared" ref="BI45:CB45" si="311">SUM(BI14:BI44)</f>
        <v>3.52</v>
      </c>
      <c r="BJ45" s="296">
        <f t="shared" si="311"/>
        <v>0</v>
      </c>
      <c r="BK45" s="296">
        <f t="shared" si="311"/>
        <v>0</v>
      </c>
      <c r="BL45" s="296">
        <f t="shared" si="311"/>
        <v>0</v>
      </c>
      <c r="BM45" s="296">
        <f t="shared" si="311"/>
        <v>0</v>
      </c>
      <c r="BN45" s="296">
        <f t="shared" si="311"/>
        <v>0</v>
      </c>
      <c r="BO45" s="296">
        <f t="shared" si="311"/>
        <v>3.08</v>
      </c>
      <c r="BP45" s="296">
        <f t="shared" si="311"/>
        <v>3.52</v>
      </c>
      <c r="BQ45" s="296">
        <f t="shared" si="311"/>
        <v>0.15179999999999993</v>
      </c>
      <c r="BR45" s="296">
        <f t="shared" si="311"/>
        <v>0.25300000000000006</v>
      </c>
      <c r="BS45" s="296">
        <f t="shared" si="311"/>
        <v>0.15179999999999993</v>
      </c>
      <c r="BT45" s="296">
        <f t="shared" si="311"/>
        <v>0</v>
      </c>
      <c r="BU45" s="296">
        <f t="shared" si="311"/>
        <v>0</v>
      </c>
      <c r="BV45" s="296">
        <f t="shared" si="311"/>
        <v>2.5300000000000002</v>
      </c>
      <c r="BW45" s="296">
        <f t="shared" si="311"/>
        <v>1.0120000000000002</v>
      </c>
      <c r="BX45" s="296">
        <f t="shared" si="311"/>
        <v>0.60719999999999974</v>
      </c>
      <c r="BY45" s="296">
        <f t="shared" si="311"/>
        <v>0</v>
      </c>
      <c r="BZ45" s="292">
        <f t="shared" si="311"/>
        <v>364.31999999999988</v>
      </c>
      <c r="CA45" s="292">
        <f t="shared" si="311"/>
        <v>323.84000000000003</v>
      </c>
      <c r="CB45" s="292">
        <f t="shared" si="311"/>
        <v>268.18</v>
      </c>
      <c r="CC45" s="292">
        <f t="shared" ref="CC45" si="312">SUM(BZ45:CB45)</f>
        <v>956.33999999999992</v>
      </c>
      <c r="CD45" s="2019" t="s">
        <v>218</v>
      </c>
      <c r="CE45" s="2019"/>
      <c r="CF45" s="2019"/>
      <c r="CG45" s="297">
        <f>COUNTIF($CH$14:$CH$44,"&gt;0")</f>
        <v>0</v>
      </c>
      <c r="CH45" s="295">
        <f>SUM(CH14:CH44)</f>
        <v>0</v>
      </c>
      <c r="CI45" s="295">
        <f>SUM(CI14:CI44)</f>
        <v>0</v>
      </c>
      <c r="CJ45" s="295">
        <f>SUM(CJ14:CJ44)</f>
        <v>0</v>
      </c>
      <c r="CK45" s="296">
        <f>SUM(CK14:CK44)</f>
        <v>0</v>
      </c>
      <c r="CL45" s="296">
        <f t="shared" ref="CL45:DE45" si="313">SUM(CL14:CL44)</f>
        <v>0</v>
      </c>
      <c r="CM45" s="296">
        <f t="shared" si="313"/>
        <v>0</v>
      </c>
      <c r="CN45" s="296">
        <f t="shared" si="313"/>
        <v>0</v>
      </c>
      <c r="CO45" s="296">
        <f t="shared" si="313"/>
        <v>0</v>
      </c>
      <c r="CP45" s="296">
        <f t="shared" si="313"/>
        <v>0</v>
      </c>
      <c r="CQ45" s="296">
        <f t="shared" si="313"/>
        <v>0</v>
      </c>
      <c r="CR45" s="296">
        <f t="shared" si="313"/>
        <v>0</v>
      </c>
      <c r="CS45" s="296">
        <f t="shared" si="313"/>
        <v>0</v>
      </c>
      <c r="CT45" s="296">
        <f t="shared" si="313"/>
        <v>0</v>
      </c>
      <c r="CU45" s="296">
        <f t="shared" si="313"/>
        <v>0</v>
      </c>
      <c r="CV45" s="296">
        <f t="shared" si="313"/>
        <v>0</v>
      </c>
      <c r="CW45" s="296">
        <f t="shared" si="313"/>
        <v>0</v>
      </c>
      <c r="CX45" s="296">
        <f t="shared" si="313"/>
        <v>0</v>
      </c>
      <c r="CY45" s="296">
        <f t="shared" si="313"/>
        <v>0</v>
      </c>
      <c r="CZ45" s="296">
        <f t="shared" si="313"/>
        <v>0</v>
      </c>
      <c r="DA45" s="296">
        <f t="shared" si="313"/>
        <v>0</v>
      </c>
      <c r="DB45" s="296">
        <f t="shared" si="313"/>
        <v>0</v>
      </c>
      <c r="DC45" s="292">
        <f t="shared" si="313"/>
        <v>0</v>
      </c>
      <c r="DD45" s="292">
        <f t="shared" si="313"/>
        <v>0</v>
      </c>
      <c r="DE45" s="292">
        <f t="shared" si="313"/>
        <v>0</v>
      </c>
      <c r="DF45" s="292">
        <f t="shared" ref="DF45" si="314">SUM(DC45:DE45)</f>
        <v>0</v>
      </c>
      <c r="DG45" s="2019" t="s">
        <v>218</v>
      </c>
      <c r="DH45" s="2019"/>
      <c r="DI45" s="2019"/>
      <c r="DJ45" s="297">
        <f>COUNTIF($DK$14:$DK$43,"&gt;0")</f>
        <v>14</v>
      </c>
      <c r="DK45" s="295">
        <f>SUM(DK14:DK44)</f>
        <v>234</v>
      </c>
      <c r="DL45" s="295">
        <f>SUM(DL14:DL44)</f>
        <v>234</v>
      </c>
      <c r="DM45" s="295">
        <f>SUM(DM14:DM44)</f>
        <v>234</v>
      </c>
      <c r="DN45" s="296">
        <f>SUM(DN14:DN44)</f>
        <v>23.399999999999995</v>
      </c>
      <c r="DO45" s="296">
        <f t="shared" ref="DO45:EH45" si="315">SUM(DO14:DO44)</f>
        <v>1.34</v>
      </c>
      <c r="DP45" s="296">
        <f t="shared" si="315"/>
        <v>0</v>
      </c>
      <c r="DQ45" s="296">
        <f t="shared" si="315"/>
        <v>0</v>
      </c>
      <c r="DR45" s="296">
        <f t="shared" si="315"/>
        <v>0</v>
      </c>
      <c r="DS45" s="296">
        <f t="shared" si="315"/>
        <v>0</v>
      </c>
      <c r="DT45" s="296">
        <f t="shared" si="315"/>
        <v>0</v>
      </c>
      <c r="DU45" s="296">
        <f t="shared" si="315"/>
        <v>1.6800000000000002</v>
      </c>
      <c r="DV45" s="296">
        <f t="shared" si="315"/>
        <v>1.6600000000000001</v>
      </c>
      <c r="DW45" s="296">
        <f t="shared" si="315"/>
        <v>7.0199999999999985E-2</v>
      </c>
      <c r="DX45" s="296">
        <f t="shared" si="315"/>
        <v>0.11700000000000005</v>
      </c>
      <c r="DY45" s="296">
        <f t="shared" si="315"/>
        <v>7.0199999999999985E-2</v>
      </c>
      <c r="DZ45" s="296">
        <f t="shared" si="315"/>
        <v>0</v>
      </c>
      <c r="EA45" s="296">
        <f t="shared" si="315"/>
        <v>0</v>
      </c>
      <c r="EB45" s="296">
        <f t="shared" si="315"/>
        <v>1.17</v>
      </c>
      <c r="EC45" s="296">
        <f t="shared" si="315"/>
        <v>0.46800000000000019</v>
      </c>
      <c r="ED45" s="296">
        <f t="shared" si="315"/>
        <v>0.28079999999999994</v>
      </c>
      <c r="EE45" s="296">
        <f t="shared" si="315"/>
        <v>0</v>
      </c>
      <c r="EF45" s="292">
        <f t="shared" si="315"/>
        <v>168.48000000000002</v>
      </c>
      <c r="EG45" s="292">
        <f t="shared" si="315"/>
        <v>149.76</v>
      </c>
      <c r="EH45" s="292">
        <f t="shared" si="315"/>
        <v>124.02000000000002</v>
      </c>
      <c r="EI45" s="292">
        <f t="shared" ref="EI45" si="316">SUM(EF45:EH45)</f>
        <v>442.26000000000005</v>
      </c>
      <c r="EJ45" s="2019" t="s">
        <v>218</v>
      </c>
      <c r="EK45" s="2019"/>
      <c r="EL45" s="2019"/>
      <c r="EM45" s="297">
        <f>COUNTIF($EN$14:$EN$44,"&gt;0")</f>
        <v>26</v>
      </c>
      <c r="EN45" s="295">
        <f>SUM(EN14:EN44)</f>
        <v>442</v>
      </c>
      <c r="EO45" s="295">
        <f>SUM(EO14:EO44)</f>
        <v>442</v>
      </c>
      <c r="EP45" s="295">
        <f>SUM(EP14:EP44)</f>
        <v>442</v>
      </c>
      <c r="EQ45" s="296">
        <f>SUM(EQ14:EQ44)</f>
        <v>44.20000000000001</v>
      </c>
      <c r="ER45" s="296">
        <f t="shared" ref="ER45:FK45" si="317">SUM(ER14:ER44)</f>
        <v>3.0599999999999996</v>
      </c>
      <c r="ES45" s="296">
        <f t="shared" si="317"/>
        <v>0</v>
      </c>
      <c r="ET45" s="296">
        <f t="shared" si="317"/>
        <v>0</v>
      </c>
      <c r="EU45" s="296">
        <f t="shared" si="317"/>
        <v>0</v>
      </c>
      <c r="EV45" s="296">
        <f t="shared" si="317"/>
        <v>0</v>
      </c>
      <c r="EW45" s="296">
        <f t="shared" si="317"/>
        <v>0</v>
      </c>
      <c r="EX45" s="296">
        <f t="shared" si="317"/>
        <v>2.7199999999999998</v>
      </c>
      <c r="EY45" s="296">
        <f t="shared" si="317"/>
        <v>3.0599999999999996</v>
      </c>
      <c r="EZ45" s="296">
        <f t="shared" si="317"/>
        <v>0.13259999999999991</v>
      </c>
      <c r="FA45" s="296">
        <f t="shared" si="317"/>
        <v>0.22100000000000014</v>
      </c>
      <c r="FB45" s="296">
        <f t="shared" si="317"/>
        <v>0.13259999999999991</v>
      </c>
      <c r="FC45" s="296">
        <f t="shared" si="317"/>
        <v>0</v>
      </c>
      <c r="FD45" s="296">
        <f t="shared" si="317"/>
        <v>0</v>
      </c>
      <c r="FE45" s="296">
        <f t="shared" si="317"/>
        <v>2.2099999999999995</v>
      </c>
      <c r="FF45" s="296">
        <f t="shared" si="317"/>
        <v>0.88400000000000056</v>
      </c>
      <c r="FG45" s="296">
        <f t="shared" si="317"/>
        <v>0.53039999999999965</v>
      </c>
      <c r="FH45" s="296">
        <f t="shared" si="317"/>
        <v>0</v>
      </c>
      <c r="FI45" s="292">
        <f t="shared" si="317"/>
        <v>318.24000000000012</v>
      </c>
      <c r="FJ45" s="292">
        <f t="shared" si="317"/>
        <v>282.87999999999994</v>
      </c>
      <c r="FK45" s="292">
        <f t="shared" si="317"/>
        <v>234.25999999999993</v>
      </c>
      <c r="FL45" s="292">
        <f t="shared" ref="FL45" si="318">SUM(FI45:FK45)</f>
        <v>835.38000000000011</v>
      </c>
      <c r="FM45" s="2019" t="s">
        <v>218</v>
      </c>
      <c r="FN45" s="2019"/>
      <c r="FO45" s="2019"/>
      <c r="FP45" s="297">
        <f>COUNTIF($FQ$14:$FQ$44,"&gt;0")</f>
        <v>22</v>
      </c>
      <c r="FQ45" s="295">
        <f>SUM(FQ14:FQ44)</f>
        <v>330</v>
      </c>
      <c r="FR45" s="295">
        <f>SUM(FR14:FR44)</f>
        <v>330</v>
      </c>
      <c r="FS45" s="295">
        <f>SUM(FS14:FS44)</f>
        <v>330</v>
      </c>
      <c r="FT45" s="296">
        <f>SUM(FT14:FT44)</f>
        <v>33</v>
      </c>
      <c r="FU45" s="296">
        <f t="shared" ref="FU45:GN45" si="319">SUM(FU14:FU44)</f>
        <v>2.4</v>
      </c>
      <c r="FV45" s="296">
        <f t="shared" si="319"/>
        <v>0</v>
      </c>
      <c r="FW45" s="296">
        <f t="shared" si="319"/>
        <v>0</v>
      </c>
      <c r="FX45" s="296">
        <f t="shared" si="319"/>
        <v>0</v>
      </c>
      <c r="FY45" s="296">
        <f t="shared" si="319"/>
        <v>0</v>
      </c>
      <c r="FZ45" s="296">
        <f t="shared" si="319"/>
        <v>0</v>
      </c>
      <c r="GA45" s="296">
        <f t="shared" si="319"/>
        <v>2.1</v>
      </c>
      <c r="GB45" s="296">
        <f t="shared" si="319"/>
        <v>2.1</v>
      </c>
      <c r="GC45" s="296">
        <f t="shared" si="319"/>
        <v>9.9000000000000019E-2</v>
      </c>
      <c r="GD45" s="296">
        <f t="shared" si="319"/>
        <v>0.16500000000000009</v>
      </c>
      <c r="GE45" s="296">
        <f t="shared" si="319"/>
        <v>9.9000000000000019E-2</v>
      </c>
      <c r="GF45" s="296">
        <f t="shared" si="319"/>
        <v>0</v>
      </c>
      <c r="GG45" s="296">
        <f t="shared" si="319"/>
        <v>0</v>
      </c>
      <c r="GH45" s="296">
        <f t="shared" si="319"/>
        <v>1.6499999999999995</v>
      </c>
      <c r="GI45" s="296">
        <f t="shared" si="319"/>
        <v>0.66000000000000036</v>
      </c>
      <c r="GJ45" s="296">
        <f t="shared" si="319"/>
        <v>0.39600000000000007</v>
      </c>
      <c r="GK45" s="296">
        <f t="shared" si="319"/>
        <v>0</v>
      </c>
      <c r="GL45" s="292">
        <f t="shared" si="319"/>
        <v>237.60000000000011</v>
      </c>
      <c r="GM45" s="292">
        <f t="shared" si="319"/>
        <v>211.19999999999993</v>
      </c>
      <c r="GN45" s="292">
        <f t="shared" si="319"/>
        <v>174.89999999999998</v>
      </c>
      <c r="GO45" s="292">
        <f t="shared" ref="GO45" si="320">SUM(GL45:GN45)</f>
        <v>623.70000000000005</v>
      </c>
      <c r="GP45" s="2019" t="s">
        <v>218</v>
      </c>
      <c r="GQ45" s="2019"/>
      <c r="GR45" s="2019"/>
      <c r="GS45" s="297">
        <f>COUNTIF($GT$14:$GT$43,"&gt;0")</f>
        <v>23</v>
      </c>
      <c r="GT45" s="295">
        <f>SUM(GT14:GT44)</f>
        <v>384</v>
      </c>
      <c r="GU45" s="295">
        <f>SUM(GU14:GU44)</f>
        <v>384</v>
      </c>
      <c r="GV45" s="295">
        <f>SUM(GV14:GV44)</f>
        <v>384</v>
      </c>
      <c r="GW45" s="296">
        <f>SUM(GW14:GW44)</f>
        <v>38.40000000000002</v>
      </c>
      <c r="GX45" s="296">
        <f t="shared" ref="GX45:HQ45" si="321">SUM(GX14:GX44)</f>
        <v>1.86</v>
      </c>
      <c r="GY45" s="296">
        <f t="shared" si="321"/>
        <v>0</v>
      </c>
      <c r="GZ45" s="296">
        <f t="shared" si="321"/>
        <v>0</v>
      </c>
      <c r="HA45" s="296">
        <f t="shared" si="321"/>
        <v>0</v>
      </c>
      <c r="HB45" s="296">
        <f t="shared" si="321"/>
        <v>0</v>
      </c>
      <c r="HC45" s="296">
        <f t="shared" si="321"/>
        <v>0</v>
      </c>
      <c r="HD45" s="296">
        <f t="shared" si="321"/>
        <v>3.06</v>
      </c>
      <c r="HE45" s="296">
        <f t="shared" si="321"/>
        <v>2.7600000000000002</v>
      </c>
      <c r="HF45" s="296">
        <f t="shared" si="321"/>
        <v>0.11519999999999997</v>
      </c>
      <c r="HG45" s="296">
        <f t="shared" si="321"/>
        <v>0.19200000000000012</v>
      </c>
      <c r="HH45" s="296">
        <f t="shared" si="321"/>
        <v>0.11519999999999997</v>
      </c>
      <c r="HI45" s="296">
        <f t="shared" si="321"/>
        <v>0</v>
      </c>
      <c r="HJ45" s="296">
        <f t="shared" si="321"/>
        <v>0</v>
      </c>
      <c r="HK45" s="296">
        <f t="shared" si="321"/>
        <v>1.9200000000000006</v>
      </c>
      <c r="HL45" s="296">
        <f t="shared" si="321"/>
        <v>0.76800000000000046</v>
      </c>
      <c r="HM45" s="296">
        <f t="shared" si="321"/>
        <v>0.46079999999999988</v>
      </c>
      <c r="HN45" s="296">
        <f t="shared" si="321"/>
        <v>0</v>
      </c>
      <c r="HO45" s="292">
        <f t="shared" si="321"/>
        <v>276.48</v>
      </c>
      <c r="HP45" s="292">
        <f t="shared" si="321"/>
        <v>245.76000000000008</v>
      </c>
      <c r="HQ45" s="292">
        <f t="shared" si="321"/>
        <v>203.51999999999998</v>
      </c>
      <c r="HR45" s="292">
        <f t="shared" ref="HR45" si="322">SUM(HO45:HQ45)</f>
        <v>725.7600000000001</v>
      </c>
      <c r="HS45" s="2019" t="s">
        <v>218</v>
      </c>
      <c r="HT45" s="2019"/>
      <c r="HU45" s="2019"/>
      <c r="HV45" s="297">
        <f>COUNTIF($HW$14:$HW$44,"&gt;0")</f>
        <v>11</v>
      </c>
      <c r="HW45" s="295">
        <f>SUM(HW14:HW44)</f>
        <v>236</v>
      </c>
      <c r="HX45" s="295">
        <f>SUM(HX14:HX44)</f>
        <v>236</v>
      </c>
      <c r="HY45" s="295">
        <f>SUM(HY14:HY44)</f>
        <v>236</v>
      </c>
      <c r="HZ45" s="296">
        <f>SUM(HZ14:HZ44)</f>
        <v>23.599999999999994</v>
      </c>
      <c r="IA45" s="296">
        <f t="shared" ref="IA45:IT45" si="323">SUM(IA14:IA44)</f>
        <v>2.2000000000000002</v>
      </c>
      <c r="IB45" s="296">
        <f t="shared" si="323"/>
        <v>0</v>
      </c>
      <c r="IC45" s="296">
        <f t="shared" si="323"/>
        <v>0</v>
      </c>
      <c r="ID45" s="296">
        <f t="shared" si="323"/>
        <v>0</v>
      </c>
      <c r="IE45" s="296">
        <f t="shared" si="323"/>
        <v>0</v>
      </c>
      <c r="IF45" s="296">
        <f t="shared" si="323"/>
        <v>0</v>
      </c>
      <c r="IG45" s="296">
        <f t="shared" si="323"/>
        <v>1.2</v>
      </c>
      <c r="IH45" s="296">
        <f t="shared" si="323"/>
        <v>1.32</v>
      </c>
      <c r="II45" s="296">
        <f t="shared" si="323"/>
        <v>7.0799999999999988E-2</v>
      </c>
      <c r="IJ45" s="296">
        <f t="shared" si="323"/>
        <v>0.11799999999999997</v>
      </c>
      <c r="IK45" s="296">
        <f t="shared" si="323"/>
        <v>7.0799999999999988E-2</v>
      </c>
      <c r="IL45" s="296">
        <f t="shared" si="323"/>
        <v>0</v>
      </c>
      <c r="IM45" s="296">
        <f t="shared" si="323"/>
        <v>0</v>
      </c>
      <c r="IN45" s="296">
        <f t="shared" si="323"/>
        <v>1.1800000000000002</v>
      </c>
      <c r="IO45" s="296">
        <f t="shared" si="323"/>
        <v>0.47199999999999986</v>
      </c>
      <c r="IP45" s="296">
        <f t="shared" si="323"/>
        <v>0.28319999999999995</v>
      </c>
      <c r="IQ45" s="296">
        <f t="shared" si="323"/>
        <v>0</v>
      </c>
      <c r="IR45" s="292">
        <f t="shared" si="323"/>
        <v>167.56</v>
      </c>
      <c r="IS45" s="292">
        <f t="shared" si="323"/>
        <v>186.43999999999997</v>
      </c>
      <c r="IT45" s="292">
        <f t="shared" si="323"/>
        <v>136.88000000000002</v>
      </c>
      <c r="IU45" s="292">
        <f t="shared" ref="IU45" si="324">SUM(IR45:IT45)</f>
        <v>490.88</v>
      </c>
      <c r="IV45" s="2019" t="s">
        <v>218</v>
      </c>
      <c r="IW45" s="2019"/>
      <c r="IX45" s="2019"/>
      <c r="IY45" s="297">
        <f>COUNTIF($IZ$14:$IZ$43,"&gt;0")</f>
        <v>19</v>
      </c>
      <c r="IZ45" s="295">
        <f>SUM(IZ14:IZ44)</f>
        <v>418</v>
      </c>
      <c r="JA45" s="295">
        <f>SUM(JA14:JA44)</f>
        <v>418</v>
      </c>
      <c r="JB45" s="295">
        <f>SUM(JB14:JB44)</f>
        <v>418</v>
      </c>
      <c r="JC45" s="296">
        <f>SUM(JC14:JC44)</f>
        <v>41.800000000000004</v>
      </c>
      <c r="JD45" s="296">
        <f t="shared" ref="JD45:JW45" si="325">SUM(JD14:JD44)</f>
        <v>2.64</v>
      </c>
      <c r="JE45" s="296">
        <f t="shared" si="325"/>
        <v>0</v>
      </c>
      <c r="JF45" s="296">
        <f t="shared" si="325"/>
        <v>0</v>
      </c>
      <c r="JG45" s="296">
        <f t="shared" si="325"/>
        <v>0</v>
      </c>
      <c r="JH45" s="296">
        <f t="shared" si="325"/>
        <v>0</v>
      </c>
      <c r="JI45" s="296">
        <f t="shared" si="325"/>
        <v>0</v>
      </c>
      <c r="JJ45" s="296">
        <f t="shared" si="325"/>
        <v>2.64</v>
      </c>
      <c r="JK45" s="296">
        <f t="shared" si="325"/>
        <v>3.08</v>
      </c>
      <c r="JL45" s="296">
        <f t="shared" si="325"/>
        <v>0.12539999999999996</v>
      </c>
      <c r="JM45" s="296">
        <f t="shared" si="325"/>
        <v>0.20900000000000005</v>
      </c>
      <c r="JN45" s="296">
        <f t="shared" si="325"/>
        <v>0.12539999999999996</v>
      </c>
      <c r="JO45" s="296">
        <f t="shared" si="325"/>
        <v>0</v>
      </c>
      <c r="JP45" s="296">
        <f t="shared" si="325"/>
        <v>0</v>
      </c>
      <c r="JQ45" s="296">
        <f t="shared" si="325"/>
        <v>2.0900000000000007</v>
      </c>
      <c r="JR45" s="296">
        <f t="shared" si="325"/>
        <v>0.83600000000000019</v>
      </c>
      <c r="JS45" s="296">
        <f t="shared" si="325"/>
        <v>0.50159999999999982</v>
      </c>
      <c r="JT45" s="296">
        <f t="shared" si="325"/>
        <v>0</v>
      </c>
      <c r="JU45" s="292">
        <f t="shared" si="325"/>
        <v>296.78000000000003</v>
      </c>
      <c r="JV45" s="292">
        <f t="shared" si="325"/>
        <v>330.21999999999997</v>
      </c>
      <c r="JW45" s="292">
        <f t="shared" si="325"/>
        <v>242.43999999999994</v>
      </c>
      <c r="JX45" s="292">
        <f t="shared" ref="JX45" si="326">SUM(JU45:JW45)</f>
        <v>869.43999999999994</v>
      </c>
      <c r="JY45" s="2019" t="s">
        <v>218</v>
      </c>
      <c r="JZ45" s="2019"/>
      <c r="KA45" s="2019"/>
      <c r="KB45" s="297">
        <f>COUNTIF($KC$14:$KC$44,"&gt;0")</f>
        <v>26</v>
      </c>
      <c r="KC45" s="295">
        <f>SUM(KC14:KC44)</f>
        <v>547</v>
      </c>
      <c r="KD45" s="295">
        <f>SUM(KD14:KD44)</f>
        <v>547</v>
      </c>
      <c r="KE45" s="295">
        <f>SUM(KE14:KE44)</f>
        <v>547</v>
      </c>
      <c r="KF45" s="296">
        <f>SUM(KF14:KF44)</f>
        <v>54.700000000000024</v>
      </c>
      <c r="KG45" s="296">
        <f t="shared" ref="KG45:KZ45" si="327">SUM(KG14:KG44)</f>
        <v>3.78</v>
      </c>
      <c r="KH45" s="296">
        <f t="shared" si="327"/>
        <v>0</v>
      </c>
      <c r="KI45" s="296">
        <f t="shared" si="327"/>
        <v>0</v>
      </c>
      <c r="KJ45" s="296">
        <f t="shared" si="327"/>
        <v>0</v>
      </c>
      <c r="KK45" s="296">
        <f t="shared" si="327"/>
        <v>0</v>
      </c>
      <c r="KL45" s="296">
        <f t="shared" si="327"/>
        <v>0</v>
      </c>
      <c r="KM45" s="296">
        <f t="shared" si="327"/>
        <v>3.38</v>
      </c>
      <c r="KN45" s="296">
        <f t="shared" si="327"/>
        <v>3.78</v>
      </c>
      <c r="KO45" s="296">
        <f t="shared" si="327"/>
        <v>0.1641</v>
      </c>
      <c r="KP45" s="296">
        <f t="shared" si="327"/>
        <v>0.27350000000000008</v>
      </c>
      <c r="KQ45" s="296">
        <f t="shared" si="327"/>
        <v>0.1641</v>
      </c>
      <c r="KR45" s="296">
        <f t="shared" si="327"/>
        <v>0</v>
      </c>
      <c r="KS45" s="296">
        <f t="shared" si="327"/>
        <v>0</v>
      </c>
      <c r="KT45" s="296">
        <f t="shared" si="327"/>
        <v>2.7349999999999999</v>
      </c>
      <c r="KU45" s="296">
        <f t="shared" si="327"/>
        <v>1.0940000000000003</v>
      </c>
      <c r="KV45" s="296">
        <f t="shared" si="327"/>
        <v>0.65639999999999998</v>
      </c>
      <c r="KW45" s="296">
        <f t="shared" si="327"/>
        <v>0</v>
      </c>
      <c r="KX45" s="292">
        <f t="shared" si="327"/>
        <v>388.37000000000018</v>
      </c>
      <c r="KY45" s="292">
        <f t="shared" si="327"/>
        <v>432.12999999999977</v>
      </c>
      <c r="KZ45" s="292">
        <f t="shared" si="327"/>
        <v>317.2600000000001</v>
      </c>
      <c r="LA45" s="292">
        <f t="shared" ref="LA45" si="328">SUM(KX45:KZ45)</f>
        <v>1137.7600000000002</v>
      </c>
      <c r="LB45" s="2019" t="s">
        <v>218</v>
      </c>
      <c r="LC45" s="2019"/>
      <c r="LD45" s="2019"/>
      <c r="LE45" s="297">
        <f>COUNTIF($LF$14:$LF$44,"&gt;0")</f>
        <v>0</v>
      </c>
      <c r="LF45" s="295">
        <f>SUM(LF14:LF44)</f>
        <v>0</v>
      </c>
      <c r="LG45" s="295">
        <f>SUM(LG14:LG44)</f>
        <v>0</v>
      </c>
      <c r="LH45" s="295">
        <f>SUM(LH14:LH44)</f>
        <v>0</v>
      </c>
      <c r="LI45" s="296">
        <f>SUM(LI14:LI44)</f>
        <v>0</v>
      </c>
      <c r="LJ45" s="296">
        <f t="shared" ref="LJ45:MC45" si="329">SUM(LJ14:LJ44)</f>
        <v>0</v>
      </c>
      <c r="LK45" s="296">
        <f t="shared" si="329"/>
        <v>0</v>
      </c>
      <c r="LL45" s="296">
        <f t="shared" si="329"/>
        <v>0</v>
      </c>
      <c r="LM45" s="296">
        <f t="shared" si="329"/>
        <v>0</v>
      </c>
      <c r="LN45" s="296">
        <f t="shared" si="329"/>
        <v>0</v>
      </c>
      <c r="LO45" s="296">
        <f t="shared" si="329"/>
        <v>0</v>
      </c>
      <c r="LP45" s="296">
        <f t="shared" si="329"/>
        <v>0</v>
      </c>
      <c r="LQ45" s="296">
        <f t="shared" si="329"/>
        <v>0</v>
      </c>
      <c r="LR45" s="296">
        <f t="shared" si="329"/>
        <v>0</v>
      </c>
      <c r="LS45" s="296">
        <f t="shared" si="329"/>
        <v>0</v>
      </c>
      <c r="LT45" s="296">
        <f t="shared" si="329"/>
        <v>0</v>
      </c>
      <c r="LU45" s="296">
        <f t="shared" si="329"/>
        <v>0</v>
      </c>
      <c r="LV45" s="296">
        <f t="shared" si="329"/>
        <v>0</v>
      </c>
      <c r="LW45" s="296">
        <f t="shared" si="329"/>
        <v>0</v>
      </c>
      <c r="LX45" s="296">
        <f t="shared" si="329"/>
        <v>0</v>
      </c>
      <c r="LY45" s="296">
        <f t="shared" si="329"/>
        <v>0</v>
      </c>
      <c r="LZ45" s="296">
        <f t="shared" si="329"/>
        <v>0</v>
      </c>
      <c r="MA45" s="292">
        <f t="shared" si="329"/>
        <v>0</v>
      </c>
      <c r="MB45" s="292">
        <f t="shared" si="329"/>
        <v>0</v>
      </c>
      <c r="MC45" s="292">
        <f t="shared" si="329"/>
        <v>0</v>
      </c>
      <c r="MD45" s="292">
        <f t="shared" ref="MD45" si="330">SUM(MA45:MC45)</f>
        <v>0</v>
      </c>
      <c r="ME45" s="2019" t="s">
        <v>218</v>
      </c>
      <c r="MF45" s="2019"/>
      <c r="MG45" s="2019"/>
      <c r="MH45" s="297">
        <f>COUNTIF($MI$14:$MI$42,"&gt;0")</f>
        <v>0</v>
      </c>
      <c r="MI45" s="295">
        <f>SUM(MI14:MI44)</f>
        <v>0</v>
      </c>
      <c r="MJ45" s="295">
        <f>SUM(MJ14:MJ44)</f>
        <v>0</v>
      </c>
      <c r="MK45" s="295">
        <f>SUM(MK14:MK44)</f>
        <v>0</v>
      </c>
      <c r="ML45" s="296">
        <f>SUM(ML14:ML44)</f>
        <v>0</v>
      </c>
      <c r="MM45" s="296">
        <f t="shared" ref="MM45:NF45" si="331">SUM(MM14:MM44)</f>
        <v>0</v>
      </c>
      <c r="MN45" s="296">
        <f t="shared" si="331"/>
        <v>0</v>
      </c>
      <c r="MO45" s="296">
        <f t="shared" si="331"/>
        <v>0</v>
      </c>
      <c r="MP45" s="296">
        <f t="shared" si="331"/>
        <v>0</v>
      </c>
      <c r="MQ45" s="296">
        <f t="shared" si="331"/>
        <v>0</v>
      </c>
      <c r="MR45" s="296">
        <f t="shared" si="331"/>
        <v>0</v>
      </c>
      <c r="MS45" s="296">
        <f t="shared" si="331"/>
        <v>0</v>
      </c>
      <c r="MT45" s="296">
        <f t="shared" si="331"/>
        <v>0</v>
      </c>
      <c r="MU45" s="296">
        <f t="shared" si="331"/>
        <v>0</v>
      </c>
      <c r="MV45" s="296">
        <f t="shared" si="331"/>
        <v>0</v>
      </c>
      <c r="MW45" s="296">
        <f t="shared" si="331"/>
        <v>0</v>
      </c>
      <c r="MX45" s="296">
        <f t="shared" si="331"/>
        <v>0</v>
      </c>
      <c r="MY45" s="296">
        <f t="shared" si="331"/>
        <v>0</v>
      </c>
      <c r="MZ45" s="296">
        <f t="shared" si="331"/>
        <v>0</v>
      </c>
      <c r="NA45" s="296">
        <f t="shared" si="331"/>
        <v>0</v>
      </c>
      <c r="NB45" s="296">
        <f t="shared" si="331"/>
        <v>0</v>
      </c>
      <c r="NC45" s="296">
        <f t="shared" si="331"/>
        <v>0</v>
      </c>
      <c r="ND45" s="292">
        <f t="shared" si="331"/>
        <v>0</v>
      </c>
      <c r="NE45" s="292">
        <f t="shared" si="331"/>
        <v>0</v>
      </c>
      <c r="NF45" s="292">
        <f t="shared" si="331"/>
        <v>0</v>
      </c>
      <c r="NG45" s="292">
        <f t="shared" ref="NG45" si="332">SUM(ND45:NF45)</f>
        <v>0</v>
      </c>
      <c r="NH45" s="2019" t="s">
        <v>218</v>
      </c>
      <c r="NI45" s="2019"/>
      <c r="NJ45" s="2019"/>
      <c r="NK45" s="297">
        <f>COUNTIF($NL$14:$NL$44,"&gt;0")</f>
        <v>0</v>
      </c>
      <c r="NL45" s="295">
        <f>SUM(NL14:NL44)</f>
        <v>0</v>
      </c>
      <c r="NM45" s="295">
        <f>SUM(NM14:NM44)</f>
        <v>0</v>
      </c>
      <c r="NN45" s="295">
        <f>SUM(NN14:NN44)</f>
        <v>0</v>
      </c>
      <c r="NO45" s="296">
        <f>SUM(NO14:NO44)</f>
        <v>0</v>
      </c>
      <c r="NP45" s="296">
        <f t="shared" ref="NP45:OI45" si="333">SUM(NP14:NP44)</f>
        <v>0</v>
      </c>
      <c r="NQ45" s="296">
        <f t="shared" si="333"/>
        <v>0</v>
      </c>
      <c r="NR45" s="296">
        <f t="shared" si="333"/>
        <v>0</v>
      </c>
      <c r="NS45" s="296">
        <f t="shared" si="333"/>
        <v>0</v>
      </c>
      <c r="NT45" s="296">
        <f t="shared" si="333"/>
        <v>0</v>
      </c>
      <c r="NU45" s="296">
        <f t="shared" si="333"/>
        <v>0</v>
      </c>
      <c r="NV45" s="296">
        <f t="shared" si="333"/>
        <v>0</v>
      </c>
      <c r="NW45" s="296">
        <f t="shared" si="333"/>
        <v>0</v>
      </c>
      <c r="NX45" s="296">
        <f t="shared" si="333"/>
        <v>0</v>
      </c>
      <c r="NY45" s="296">
        <f t="shared" si="333"/>
        <v>0</v>
      </c>
      <c r="NZ45" s="296">
        <f t="shared" si="333"/>
        <v>0</v>
      </c>
      <c r="OA45" s="296">
        <f t="shared" si="333"/>
        <v>0</v>
      </c>
      <c r="OB45" s="296">
        <f t="shared" si="333"/>
        <v>0</v>
      </c>
      <c r="OC45" s="296">
        <f t="shared" si="333"/>
        <v>0</v>
      </c>
      <c r="OD45" s="296">
        <f t="shared" si="333"/>
        <v>0</v>
      </c>
      <c r="OE45" s="296">
        <f t="shared" si="333"/>
        <v>0</v>
      </c>
      <c r="OF45" s="296">
        <f t="shared" si="333"/>
        <v>0</v>
      </c>
      <c r="OG45" s="292">
        <f t="shared" si="333"/>
        <v>0</v>
      </c>
      <c r="OH45" s="292">
        <f t="shared" si="333"/>
        <v>0</v>
      </c>
      <c r="OI45" s="292">
        <f t="shared" si="333"/>
        <v>0</v>
      </c>
      <c r="OJ45" s="292">
        <f t="shared" ref="OJ45" si="334">SUM(OG45:OI45)</f>
        <v>0</v>
      </c>
    </row>
    <row r="46" spans="50:400" ht="29.25" customHeight="1" x14ac:dyDescent="0.3">
      <c r="BA46" s="2019" t="s">
        <v>104</v>
      </c>
      <c r="BB46" s="2019"/>
      <c r="BC46" s="2019"/>
      <c r="BD46" s="294">
        <f>COUNTIF($BG$14:$BG$43,"&gt;0")</f>
        <v>23</v>
      </c>
      <c r="BE46" s="2022"/>
      <c r="BF46" s="2022"/>
      <c r="BG46" s="2022"/>
      <c r="BH46" s="298">
        <f>(BH13-BH45)</f>
        <v>-1.4210854715202004E-14</v>
      </c>
      <c r="BI46" s="298">
        <f t="shared" ref="BI46:BY46" si="335">(BI13-BI45)</f>
        <v>-4.4408920985006262E-16</v>
      </c>
      <c r="BJ46" s="298">
        <f t="shared" si="335"/>
        <v>0</v>
      </c>
      <c r="BK46" s="298">
        <f t="shared" si="335"/>
        <v>0</v>
      </c>
      <c r="BL46" s="298">
        <f t="shared" si="335"/>
        <v>0</v>
      </c>
      <c r="BM46" s="298">
        <f t="shared" si="335"/>
        <v>0</v>
      </c>
      <c r="BN46" s="298">
        <f t="shared" si="335"/>
        <v>0</v>
      </c>
      <c r="BO46" s="298">
        <f t="shared" si="335"/>
        <v>0</v>
      </c>
      <c r="BP46" s="298">
        <f t="shared" si="335"/>
        <v>0</v>
      </c>
      <c r="BQ46" s="298">
        <f t="shared" si="335"/>
        <v>8.0000000000007843E-4</v>
      </c>
      <c r="BR46" s="298">
        <f t="shared" si="335"/>
        <v>0</v>
      </c>
      <c r="BS46" s="298">
        <f t="shared" si="335"/>
        <v>8.0000000000002292E-4</v>
      </c>
      <c r="BT46" s="298">
        <f t="shared" si="335"/>
        <v>0</v>
      </c>
      <c r="BU46" s="298">
        <f t="shared" si="335"/>
        <v>0</v>
      </c>
      <c r="BV46" s="298">
        <f t="shared" si="335"/>
        <v>1.9999999999999991</v>
      </c>
      <c r="BW46" s="298">
        <f t="shared" si="335"/>
        <v>1.3959999999999997</v>
      </c>
      <c r="BX46" s="298">
        <f t="shared" si="335"/>
        <v>3.3306690738754696E-16</v>
      </c>
      <c r="BY46" s="298">
        <f t="shared" si="335"/>
        <v>0</v>
      </c>
      <c r="BZ46" s="2023" t="s">
        <v>217</v>
      </c>
      <c r="CA46" s="2023"/>
      <c r="CB46" s="299">
        <f>CC45</f>
        <v>956.33999999999992</v>
      </c>
      <c r="CC46" s="299" t="s">
        <v>214</v>
      </c>
      <c r="CD46" s="2019" t="s">
        <v>104</v>
      </c>
      <c r="CE46" s="2019"/>
      <c r="CF46" s="2019"/>
      <c r="CG46" s="297">
        <f>COUNTIF($CJ$14:$CJ$44,"&gt;0")</f>
        <v>0</v>
      </c>
      <c r="CH46" s="2022"/>
      <c r="CI46" s="2022"/>
      <c r="CJ46" s="2022"/>
      <c r="CK46" s="298">
        <f>(CK13-CK45)</f>
        <v>99.999999999999986</v>
      </c>
      <c r="CL46" s="298">
        <f t="shared" ref="CL46:DB46" si="336">(CL13-CL45)</f>
        <v>5</v>
      </c>
      <c r="CM46" s="298">
        <f t="shared" si="336"/>
        <v>0</v>
      </c>
      <c r="CN46" s="298">
        <f t="shared" si="336"/>
        <v>0</v>
      </c>
      <c r="CO46" s="298">
        <f t="shared" si="336"/>
        <v>0</v>
      </c>
      <c r="CP46" s="298">
        <f t="shared" si="336"/>
        <v>0</v>
      </c>
      <c r="CQ46" s="298">
        <f t="shared" si="336"/>
        <v>0</v>
      </c>
      <c r="CR46" s="298">
        <f t="shared" si="336"/>
        <v>5</v>
      </c>
      <c r="CS46" s="298">
        <f t="shared" si="336"/>
        <v>5</v>
      </c>
      <c r="CT46" s="298">
        <f t="shared" si="336"/>
        <v>0.30080000000000007</v>
      </c>
      <c r="CU46" s="298">
        <f t="shared" si="336"/>
        <v>0.5</v>
      </c>
      <c r="CV46" s="298">
        <f t="shared" si="336"/>
        <v>0.40080000000000005</v>
      </c>
      <c r="CW46" s="298">
        <f t="shared" si="336"/>
        <v>0</v>
      </c>
      <c r="CX46" s="298">
        <f t="shared" si="336"/>
        <v>0</v>
      </c>
      <c r="CY46" s="298">
        <f t="shared" si="336"/>
        <v>5.9999999999999991</v>
      </c>
      <c r="CZ46" s="298">
        <f t="shared" si="336"/>
        <v>3.3959999999999999</v>
      </c>
      <c r="DA46" s="298">
        <f t="shared" si="336"/>
        <v>1.0000000000000004</v>
      </c>
      <c r="DB46" s="298">
        <f t="shared" si="336"/>
        <v>0</v>
      </c>
      <c r="DC46" s="2023" t="s">
        <v>217</v>
      </c>
      <c r="DD46" s="2023"/>
      <c r="DE46" s="299">
        <f>DF45</f>
        <v>0</v>
      </c>
      <c r="DF46" s="299" t="s">
        <v>214</v>
      </c>
      <c r="DG46" s="2019" t="s">
        <v>104</v>
      </c>
      <c r="DH46" s="2019"/>
      <c r="DI46" s="2019"/>
      <c r="DJ46" s="297">
        <f>COUNTIF($DM$14:$DM$43,"&gt;0")</f>
        <v>14</v>
      </c>
      <c r="DK46" s="2022"/>
      <c r="DL46" s="2022"/>
      <c r="DM46" s="2022"/>
      <c r="DN46" s="298">
        <f>(DN13-DN45)</f>
        <v>76.599999999999994</v>
      </c>
      <c r="DO46" s="298">
        <f t="shared" ref="DO46:EE46" si="337">(DO13-DO45)</f>
        <v>3.66</v>
      </c>
      <c r="DP46" s="298">
        <f t="shared" si="337"/>
        <v>0</v>
      </c>
      <c r="DQ46" s="298">
        <f t="shared" si="337"/>
        <v>0</v>
      </c>
      <c r="DR46" s="298">
        <f t="shared" si="337"/>
        <v>0</v>
      </c>
      <c r="DS46" s="298">
        <f t="shared" si="337"/>
        <v>0</v>
      </c>
      <c r="DT46" s="298">
        <f t="shared" si="337"/>
        <v>0</v>
      </c>
      <c r="DU46" s="298">
        <f t="shared" si="337"/>
        <v>3.32</v>
      </c>
      <c r="DV46" s="298">
        <f t="shared" si="337"/>
        <v>3.34</v>
      </c>
      <c r="DW46" s="298">
        <f t="shared" si="337"/>
        <v>0.23060000000000008</v>
      </c>
      <c r="DX46" s="298">
        <f t="shared" si="337"/>
        <v>0.38299999999999995</v>
      </c>
      <c r="DY46" s="298">
        <f t="shared" si="337"/>
        <v>0.33060000000000006</v>
      </c>
      <c r="DZ46" s="298">
        <f t="shared" si="337"/>
        <v>0</v>
      </c>
      <c r="EA46" s="298">
        <f t="shared" si="337"/>
        <v>0</v>
      </c>
      <c r="EB46" s="298">
        <f t="shared" si="337"/>
        <v>4.8299999999999992</v>
      </c>
      <c r="EC46" s="298">
        <f t="shared" si="337"/>
        <v>2.9279999999999999</v>
      </c>
      <c r="ED46" s="298">
        <f t="shared" si="337"/>
        <v>0.71920000000000051</v>
      </c>
      <c r="EE46" s="298">
        <f t="shared" si="337"/>
        <v>0</v>
      </c>
      <c r="EF46" s="2023" t="s">
        <v>217</v>
      </c>
      <c r="EG46" s="2023"/>
      <c r="EH46" s="299">
        <f>EI45</f>
        <v>442.26000000000005</v>
      </c>
      <c r="EI46" s="299" t="s">
        <v>214</v>
      </c>
      <c r="EJ46" s="2019" t="s">
        <v>104</v>
      </c>
      <c r="EK46" s="2019"/>
      <c r="EL46" s="2019"/>
      <c r="EM46" s="297">
        <f>COUNTIF($EP$14:$EP$44,"&gt;0")</f>
        <v>26</v>
      </c>
      <c r="EN46" s="2022"/>
      <c r="EO46" s="2022"/>
      <c r="EP46" s="2022"/>
      <c r="EQ46" s="298">
        <f>(EQ13-EQ45)</f>
        <v>32.399999999999984</v>
      </c>
      <c r="ER46" s="298">
        <f t="shared" ref="ER46:FH46" si="338">(ER13-ER45)</f>
        <v>0.60000000000000053</v>
      </c>
      <c r="ES46" s="298">
        <f t="shared" si="338"/>
        <v>0</v>
      </c>
      <c r="ET46" s="298">
        <f t="shared" si="338"/>
        <v>0</v>
      </c>
      <c r="EU46" s="298">
        <f t="shared" si="338"/>
        <v>0</v>
      </c>
      <c r="EV46" s="298">
        <f t="shared" si="338"/>
        <v>0</v>
      </c>
      <c r="EW46" s="298">
        <f t="shared" si="338"/>
        <v>0</v>
      </c>
      <c r="EX46" s="298">
        <f t="shared" si="338"/>
        <v>0.60000000000000009</v>
      </c>
      <c r="EY46" s="298">
        <f t="shared" si="338"/>
        <v>0.28000000000000025</v>
      </c>
      <c r="EZ46" s="298">
        <f t="shared" si="338"/>
        <v>9.800000000000017E-2</v>
      </c>
      <c r="FA46" s="298">
        <f t="shared" si="338"/>
        <v>0.16199999999999981</v>
      </c>
      <c r="FB46" s="298">
        <f t="shared" si="338"/>
        <v>0.19800000000000015</v>
      </c>
      <c r="FC46" s="298">
        <f t="shared" si="338"/>
        <v>0</v>
      </c>
      <c r="FD46" s="298">
        <f t="shared" si="338"/>
        <v>0</v>
      </c>
      <c r="FE46" s="298">
        <f t="shared" si="338"/>
        <v>6.6199999999999992</v>
      </c>
      <c r="FF46" s="298">
        <f t="shared" si="338"/>
        <v>2.0439999999999996</v>
      </c>
      <c r="FG46" s="298">
        <f t="shared" si="338"/>
        <v>0.18880000000000086</v>
      </c>
      <c r="FH46" s="298">
        <f t="shared" si="338"/>
        <v>0</v>
      </c>
      <c r="FI46" s="2023" t="s">
        <v>217</v>
      </c>
      <c r="FJ46" s="2023"/>
      <c r="FK46" s="299">
        <f>FL45</f>
        <v>835.38000000000011</v>
      </c>
      <c r="FL46" s="299" t="s">
        <v>214</v>
      </c>
      <c r="FM46" s="2019" t="s">
        <v>104</v>
      </c>
      <c r="FN46" s="2019"/>
      <c r="FO46" s="2019"/>
      <c r="FP46" s="297">
        <f>COUNTIF($FS$14:$FS$44,"&gt;0")</f>
        <v>22</v>
      </c>
      <c r="FQ46" s="2022"/>
      <c r="FR46" s="2022"/>
      <c r="FS46" s="2022"/>
      <c r="FT46" s="298">
        <f>(FT13-FT45)</f>
        <v>99.399999999999977</v>
      </c>
      <c r="FU46" s="298">
        <f t="shared" ref="FU46:GK46" si="339">(FU13-FU45)</f>
        <v>5.2000000000000011</v>
      </c>
      <c r="FV46" s="298">
        <f t="shared" si="339"/>
        <v>0</v>
      </c>
      <c r="FW46" s="298">
        <f t="shared" si="339"/>
        <v>0</v>
      </c>
      <c r="FX46" s="298">
        <f t="shared" si="339"/>
        <v>0</v>
      </c>
      <c r="FY46" s="298">
        <f t="shared" si="339"/>
        <v>0</v>
      </c>
      <c r="FZ46" s="298">
        <f t="shared" si="339"/>
        <v>0</v>
      </c>
      <c r="GA46" s="298">
        <f t="shared" si="339"/>
        <v>5.5</v>
      </c>
      <c r="GB46" s="298">
        <f t="shared" si="339"/>
        <v>5.18</v>
      </c>
      <c r="GC46" s="298">
        <f t="shared" si="339"/>
        <v>0.2990000000000001</v>
      </c>
      <c r="GD46" s="298">
        <f t="shared" si="339"/>
        <v>0.49699999999999972</v>
      </c>
      <c r="GE46" s="298">
        <f t="shared" si="339"/>
        <v>0.49900000000000017</v>
      </c>
      <c r="GF46" s="298">
        <f t="shared" si="339"/>
        <v>0</v>
      </c>
      <c r="GG46" s="298">
        <f t="shared" si="339"/>
        <v>0</v>
      </c>
      <c r="GH46" s="298">
        <f t="shared" si="339"/>
        <v>9.9699999999999989</v>
      </c>
      <c r="GI46" s="298">
        <f t="shared" si="339"/>
        <v>3.3839999999999995</v>
      </c>
      <c r="GJ46" s="298">
        <f t="shared" si="339"/>
        <v>0.79280000000000084</v>
      </c>
      <c r="GK46" s="298">
        <f t="shared" si="339"/>
        <v>0</v>
      </c>
      <c r="GL46" s="2023" t="s">
        <v>217</v>
      </c>
      <c r="GM46" s="2023"/>
      <c r="GN46" s="299">
        <f>GO45</f>
        <v>623.70000000000005</v>
      </c>
      <c r="GO46" s="299" t="s">
        <v>214</v>
      </c>
      <c r="GP46" s="2019" t="s">
        <v>104</v>
      </c>
      <c r="GQ46" s="2019"/>
      <c r="GR46" s="2019"/>
      <c r="GS46" s="297">
        <f>COUNTIF($GV$14:$GV$43,"&gt;0")</f>
        <v>23</v>
      </c>
      <c r="GT46" s="2022"/>
      <c r="GU46" s="2022"/>
      <c r="GV46" s="2022"/>
      <c r="GW46" s="298">
        <f>(GW13-GW45)</f>
        <v>60.999999999999957</v>
      </c>
      <c r="GX46" s="298">
        <f t="shared" ref="GX46:HN46" si="340">(GX13-GX45)</f>
        <v>3.3400000000000007</v>
      </c>
      <c r="GY46" s="298">
        <f t="shared" si="340"/>
        <v>0</v>
      </c>
      <c r="GZ46" s="298">
        <f t="shared" si="340"/>
        <v>0</v>
      </c>
      <c r="HA46" s="298">
        <f t="shared" si="340"/>
        <v>0</v>
      </c>
      <c r="HB46" s="298">
        <f t="shared" si="340"/>
        <v>0</v>
      </c>
      <c r="HC46" s="298">
        <f t="shared" si="340"/>
        <v>0</v>
      </c>
      <c r="HD46" s="298">
        <f t="shared" si="340"/>
        <v>2.44</v>
      </c>
      <c r="HE46" s="298">
        <f t="shared" si="340"/>
        <v>2.4199999999999995</v>
      </c>
      <c r="HF46" s="298">
        <f t="shared" si="340"/>
        <v>0.18380000000000013</v>
      </c>
      <c r="HG46" s="298">
        <f t="shared" si="340"/>
        <v>0.3049999999999996</v>
      </c>
      <c r="HH46" s="298">
        <f t="shared" si="340"/>
        <v>0.3838000000000002</v>
      </c>
      <c r="HI46" s="298">
        <f t="shared" si="340"/>
        <v>0</v>
      </c>
      <c r="HJ46" s="298">
        <f t="shared" si="340"/>
        <v>0</v>
      </c>
      <c r="HK46" s="298">
        <f t="shared" si="340"/>
        <v>9.0499999999999989</v>
      </c>
      <c r="HL46" s="298">
        <f t="shared" si="340"/>
        <v>2.6159999999999988</v>
      </c>
      <c r="HM46" s="298">
        <f t="shared" si="340"/>
        <v>0.33200000000000096</v>
      </c>
      <c r="HN46" s="298">
        <f t="shared" si="340"/>
        <v>0</v>
      </c>
      <c r="HO46" s="2023" t="s">
        <v>217</v>
      </c>
      <c r="HP46" s="2023"/>
      <c r="HQ46" s="299">
        <f>HR45</f>
        <v>725.7600000000001</v>
      </c>
      <c r="HR46" s="299" t="s">
        <v>214</v>
      </c>
      <c r="HS46" s="2019" t="s">
        <v>104</v>
      </c>
      <c r="HT46" s="2019"/>
      <c r="HU46" s="2019"/>
      <c r="HV46" s="297">
        <f>COUNTIF($HY$14:$HY$44,"&gt;0")</f>
        <v>11</v>
      </c>
      <c r="HW46" s="2022"/>
      <c r="HX46" s="2022"/>
      <c r="HY46" s="2022"/>
      <c r="HZ46" s="298">
        <f>(HZ13-HZ45)</f>
        <v>37.399999999999963</v>
      </c>
      <c r="IA46" s="298">
        <f t="shared" ref="IA46:IQ46" si="341">(IA13-IA45)</f>
        <v>1.1400000000000006</v>
      </c>
      <c r="IB46" s="298">
        <f t="shared" si="341"/>
        <v>0</v>
      </c>
      <c r="IC46" s="298">
        <f t="shared" si="341"/>
        <v>0</v>
      </c>
      <c r="ID46" s="298">
        <f t="shared" si="341"/>
        <v>0</v>
      </c>
      <c r="IE46" s="298">
        <f t="shared" si="341"/>
        <v>0</v>
      </c>
      <c r="IF46" s="298">
        <f t="shared" si="341"/>
        <v>0</v>
      </c>
      <c r="IG46" s="298">
        <f t="shared" si="341"/>
        <v>1.24</v>
      </c>
      <c r="IH46" s="298">
        <f t="shared" si="341"/>
        <v>1.0999999999999994</v>
      </c>
      <c r="II46" s="298">
        <f t="shared" si="341"/>
        <v>0.11300000000000014</v>
      </c>
      <c r="IJ46" s="298">
        <f t="shared" si="341"/>
        <v>0.18699999999999964</v>
      </c>
      <c r="IK46" s="298">
        <f t="shared" si="341"/>
        <v>0.31300000000000022</v>
      </c>
      <c r="IL46" s="298">
        <f t="shared" si="341"/>
        <v>0</v>
      </c>
      <c r="IM46" s="298">
        <f t="shared" si="341"/>
        <v>0</v>
      </c>
      <c r="IN46" s="298">
        <f t="shared" si="341"/>
        <v>10.87</v>
      </c>
      <c r="IO46" s="298">
        <f t="shared" si="341"/>
        <v>2.1439999999999988</v>
      </c>
      <c r="IP46" s="298">
        <f t="shared" si="341"/>
        <v>4.8800000000001009E-2</v>
      </c>
      <c r="IQ46" s="298">
        <f t="shared" si="341"/>
        <v>0</v>
      </c>
      <c r="IR46" s="2023" t="s">
        <v>217</v>
      </c>
      <c r="IS46" s="2023"/>
      <c r="IT46" s="299">
        <f>IU45</f>
        <v>490.88</v>
      </c>
      <c r="IU46" s="299" t="s">
        <v>214</v>
      </c>
      <c r="IV46" s="2019" t="s">
        <v>104</v>
      </c>
      <c r="IW46" s="2019"/>
      <c r="IX46" s="2019"/>
      <c r="IY46" s="297">
        <f>COUNTIF($JB$14:$JB$43,"&gt;0")</f>
        <v>19</v>
      </c>
      <c r="IZ46" s="2022"/>
      <c r="JA46" s="2022"/>
      <c r="JB46" s="2022"/>
      <c r="JC46" s="298">
        <f>(JC13-JC45)</f>
        <v>45.599999999999959</v>
      </c>
      <c r="JD46" s="298">
        <f t="shared" ref="JD46:JT46" si="342">(JD13-JD45)</f>
        <v>3.5000000000000004</v>
      </c>
      <c r="JE46" s="298">
        <f t="shared" si="342"/>
        <v>0</v>
      </c>
      <c r="JF46" s="298">
        <f t="shared" si="342"/>
        <v>0</v>
      </c>
      <c r="JG46" s="298">
        <f t="shared" si="342"/>
        <v>0</v>
      </c>
      <c r="JH46" s="298">
        <f t="shared" si="342"/>
        <v>0</v>
      </c>
      <c r="JI46" s="298">
        <f t="shared" si="342"/>
        <v>0</v>
      </c>
      <c r="JJ46" s="298">
        <f t="shared" si="342"/>
        <v>3.6</v>
      </c>
      <c r="JK46" s="298">
        <f t="shared" si="342"/>
        <v>3.0199999999999996</v>
      </c>
      <c r="JL46" s="298">
        <f t="shared" si="342"/>
        <v>0.38760000000000017</v>
      </c>
      <c r="JM46" s="298">
        <f t="shared" si="342"/>
        <v>0.27799999999999958</v>
      </c>
      <c r="JN46" s="298">
        <f t="shared" si="342"/>
        <v>0.48760000000000026</v>
      </c>
      <c r="JO46" s="298">
        <f t="shared" si="342"/>
        <v>0</v>
      </c>
      <c r="JP46" s="298">
        <f t="shared" si="342"/>
        <v>0</v>
      </c>
      <c r="JQ46" s="298">
        <f t="shared" si="342"/>
        <v>13.779999999999998</v>
      </c>
      <c r="JR46" s="298">
        <f t="shared" si="342"/>
        <v>3.3079999999999981</v>
      </c>
      <c r="JS46" s="298">
        <f t="shared" si="342"/>
        <v>0.54720000000000124</v>
      </c>
      <c r="JT46" s="298">
        <f t="shared" si="342"/>
        <v>0</v>
      </c>
      <c r="JU46" s="2023" t="s">
        <v>217</v>
      </c>
      <c r="JV46" s="2023"/>
      <c r="JW46" s="299">
        <f>JX45</f>
        <v>869.43999999999994</v>
      </c>
      <c r="JX46" s="299" t="s">
        <v>214</v>
      </c>
      <c r="JY46" s="2019" t="s">
        <v>104</v>
      </c>
      <c r="JZ46" s="2019"/>
      <c r="KA46" s="2019"/>
      <c r="KB46" s="297">
        <f>COUNTIF($KE$14:$KE$44,"&gt;0")</f>
        <v>26</v>
      </c>
      <c r="KC46" s="2022"/>
      <c r="KD46" s="2022"/>
      <c r="KE46" s="2022"/>
      <c r="KF46" s="298">
        <f>(KF13-KF45)</f>
        <v>20.899999999999942</v>
      </c>
      <c r="KG46" s="298">
        <f t="shared" ref="KG46:KW46" si="343">(KG13-KG45)</f>
        <v>1.7200000000000002</v>
      </c>
      <c r="KH46" s="298">
        <f t="shared" si="343"/>
        <v>0</v>
      </c>
      <c r="KI46" s="298">
        <f t="shared" si="343"/>
        <v>0</v>
      </c>
      <c r="KJ46" s="298">
        <f t="shared" si="343"/>
        <v>0</v>
      </c>
      <c r="KK46" s="298">
        <f t="shared" si="343"/>
        <v>0</v>
      </c>
      <c r="KL46" s="298">
        <f t="shared" si="343"/>
        <v>0</v>
      </c>
      <c r="KM46" s="298">
        <f t="shared" si="343"/>
        <v>0.2200000000000002</v>
      </c>
      <c r="KN46" s="298">
        <f t="shared" si="343"/>
        <v>-0.76000000000000023</v>
      </c>
      <c r="KO46" s="298">
        <f t="shared" si="343"/>
        <v>0.22350000000000017</v>
      </c>
      <c r="KP46" s="298">
        <f t="shared" si="343"/>
        <v>4.4999999999995044E-3</v>
      </c>
      <c r="KQ46" s="298">
        <f t="shared" si="343"/>
        <v>0.32350000000000023</v>
      </c>
      <c r="KR46" s="298">
        <f t="shared" si="343"/>
        <v>0</v>
      </c>
      <c r="KS46" s="298">
        <f t="shared" si="343"/>
        <v>0</v>
      </c>
      <c r="KT46" s="298">
        <f t="shared" si="343"/>
        <v>14.044999999999998</v>
      </c>
      <c r="KU46" s="298">
        <f t="shared" si="343"/>
        <v>2.2139999999999977</v>
      </c>
      <c r="KV46" s="298">
        <f t="shared" si="343"/>
        <v>0.39080000000000126</v>
      </c>
      <c r="KW46" s="298">
        <f t="shared" si="343"/>
        <v>0</v>
      </c>
      <c r="KX46" s="2023" t="s">
        <v>217</v>
      </c>
      <c r="KY46" s="2023"/>
      <c r="KZ46" s="299">
        <f>LA45</f>
        <v>1137.7600000000002</v>
      </c>
      <c r="LA46" s="299" t="s">
        <v>214</v>
      </c>
      <c r="LB46" s="2019" t="s">
        <v>104</v>
      </c>
      <c r="LC46" s="2019"/>
      <c r="LD46" s="2019"/>
      <c r="LE46" s="297">
        <f>COUNTIF($LH$14:$LH$44,"&gt;0")</f>
        <v>0</v>
      </c>
      <c r="LF46" s="2022"/>
      <c r="LG46" s="2022"/>
      <c r="LH46" s="2022"/>
      <c r="LI46" s="298">
        <f>(LI13-LI45)</f>
        <v>20.899999999999942</v>
      </c>
      <c r="LJ46" s="298">
        <f t="shared" ref="LJ46:LZ46" si="344">(LJ13-LJ45)</f>
        <v>1.7200000000000002</v>
      </c>
      <c r="LK46" s="298">
        <f t="shared" si="344"/>
        <v>0</v>
      </c>
      <c r="LL46" s="298">
        <f t="shared" si="344"/>
        <v>0</v>
      </c>
      <c r="LM46" s="298">
        <f t="shared" si="344"/>
        <v>0</v>
      </c>
      <c r="LN46" s="298">
        <f t="shared" si="344"/>
        <v>0</v>
      </c>
      <c r="LO46" s="298">
        <f t="shared" si="344"/>
        <v>0</v>
      </c>
      <c r="LP46" s="298">
        <f t="shared" si="344"/>
        <v>0.2200000000000002</v>
      </c>
      <c r="LQ46" s="298">
        <f t="shared" si="344"/>
        <v>-0.76000000000000023</v>
      </c>
      <c r="LR46" s="298">
        <f t="shared" si="344"/>
        <v>0.22350000000000017</v>
      </c>
      <c r="LS46" s="298">
        <f t="shared" si="344"/>
        <v>4.4999999999995044E-3</v>
      </c>
      <c r="LT46" s="298">
        <f t="shared" si="344"/>
        <v>0.32350000000000023</v>
      </c>
      <c r="LU46" s="298">
        <f t="shared" si="344"/>
        <v>0</v>
      </c>
      <c r="LV46" s="298">
        <f t="shared" si="344"/>
        <v>0</v>
      </c>
      <c r="LW46" s="298">
        <f t="shared" si="344"/>
        <v>14.044999999999998</v>
      </c>
      <c r="LX46" s="298">
        <f t="shared" si="344"/>
        <v>2.2139999999999977</v>
      </c>
      <c r="LY46" s="298">
        <f t="shared" si="344"/>
        <v>0.39080000000000126</v>
      </c>
      <c r="LZ46" s="298">
        <f t="shared" si="344"/>
        <v>0</v>
      </c>
      <c r="MA46" s="2023" t="s">
        <v>217</v>
      </c>
      <c r="MB46" s="2023"/>
      <c r="MC46" s="299">
        <f>MD45</f>
        <v>0</v>
      </c>
      <c r="MD46" s="299" t="s">
        <v>214</v>
      </c>
      <c r="ME46" s="2019" t="s">
        <v>104</v>
      </c>
      <c r="MF46" s="2019"/>
      <c r="MG46" s="2019"/>
      <c r="MH46" s="297">
        <f>COUNTIF($MK$14:$MK$42,"&gt;0")</f>
        <v>0</v>
      </c>
      <c r="MI46" s="2022"/>
      <c r="MJ46" s="2022"/>
      <c r="MK46" s="2022"/>
      <c r="ML46" s="298">
        <f>(ML13-ML45)</f>
        <v>20.899999999999942</v>
      </c>
      <c r="MM46" s="298">
        <f t="shared" ref="MM46:NC46" si="345">(MM13-MM45)</f>
        <v>1.7200000000000002</v>
      </c>
      <c r="MN46" s="298">
        <f t="shared" si="345"/>
        <v>0</v>
      </c>
      <c r="MO46" s="298">
        <f t="shared" si="345"/>
        <v>0</v>
      </c>
      <c r="MP46" s="298">
        <f t="shared" si="345"/>
        <v>0</v>
      </c>
      <c r="MQ46" s="298">
        <f t="shared" si="345"/>
        <v>0</v>
      </c>
      <c r="MR46" s="298">
        <f t="shared" si="345"/>
        <v>0</v>
      </c>
      <c r="MS46" s="298">
        <f t="shared" si="345"/>
        <v>0.2200000000000002</v>
      </c>
      <c r="MT46" s="298">
        <f t="shared" si="345"/>
        <v>-0.76000000000000023</v>
      </c>
      <c r="MU46" s="298">
        <f t="shared" si="345"/>
        <v>0.22350000000000017</v>
      </c>
      <c r="MV46" s="298">
        <f t="shared" si="345"/>
        <v>4.4999999999995044E-3</v>
      </c>
      <c r="MW46" s="298">
        <f t="shared" si="345"/>
        <v>0.32350000000000023</v>
      </c>
      <c r="MX46" s="298">
        <f t="shared" si="345"/>
        <v>0</v>
      </c>
      <c r="MY46" s="298">
        <f t="shared" si="345"/>
        <v>0</v>
      </c>
      <c r="MZ46" s="298">
        <f t="shared" si="345"/>
        <v>14.044999999999998</v>
      </c>
      <c r="NA46" s="298">
        <f t="shared" si="345"/>
        <v>2.2139999999999977</v>
      </c>
      <c r="NB46" s="298">
        <f t="shared" si="345"/>
        <v>0.39080000000000126</v>
      </c>
      <c r="NC46" s="298">
        <f t="shared" si="345"/>
        <v>0</v>
      </c>
      <c r="ND46" s="2023" t="s">
        <v>217</v>
      </c>
      <c r="NE46" s="2023"/>
      <c r="NF46" s="299">
        <f>NG45</f>
        <v>0</v>
      </c>
      <c r="NG46" s="299" t="s">
        <v>214</v>
      </c>
      <c r="NH46" s="2019" t="s">
        <v>104</v>
      </c>
      <c r="NI46" s="2019"/>
      <c r="NJ46" s="2019"/>
      <c r="NK46" s="297">
        <f>COUNTIF($NN$14:$NN$44,"&gt;0")</f>
        <v>0</v>
      </c>
      <c r="NL46" s="2022"/>
      <c r="NM46" s="2022"/>
      <c r="NN46" s="2022"/>
      <c r="NO46" s="298">
        <f>(NO13-NO45)</f>
        <v>20.899999999999942</v>
      </c>
      <c r="NP46" s="298">
        <f t="shared" ref="NP46:OF46" si="346">(NP13-NP45)</f>
        <v>1.7200000000000002</v>
      </c>
      <c r="NQ46" s="298">
        <f t="shared" si="346"/>
        <v>0</v>
      </c>
      <c r="NR46" s="298">
        <f t="shared" si="346"/>
        <v>0</v>
      </c>
      <c r="NS46" s="298">
        <f t="shared" si="346"/>
        <v>0</v>
      </c>
      <c r="NT46" s="298">
        <f t="shared" si="346"/>
        <v>0</v>
      </c>
      <c r="NU46" s="298">
        <f t="shared" si="346"/>
        <v>0</v>
      </c>
      <c r="NV46" s="298">
        <f t="shared" si="346"/>
        <v>0.2200000000000002</v>
      </c>
      <c r="NW46" s="298">
        <f t="shared" si="346"/>
        <v>-0.76000000000000023</v>
      </c>
      <c r="NX46" s="298">
        <f t="shared" si="346"/>
        <v>0.22350000000000017</v>
      </c>
      <c r="NY46" s="298">
        <f t="shared" si="346"/>
        <v>4.4999999999995044E-3</v>
      </c>
      <c r="NZ46" s="298">
        <f t="shared" si="346"/>
        <v>0.32350000000000023</v>
      </c>
      <c r="OA46" s="298">
        <f t="shared" si="346"/>
        <v>0</v>
      </c>
      <c r="OB46" s="298">
        <f t="shared" si="346"/>
        <v>0</v>
      </c>
      <c r="OC46" s="298">
        <f t="shared" si="346"/>
        <v>14.044999999999998</v>
      </c>
      <c r="OD46" s="298">
        <f t="shared" si="346"/>
        <v>2.2139999999999977</v>
      </c>
      <c r="OE46" s="298">
        <f t="shared" si="346"/>
        <v>0.39080000000000126</v>
      </c>
      <c r="OF46" s="298">
        <f t="shared" si="346"/>
        <v>0</v>
      </c>
      <c r="OG46" s="2023" t="s">
        <v>217</v>
      </c>
      <c r="OH46" s="2023"/>
      <c r="OI46" s="299">
        <f>OJ45</f>
        <v>0</v>
      </c>
      <c r="OJ46" s="299" t="s">
        <v>214</v>
      </c>
    </row>
    <row r="48" spans="50:400" ht="29.25" customHeight="1" x14ac:dyDescent="0.3">
      <c r="BJ48" s="2020" t="s">
        <v>231</v>
      </c>
      <c r="BK48" s="2020"/>
    </row>
    <row r="49" spans="58:102" ht="29.25" customHeight="1" x14ac:dyDescent="0.3">
      <c r="BG49" s="302"/>
      <c r="BH49" s="294" t="s">
        <v>97</v>
      </c>
      <c r="BI49" s="294" t="s">
        <v>163</v>
      </c>
      <c r="BJ49" s="294" t="s">
        <v>164</v>
      </c>
      <c r="BK49" s="294" t="s">
        <v>63</v>
      </c>
      <c r="BL49" s="294" t="s">
        <v>64</v>
      </c>
      <c r="BM49" s="294" t="s">
        <v>65</v>
      </c>
      <c r="BN49" s="294" t="s">
        <v>66</v>
      </c>
      <c r="BO49" s="294" t="s">
        <v>67</v>
      </c>
      <c r="BP49" s="294" t="s">
        <v>165</v>
      </c>
      <c r="BQ49" s="294" t="s">
        <v>68</v>
      </c>
      <c r="BR49" s="294" t="s">
        <v>69</v>
      </c>
      <c r="BS49" s="294" t="s">
        <v>70</v>
      </c>
      <c r="BT49" s="294" t="s">
        <v>71</v>
      </c>
      <c r="BU49" s="294" t="s">
        <v>166</v>
      </c>
      <c r="BV49" s="294" t="s">
        <v>72</v>
      </c>
      <c r="BW49" s="294" t="s">
        <v>73</v>
      </c>
      <c r="BX49" s="999"/>
      <c r="BY49" s="999"/>
      <c r="CI49" s="301" t="s">
        <v>87</v>
      </c>
    </row>
    <row r="50" spans="58:102" ht="29.25" customHeight="1" x14ac:dyDescent="0.3">
      <c r="BF50" s="1027" t="s">
        <v>42</v>
      </c>
      <c r="BH50" s="300">
        <f>BH10</f>
        <v>30.2</v>
      </c>
      <c r="BI50" s="300">
        <f>BI10</f>
        <v>1.68</v>
      </c>
      <c r="BJ50" s="300">
        <f>BJ10</f>
        <v>0</v>
      </c>
      <c r="BK50" s="300">
        <f t="shared" ref="BK50:BY50" si="347">BK10</f>
        <v>0</v>
      </c>
      <c r="BL50" s="300">
        <f t="shared" si="347"/>
        <v>0</v>
      </c>
      <c r="BM50" s="300">
        <f t="shared" si="347"/>
        <v>0</v>
      </c>
      <c r="BN50" s="300">
        <f t="shared" si="347"/>
        <v>0</v>
      </c>
      <c r="BO50" s="300">
        <f t="shared" si="347"/>
        <v>3.24</v>
      </c>
      <c r="BP50" s="300">
        <f t="shared" si="347"/>
        <v>2.12</v>
      </c>
      <c r="BQ50" s="300">
        <f t="shared" si="347"/>
        <v>0.1406</v>
      </c>
      <c r="BR50" s="300">
        <f t="shared" si="347"/>
        <v>0.20100000000000001</v>
      </c>
      <c r="BS50" s="300">
        <f t="shared" si="347"/>
        <v>0.1406</v>
      </c>
      <c r="BT50" s="300">
        <f t="shared" si="347"/>
        <v>0</v>
      </c>
      <c r="BU50" s="300">
        <f t="shared" si="347"/>
        <v>0</v>
      </c>
      <c r="BV50" s="300">
        <f t="shared" si="347"/>
        <v>1.01</v>
      </c>
      <c r="BW50" s="300">
        <f t="shared" si="347"/>
        <v>2</v>
      </c>
      <c r="BX50" s="300">
        <f t="shared" si="347"/>
        <v>0.3624</v>
      </c>
      <c r="BY50" s="300">
        <f t="shared" si="347"/>
        <v>0</v>
      </c>
      <c r="CD50" s="301" t="s">
        <v>42</v>
      </c>
      <c r="CE50" s="301" t="s">
        <v>44</v>
      </c>
      <c r="CF50" s="301" t="s">
        <v>94</v>
      </c>
      <c r="CG50" s="301" t="s">
        <v>46</v>
      </c>
      <c r="CH50" s="301" t="s">
        <v>34</v>
      </c>
      <c r="CI50" s="301" t="s">
        <v>37</v>
      </c>
      <c r="CJ50" s="301" t="s">
        <v>47</v>
      </c>
      <c r="CK50" s="301" t="s">
        <v>38</v>
      </c>
      <c r="CL50" s="301" t="s">
        <v>39</v>
      </c>
      <c r="CM50" s="301" t="s">
        <v>33</v>
      </c>
      <c r="CN50" s="301" t="s">
        <v>40</v>
      </c>
      <c r="CO50" s="301" t="s">
        <v>41</v>
      </c>
      <c r="CS50" s="1028" t="s">
        <v>263</v>
      </c>
      <c r="CT50" s="301" t="s">
        <v>261</v>
      </c>
      <c r="CU50" s="1028" t="s">
        <v>248</v>
      </c>
      <c r="CV50" s="1028" t="s">
        <v>262</v>
      </c>
      <c r="CW50" s="1028" t="s">
        <v>93</v>
      </c>
      <c r="CX50" s="1029" t="s">
        <v>715</v>
      </c>
    </row>
    <row r="51" spans="58:102" ht="29.25" customHeight="1" x14ac:dyDescent="0.3">
      <c r="BF51" s="1027" t="s">
        <v>44</v>
      </c>
      <c r="BG51" s="1027"/>
      <c r="BH51" s="300">
        <f>BH46</f>
        <v>-1.4210854715202004E-14</v>
      </c>
      <c r="BI51" s="300">
        <f>BI46</f>
        <v>-4.4408920985006262E-16</v>
      </c>
      <c r="BJ51" s="300">
        <f t="shared" ref="BJ51:BY51" si="348">BJ46</f>
        <v>0</v>
      </c>
      <c r="BK51" s="300">
        <f t="shared" si="348"/>
        <v>0</v>
      </c>
      <c r="BL51" s="300">
        <f t="shared" si="348"/>
        <v>0</v>
      </c>
      <c r="BM51" s="300">
        <f t="shared" si="348"/>
        <v>0</v>
      </c>
      <c r="BN51" s="300">
        <f t="shared" si="348"/>
        <v>0</v>
      </c>
      <c r="BO51" s="300">
        <f t="shared" si="348"/>
        <v>0</v>
      </c>
      <c r="BP51" s="300">
        <f t="shared" si="348"/>
        <v>0</v>
      </c>
      <c r="BQ51" s="300">
        <f t="shared" si="348"/>
        <v>8.0000000000007843E-4</v>
      </c>
      <c r="BR51" s="300">
        <f t="shared" si="348"/>
        <v>0</v>
      </c>
      <c r="BS51" s="300">
        <f t="shared" si="348"/>
        <v>8.0000000000002292E-4</v>
      </c>
      <c r="BT51" s="300">
        <f t="shared" si="348"/>
        <v>0</v>
      </c>
      <c r="BU51" s="300">
        <f t="shared" si="348"/>
        <v>0</v>
      </c>
      <c r="BV51" s="300">
        <f t="shared" si="348"/>
        <v>1.9999999999999991</v>
      </c>
      <c r="BW51" s="300">
        <f t="shared" si="348"/>
        <v>1.3959999999999997</v>
      </c>
      <c r="BX51" s="300">
        <f t="shared" si="348"/>
        <v>3.3306690738754696E-16</v>
      </c>
      <c r="BY51" s="300">
        <f t="shared" si="348"/>
        <v>0</v>
      </c>
      <c r="BZ51" s="301"/>
      <c r="CD51" s="300">
        <f>BH10</f>
        <v>30.2</v>
      </c>
      <c r="CE51" s="301">
        <v>132.00000000000009</v>
      </c>
      <c r="CF51" s="301">
        <v>158.4000000000002</v>
      </c>
      <c r="CG51" s="301">
        <v>-181.5999999999998</v>
      </c>
      <c r="CH51" s="301">
        <v>-111.5999999999998</v>
      </c>
      <c r="CI51" s="301">
        <v>-50.699999999999704</v>
      </c>
      <c r="CJ51" s="301">
        <v>22.30000000000021</v>
      </c>
      <c r="CK51" s="301">
        <v>-37.499999999999858</v>
      </c>
      <c r="CL51" s="301">
        <v>-11.499999999999915</v>
      </c>
      <c r="CM51" s="301">
        <v>68.000000000000085</v>
      </c>
      <c r="CN51" s="301">
        <v>-5.5999999999998238</v>
      </c>
      <c r="CO51" s="301">
        <v>34.800000000000182</v>
      </c>
      <c r="CR51" s="302" t="s">
        <v>42</v>
      </c>
      <c r="CS51" s="301">
        <f>IFERROR(ROUND(CU51/CT51,0),0)</f>
        <v>22</v>
      </c>
      <c r="CT51" s="302">
        <f>$BD$45</f>
        <v>23</v>
      </c>
      <c r="CU51" s="302">
        <f t="shared" ref="CU51:CW51" si="349">BE45</f>
        <v>506</v>
      </c>
      <c r="CV51" s="302">
        <f>BF45</f>
        <v>506</v>
      </c>
      <c r="CW51" s="302">
        <f t="shared" si="349"/>
        <v>506</v>
      </c>
      <c r="CX51" s="302">
        <f>$BD$46</f>
        <v>23</v>
      </c>
    </row>
    <row r="52" spans="58:102" ht="29.25" customHeight="1" x14ac:dyDescent="0.3">
      <c r="BF52" s="1027" t="s">
        <v>94</v>
      </c>
      <c r="BG52" s="1027"/>
      <c r="BH52" s="300">
        <f>CK46</f>
        <v>99.999999999999986</v>
      </c>
      <c r="BI52" s="300">
        <f t="shared" ref="BI52:BY52" si="350">CL46</f>
        <v>5</v>
      </c>
      <c r="BJ52" s="300">
        <f t="shared" si="350"/>
        <v>0</v>
      </c>
      <c r="BK52" s="300">
        <f t="shared" si="350"/>
        <v>0</v>
      </c>
      <c r="BL52" s="300">
        <f t="shared" si="350"/>
        <v>0</v>
      </c>
      <c r="BM52" s="300">
        <f t="shared" si="350"/>
        <v>0</v>
      </c>
      <c r="BN52" s="300">
        <f t="shared" si="350"/>
        <v>0</v>
      </c>
      <c r="BO52" s="300">
        <f t="shared" si="350"/>
        <v>5</v>
      </c>
      <c r="BP52" s="300">
        <f t="shared" si="350"/>
        <v>5</v>
      </c>
      <c r="BQ52" s="300">
        <f t="shared" si="350"/>
        <v>0.30080000000000007</v>
      </c>
      <c r="BR52" s="300">
        <f t="shared" si="350"/>
        <v>0.5</v>
      </c>
      <c r="BS52" s="300">
        <f t="shared" si="350"/>
        <v>0.40080000000000005</v>
      </c>
      <c r="BT52" s="300">
        <f t="shared" si="350"/>
        <v>0</v>
      </c>
      <c r="BU52" s="300">
        <f t="shared" si="350"/>
        <v>0</v>
      </c>
      <c r="BV52" s="300">
        <f t="shared" si="350"/>
        <v>5.9999999999999991</v>
      </c>
      <c r="BW52" s="300">
        <f t="shared" si="350"/>
        <v>3.3959999999999999</v>
      </c>
      <c r="BX52" s="300">
        <f t="shared" si="350"/>
        <v>1.0000000000000004</v>
      </c>
      <c r="BY52" s="300">
        <f t="shared" si="350"/>
        <v>0</v>
      </c>
      <c r="BZ52" s="301"/>
      <c r="CD52" s="300">
        <f>BI10</f>
        <v>1.68</v>
      </c>
      <c r="CE52" s="301">
        <v>6.3999999999999844</v>
      </c>
      <c r="CF52" s="301">
        <v>-8.3200000000000287</v>
      </c>
      <c r="CG52" s="301">
        <v>-14.320000000000029</v>
      </c>
      <c r="CH52" s="301">
        <v>-40.320000000000029</v>
      </c>
      <c r="CI52" s="301">
        <v>-38.140000000000015</v>
      </c>
      <c r="CJ52" s="301">
        <v>-72.54000000000002</v>
      </c>
      <c r="CK52" s="301">
        <v>-88.5</v>
      </c>
      <c r="CL52" s="301">
        <v>-113.29999999999998</v>
      </c>
      <c r="CM52" s="301">
        <v>-127.4</v>
      </c>
      <c r="CN52" s="301">
        <v>-142.12</v>
      </c>
      <c r="CO52" s="301">
        <v>-164.04000000000002</v>
      </c>
      <c r="CR52" s="302" t="s">
        <v>44</v>
      </c>
      <c r="CS52" s="301">
        <f t="shared" ref="CS52:CS63" si="351">IFERROR(ROUND(CU52/CT52,0),0)</f>
        <v>0</v>
      </c>
      <c r="CT52" s="302">
        <f>$CG$45</f>
        <v>0</v>
      </c>
      <c r="CU52" s="302">
        <f t="shared" ref="CU52:CW52" si="352">CH45</f>
        <v>0</v>
      </c>
      <c r="CV52" s="302">
        <f t="shared" si="352"/>
        <v>0</v>
      </c>
      <c r="CW52" s="302">
        <f t="shared" si="352"/>
        <v>0</v>
      </c>
      <c r="CX52" s="302">
        <f>$CG$46</f>
        <v>0</v>
      </c>
    </row>
    <row r="53" spans="58:102" ht="29.25" customHeight="1" x14ac:dyDescent="0.3">
      <c r="BF53" s="1027" t="s">
        <v>46</v>
      </c>
      <c r="BG53" s="1027"/>
      <c r="BH53" s="300">
        <f>DN46</f>
        <v>76.599999999999994</v>
      </c>
      <c r="BI53" s="300">
        <f t="shared" ref="BI53:BY53" si="353">DO46</f>
        <v>3.66</v>
      </c>
      <c r="BJ53" s="300">
        <f t="shared" si="353"/>
        <v>0</v>
      </c>
      <c r="BK53" s="300">
        <f t="shared" si="353"/>
        <v>0</v>
      </c>
      <c r="BL53" s="300">
        <f t="shared" si="353"/>
        <v>0</v>
      </c>
      <c r="BM53" s="300">
        <f t="shared" si="353"/>
        <v>0</v>
      </c>
      <c r="BN53" s="300">
        <f t="shared" si="353"/>
        <v>0</v>
      </c>
      <c r="BO53" s="300">
        <f t="shared" si="353"/>
        <v>3.32</v>
      </c>
      <c r="BP53" s="300">
        <f t="shared" si="353"/>
        <v>3.34</v>
      </c>
      <c r="BQ53" s="300">
        <f t="shared" si="353"/>
        <v>0.23060000000000008</v>
      </c>
      <c r="BR53" s="300">
        <f t="shared" si="353"/>
        <v>0.38299999999999995</v>
      </c>
      <c r="BS53" s="300">
        <f t="shared" si="353"/>
        <v>0.33060000000000006</v>
      </c>
      <c r="BT53" s="300">
        <f t="shared" si="353"/>
        <v>0</v>
      </c>
      <c r="BU53" s="300">
        <f t="shared" si="353"/>
        <v>0</v>
      </c>
      <c r="BV53" s="300">
        <f t="shared" si="353"/>
        <v>4.8299999999999992</v>
      </c>
      <c r="BW53" s="300">
        <f t="shared" si="353"/>
        <v>2.9279999999999999</v>
      </c>
      <c r="BX53" s="300">
        <f t="shared" si="353"/>
        <v>0.71920000000000051</v>
      </c>
      <c r="BY53" s="300">
        <f t="shared" si="353"/>
        <v>0</v>
      </c>
      <c r="BZ53" s="301"/>
      <c r="CD53" s="300">
        <f>BJ10</f>
        <v>0</v>
      </c>
      <c r="CE53" s="301">
        <v>27.519999999999982</v>
      </c>
      <c r="CF53" s="301">
        <v>2.7999999999999687</v>
      </c>
      <c r="CG53" s="301">
        <v>-23.200000000000031</v>
      </c>
      <c r="CH53" s="301">
        <v>-49.200000000000031</v>
      </c>
      <c r="CI53" s="301">
        <v>-77.02000000000001</v>
      </c>
      <c r="CJ53" s="301">
        <v>-102.42000000000002</v>
      </c>
      <c r="CK53" s="301">
        <v>-128.38</v>
      </c>
      <c r="CL53" s="301">
        <v>-153.17999999999998</v>
      </c>
      <c r="CM53" s="301">
        <v>-177.28</v>
      </c>
      <c r="CN53" s="301">
        <v>-202</v>
      </c>
      <c r="CO53" s="301">
        <v>-223.92000000000002</v>
      </c>
      <c r="CR53" s="302" t="s">
        <v>94</v>
      </c>
      <c r="CS53" s="301">
        <f t="shared" si="351"/>
        <v>17</v>
      </c>
      <c r="CT53" s="302">
        <f>$DJ$45</f>
        <v>14</v>
      </c>
      <c r="CU53" s="302">
        <f t="shared" ref="CU53:CW53" si="354">DK45</f>
        <v>234</v>
      </c>
      <c r="CV53" s="302">
        <f t="shared" si="354"/>
        <v>234</v>
      </c>
      <c r="CW53" s="302">
        <f t="shared" si="354"/>
        <v>234</v>
      </c>
      <c r="CX53" s="302">
        <f>$DJ$46</f>
        <v>14</v>
      </c>
    </row>
    <row r="54" spans="58:102" ht="29.25" customHeight="1" x14ac:dyDescent="0.3">
      <c r="BF54" s="1027" t="s">
        <v>34</v>
      </c>
      <c r="BG54" s="1027"/>
      <c r="BH54" s="300">
        <f>EQ46</f>
        <v>32.399999999999984</v>
      </c>
      <c r="BI54" s="300">
        <f t="shared" ref="BI54:BY54" si="355">ER46</f>
        <v>0.60000000000000053</v>
      </c>
      <c r="BJ54" s="300">
        <f t="shared" si="355"/>
        <v>0</v>
      </c>
      <c r="BK54" s="300">
        <f t="shared" si="355"/>
        <v>0</v>
      </c>
      <c r="BL54" s="300">
        <f t="shared" si="355"/>
        <v>0</v>
      </c>
      <c r="BM54" s="300">
        <f t="shared" si="355"/>
        <v>0</v>
      </c>
      <c r="BN54" s="300">
        <f t="shared" si="355"/>
        <v>0</v>
      </c>
      <c r="BO54" s="300">
        <f t="shared" si="355"/>
        <v>0.60000000000000009</v>
      </c>
      <c r="BP54" s="300">
        <f t="shared" si="355"/>
        <v>0.28000000000000025</v>
      </c>
      <c r="BQ54" s="300">
        <f t="shared" si="355"/>
        <v>9.800000000000017E-2</v>
      </c>
      <c r="BR54" s="300">
        <f t="shared" si="355"/>
        <v>0.16199999999999981</v>
      </c>
      <c r="BS54" s="300">
        <f t="shared" si="355"/>
        <v>0.19800000000000015</v>
      </c>
      <c r="BT54" s="300">
        <f t="shared" si="355"/>
        <v>0</v>
      </c>
      <c r="BU54" s="300">
        <f t="shared" si="355"/>
        <v>0</v>
      </c>
      <c r="BV54" s="300">
        <f t="shared" si="355"/>
        <v>6.6199999999999992</v>
      </c>
      <c r="BW54" s="300">
        <f t="shared" si="355"/>
        <v>2.0439999999999996</v>
      </c>
      <c r="BX54" s="300">
        <f t="shared" si="355"/>
        <v>0.18880000000000086</v>
      </c>
      <c r="BY54" s="300">
        <f t="shared" si="355"/>
        <v>0</v>
      </c>
      <c r="BZ54" s="301"/>
      <c r="CD54" s="300">
        <f>BK10</f>
        <v>0</v>
      </c>
      <c r="CE54" s="301">
        <v>10.399999999999984</v>
      </c>
      <c r="CF54" s="301">
        <v>-14.320000000000029</v>
      </c>
      <c r="CG54" s="301">
        <v>-40.320000000000029</v>
      </c>
      <c r="CH54" s="301">
        <v>-66.320000000000022</v>
      </c>
      <c r="CI54" s="301">
        <v>-94.140000000000015</v>
      </c>
      <c r="CJ54" s="301">
        <v>-119.54000000000002</v>
      </c>
      <c r="CK54" s="301">
        <v>-145.5</v>
      </c>
      <c r="CL54" s="301">
        <v>-170.29999999999998</v>
      </c>
      <c r="CM54" s="301">
        <v>-194.4</v>
      </c>
      <c r="CN54" s="301">
        <v>-219.12</v>
      </c>
      <c r="CO54" s="301">
        <v>-241.04000000000002</v>
      </c>
      <c r="CR54" s="302" t="s">
        <v>46</v>
      </c>
      <c r="CS54" s="301">
        <f t="shared" si="351"/>
        <v>17</v>
      </c>
      <c r="CT54" s="302">
        <f>$EM$45</f>
        <v>26</v>
      </c>
      <c r="CU54" s="302">
        <f t="shared" ref="CU54:CW54" si="356">EN45</f>
        <v>442</v>
      </c>
      <c r="CV54" s="302">
        <f t="shared" si="356"/>
        <v>442</v>
      </c>
      <c r="CW54" s="302">
        <f t="shared" si="356"/>
        <v>442</v>
      </c>
      <c r="CX54" s="302">
        <f>$EM$46</f>
        <v>26</v>
      </c>
    </row>
    <row r="55" spans="58:102" ht="29.25" customHeight="1" x14ac:dyDescent="0.3">
      <c r="BF55" s="1027" t="s">
        <v>37</v>
      </c>
      <c r="BG55" s="1027"/>
      <c r="BH55" s="300">
        <f>FT46</f>
        <v>99.399999999999977</v>
      </c>
      <c r="BI55" s="300">
        <f t="shared" ref="BI55:BY55" si="357">FU46</f>
        <v>5.2000000000000011</v>
      </c>
      <c r="BJ55" s="300">
        <f t="shared" si="357"/>
        <v>0</v>
      </c>
      <c r="BK55" s="300">
        <f t="shared" si="357"/>
        <v>0</v>
      </c>
      <c r="BL55" s="300">
        <f t="shared" si="357"/>
        <v>0</v>
      </c>
      <c r="BM55" s="300">
        <f t="shared" si="357"/>
        <v>0</v>
      </c>
      <c r="BN55" s="300">
        <f t="shared" si="357"/>
        <v>0</v>
      </c>
      <c r="BO55" s="300">
        <f t="shared" si="357"/>
        <v>5.5</v>
      </c>
      <c r="BP55" s="300">
        <f t="shared" si="357"/>
        <v>5.18</v>
      </c>
      <c r="BQ55" s="300">
        <f t="shared" si="357"/>
        <v>0.2990000000000001</v>
      </c>
      <c r="BR55" s="300">
        <f t="shared" si="357"/>
        <v>0.49699999999999972</v>
      </c>
      <c r="BS55" s="300">
        <f t="shared" si="357"/>
        <v>0.49900000000000017</v>
      </c>
      <c r="BT55" s="300">
        <f t="shared" si="357"/>
        <v>0</v>
      </c>
      <c r="BU55" s="300">
        <f t="shared" si="357"/>
        <v>0</v>
      </c>
      <c r="BV55" s="300">
        <f t="shared" si="357"/>
        <v>9.9699999999999989</v>
      </c>
      <c r="BW55" s="300">
        <f t="shared" si="357"/>
        <v>3.3839999999999995</v>
      </c>
      <c r="BX55" s="300">
        <f t="shared" si="357"/>
        <v>0.79280000000000084</v>
      </c>
      <c r="BY55" s="300">
        <f t="shared" si="357"/>
        <v>0</v>
      </c>
      <c r="BZ55" s="301"/>
      <c r="CD55" s="300">
        <f>BL10</f>
        <v>0</v>
      </c>
      <c r="CE55" s="301">
        <v>21.399999999999984</v>
      </c>
      <c r="CF55" s="301">
        <v>-3.3200000000000287</v>
      </c>
      <c r="CG55" s="301">
        <v>-29.320000000000029</v>
      </c>
      <c r="CH55" s="301">
        <v>-55.320000000000029</v>
      </c>
      <c r="CI55" s="301">
        <v>-83.140000000000015</v>
      </c>
      <c r="CJ55" s="301">
        <v>-108.54000000000002</v>
      </c>
      <c r="CK55" s="301">
        <v>-134.5</v>
      </c>
      <c r="CL55" s="301">
        <v>-159.29999999999998</v>
      </c>
      <c r="CM55" s="301">
        <v>-183.4</v>
      </c>
      <c r="CN55" s="301">
        <v>-208.12</v>
      </c>
      <c r="CO55" s="301">
        <v>-230.04000000000002</v>
      </c>
      <c r="CR55" s="302" t="s">
        <v>34</v>
      </c>
      <c r="CS55" s="301">
        <f t="shared" si="351"/>
        <v>15</v>
      </c>
      <c r="CT55" s="302">
        <f>$FP$45</f>
        <v>22</v>
      </c>
      <c r="CU55" s="302">
        <f t="shared" ref="CU55:CW55" si="358">FQ45</f>
        <v>330</v>
      </c>
      <c r="CV55" s="302">
        <f t="shared" si="358"/>
        <v>330</v>
      </c>
      <c r="CW55" s="302">
        <f t="shared" si="358"/>
        <v>330</v>
      </c>
      <c r="CX55" s="302">
        <f>$FP$46</f>
        <v>22</v>
      </c>
    </row>
    <row r="56" spans="58:102" ht="29.25" customHeight="1" x14ac:dyDescent="0.3">
      <c r="BF56" s="1027" t="s">
        <v>47</v>
      </c>
      <c r="BG56" s="1027"/>
      <c r="BH56" s="300">
        <f>GW46</f>
        <v>60.999999999999957</v>
      </c>
      <c r="BI56" s="300">
        <f t="shared" ref="BI56:BY56" si="359">GX46</f>
        <v>3.3400000000000007</v>
      </c>
      <c r="BJ56" s="300">
        <f t="shared" si="359"/>
        <v>0</v>
      </c>
      <c r="BK56" s="300">
        <f t="shared" si="359"/>
        <v>0</v>
      </c>
      <c r="BL56" s="300">
        <f t="shared" si="359"/>
        <v>0</v>
      </c>
      <c r="BM56" s="300">
        <f t="shared" si="359"/>
        <v>0</v>
      </c>
      <c r="BN56" s="300">
        <f t="shared" si="359"/>
        <v>0</v>
      </c>
      <c r="BO56" s="300">
        <f t="shared" si="359"/>
        <v>2.44</v>
      </c>
      <c r="BP56" s="300">
        <f t="shared" si="359"/>
        <v>2.4199999999999995</v>
      </c>
      <c r="BQ56" s="300">
        <f t="shared" si="359"/>
        <v>0.18380000000000013</v>
      </c>
      <c r="BR56" s="300">
        <f t="shared" si="359"/>
        <v>0.3049999999999996</v>
      </c>
      <c r="BS56" s="300">
        <f t="shared" si="359"/>
        <v>0.3838000000000002</v>
      </c>
      <c r="BT56" s="300">
        <f t="shared" si="359"/>
        <v>0</v>
      </c>
      <c r="BU56" s="300">
        <f t="shared" si="359"/>
        <v>0</v>
      </c>
      <c r="BV56" s="300">
        <f t="shared" si="359"/>
        <v>9.0499999999999989</v>
      </c>
      <c r="BW56" s="300">
        <f t="shared" si="359"/>
        <v>2.6159999999999988</v>
      </c>
      <c r="BX56" s="300">
        <f t="shared" si="359"/>
        <v>0.33200000000000096</v>
      </c>
      <c r="BY56" s="300">
        <f t="shared" si="359"/>
        <v>0</v>
      </c>
      <c r="BZ56" s="301"/>
      <c r="CD56" s="300">
        <f>BM10</f>
        <v>0</v>
      </c>
      <c r="CE56" s="301">
        <v>31.399999999999984</v>
      </c>
      <c r="CF56" s="301">
        <v>6.6799999999999713</v>
      </c>
      <c r="CG56" s="301">
        <v>-19.320000000000029</v>
      </c>
      <c r="CH56" s="301">
        <v>-45.320000000000029</v>
      </c>
      <c r="CI56" s="301">
        <v>-73.140000000000015</v>
      </c>
      <c r="CJ56" s="301">
        <v>-98.54000000000002</v>
      </c>
      <c r="CK56" s="301">
        <v>-124.5</v>
      </c>
      <c r="CL56" s="301">
        <v>-149.29999999999998</v>
      </c>
      <c r="CM56" s="301">
        <v>-173.4</v>
      </c>
      <c r="CN56" s="301">
        <v>-198.12</v>
      </c>
      <c r="CO56" s="301">
        <v>-220.04000000000002</v>
      </c>
      <c r="CR56" s="302" t="s">
        <v>37</v>
      </c>
      <c r="CS56" s="301">
        <f t="shared" si="351"/>
        <v>17</v>
      </c>
      <c r="CT56" s="302">
        <f>$GS$45</f>
        <v>23</v>
      </c>
      <c r="CU56" s="302">
        <f t="shared" ref="CU56:CW56" si="360">GT45</f>
        <v>384</v>
      </c>
      <c r="CV56" s="302">
        <f t="shared" si="360"/>
        <v>384</v>
      </c>
      <c r="CW56" s="302">
        <f t="shared" si="360"/>
        <v>384</v>
      </c>
      <c r="CX56" s="302">
        <f>$GS$46</f>
        <v>23</v>
      </c>
    </row>
    <row r="57" spans="58:102" ht="29.25" customHeight="1" x14ac:dyDescent="0.3">
      <c r="BF57" s="1027" t="s">
        <v>38</v>
      </c>
      <c r="BG57" s="1027"/>
      <c r="BH57" s="300">
        <f>HZ46</f>
        <v>37.399999999999963</v>
      </c>
      <c r="BI57" s="300">
        <f t="shared" ref="BI57:BY57" si="361">IA46</f>
        <v>1.1400000000000006</v>
      </c>
      <c r="BJ57" s="300">
        <f t="shared" si="361"/>
        <v>0</v>
      </c>
      <c r="BK57" s="300">
        <f t="shared" si="361"/>
        <v>0</v>
      </c>
      <c r="BL57" s="300">
        <f t="shared" si="361"/>
        <v>0</v>
      </c>
      <c r="BM57" s="300">
        <f t="shared" si="361"/>
        <v>0</v>
      </c>
      <c r="BN57" s="300">
        <f t="shared" si="361"/>
        <v>0</v>
      </c>
      <c r="BO57" s="300">
        <f t="shared" si="361"/>
        <v>1.24</v>
      </c>
      <c r="BP57" s="300">
        <f t="shared" si="361"/>
        <v>1.0999999999999994</v>
      </c>
      <c r="BQ57" s="300">
        <f t="shared" si="361"/>
        <v>0.11300000000000014</v>
      </c>
      <c r="BR57" s="300">
        <f t="shared" si="361"/>
        <v>0.18699999999999964</v>
      </c>
      <c r="BS57" s="300">
        <f t="shared" si="361"/>
        <v>0.31300000000000022</v>
      </c>
      <c r="BT57" s="300">
        <f t="shared" si="361"/>
        <v>0</v>
      </c>
      <c r="BU57" s="300">
        <f t="shared" si="361"/>
        <v>0</v>
      </c>
      <c r="BV57" s="300">
        <f t="shared" si="361"/>
        <v>10.87</v>
      </c>
      <c r="BW57" s="300">
        <f t="shared" si="361"/>
        <v>2.1439999999999988</v>
      </c>
      <c r="BX57" s="300">
        <f t="shared" si="361"/>
        <v>4.8800000000001009E-2</v>
      </c>
      <c r="BY57" s="300">
        <f t="shared" si="361"/>
        <v>0</v>
      </c>
      <c r="BZ57" s="301"/>
      <c r="CD57" s="300">
        <f>BN10</f>
        <v>0</v>
      </c>
      <c r="CE57" s="301">
        <v>43.399999999999984</v>
      </c>
      <c r="CF57" s="301">
        <v>18.679999999999971</v>
      </c>
      <c r="CG57" s="301">
        <v>-7.3200000000000287</v>
      </c>
      <c r="CH57" s="301">
        <v>-33.320000000000029</v>
      </c>
      <c r="CI57" s="301">
        <v>-61.140000000000015</v>
      </c>
      <c r="CJ57" s="301">
        <v>-86.54000000000002</v>
      </c>
      <c r="CK57" s="301">
        <v>-112.5</v>
      </c>
      <c r="CL57" s="301">
        <v>-137.29999999999998</v>
      </c>
      <c r="CM57" s="301">
        <v>-161.4</v>
      </c>
      <c r="CN57" s="301">
        <v>-186.12</v>
      </c>
      <c r="CO57" s="301">
        <v>-208.04000000000002</v>
      </c>
      <c r="CR57" s="302" t="s">
        <v>47</v>
      </c>
      <c r="CS57" s="301">
        <f t="shared" si="351"/>
        <v>21</v>
      </c>
      <c r="CT57" s="302">
        <f>$HV$45</f>
        <v>11</v>
      </c>
      <c r="CU57" s="302">
        <f t="shared" ref="CU57:CW57" si="362">HW45</f>
        <v>236</v>
      </c>
      <c r="CV57" s="302">
        <f t="shared" si="362"/>
        <v>236</v>
      </c>
      <c r="CW57" s="302">
        <f t="shared" si="362"/>
        <v>236</v>
      </c>
      <c r="CX57" s="302">
        <f>$HV$46</f>
        <v>11</v>
      </c>
    </row>
    <row r="58" spans="58:102" ht="29.25" customHeight="1" x14ac:dyDescent="0.3">
      <c r="BF58" s="1027" t="s">
        <v>39</v>
      </c>
      <c r="BG58" s="1027"/>
      <c r="BH58" s="300">
        <f>JC46</f>
        <v>45.599999999999959</v>
      </c>
      <c r="BI58" s="300">
        <f t="shared" ref="BI58:BY58" si="363">JD46</f>
        <v>3.5000000000000004</v>
      </c>
      <c r="BJ58" s="300">
        <f t="shared" si="363"/>
        <v>0</v>
      </c>
      <c r="BK58" s="300">
        <f t="shared" si="363"/>
        <v>0</v>
      </c>
      <c r="BL58" s="300">
        <f t="shared" si="363"/>
        <v>0</v>
      </c>
      <c r="BM58" s="300">
        <f t="shared" si="363"/>
        <v>0</v>
      </c>
      <c r="BN58" s="300">
        <f t="shared" si="363"/>
        <v>0</v>
      </c>
      <c r="BO58" s="300">
        <f t="shared" si="363"/>
        <v>3.6</v>
      </c>
      <c r="BP58" s="300">
        <f t="shared" si="363"/>
        <v>3.0199999999999996</v>
      </c>
      <c r="BQ58" s="300">
        <f t="shared" si="363"/>
        <v>0.38760000000000017</v>
      </c>
      <c r="BR58" s="300">
        <f t="shared" si="363"/>
        <v>0.27799999999999958</v>
      </c>
      <c r="BS58" s="300">
        <f t="shared" si="363"/>
        <v>0.48760000000000026</v>
      </c>
      <c r="BT58" s="300">
        <f t="shared" si="363"/>
        <v>0</v>
      </c>
      <c r="BU58" s="300">
        <f t="shared" si="363"/>
        <v>0</v>
      </c>
      <c r="BV58" s="300">
        <f t="shared" si="363"/>
        <v>13.779999999999998</v>
      </c>
      <c r="BW58" s="300">
        <f t="shared" si="363"/>
        <v>3.3079999999999981</v>
      </c>
      <c r="BX58" s="300">
        <f t="shared" si="363"/>
        <v>0.54720000000000124</v>
      </c>
      <c r="BY58" s="300">
        <f t="shared" si="363"/>
        <v>0</v>
      </c>
      <c r="BZ58" s="301"/>
      <c r="CD58" s="300">
        <f>BO10</f>
        <v>3.24</v>
      </c>
      <c r="CE58" s="301">
        <v>54.399999999999984</v>
      </c>
      <c r="CF58" s="301">
        <v>29.679999999999964</v>
      </c>
      <c r="CG58" s="301">
        <v>3.6799999999999642</v>
      </c>
      <c r="CH58" s="301">
        <v>-22.320000000000036</v>
      </c>
      <c r="CI58" s="301">
        <v>-50.140000000000022</v>
      </c>
      <c r="CJ58" s="301">
        <v>-75.54000000000002</v>
      </c>
      <c r="CK58" s="301">
        <v>-101.5</v>
      </c>
      <c r="CL58" s="301">
        <v>-126.29999999999998</v>
      </c>
      <c r="CM58" s="301">
        <v>-150.4</v>
      </c>
      <c r="CN58" s="301">
        <v>-175.12</v>
      </c>
      <c r="CO58" s="301">
        <v>-197.04000000000002</v>
      </c>
      <c r="CR58" s="302" t="s">
        <v>38</v>
      </c>
      <c r="CS58" s="301">
        <f t="shared" si="351"/>
        <v>22</v>
      </c>
      <c r="CT58" s="302">
        <f>$IY$45</f>
        <v>19</v>
      </c>
      <c r="CU58" s="302">
        <f t="shared" ref="CU58:CW58" si="364">IZ45</f>
        <v>418</v>
      </c>
      <c r="CV58" s="302">
        <f t="shared" si="364"/>
        <v>418</v>
      </c>
      <c r="CW58" s="302">
        <f t="shared" si="364"/>
        <v>418</v>
      </c>
      <c r="CX58" s="302">
        <f>$IY$46</f>
        <v>19</v>
      </c>
    </row>
    <row r="59" spans="58:102" ht="29.25" customHeight="1" x14ac:dyDescent="0.3">
      <c r="BF59" s="1027" t="s">
        <v>33</v>
      </c>
      <c r="BG59" s="1027"/>
      <c r="BH59" s="300">
        <f>KF46</f>
        <v>20.899999999999942</v>
      </c>
      <c r="BI59" s="300">
        <f t="shared" ref="BI59:BY59" si="365">KG46</f>
        <v>1.7200000000000002</v>
      </c>
      <c r="BJ59" s="300">
        <f t="shared" si="365"/>
        <v>0</v>
      </c>
      <c r="BK59" s="300">
        <f t="shared" si="365"/>
        <v>0</v>
      </c>
      <c r="BL59" s="300">
        <f t="shared" si="365"/>
        <v>0</v>
      </c>
      <c r="BM59" s="300">
        <f t="shared" si="365"/>
        <v>0</v>
      </c>
      <c r="BN59" s="300">
        <f t="shared" si="365"/>
        <v>0</v>
      </c>
      <c r="BO59" s="300">
        <f t="shared" si="365"/>
        <v>0.2200000000000002</v>
      </c>
      <c r="BP59" s="300">
        <f t="shared" si="365"/>
        <v>-0.76000000000000023</v>
      </c>
      <c r="BQ59" s="300">
        <f t="shared" si="365"/>
        <v>0.22350000000000017</v>
      </c>
      <c r="BR59" s="300">
        <f t="shared" si="365"/>
        <v>4.4999999999995044E-3</v>
      </c>
      <c r="BS59" s="300">
        <f t="shared" si="365"/>
        <v>0.32350000000000023</v>
      </c>
      <c r="BT59" s="300">
        <f t="shared" si="365"/>
        <v>0</v>
      </c>
      <c r="BU59" s="300">
        <f t="shared" si="365"/>
        <v>0</v>
      </c>
      <c r="BV59" s="300">
        <f t="shared" si="365"/>
        <v>14.044999999999998</v>
      </c>
      <c r="BW59" s="300">
        <f t="shared" si="365"/>
        <v>2.2139999999999977</v>
      </c>
      <c r="BX59" s="300">
        <f t="shared" si="365"/>
        <v>0.39080000000000126</v>
      </c>
      <c r="BY59" s="300">
        <f t="shared" si="365"/>
        <v>0</v>
      </c>
      <c r="BZ59" s="301"/>
      <c r="CD59" s="300">
        <f>BP10</f>
        <v>2.12</v>
      </c>
      <c r="CE59" s="301">
        <v>65.399999999999977</v>
      </c>
      <c r="CF59" s="301">
        <v>40.679999999999964</v>
      </c>
      <c r="CG59" s="301">
        <v>14.679999999999964</v>
      </c>
      <c r="CH59" s="301">
        <v>-11.320000000000036</v>
      </c>
      <c r="CI59" s="301">
        <v>-39.140000000000022</v>
      </c>
      <c r="CJ59" s="301">
        <v>-64.54000000000002</v>
      </c>
      <c r="CK59" s="301">
        <v>-90.5</v>
      </c>
      <c r="CL59" s="301">
        <v>-115.29999999999998</v>
      </c>
      <c r="CM59" s="301">
        <v>-139.4</v>
      </c>
      <c r="CN59" s="301">
        <v>-164.12</v>
      </c>
      <c r="CO59" s="301">
        <v>-186.04000000000002</v>
      </c>
      <c r="CR59" s="302" t="s">
        <v>39</v>
      </c>
      <c r="CS59" s="301">
        <f t="shared" si="351"/>
        <v>21</v>
      </c>
      <c r="CT59" s="302">
        <f>$KB$45</f>
        <v>26</v>
      </c>
      <c r="CU59" s="302">
        <f t="shared" ref="CU59:CW59" si="366">KC45</f>
        <v>547</v>
      </c>
      <c r="CV59" s="302">
        <f t="shared" si="366"/>
        <v>547</v>
      </c>
      <c r="CW59" s="302">
        <f t="shared" si="366"/>
        <v>547</v>
      </c>
      <c r="CX59" s="302">
        <f>$KB$46</f>
        <v>26</v>
      </c>
    </row>
    <row r="60" spans="58:102" ht="29.25" customHeight="1" x14ac:dyDescent="0.3">
      <c r="BF60" s="1027" t="s">
        <v>40</v>
      </c>
      <c r="BG60" s="1027"/>
      <c r="BH60" s="300">
        <f>LI46</f>
        <v>20.899999999999942</v>
      </c>
      <c r="BI60" s="300">
        <f t="shared" ref="BI60:BY60" si="367">LJ46</f>
        <v>1.7200000000000002</v>
      </c>
      <c r="BJ60" s="300">
        <f t="shared" si="367"/>
        <v>0</v>
      </c>
      <c r="BK60" s="300">
        <f t="shared" si="367"/>
        <v>0</v>
      </c>
      <c r="BL60" s="300">
        <f t="shared" si="367"/>
        <v>0</v>
      </c>
      <c r="BM60" s="300">
        <f t="shared" si="367"/>
        <v>0</v>
      </c>
      <c r="BN60" s="300">
        <f t="shared" si="367"/>
        <v>0</v>
      </c>
      <c r="BO60" s="300">
        <f t="shared" si="367"/>
        <v>0.2200000000000002</v>
      </c>
      <c r="BP60" s="300">
        <f t="shared" si="367"/>
        <v>-0.76000000000000023</v>
      </c>
      <c r="BQ60" s="300">
        <f t="shared" si="367"/>
        <v>0.22350000000000017</v>
      </c>
      <c r="BR60" s="300">
        <f t="shared" si="367"/>
        <v>4.4999999999995044E-3</v>
      </c>
      <c r="BS60" s="300">
        <f t="shared" si="367"/>
        <v>0.32350000000000023</v>
      </c>
      <c r="BT60" s="300">
        <f t="shared" si="367"/>
        <v>0</v>
      </c>
      <c r="BU60" s="300">
        <f t="shared" si="367"/>
        <v>0</v>
      </c>
      <c r="BV60" s="300">
        <f t="shared" si="367"/>
        <v>14.044999999999998</v>
      </c>
      <c r="BW60" s="300">
        <f t="shared" si="367"/>
        <v>2.2139999999999977</v>
      </c>
      <c r="BX60" s="300">
        <f t="shared" si="367"/>
        <v>0.39080000000000126</v>
      </c>
      <c r="BY60" s="300">
        <f t="shared" si="367"/>
        <v>0</v>
      </c>
      <c r="BZ60" s="301"/>
      <c r="CD60" s="301">
        <v>100</v>
      </c>
      <c r="CE60" s="301">
        <v>105.83199999999999</v>
      </c>
      <c r="CF60" s="301">
        <v>106.6584</v>
      </c>
      <c r="CG60" s="301">
        <v>107.47839999999999</v>
      </c>
      <c r="CH60" s="301">
        <v>108.29839999999999</v>
      </c>
      <c r="CI60" s="301">
        <v>109.10929999999999</v>
      </c>
      <c r="CJ60" s="301">
        <v>109.93229999999998</v>
      </c>
      <c r="CK60" s="301">
        <v>110.75249999999998</v>
      </c>
      <c r="CL60" s="301">
        <v>111.57849999999998</v>
      </c>
      <c r="CM60" s="301">
        <v>112.40799999999997</v>
      </c>
      <c r="CN60" s="301">
        <v>113.23439999999998</v>
      </c>
      <c r="CO60" s="301">
        <v>114.07479999999998</v>
      </c>
      <c r="CR60" s="302" t="s">
        <v>33</v>
      </c>
      <c r="CS60" s="301">
        <f t="shared" si="351"/>
        <v>0</v>
      </c>
      <c r="CT60" s="302">
        <f>$LE$45</f>
        <v>0</v>
      </c>
      <c r="CU60" s="302">
        <f t="shared" ref="CU60:CW60" si="368">LF45</f>
        <v>0</v>
      </c>
      <c r="CV60" s="302">
        <f t="shared" si="368"/>
        <v>0</v>
      </c>
      <c r="CW60" s="302">
        <f t="shared" si="368"/>
        <v>0</v>
      </c>
      <c r="CX60" s="302">
        <f>$LE$46</f>
        <v>0</v>
      </c>
    </row>
    <row r="61" spans="58:102" ht="29.25" customHeight="1" x14ac:dyDescent="0.3">
      <c r="BF61" s="1027" t="s">
        <v>41</v>
      </c>
      <c r="BG61" s="1027"/>
      <c r="BH61" s="300">
        <f>ML46</f>
        <v>20.899999999999942</v>
      </c>
      <c r="BI61" s="300">
        <f t="shared" ref="BI61:BY61" si="369">MM46</f>
        <v>1.7200000000000002</v>
      </c>
      <c r="BJ61" s="300">
        <f t="shared" si="369"/>
        <v>0</v>
      </c>
      <c r="BK61" s="300">
        <f t="shared" si="369"/>
        <v>0</v>
      </c>
      <c r="BL61" s="300">
        <f t="shared" si="369"/>
        <v>0</v>
      </c>
      <c r="BM61" s="300">
        <f t="shared" si="369"/>
        <v>0</v>
      </c>
      <c r="BN61" s="300">
        <f t="shared" si="369"/>
        <v>0</v>
      </c>
      <c r="BO61" s="300">
        <f t="shared" si="369"/>
        <v>0.2200000000000002</v>
      </c>
      <c r="BP61" s="300">
        <f t="shared" si="369"/>
        <v>-0.76000000000000023</v>
      </c>
      <c r="BQ61" s="300">
        <f t="shared" si="369"/>
        <v>0.22350000000000017</v>
      </c>
      <c r="BR61" s="300">
        <f t="shared" si="369"/>
        <v>4.4999999999995044E-3</v>
      </c>
      <c r="BS61" s="300">
        <f t="shared" si="369"/>
        <v>0.32350000000000023</v>
      </c>
      <c r="BT61" s="300">
        <f t="shared" si="369"/>
        <v>0</v>
      </c>
      <c r="BU61" s="300">
        <f t="shared" si="369"/>
        <v>0</v>
      </c>
      <c r="BV61" s="300">
        <f t="shared" si="369"/>
        <v>14.044999999999998</v>
      </c>
      <c r="BW61" s="300">
        <f t="shared" si="369"/>
        <v>2.2139999999999977</v>
      </c>
      <c r="BX61" s="300">
        <f t="shared" si="369"/>
        <v>0.39080000000000126</v>
      </c>
      <c r="BY61" s="300">
        <f t="shared" si="369"/>
        <v>0</v>
      </c>
      <c r="BZ61" s="301"/>
      <c r="CD61" s="301">
        <v>110</v>
      </c>
      <c r="CE61" s="301">
        <v>113.83199999999999</v>
      </c>
      <c r="CF61" s="301">
        <v>114.6584</v>
      </c>
      <c r="CG61" s="301">
        <v>115.47839999999999</v>
      </c>
      <c r="CH61" s="301">
        <v>116.29839999999999</v>
      </c>
      <c r="CI61" s="301">
        <v>117.10929999999999</v>
      </c>
      <c r="CJ61" s="301">
        <v>117.93229999999998</v>
      </c>
      <c r="CK61" s="301">
        <v>118.75249999999998</v>
      </c>
      <c r="CL61" s="301">
        <v>119.57849999999998</v>
      </c>
      <c r="CM61" s="301">
        <v>120.40799999999997</v>
      </c>
      <c r="CN61" s="301">
        <v>121.23439999999998</v>
      </c>
      <c r="CO61" s="301">
        <v>122.07479999999998</v>
      </c>
      <c r="CR61" s="302" t="s">
        <v>40</v>
      </c>
      <c r="CS61" s="301">
        <f t="shared" si="351"/>
        <v>0</v>
      </c>
      <c r="CT61" s="302">
        <f>$MH$45</f>
        <v>0</v>
      </c>
      <c r="CU61" s="302">
        <f t="shared" ref="CU61:CW61" si="370">MI45</f>
        <v>0</v>
      </c>
      <c r="CV61" s="302">
        <f t="shared" si="370"/>
        <v>0</v>
      </c>
      <c r="CW61" s="302">
        <f t="shared" si="370"/>
        <v>0</v>
      </c>
      <c r="CX61" s="302">
        <f>$MH$46</f>
        <v>0</v>
      </c>
    </row>
    <row r="62" spans="58:102" ht="29.25" customHeight="1" x14ac:dyDescent="0.3">
      <c r="BG62" s="1027"/>
      <c r="BH62" s="300">
        <f>NO46</f>
        <v>20.899999999999942</v>
      </c>
      <c r="BI62" s="300">
        <f t="shared" ref="BI62:BY62" si="371">NP46</f>
        <v>1.7200000000000002</v>
      </c>
      <c r="BJ62" s="300">
        <f t="shared" si="371"/>
        <v>0</v>
      </c>
      <c r="BK62" s="300">
        <f t="shared" si="371"/>
        <v>0</v>
      </c>
      <c r="BL62" s="300">
        <f t="shared" si="371"/>
        <v>0</v>
      </c>
      <c r="BM62" s="300">
        <f t="shared" si="371"/>
        <v>0</v>
      </c>
      <c r="BN62" s="300">
        <f t="shared" si="371"/>
        <v>0</v>
      </c>
      <c r="BO62" s="300">
        <f t="shared" si="371"/>
        <v>0.2200000000000002</v>
      </c>
      <c r="BP62" s="300">
        <f t="shared" si="371"/>
        <v>-0.76000000000000023</v>
      </c>
      <c r="BQ62" s="300">
        <f t="shared" si="371"/>
        <v>0.22350000000000017</v>
      </c>
      <c r="BR62" s="300">
        <f t="shared" si="371"/>
        <v>4.4999999999995044E-3</v>
      </c>
      <c r="BS62" s="300">
        <f t="shared" si="371"/>
        <v>0.32350000000000023</v>
      </c>
      <c r="BT62" s="300">
        <f t="shared" si="371"/>
        <v>0</v>
      </c>
      <c r="BU62" s="300">
        <f t="shared" si="371"/>
        <v>0</v>
      </c>
      <c r="BV62" s="300">
        <f t="shared" si="371"/>
        <v>14.044999999999998</v>
      </c>
      <c r="BW62" s="300">
        <f t="shared" si="371"/>
        <v>2.2139999999999977</v>
      </c>
      <c r="BX62" s="300">
        <f t="shared" si="371"/>
        <v>0.39080000000000126</v>
      </c>
      <c r="BY62" s="300">
        <f t="shared" si="371"/>
        <v>0</v>
      </c>
      <c r="BZ62" s="301"/>
      <c r="CD62" s="301">
        <v>120</v>
      </c>
      <c r="CE62" s="301">
        <v>123.824</v>
      </c>
      <c r="CF62" s="301">
        <v>123.6088</v>
      </c>
      <c r="CG62" s="301">
        <v>123.3488</v>
      </c>
      <c r="CH62" s="301">
        <v>123.08879999999999</v>
      </c>
      <c r="CI62" s="301">
        <v>122.76509999999999</v>
      </c>
      <c r="CJ62" s="301">
        <v>122.52609999999999</v>
      </c>
      <c r="CK62" s="301">
        <v>122.26749999999998</v>
      </c>
      <c r="CL62" s="301">
        <v>122.04949999999998</v>
      </c>
      <c r="CM62" s="301">
        <v>121.85599999999998</v>
      </c>
      <c r="CN62" s="301">
        <v>121.64079999999998</v>
      </c>
      <c r="CO62" s="301">
        <v>121.52359999999999</v>
      </c>
      <c r="CR62" s="302" t="s">
        <v>41</v>
      </c>
      <c r="CS62" s="301">
        <f t="shared" si="351"/>
        <v>0</v>
      </c>
      <c r="CT62" s="302">
        <f>$NK$45</f>
        <v>0</v>
      </c>
      <c r="CU62" s="302">
        <f t="shared" ref="CU62:CW62" si="372">NL45</f>
        <v>0</v>
      </c>
      <c r="CV62" s="302">
        <f t="shared" si="372"/>
        <v>0</v>
      </c>
      <c r="CW62" s="302">
        <f t="shared" si="372"/>
        <v>0</v>
      </c>
      <c r="CX62" s="302">
        <f>$NK$46</f>
        <v>0</v>
      </c>
    </row>
    <row r="63" spans="58:102" ht="29.25" customHeight="1" x14ac:dyDescent="0.3">
      <c r="BH63" s="303">
        <f>SUM(BH50:BH62)</f>
        <v>566.19999999999959</v>
      </c>
      <c r="CD63" s="301">
        <v>130</v>
      </c>
      <c r="CE63" s="301">
        <v>136</v>
      </c>
      <c r="CF63" s="301">
        <v>137</v>
      </c>
      <c r="CG63" s="301">
        <v>138</v>
      </c>
      <c r="CH63" s="301">
        <v>139</v>
      </c>
      <c r="CI63" s="301">
        <v>140</v>
      </c>
      <c r="CJ63" s="301">
        <v>141</v>
      </c>
      <c r="CK63" s="301">
        <v>142</v>
      </c>
      <c r="CL63" s="301">
        <v>143</v>
      </c>
      <c r="CM63" s="301">
        <v>144</v>
      </c>
      <c r="CN63" s="301">
        <v>145</v>
      </c>
      <c r="CO63" s="301">
        <v>146</v>
      </c>
      <c r="CR63" s="302" t="s">
        <v>35</v>
      </c>
      <c r="CS63" s="301">
        <f t="shared" si="351"/>
        <v>19</v>
      </c>
      <c r="CT63" s="302">
        <f>SUM(CT51:CT62)</f>
        <v>164</v>
      </c>
      <c r="CU63" s="302">
        <f>SUM(CU51:CU62)</f>
        <v>3097</v>
      </c>
      <c r="CV63" s="302">
        <f>SUM(CV51:CV62)</f>
        <v>3097</v>
      </c>
      <c r="CW63" s="302">
        <f>SUM(CW51:CW62)</f>
        <v>3097</v>
      </c>
      <c r="CX63" s="301">
        <f>SUM(CX51:CX62)</f>
        <v>164</v>
      </c>
    </row>
    <row r="64" spans="58:102" ht="29.25" customHeight="1" x14ac:dyDescent="0.3">
      <c r="CD64" s="301">
        <v>140</v>
      </c>
      <c r="CE64" s="301">
        <v>144.22800000000001</v>
      </c>
      <c r="CF64" s="301">
        <v>142.36360000000002</v>
      </c>
      <c r="CG64" s="301">
        <v>140.39360000000002</v>
      </c>
      <c r="CH64" s="301">
        <v>138.42360000000002</v>
      </c>
      <c r="CI64" s="301">
        <v>136.30345000000003</v>
      </c>
      <c r="CJ64" s="301">
        <v>134.38295000000002</v>
      </c>
      <c r="CK64" s="301">
        <v>132.41625000000002</v>
      </c>
      <c r="CL64" s="301">
        <v>130.54525000000001</v>
      </c>
      <c r="CM64" s="301">
        <v>128.732</v>
      </c>
      <c r="CN64" s="301">
        <v>126.8676</v>
      </c>
      <c r="CO64" s="301">
        <v>125.2342</v>
      </c>
    </row>
    <row r="65" spans="60:93" ht="29.25" customHeight="1" x14ac:dyDescent="0.3">
      <c r="BM65" s="301" t="s">
        <v>245</v>
      </c>
      <c r="CD65" s="301">
        <v>150</v>
      </c>
      <c r="CE65" s="301">
        <v>149.6</v>
      </c>
      <c r="CF65" s="301">
        <v>141.91999999999999</v>
      </c>
      <c r="CG65" s="301">
        <v>133.91999999999999</v>
      </c>
      <c r="CH65" s="301">
        <v>125.91999999999999</v>
      </c>
      <c r="CI65" s="301">
        <v>117.46499999999999</v>
      </c>
      <c r="CJ65" s="301">
        <v>109.61499999999999</v>
      </c>
      <c r="CK65" s="301">
        <v>101.625</v>
      </c>
      <c r="CL65" s="301">
        <v>93.924999999999997</v>
      </c>
      <c r="CM65" s="301">
        <v>86.399999999999991</v>
      </c>
      <c r="CN65" s="301">
        <v>78.719999999999985</v>
      </c>
      <c r="CO65" s="301">
        <v>71.739999999999981</v>
      </c>
    </row>
    <row r="66" spans="60:93" ht="29.25" customHeight="1" x14ac:dyDescent="0.3">
      <c r="BI66" s="294" t="s">
        <v>97</v>
      </c>
      <c r="BJ66" s="294" t="s">
        <v>163</v>
      </c>
      <c r="BK66" s="294" t="s">
        <v>164</v>
      </c>
      <c r="BL66" s="294" t="s">
        <v>63</v>
      </c>
      <c r="BM66" s="294" t="s">
        <v>64</v>
      </c>
      <c r="BN66" s="294" t="s">
        <v>65</v>
      </c>
      <c r="BO66" s="294" t="s">
        <v>66</v>
      </c>
      <c r="BP66" s="294" t="s">
        <v>67</v>
      </c>
      <c r="BQ66" s="294" t="s">
        <v>165</v>
      </c>
      <c r="BR66" s="294" t="s">
        <v>68</v>
      </c>
      <c r="BS66" s="294" t="s">
        <v>69</v>
      </c>
      <c r="BT66" s="294" t="s">
        <v>70</v>
      </c>
      <c r="BU66" s="294" t="s">
        <v>71</v>
      </c>
      <c r="BV66" s="294" t="s">
        <v>166</v>
      </c>
      <c r="BW66" s="294" t="s">
        <v>72</v>
      </c>
      <c r="BX66" s="294" t="s">
        <v>73</v>
      </c>
      <c r="BY66" s="999"/>
      <c r="BZ66" s="999"/>
      <c r="CD66" s="301">
        <v>160</v>
      </c>
      <c r="CE66" s="301">
        <v>163.96</v>
      </c>
      <c r="CF66" s="301">
        <v>159.75200000000001</v>
      </c>
      <c r="CG66" s="301">
        <v>155.352</v>
      </c>
      <c r="CH66" s="301">
        <v>150.952</v>
      </c>
      <c r="CI66" s="301">
        <v>146.279</v>
      </c>
      <c r="CJ66" s="301">
        <v>141.96899999999999</v>
      </c>
      <c r="CK66" s="301">
        <v>137.57499999999999</v>
      </c>
      <c r="CL66" s="301">
        <v>133.35499999999999</v>
      </c>
      <c r="CM66" s="301">
        <v>129.23999999999998</v>
      </c>
      <c r="CN66" s="301">
        <v>125.03199999999998</v>
      </c>
      <c r="CO66" s="301">
        <v>121.24399999999999</v>
      </c>
    </row>
    <row r="67" spans="60:93" ht="29.25" customHeight="1" x14ac:dyDescent="0.3">
      <c r="BH67" s="1030" t="s">
        <v>42</v>
      </c>
      <c r="BI67" s="300">
        <f>BH45</f>
        <v>50.600000000000016</v>
      </c>
      <c r="BJ67" s="300">
        <f t="shared" ref="BJ67:BZ67" si="373">BI45</f>
        <v>3.52</v>
      </c>
      <c r="BK67" s="300">
        <f>BJ45</f>
        <v>0</v>
      </c>
      <c r="BL67" s="300">
        <f t="shared" si="373"/>
        <v>0</v>
      </c>
      <c r="BM67" s="300">
        <f t="shared" si="373"/>
        <v>0</v>
      </c>
      <c r="BN67" s="300">
        <f t="shared" si="373"/>
        <v>0</v>
      </c>
      <c r="BO67" s="300">
        <f t="shared" si="373"/>
        <v>0</v>
      </c>
      <c r="BP67" s="300">
        <f t="shared" si="373"/>
        <v>3.08</v>
      </c>
      <c r="BQ67" s="300">
        <f t="shared" si="373"/>
        <v>3.52</v>
      </c>
      <c r="BR67" s="300">
        <f t="shared" si="373"/>
        <v>0.15179999999999993</v>
      </c>
      <c r="BS67" s="300">
        <f t="shared" si="373"/>
        <v>0.25300000000000006</v>
      </c>
      <c r="BT67" s="300">
        <f t="shared" si="373"/>
        <v>0.15179999999999993</v>
      </c>
      <c r="BU67" s="300">
        <f t="shared" si="373"/>
        <v>0</v>
      </c>
      <c r="BV67" s="300">
        <f t="shared" si="373"/>
        <v>0</v>
      </c>
      <c r="BW67" s="300">
        <f t="shared" si="373"/>
        <v>2.5300000000000002</v>
      </c>
      <c r="BX67" s="300">
        <f t="shared" si="373"/>
        <v>1.0120000000000002</v>
      </c>
      <c r="BY67" s="300">
        <f t="shared" si="373"/>
        <v>0.60719999999999974</v>
      </c>
      <c r="BZ67" s="300">
        <f t="shared" si="373"/>
        <v>0</v>
      </c>
      <c r="CD67" s="301">
        <v>170</v>
      </c>
      <c r="CE67" s="301">
        <v>174</v>
      </c>
      <c r="CF67" s="301">
        <v>175</v>
      </c>
      <c r="CG67" s="301">
        <v>176</v>
      </c>
      <c r="CH67" s="301">
        <v>177</v>
      </c>
      <c r="CI67" s="301">
        <v>178</v>
      </c>
      <c r="CJ67" s="301">
        <v>179</v>
      </c>
      <c r="CK67" s="301">
        <v>180</v>
      </c>
      <c r="CL67" s="301">
        <v>181</v>
      </c>
      <c r="CM67" s="301">
        <v>182</v>
      </c>
      <c r="CN67" s="301">
        <v>183</v>
      </c>
      <c r="CO67" s="301">
        <v>184</v>
      </c>
    </row>
    <row r="68" spans="60:93" ht="29.25" customHeight="1" x14ac:dyDescent="0.3">
      <c r="BH68" s="1030" t="s">
        <v>44</v>
      </c>
      <c r="BI68" s="300">
        <f>CK45</f>
        <v>0</v>
      </c>
      <c r="BJ68" s="300">
        <f t="shared" ref="BJ68:BZ68" si="374">CL45</f>
        <v>0</v>
      </c>
      <c r="BK68" s="300">
        <f t="shared" si="374"/>
        <v>0</v>
      </c>
      <c r="BL68" s="300">
        <f t="shared" si="374"/>
        <v>0</v>
      </c>
      <c r="BM68" s="300">
        <f t="shared" si="374"/>
        <v>0</v>
      </c>
      <c r="BN68" s="300">
        <f t="shared" si="374"/>
        <v>0</v>
      </c>
      <c r="BO68" s="300">
        <f t="shared" si="374"/>
        <v>0</v>
      </c>
      <c r="BP68" s="300">
        <f t="shared" si="374"/>
        <v>0</v>
      </c>
      <c r="BQ68" s="300">
        <f t="shared" si="374"/>
        <v>0</v>
      </c>
      <c r="BR68" s="300">
        <f t="shared" si="374"/>
        <v>0</v>
      </c>
      <c r="BS68" s="300">
        <f t="shared" si="374"/>
        <v>0</v>
      </c>
      <c r="BT68" s="300">
        <f t="shared" si="374"/>
        <v>0</v>
      </c>
      <c r="BU68" s="300">
        <f t="shared" si="374"/>
        <v>0</v>
      </c>
      <c r="BV68" s="300">
        <f t="shared" si="374"/>
        <v>0</v>
      </c>
      <c r="BW68" s="300">
        <f t="shared" si="374"/>
        <v>0</v>
      </c>
      <c r="BX68" s="300">
        <f t="shared" si="374"/>
        <v>0</v>
      </c>
      <c r="BY68" s="300">
        <f t="shared" si="374"/>
        <v>0</v>
      </c>
      <c r="BZ68" s="300">
        <f t="shared" si="374"/>
        <v>0</v>
      </c>
      <c r="CD68" s="301">
        <v>180</v>
      </c>
      <c r="CE68" s="301">
        <v>181</v>
      </c>
      <c r="CF68" s="301">
        <v>182</v>
      </c>
      <c r="CG68" s="301">
        <v>183</v>
      </c>
      <c r="CH68" s="301">
        <v>184</v>
      </c>
      <c r="CI68" s="301">
        <v>185</v>
      </c>
      <c r="CJ68" s="301">
        <v>186</v>
      </c>
      <c r="CK68" s="301">
        <v>187</v>
      </c>
      <c r="CL68" s="301">
        <v>188</v>
      </c>
      <c r="CM68" s="301">
        <v>189</v>
      </c>
      <c r="CN68" s="301">
        <v>190</v>
      </c>
      <c r="CO68" s="301">
        <v>191</v>
      </c>
    </row>
    <row r="69" spans="60:93" ht="29.25" customHeight="1" x14ac:dyDescent="0.3">
      <c r="BH69" s="1030" t="s">
        <v>94</v>
      </c>
      <c r="BI69" s="300">
        <f>DN45</f>
        <v>23.399999999999995</v>
      </c>
      <c r="BJ69" s="300">
        <f t="shared" ref="BJ69:BZ69" si="375">DO45</f>
        <v>1.34</v>
      </c>
      <c r="BK69" s="300">
        <f t="shared" si="375"/>
        <v>0</v>
      </c>
      <c r="BL69" s="300">
        <f t="shared" si="375"/>
        <v>0</v>
      </c>
      <c r="BM69" s="300">
        <f t="shared" si="375"/>
        <v>0</v>
      </c>
      <c r="BN69" s="300">
        <f t="shared" si="375"/>
        <v>0</v>
      </c>
      <c r="BO69" s="300">
        <f t="shared" si="375"/>
        <v>0</v>
      </c>
      <c r="BP69" s="300">
        <f t="shared" si="375"/>
        <v>1.6800000000000002</v>
      </c>
      <c r="BQ69" s="300">
        <f t="shared" si="375"/>
        <v>1.6600000000000001</v>
      </c>
      <c r="BR69" s="300">
        <f t="shared" si="375"/>
        <v>7.0199999999999985E-2</v>
      </c>
      <c r="BS69" s="300">
        <f t="shared" si="375"/>
        <v>0.11700000000000005</v>
      </c>
      <c r="BT69" s="300">
        <f t="shared" si="375"/>
        <v>7.0199999999999985E-2</v>
      </c>
      <c r="BU69" s="300">
        <f t="shared" si="375"/>
        <v>0</v>
      </c>
      <c r="BV69" s="300">
        <f t="shared" si="375"/>
        <v>0</v>
      </c>
      <c r="BW69" s="300">
        <f t="shared" si="375"/>
        <v>1.17</v>
      </c>
      <c r="BX69" s="300">
        <f t="shared" si="375"/>
        <v>0.46800000000000019</v>
      </c>
      <c r="BY69" s="300">
        <f t="shared" si="375"/>
        <v>0.28079999999999994</v>
      </c>
      <c r="BZ69" s="300">
        <f t="shared" si="375"/>
        <v>0</v>
      </c>
    </row>
    <row r="70" spans="60:93" ht="29.25" customHeight="1" x14ac:dyDescent="0.3">
      <c r="BH70" s="1030" t="s">
        <v>46</v>
      </c>
      <c r="BI70" s="300">
        <f>EQ45</f>
        <v>44.20000000000001</v>
      </c>
      <c r="BJ70" s="300">
        <f t="shared" ref="BJ70:BZ70" si="376">ER45</f>
        <v>3.0599999999999996</v>
      </c>
      <c r="BK70" s="300">
        <f t="shared" si="376"/>
        <v>0</v>
      </c>
      <c r="BL70" s="300">
        <f t="shared" si="376"/>
        <v>0</v>
      </c>
      <c r="BM70" s="300">
        <f t="shared" si="376"/>
        <v>0</v>
      </c>
      <c r="BN70" s="300">
        <f t="shared" si="376"/>
        <v>0</v>
      </c>
      <c r="BO70" s="300">
        <f t="shared" si="376"/>
        <v>0</v>
      </c>
      <c r="BP70" s="300">
        <f t="shared" si="376"/>
        <v>2.7199999999999998</v>
      </c>
      <c r="BQ70" s="300">
        <f t="shared" si="376"/>
        <v>3.0599999999999996</v>
      </c>
      <c r="BR70" s="300">
        <f t="shared" si="376"/>
        <v>0.13259999999999991</v>
      </c>
      <c r="BS70" s="300">
        <f t="shared" si="376"/>
        <v>0.22100000000000014</v>
      </c>
      <c r="BT70" s="300">
        <f t="shared" si="376"/>
        <v>0.13259999999999991</v>
      </c>
      <c r="BU70" s="300">
        <f t="shared" si="376"/>
        <v>0</v>
      </c>
      <c r="BV70" s="300">
        <f t="shared" si="376"/>
        <v>0</v>
      </c>
      <c r="BW70" s="300">
        <f t="shared" si="376"/>
        <v>2.2099999999999995</v>
      </c>
      <c r="BX70" s="300">
        <f t="shared" si="376"/>
        <v>0.88400000000000056</v>
      </c>
      <c r="BY70" s="300">
        <f t="shared" si="376"/>
        <v>0.53039999999999965</v>
      </c>
      <c r="BZ70" s="300">
        <f t="shared" si="376"/>
        <v>0</v>
      </c>
    </row>
    <row r="71" spans="60:93" ht="29.25" customHeight="1" x14ac:dyDescent="0.3">
      <c r="BH71" s="1030" t="s">
        <v>34</v>
      </c>
      <c r="BI71" s="300">
        <f>FT45</f>
        <v>33</v>
      </c>
      <c r="BJ71" s="300">
        <f t="shared" ref="BJ71:BZ71" si="377">FU45</f>
        <v>2.4</v>
      </c>
      <c r="BK71" s="300">
        <f t="shared" si="377"/>
        <v>0</v>
      </c>
      <c r="BL71" s="300">
        <f t="shared" si="377"/>
        <v>0</v>
      </c>
      <c r="BM71" s="300">
        <f t="shared" si="377"/>
        <v>0</v>
      </c>
      <c r="BN71" s="300">
        <f t="shared" si="377"/>
        <v>0</v>
      </c>
      <c r="BO71" s="300">
        <f t="shared" si="377"/>
        <v>0</v>
      </c>
      <c r="BP71" s="300">
        <f t="shared" si="377"/>
        <v>2.1</v>
      </c>
      <c r="BQ71" s="300">
        <f t="shared" si="377"/>
        <v>2.1</v>
      </c>
      <c r="BR71" s="300">
        <f t="shared" si="377"/>
        <v>9.9000000000000019E-2</v>
      </c>
      <c r="BS71" s="300">
        <f t="shared" si="377"/>
        <v>0.16500000000000009</v>
      </c>
      <c r="BT71" s="300">
        <f t="shared" si="377"/>
        <v>9.9000000000000019E-2</v>
      </c>
      <c r="BU71" s="300">
        <f t="shared" si="377"/>
        <v>0</v>
      </c>
      <c r="BV71" s="300">
        <f t="shared" si="377"/>
        <v>0</v>
      </c>
      <c r="BW71" s="300">
        <f t="shared" si="377"/>
        <v>1.6499999999999995</v>
      </c>
      <c r="BX71" s="300">
        <f t="shared" si="377"/>
        <v>0.66000000000000036</v>
      </c>
      <c r="BY71" s="300">
        <f t="shared" si="377"/>
        <v>0.39600000000000007</v>
      </c>
      <c r="BZ71" s="300">
        <f t="shared" si="377"/>
        <v>0</v>
      </c>
    </row>
    <row r="72" spans="60:93" ht="29.25" customHeight="1" x14ac:dyDescent="0.3">
      <c r="BH72" s="1030" t="s">
        <v>37</v>
      </c>
      <c r="BI72" s="300">
        <f>GW45</f>
        <v>38.40000000000002</v>
      </c>
      <c r="BJ72" s="300">
        <f t="shared" ref="BJ72:BZ72" si="378">GX45</f>
        <v>1.86</v>
      </c>
      <c r="BK72" s="300">
        <f t="shared" si="378"/>
        <v>0</v>
      </c>
      <c r="BL72" s="300">
        <f t="shared" si="378"/>
        <v>0</v>
      </c>
      <c r="BM72" s="300">
        <f t="shared" si="378"/>
        <v>0</v>
      </c>
      <c r="BN72" s="300">
        <f t="shared" si="378"/>
        <v>0</v>
      </c>
      <c r="BO72" s="300">
        <f t="shared" si="378"/>
        <v>0</v>
      </c>
      <c r="BP72" s="300">
        <f t="shared" si="378"/>
        <v>3.06</v>
      </c>
      <c r="BQ72" s="300">
        <f t="shared" si="378"/>
        <v>2.7600000000000002</v>
      </c>
      <c r="BR72" s="300">
        <f t="shared" si="378"/>
        <v>0.11519999999999997</v>
      </c>
      <c r="BS72" s="300">
        <f t="shared" si="378"/>
        <v>0.19200000000000012</v>
      </c>
      <c r="BT72" s="300">
        <f t="shared" si="378"/>
        <v>0.11519999999999997</v>
      </c>
      <c r="BU72" s="300">
        <f t="shared" si="378"/>
        <v>0</v>
      </c>
      <c r="BV72" s="300">
        <f t="shared" si="378"/>
        <v>0</v>
      </c>
      <c r="BW72" s="300">
        <f t="shared" si="378"/>
        <v>1.9200000000000006</v>
      </c>
      <c r="BX72" s="300">
        <f t="shared" si="378"/>
        <v>0.76800000000000046</v>
      </c>
      <c r="BY72" s="300">
        <f t="shared" si="378"/>
        <v>0.46079999999999988</v>
      </c>
      <c r="BZ72" s="300">
        <f t="shared" si="378"/>
        <v>0</v>
      </c>
    </row>
    <row r="73" spans="60:93" ht="29.25" customHeight="1" x14ac:dyDescent="0.3">
      <c r="BH73" s="1030" t="s">
        <v>47</v>
      </c>
      <c r="BI73" s="300">
        <f>HZ45</f>
        <v>23.599999999999994</v>
      </c>
      <c r="BJ73" s="300">
        <f t="shared" ref="BJ73:BZ73" si="379">IA45</f>
        <v>2.2000000000000002</v>
      </c>
      <c r="BK73" s="300">
        <f t="shared" si="379"/>
        <v>0</v>
      </c>
      <c r="BL73" s="300">
        <f t="shared" si="379"/>
        <v>0</v>
      </c>
      <c r="BM73" s="300">
        <f t="shared" si="379"/>
        <v>0</v>
      </c>
      <c r="BN73" s="300">
        <f t="shared" si="379"/>
        <v>0</v>
      </c>
      <c r="BO73" s="300">
        <f t="shared" si="379"/>
        <v>0</v>
      </c>
      <c r="BP73" s="300">
        <f t="shared" si="379"/>
        <v>1.2</v>
      </c>
      <c r="BQ73" s="300">
        <f t="shared" si="379"/>
        <v>1.32</v>
      </c>
      <c r="BR73" s="300">
        <f t="shared" si="379"/>
        <v>7.0799999999999988E-2</v>
      </c>
      <c r="BS73" s="300">
        <f t="shared" si="379"/>
        <v>0.11799999999999997</v>
      </c>
      <c r="BT73" s="300">
        <f t="shared" si="379"/>
        <v>7.0799999999999988E-2</v>
      </c>
      <c r="BU73" s="300">
        <f t="shared" si="379"/>
        <v>0</v>
      </c>
      <c r="BV73" s="300">
        <f t="shared" si="379"/>
        <v>0</v>
      </c>
      <c r="BW73" s="300">
        <f t="shared" si="379"/>
        <v>1.1800000000000002</v>
      </c>
      <c r="BX73" s="300">
        <f t="shared" si="379"/>
        <v>0.47199999999999986</v>
      </c>
      <c r="BY73" s="300">
        <f t="shared" si="379"/>
        <v>0.28319999999999995</v>
      </c>
      <c r="BZ73" s="300">
        <f t="shared" si="379"/>
        <v>0</v>
      </c>
    </row>
    <row r="74" spans="60:93" ht="29.25" customHeight="1" x14ac:dyDescent="0.3">
      <c r="BH74" s="1030" t="s">
        <v>38</v>
      </c>
      <c r="BI74" s="300">
        <f>JC45</f>
        <v>41.800000000000004</v>
      </c>
      <c r="BJ74" s="300">
        <f t="shared" ref="BJ74:BZ74" si="380">JD45</f>
        <v>2.64</v>
      </c>
      <c r="BK74" s="300">
        <f t="shared" si="380"/>
        <v>0</v>
      </c>
      <c r="BL74" s="300">
        <f t="shared" si="380"/>
        <v>0</v>
      </c>
      <c r="BM74" s="300">
        <f t="shared" si="380"/>
        <v>0</v>
      </c>
      <c r="BN74" s="300">
        <f t="shared" si="380"/>
        <v>0</v>
      </c>
      <c r="BO74" s="300">
        <f t="shared" si="380"/>
        <v>0</v>
      </c>
      <c r="BP74" s="300">
        <f t="shared" si="380"/>
        <v>2.64</v>
      </c>
      <c r="BQ74" s="300">
        <f t="shared" si="380"/>
        <v>3.08</v>
      </c>
      <c r="BR74" s="300">
        <f t="shared" si="380"/>
        <v>0.12539999999999996</v>
      </c>
      <c r="BS74" s="300">
        <f t="shared" si="380"/>
        <v>0.20900000000000005</v>
      </c>
      <c r="BT74" s="300">
        <f t="shared" si="380"/>
        <v>0.12539999999999996</v>
      </c>
      <c r="BU74" s="300">
        <f t="shared" si="380"/>
        <v>0</v>
      </c>
      <c r="BV74" s="300">
        <f t="shared" si="380"/>
        <v>0</v>
      </c>
      <c r="BW74" s="300">
        <f t="shared" si="380"/>
        <v>2.0900000000000007</v>
      </c>
      <c r="BX74" s="300">
        <f t="shared" si="380"/>
        <v>0.83600000000000019</v>
      </c>
      <c r="BY74" s="300">
        <f t="shared" si="380"/>
        <v>0.50159999999999982</v>
      </c>
      <c r="BZ74" s="300">
        <f t="shared" si="380"/>
        <v>0</v>
      </c>
    </row>
    <row r="75" spans="60:93" ht="29.25" customHeight="1" x14ac:dyDescent="0.3">
      <c r="BH75" s="1030" t="s">
        <v>39</v>
      </c>
      <c r="BI75" s="300">
        <f>KF45</f>
        <v>54.700000000000024</v>
      </c>
      <c r="BJ75" s="300">
        <f t="shared" ref="BJ75:BZ75" si="381">KG45</f>
        <v>3.78</v>
      </c>
      <c r="BK75" s="300">
        <f t="shared" si="381"/>
        <v>0</v>
      </c>
      <c r="BL75" s="300">
        <f t="shared" si="381"/>
        <v>0</v>
      </c>
      <c r="BM75" s="300">
        <f t="shared" si="381"/>
        <v>0</v>
      </c>
      <c r="BN75" s="300">
        <f t="shared" si="381"/>
        <v>0</v>
      </c>
      <c r="BO75" s="300">
        <f t="shared" si="381"/>
        <v>0</v>
      </c>
      <c r="BP75" s="300">
        <f t="shared" si="381"/>
        <v>3.38</v>
      </c>
      <c r="BQ75" s="300">
        <f t="shared" si="381"/>
        <v>3.78</v>
      </c>
      <c r="BR75" s="300">
        <f t="shared" si="381"/>
        <v>0.1641</v>
      </c>
      <c r="BS75" s="300">
        <f t="shared" si="381"/>
        <v>0.27350000000000008</v>
      </c>
      <c r="BT75" s="300">
        <f t="shared" si="381"/>
        <v>0.1641</v>
      </c>
      <c r="BU75" s="300">
        <f t="shared" si="381"/>
        <v>0</v>
      </c>
      <c r="BV75" s="300">
        <f t="shared" si="381"/>
        <v>0</v>
      </c>
      <c r="BW75" s="300">
        <f t="shared" si="381"/>
        <v>2.7349999999999999</v>
      </c>
      <c r="BX75" s="300">
        <f t="shared" si="381"/>
        <v>1.0940000000000003</v>
      </c>
      <c r="BY75" s="300">
        <f t="shared" si="381"/>
        <v>0.65639999999999998</v>
      </c>
      <c r="BZ75" s="300">
        <f t="shared" si="381"/>
        <v>0</v>
      </c>
    </row>
    <row r="76" spans="60:93" ht="29.25" customHeight="1" x14ac:dyDescent="0.3">
      <c r="BH76" s="1030" t="s">
        <v>33</v>
      </c>
      <c r="BI76" s="300">
        <f>LI45</f>
        <v>0</v>
      </c>
      <c r="BJ76" s="300">
        <f t="shared" ref="BJ76:BZ76" si="382">LJ45</f>
        <v>0</v>
      </c>
      <c r="BK76" s="300">
        <f t="shared" si="382"/>
        <v>0</v>
      </c>
      <c r="BL76" s="300">
        <f t="shared" si="382"/>
        <v>0</v>
      </c>
      <c r="BM76" s="300">
        <f t="shared" si="382"/>
        <v>0</v>
      </c>
      <c r="BN76" s="300">
        <f t="shared" si="382"/>
        <v>0</v>
      </c>
      <c r="BO76" s="300">
        <f t="shared" si="382"/>
        <v>0</v>
      </c>
      <c r="BP76" s="300">
        <f t="shared" si="382"/>
        <v>0</v>
      </c>
      <c r="BQ76" s="300">
        <f t="shared" si="382"/>
        <v>0</v>
      </c>
      <c r="BR76" s="300">
        <f t="shared" si="382"/>
        <v>0</v>
      </c>
      <c r="BS76" s="300">
        <f t="shared" si="382"/>
        <v>0</v>
      </c>
      <c r="BT76" s="300">
        <f t="shared" si="382"/>
        <v>0</v>
      </c>
      <c r="BU76" s="300">
        <f t="shared" si="382"/>
        <v>0</v>
      </c>
      <c r="BV76" s="300">
        <f t="shared" si="382"/>
        <v>0</v>
      </c>
      <c r="BW76" s="300">
        <f t="shared" si="382"/>
        <v>0</v>
      </c>
      <c r="BX76" s="300">
        <f t="shared" si="382"/>
        <v>0</v>
      </c>
      <c r="BY76" s="300">
        <f t="shared" si="382"/>
        <v>0</v>
      </c>
      <c r="BZ76" s="300">
        <f t="shared" si="382"/>
        <v>0</v>
      </c>
    </row>
    <row r="77" spans="60:93" ht="29.25" customHeight="1" x14ac:dyDescent="0.3">
      <c r="BH77" s="1030" t="s">
        <v>40</v>
      </c>
      <c r="BI77" s="300">
        <f>ML45</f>
        <v>0</v>
      </c>
      <c r="BJ77" s="300">
        <f t="shared" ref="BJ77:BZ77" si="383">MM45</f>
        <v>0</v>
      </c>
      <c r="BK77" s="300">
        <f t="shared" si="383"/>
        <v>0</v>
      </c>
      <c r="BL77" s="300">
        <f t="shared" si="383"/>
        <v>0</v>
      </c>
      <c r="BM77" s="300">
        <f t="shared" si="383"/>
        <v>0</v>
      </c>
      <c r="BN77" s="300">
        <f t="shared" si="383"/>
        <v>0</v>
      </c>
      <c r="BO77" s="300">
        <f t="shared" si="383"/>
        <v>0</v>
      </c>
      <c r="BP77" s="300">
        <f t="shared" si="383"/>
        <v>0</v>
      </c>
      <c r="BQ77" s="300">
        <f t="shared" si="383"/>
        <v>0</v>
      </c>
      <c r="BR77" s="300">
        <f t="shared" si="383"/>
        <v>0</v>
      </c>
      <c r="BS77" s="300">
        <f t="shared" si="383"/>
        <v>0</v>
      </c>
      <c r="BT77" s="300">
        <f t="shared" si="383"/>
        <v>0</v>
      </c>
      <c r="BU77" s="300">
        <f t="shared" si="383"/>
        <v>0</v>
      </c>
      <c r="BV77" s="300">
        <f t="shared" si="383"/>
        <v>0</v>
      </c>
      <c r="BW77" s="300">
        <f t="shared" si="383"/>
        <v>0</v>
      </c>
      <c r="BX77" s="300">
        <f t="shared" si="383"/>
        <v>0</v>
      </c>
      <c r="BY77" s="300">
        <f t="shared" si="383"/>
        <v>0</v>
      </c>
      <c r="BZ77" s="300">
        <f t="shared" si="383"/>
        <v>0</v>
      </c>
    </row>
    <row r="78" spans="60:93" ht="29.25" customHeight="1" x14ac:dyDescent="0.3">
      <c r="BH78" s="1030" t="s">
        <v>41</v>
      </c>
      <c r="BI78" s="300">
        <f>NO45</f>
        <v>0</v>
      </c>
      <c r="BJ78" s="300">
        <f t="shared" ref="BJ78:BZ78" si="384">NP45</f>
        <v>0</v>
      </c>
      <c r="BK78" s="300">
        <f t="shared" si="384"/>
        <v>0</v>
      </c>
      <c r="BL78" s="300">
        <f t="shared" si="384"/>
        <v>0</v>
      </c>
      <c r="BM78" s="300">
        <f t="shared" si="384"/>
        <v>0</v>
      </c>
      <c r="BN78" s="300">
        <f t="shared" si="384"/>
        <v>0</v>
      </c>
      <c r="BO78" s="300">
        <f t="shared" si="384"/>
        <v>0</v>
      </c>
      <c r="BP78" s="300">
        <f t="shared" si="384"/>
        <v>0</v>
      </c>
      <c r="BQ78" s="300">
        <f t="shared" si="384"/>
        <v>0</v>
      </c>
      <c r="BR78" s="300">
        <f t="shared" si="384"/>
        <v>0</v>
      </c>
      <c r="BS78" s="300">
        <f t="shared" si="384"/>
        <v>0</v>
      </c>
      <c r="BT78" s="300">
        <f t="shared" si="384"/>
        <v>0</v>
      </c>
      <c r="BU78" s="300">
        <f t="shared" si="384"/>
        <v>0</v>
      </c>
      <c r="BV78" s="300">
        <f t="shared" si="384"/>
        <v>0</v>
      </c>
      <c r="BW78" s="300">
        <f t="shared" si="384"/>
        <v>0</v>
      </c>
      <c r="BX78" s="300">
        <f t="shared" si="384"/>
        <v>0</v>
      </c>
      <c r="BY78" s="300">
        <f t="shared" si="384"/>
        <v>0</v>
      </c>
      <c r="BZ78" s="300">
        <f t="shared" si="384"/>
        <v>0</v>
      </c>
    </row>
    <row r="79" spans="60:93" ht="29.25" customHeight="1" x14ac:dyDescent="0.3">
      <c r="BH79" s="1030" t="s">
        <v>35</v>
      </c>
      <c r="BI79" s="300">
        <f t="shared" ref="BI79:BZ79" si="385">SUM(BI67:BI78)</f>
        <v>309.70000000000005</v>
      </c>
      <c r="BJ79" s="300">
        <f t="shared" si="385"/>
        <v>20.8</v>
      </c>
      <c r="BK79" s="300">
        <f t="shared" si="385"/>
        <v>0</v>
      </c>
      <c r="BL79" s="300">
        <f t="shared" si="385"/>
        <v>0</v>
      </c>
      <c r="BM79" s="300">
        <f t="shared" si="385"/>
        <v>0</v>
      </c>
      <c r="BN79" s="300">
        <f t="shared" si="385"/>
        <v>0</v>
      </c>
      <c r="BO79" s="300">
        <f t="shared" si="385"/>
        <v>0</v>
      </c>
      <c r="BP79" s="300">
        <f t="shared" si="385"/>
        <v>19.86</v>
      </c>
      <c r="BQ79" s="300">
        <f t="shared" si="385"/>
        <v>21.28</v>
      </c>
      <c r="BR79" s="300">
        <f t="shared" si="385"/>
        <v>0.9290999999999997</v>
      </c>
      <c r="BS79" s="300">
        <f t="shared" si="385"/>
        <v>1.5485000000000004</v>
      </c>
      <c r="BT79" s="300">
        <f t="shared" si="385"/>
        <v>0.9290999999999997</v>
      </c>
      <c r="BU79" s="300">
        <f t="shared" si="385"/>
        <v>0</v>
      </c>
      <c r="BV79" s="300">
        <f t="shared" si="385"/>
        <v>0</v>
      </c>
      <c r="BW79" s="300">
        <f t="shared" si="385"/>
        <v>15.484999999999999</v>
      </c>
      <c r="BX79" s="300">
        <f t="shared" si="385"/>
        <v>6.1940000000000017</v>
      </c>
      <c r="BY79" s="300">
        <f t="shared" si="385"/>
        <v>3.7163999999999988</v>
      </c>
      <c r="BZ79" s="300">
        <f t="shared" si="385"/>
        <v>0</v>
      </c>
    </row>
    <row r="84" spans="53:400" ht="29.25" customHeight="1" x14ac:dyDescent="0.5">
      <c r="BA84" s="2029" t="s">
        <v>246</v>
      </c>
      <c r="BB84" s="2029"/>
      <c r="BC84" s="2029"/>
      <c r="BD84" s="326" t="s">
        <v>42</v>
      </c>
      <c r="BE84" s="2026">
        <v>2020</v>
      </c>
      <c r="BF84" s="2026"/>
      <c r="BG84" s="2026"/>
      <c r="BH84" s="2031" t="s">
        <v>105</v>
      </c>
      <c r="BI84" s="2031"/>
      <c r="BJ84" s="2031"/>
      <c r="BK84" s="2031"/>
      <c r="BL84" s="2031"/>
      <c r="BM84" s="2031"/>
      <c r="BN84" s="2031"/>
      <c r="BO84" s="2031"/>
      <c r="BP84" s="2031"/>
      <c r="BQ84" s="2024" t="s">
        <v>308</v>
      </c>
      <c r="BR84" s="2024"/>
      <c r="BS84" s="2024"/>
      <c r="BT84" s="2024"/>
      <c r="BU84" s="2024"/>
      <c r="BV84" s="2024"/>
      <c r="BW84" s="2024"/>
      <c r="BX84" s="2024"/>
      <c r="BY84" s="2024"/>
      <c r="BZ84" s="2024"/>
      <c r="CA84" s="2024"/>
      <c r="CB84" s="2024"/>
      <c r="CC84" s="2024"/>
      <c r="CD84" s="2029" t="s">
        <v>247</v>
      </c>
      <c r="CE84" s="2029"/>
      <c r="CF84" s="2029"/>
      <c r="CG84" s="337" t="s">
        <v>44</v>
      </c>
      <c r="CH84" s="2026">
        <v>2020</v>
      </c>
      <c r="CI84" s="2026"/>
      <c r="CJ84" s="2026"/>
      <c r="CK84" s="2031" t="s">
        <v>105</v>
      </c>
      <c r="CL84" s="2031"/>
      <c r="CM84" s="2031"/>
      <c r="CN84" s="2031"/>
      <c r="CO84" s="2031"/>
      <c r="CP84" s="2031"/>
      <c r="CQ84" s="2031"/>
      <c r="CR84" s="2031"/>
      <c r="CS84" s="2031"/>
      <c r="CT84" s="2024" t="s">
        <v>308</v>
      </c>
      <c r="CU84" s="2024"/>
      <c r="CV84" s="2024"/>
      <c r="CW84" s="2024"/>
      <c r="CX84" s="2024"/>
      <c r="CY84" s="2024"/>
      <c r="CZ84" s="2024"/>
      <c r="DA84" s="2024"/>
      <c r="DB84" s="2024"/>
      <c r="DC84" s="2024"/>
      <c r="DD84" s="2024"/>
      <c r="DE84" s="2024"/>
      <c r="DF84" s="2024"/>
      <c r="DG84" s="2029" t="s">
        <v>219</v>
      </c>
      <c r="DH84" s="2029"/>
      <c r="DI84" s="2029"/>
      <c r="DJ84" s="337" t="s">
        <v>94</v>
      </c>
      <c r="DK84" s="2026">
        <v>2020</v>
      </c>
      <c r="DL84" s="2026"/>
      <c r="DM84" s="2026"/>
      <c r="DN84" s="2031" t="s">
        <v>105</v>
      </c>
      <c r="DO84" s="2031"/>
      <c r="DP84" s="2031"/>
      <c r="DQ84" s="2031"/>
      <c r="DR84" s="2031"/>
      <c r="DS84" s="2031"/>
      <c r="DT84" s="2031"/>
      <c r="DU84" s="2031"/>
      <c r="DV84" s="2031"/>
      <c r="DW84" s="2024" t="s">
        <v>308</v>
      </c>
      <c r="DX84" s="2024"/>
      <c r="DY84" s="2024"/>
      <c r="DZ84" s="2024"/>
      <c r="EA84" s="2024"/>
      <c r="EB84" s="2024"/>
      <c r="EC84" s="2024"/>
      <c r="ED84" s="2024"/>
      <c r="EE84" s="2024"/>
      <c r="EF84" s="2024"/>
      <c r="EG84" s="2024"/>
      <c r="EH84" s="2024"/>
      <c r="EI84" s="2024"/>
      <c r="EJ84" s="2029" t="s">
        <v>220</v>
      </c>
      <c r="EK84" s="2029"/>
      <c r="EL84" s="2029"/>
      <c r="EM84" s="337" t="s">
        <v>46</v>
      </c>
      <c r="EN84" s="2026">
        <v>2020</v>
      </c>
      <c r="EO84" s="2026"/>
      <c r="EP84" s="2026"/>
      <c r="EQ84" s="2031" t="s">
        <v>105</v>
      </c>
      <c r="ER84" s="2031"/>
      <c r="ES84" s="2031"/>
      <c r="ET84" s="2031"/>
      <c r="EU84" s="2031"/>
      <c r="EV84" s="2031"/>
      <c r="EW84" s="2031"/>
      <c r="EX84" s="2031"/>
      <c r="EY84" s="2031"/>
      <c r="EZ84" s="2024" t="s">
        <v>308</v>
      </c>
      <c r="FA84" s="2024"/>
      <c r="FB84" s="2024"/>
      <c r="FC84" s="2024"/>
      <c r="FD84" s="2024"/>
      <c r="FE84" s="2024"/>
      <c r="FF84" s="2024"/>
      <c r="FG84" s="2024"/>
      <c r="FH84" s="2024"/>
      <c r="FI84" s="2024"/>
      <c r="FJ84" s="2024"/>
      <c r="FK84" s="2024"/>
      <c r="FL84" s="2024"/>
      <c r="FM84" s="2029" t="s">
        <v>221</v>
      </c>
      <c r="FN84" s="2029"/>
      <c r="FO84" s="2029"/>
      <c r="FP84" s="337" t="s">
        <v>34</v>
      </c>
      <c r="FQ84" s="2026">
        <v>2020</v>
      </c>
      <c r="FR84" s="2026"/>
      <c r="FS84" s="2026"/>
      <c r="FT84" s="2031" t="s">
        <v>105</v>
      </c>
      <c r="FU84" s="2031"/>
      <c r="FV84" s="2031"/>
      <c r="FW84" s="2031"/>
      <c r="FX84" s="2031"/>
      <c r="FY84" s="2031"/>
      <c r="FZ84" s="2031"/>
      <c r="GA84" s="2031"/>
      <c r="GB84" s="2031"/>
      <c r="GC84" s="2024" t="s">
        <v>308</v>
      </c>
      <c r="GD84" s="2024"/>
      <c r="GE84" s="2024"/>
      <c r="GF84" s="2024"/>
      <c r="GG84" s="2024"/>
      <c r="GH84" s="2024"/>
      <c r="GI84" s="2024"/>
      <c r="GJ84" s="2024"/>
      <c r="GK84" s="2024"/>
      <c r="GL84" s="2024"/>
      <c r="GM84" s="2024"/>
      <c r="GN84" s="2024"/>
      <c r="GO84" s="2024"/>
      <c r="GP84" s="2029" t="s">
        <v>222</v>
      </c>
      <c r="GQ84" s="2029"/>
      <c r="GR84" s="2029"/>
      <c r="GS84" s="337" t="s">
        <v>37</v>
      </c>
      <c r="GT84" s="2026">
        <v>2020</v>
      </c>
      <c r="GU84" s="2026"/>
      <c r="GV84" s="2026"/>
      <c r="GW84" s="2031" t="s">
        <v>105</v>
      </c>
      <c r="GX84" s="2031"/>
      <c r="GY84" s="2031"/>
      <c r="GZ84" s="2031"/>
      <c r="HA84" s="2031"/>
      <c r="HB84" s="2031"/>
      <c r="HC84" s="2031"/>
      <c r="HD84" s="2031"/>
      <c r="HE84" s="2031"/>
      <c r="HF84" s="2024" t="s">
        <v>308</v>
      </c>
      <c r="HG84" s="2024"/>
      <c r="HH84" s="2024"/>
      <c r="HI84" s="2024"/>
      <c r="HJ84" s="2024"/>
      <c r="HK84" s="2024"/>
      <c r="HL84" s="2024"/>
      <c r="HM84" s="2024"/>
      <c r="HN84" s="2024"/>
      <c r="HO84" s="2024"/>
      <c r="HP84" s="2024"/>
      <c r="HQ84" s="2024"/>
      <c r="HR84" s="2024"/>
      <c r="HS84" s="2029" t="s">
        <v>223</v>
      </c>
      <c r="HT84" s="2029"/>
      <c r="HU84" s="2029"/>
      <c r="HV84" s="337" t="s">
        <v>47</v>
      </c>
      <c r="HW84" s="2026">
        <v>2020</v>
      </c>
      <c r="HX84" s="2026"/>
      <c r="HY84" s="2026"/>
      <c r="HZ84" s="2031" t="s">
        <v>105</v>
      </c>
      <c r="IA84" s="2031"/>
      <c r="IB84" s="2031"/>
      <c r="IC84" s="2031"/>
      <c r="ID84" s="2031"/>
      <c r="IE84" s="2031"/>
      <c r="IF84" s="2031"/>
      <c r="IG84" s="2031"/>
      <c r="IH84" s="2031"/>
      <c r="II84" s="2024" t="s">
        <v>308</v>
      </c>
      <c r="IJ84" s="2024"/>
      <c r="IK84" s="2024"/>
      <c r="IL84" s="2024"/>
      <c r="IM84" s="2024"/>
      <c r="IN84" s="2024"/>
      <c r="IO84" s="2024"/>
      <c r="IP84" s="2024"/>
      <c r="IQ84" s="2024"/>
      <c r="IR84" s="2024"/>
      <c r="IS84" s="2024"/>
      <c r="IT84" s="2024"/>
      <c r="IU84" s="2024"/>
      <c r="IV84" s="2029" t="s">
        <v>224</v>
      </c>
      <c r="IW84" s="2029"/>
      <c r="IX84" s="2029"/>
      <c r="IY84" s="337" t="s">
        <v>38</v>
      </c>
      <c r="IZ84" s="2026">
        <v>2020</v>
      </c>
      <c r="JA84" s="2026"/>
      <c r="JB84" s="2026"/>
      <c r="JC84" s="2031" t="s">
        <v>105</v>
      </c>
      <c r="JD84" s="2031"/>
      <c r="JE84" s="2031"/>
      <c r="JF84" s="2031"/>
      <c r="JG84" s="2031"/>
      <c r="JH84" s="2031"/>
      <c r="JI84" s="2031"/>
      <c r="JJ84" s="2031"/>
      <c r="JK84" s="2031"/>
      <c r="JL84" s="2024" t="s">
        <v>308</v>
      </c>
      <c r="JM84" s="2024"/>
      <c r="JN84" s="2024"/>
      <c r="JO84" s="2024"/>
      <c r="JP84" s="2024"/>
      <c r="JQ84" s="2024"/>
      <c r="JR84" s="2024"/>
      <c r="JS84" s="2024"/>
      <c r="JT84" s="2024"/>
      <c r="JU84" s="2024"/>
      <c r="JV84" s="2024"/>
      <c r="JW84" s="2024"/>
      <c r="JX84" s="2024"/>
      <c r="JY84" s="2029" t="s">
        <v>225</v>
      </c>
      <c r="JZ84" s="2029"/>
      <c r="KA84" s="2029"/>
      <c r="KB84" s="337" t="s">
        <v>39</v>
      </c>
      <c r="KC84" s="2030">
        <v>2020</v>
      </c>
      <c r="KD84" s="2030"/>
      <c r="KE84" s="2030"/>
      <c r="KF84" s="2031" t="s">
        <v>105</v>
      </c>
      <c r="KG84" s="2031"/>
      <c r="KH84" s="2031"/>
      <c r="KI84" s="2031"/>
      <c r="KJ84" s="2031"/>
      <c r="KK84" s="2031"/>
      <c r="KL84" s="2031"/>
      <c r="KM84" s="2031"/>
      <c r="KN84" s="2031"/>
      <c r="KO84" s="2024" t="s">
        <v>308</v>
      </c>
      <c r="KP84" s="2024"/>
      <c r="KQ84" s="2024"/>
      <c r="KR84" s="2024"/>
      <c r="KS84" s="2024"/>
      <c r="KT84" s="2024"/>
      <c r="KU84" s="2024"/>
      <c r="KV84" s="2024"/>
      <c r="KW84" s="2024"/>
      <c r="KX84" s="2024"/>
      <c r="KY84" s="2024"/>
      <c r="KZ84" s="2024"/>
      <c r="LA84" s="2024"/>
      <c r="LB84" s="2029" t="s">
        <v>226</v>
      </c>
      <c r="LC84" s="2029"/>
      <c r="LD84" s="2029"/>
      <c r="LE84" s="337" t="s">
        <v>33</v>
      </c>
      <c r="LF84" s="2030">
        <v>2021</v>
      </c>
      <c r="LG84" s="2030"/>
      <c r="LH84" s="2030"/>
      <c r="LI84" s="2031" t="s">
        <v>105</v>
      </c>
      <c r="LJ84" s="2031"/>
      <c r="LK84" s="2031"/>
      <c r="LL84" s="2031"/>
      <c r="LM84" s="2031"/>
      <c r="LN84" s="2031"/>
      <c r="LO84" s="2031"/>
      <c r="LP84" s="2031"/>
      <c r="LQ84" s="2031"/>
      <c r="LR84" s="2024" t="s">
        <v>308</v>
      </c>
      <c r="LS84" s="2024"/>
      <c r="LT84" s="2024"/>
      <c r="LU84" s="2024"/>
      <c r="LV84" s="2024"/>
      <c r="LW84" s="2024"/>
      <c r="LX84" s="2024"/>
      <c r="LY84" s="2024"/>
      <c r="LZ84" s="2024"/>
      <c r="MA84" s="2024"/>
      <c r="MB84" s="2024"/>
      <c r="MC84" s="2024"/>
      <c r="MD84" s="2024"/>
      <c r="ME84" s="2029" t="s">
        <v>227</v>
      </c>
      <c r="MF84" s="2029"/>
      <c r="MG84" s="2029"/>
      <c r="MH84" s="337" t="s">
        <v>40</v>
      </c>
      <c r="MI84" s="2030">
        <v>2021</v>
      </c>
      <c r="MJ84" s="2030"/>
      <c r="MK84" s="2030"/>
      <c r="ML84" s="2031" t="s">
        <v>105</v>
      </c>
      <c r="MM84" s="2031"/>
      <c r="MN84" s="2031"/>
      <c r="MO84" s="2031"/>
      <c r="MP84" s="2031"/>
      <c r="MQ84" s="2031"/>
      <c r="MR84" s="2031"/>
      <c r="MS84" s="2031"/>
      <c r="MT84" s="2031"/>
      <c r="MU84" s="2024" t="s">
        <v>308</v>
      </c>
      <c r="MV84" s="2024"/>
      <c r="MW84" s="2024"/>
      <c r="MX84" s="2024"/>
      <c r="MY84" s="2024"/>
      <c r="MZ84" s="2024"/>
      <c r="NA84" s="2024"/>
      <c r="NB84" s="2024"/>
      <c r="NC84" s="2024"/>
      <c r="ND84" s="2024"/>
      <c r="NE84" s="2024"/>
      <c r="NF84" s="2024"/>
      <c r="NG84" s="2024"/>
      <c r="NH84" s="2029" t="s">
        <v>228</v>
      </c>
      <c r="NI84" s="2029"/>
      <c r="NJ84" s="2029"/>
      <c r="NK84" s="337" t="s">
        <v>41</v>
      </c>
      <c r="NL84" s="2030">
        <v>2021</v>
      </c>
      <c r="NM84" s="2030"/>
      <c r="NN84" s="2030"/>
      <c r="NO84" s="2031" t="s">
        <v>105</v>
      </c>
      <c r="NP84" s="2031"/>
      <c r="NQ84" s="2031"/>
      <c r="NR84" s="2031"/>
      <c r="NS84" s="2031"/>
      <c r="NT84" s="2031"/>
      <c r="NU84" s="2031"/>
      <c r="NV84" s="2031"/>
      <c r="NW84" s="2031"/>
      <c r="NX84" s="2024" t="s">
        <v>308</v>
      </c>
      <c r="NY84" s="2024"/>
      <c r="NZ84" s="2024"/>
      <c r="OA84" s="2024"/>
      <c r="OB84" s="2024"/>
      <c r="OC84" s="2024"/>
      <c r="OD84" s="2024"/>
      <c r="OE84" s="2024"/>
      <c r="OF84" s="2024"/>
      <c r="OG84" s="2024"/>
      <c r="OH84" s="2024"/>
      <c r="OI84" s="2024"/>
      <c r="OJ84" s="2024"/>
    </row>
    <row r="85" spans="53:400" ht="29.25" customHeight="1" x14ac:dyDescent="0.3">
      <c r="BA85" s="2025" t="s">
        <v>86</v>
      </c>
      <c r="BB85" s="2025" t="s">
        <v>17</v>
      </c>
      <c r="BC85" s="2026" t="s">
        <v>18</v>
      </c>
      <c r="BD85" s="2026" t="s">
        <v>32</v>
      </c>
      <c r="BE85" s="2027" t="s">
        <v>107</v>
      </c>
      <c r="BF85" s="2026" t="s">
        <v>108</v>
      </c>
      <c r="BG85" s="2027" t="s">
        <v>93</v>
      </c>
      <c r="BH85" s="294" t="str">
        <f>'साठा नोंदवही'!E60</f>
        <v>तांदूळ</v>
      </c>
      <c r="BI85" s="294" t="str">
        <f>'साठा नोंदवही'!F60</f>
        <v>मुगडाळ</v>
      </c>
      <c r="BJ85" s="294" t="str">
        <f>'साठा नोंदवही'!G60</f>
        <v>तुरडाळ</v>
      </c>
      <c r="BK85" s="294" t="str">
        <f>'साठा नोंदवही'!H60</f>
        <v>मसूरडाळ</v>
      </c>
      <c r="BL85" s="294" t="str">
        <f>'साठा नोंदवही'!I60</f>
        <v>मटकी</v>
      </c>
      <c r="BM85" s="294" t="str">
        <f>'साठा नोंदवही'!J60</f>
        <v>मुग</v>
      </c>
      <c r="BN85" s="294" t="str">
        <f>'साठा नोंदवही'!K60</f>
        <v>चवळी</v>
      </c>
      <c r="BO85" s="294" t="str">
        <f>'साठा नोंदवही'!L60</f>
        <v>हरभरा</v>
      </c>
      <c r="BP85" s="294" t="str">
        <f>'साठा नोंदवही'!M60</f>
        <v>वाटणा</v>
      </c>
      <c r="BQ85" s="294" t="str">
        <f>'साठा नोंदवही'!N60</f>
        <v>जिरे</v>
      </c>
      <c r="BR85" s="294" t="str">
        <f>'साठा नोंदवही'!O60</f>
        <v>मोहरी</v>
      </c>
      <c r="BS85" s="294" t="str">
        <f>'साठा नोंदवही'!P60</f>
        <v>हळद</v>
      </c>
      <c r="BT85" s="294" t="str">
        <f>'साठा नोंदवही'!Q60</f>
        <v>मिरची पावडर</v>
      </c>
      <c r="BU85" s="294" t="str">
        <f>'साठा नोंदवही'!R60</f>
        <v>गरम मसाला</v>
      </c>
      <c r="BV85" s="294" t="str">
        <f>'साठा नोंदवही'!S60</f>
        <v>सोयाबीन तेल</v>
      </c>
      <c r="BW85" s="294" t="str">
        <f>'साठा नोंदवही'!T60</f>
        <v>मीठ</v>
      </c>
      <c r="BX85" s="294" t="str">
        <f>'साठा नोंदवही'!U60</f>
        <v>कांदा लसून मसाला</v>
      </c>
      <c r="BY85" s="294">
        <f>'साठा नोंदवही'!V60</f>
        <v>0</v>
      </c>
      <c r="BZ85" s="281" t="s">
        <v>98</v>
      </c>
      <c r="CA85" s="281" t="s">
        <v>60</v>
      </c>
      <c r="CB85" s="281" t="s">
        <v>99</v>
      </c>
      <c r="CC85" s="281" t="s">
        <v>100</v>
      </c>
      <c r="CD85" s="2025" t="s">
        <v>86</v>
      </c>
      <c r="CE85" s="2025" t="s">
        <v>17</v>
      </c>
      <c r="CF85" s="2026" t="s">
        <v>18</v>
      </c>
      <c r="CG85" s="2026" t="s">
        <v>32</v>
      </c>
      <c r="CH85" s="2027" t="s">
        <v>107</v>
      </c>
      <c r="CI85" s="2026" t="s">
        <v>108</v>
      </c>
      <c r="CJ85" s="2027" t="s">
        <v>93</v>
      </c>
      <c r="CK85" s="281" t="str">
        <f>'साठा नोंदवही'!E60</f>
        <v>तांदूळ</v>
      </c>
      <c r="CL85" s="281" t="str">
        <f>'साठा नोंदवही'!F60</f>
        <v>मुगडाळ</v>
      </c>
      <c r="CM85" s="281" t="str">
        <f>'साठा नोंदवही'!G60</f>
        <v>तुरडाळ</v>
      </c>
      <c r="CN85" s="281" t="str">
        <f>'साठा नोंदवही'!H60</f>
        <v>मसूरडाळ</v>
      </c>
      <c r="CO85" s="281" t="str">
        <f>'साठा नोंदवही'!I60</f>
        <v>मटकी</v>
      </c>
      <c r="CP85" s="281" t="str">
        <f>'साठा नोंदवही'!J60</f>
        <v>मुग</v>
      </c>
      <c r="CQ85" s="281" t="str">
        <f>'साठा नोंदवही'!K60</f>
        <v>चवळी</v>
      </c>
      <c r="CR85" s="281" t="str">
        <f>'साठा नोंदवही'!L60</f>
        <v>हरभरा</v>
      </c>
      <c r="CS85" s="281" t="str">
        <f>'साठा नोंदवही'!M60</f>
        <v>वाटणा</v>
      </c>
      <c r="CT85" s="281" t="str">
        <f>'साठा नोंदवही'!N60</f>
        <v>जिरे</v>
      </c>
      <c r="CU85" s="281" t="str">
        <f>'साठा नोंदवही'!O60</f>
        <v>मोहरी</v>
      </c>
      <c r="CV85" s="281" t="str">
        <f>'साठा नोंदवही'!P60</f>
        <v>हळद</v>
      </c>
      <c r="CW85" s="281" t="str">
        <f>'साठा नोंदवही'!Q60</f>
        <v>मिरची पावडर</v>
      </c>
      <c r="CX85" s="281" t="str">
        <f>'साठा नोंदवही'!R60</f>
        <v>गरम मसाला</v>
      </c>
      <c r="CY85" s="281" t="str">
        <f>'साठा नोंदवही'!S60</f>
        <v>सोयाबीन तेल</v>
      </c>
      <c r="CZ85" s="281" t="str">
        <f>'साठा नोंदवही'!T60</f>
        <v>मीठ</v>
      </c>
      <c r="DA85" s="281" t="str">
        <f>'साठा नोंदवही'!U60</f>
        <v>कांदा लसून मसाला</v>
      </c>
      <c r="DB85" s="281">
        <f>'साठा नोंदवही'!V60</f>
        <v>0</v>
      </c>
      <c r="DC85" s="281" t="s">
        <v>98</v>
      </c>
      <c r="DD85" s="281" t="s">
        <v>60</v>
      </c>
      <c r="DE85" s="281" t="s">
        <v>99</v>
      </c>
      <c r="DF85" s="281" t="s">
        <v>100</v>
      </c>
      <c r="DG85" s="2025" t="s">
        <v>86</v>
      </c>
      <c r="DH85" s="2025" t="s">
        <v>17</v>
      </c>
      <c r="DI85" s="2026" t="s">
        <v>18</v>
      </c>
      <c r="DJ85" s="2026" t="s">
        <v>32</v>
      </c>
      <c r="DK85" s="2027" t="s">
        <v>107</v>
      </c>
      <c r="DL85" s="2026" t="s">
        <v>108</v>
      </c>
      <c r="DM85" s="2027" t="s">
        <v>93</v>
      </c>
      <c r="DN85" s="281" t="str">
        <f>'साठा नोंदवही'!E60</f>
        <v>तांदूळ</v>
      </c>
      <c r="DO85" s="281" t="str">
        <f>'साठा नोंदवही'!F60</f>
        <v>मुगडाळ</v>
      </c>
      <c r="DP85" s="281" t="str">
        <f>'साठा नोंदवही'!G60</f>
        <v>तुरडाळ</v>
      </c>
      <c r="DQ85" s="281" t="str">
        <f>'साठा नोंदवही'!H60</f>
        <v>मसूरडाळ</v>
      </c>
      <c r="DR85" s="281" t="str">
        <f>'साठा नोंदवही'!I60</f>
        <v>मटकी</v>
      </c>
      <c r="DS85" s="281" t="str">
        <f>'साठा नोंदवही'!J60</f>
        <v>मुग</v>
      </c>
      <c r="DT85" s="281" t="str">
        <f>'साठा नोंदवही'!K60</f>
        <v>चवळी</v>
      </c>
      <c r="DU85" s="281" t="str">
        <f>'साठा नोंदवही'!L60</f>
        <v>हरभरा</v>
      </c>
      <c r="DV85" s="281" t="str">
        <f>'साठा नोंदवही'!M60</f>
        <v>वाटणा</v>
      </c>
      <c r="DW85" s="281" t="str">
        <f>'साठा नोंदवही'!N60</f>
        <v>जिरे</v>
      </c>
      <c r="DX85" s="281" t="str">
        <f>'साठा नोंदवही'!O60</f>
        <v>मोहरी</v>
      </c>
      <c r="DY85" s="281" t="str">
        <f>'साठा नोंदवही'!P60</f>
        <v>हळद</v>
      </c>
      <c r="DZ85" s="281" t="str">
        <f>'साठा नोंदवही'!Q60</f>
        <v>मिरची पावडर</v>
      </c>
      <c r="EA85" s="281" t="str">
        <f>'साठा नोंदवही'!R60</f>
        <v>गरम मसाला</v>
      </c>
      <c r="EB85" s="281" t="str">
        <f>'साठा नोंदवही'!S60</f>
        <v>सोयाबीन तेल</v>
      </c>
      <c r="EC85" s="281" t="str">
        <f>'साठा नोंदवही'!T60</f>
        <v>मीठ</v>
      </c>
      <c r="ED85" s="281" t="str">
        <f>'साठा नोंदवही'!U60</f>
        <v>कांदा लसून मसाला</v>
      </c>
      <c r="EE85" s="281">
        <f>'साठा नोंदवही'!V60</f>
        <v>0</v>
      </c>
      <c r="EF85" s="281" t="s">
        <v>98</v>
      </c>
      <c r="EG85" s="281" t="s">
        <v>60</v>
      </c>
      <c r="EH85" s="281" t="s">
        <v>99</v>
      </c>
      <c r="EI85" s="281" t="s">
        <v>100</v>
      </c>
      <c r="EJ85" s="2025" t="s">
        <v>86</v>
      </c>
      <c r="EK85" s="2025" t="s">
        <v>17</v>
      </c>
      <c r="EL85" s="2026" t="s">
        <v>18</v>
      </c>
      <c r="EM85" s="2026" t="s">
        <v>32</v>
      </c>
      <c r="EN85" s="2027" t="s">
        <v>107</v>
      </c>
      <c r="EO85" s="2026" t="s">
        <v>108</v>
      </c>
      <c r="EP85" s="2027" t="s">
        <v>93</v>
      </c>
      <c r="EQ85" s="281" t="str">
        <f>'साठा नोंदवही'!E60</f>
        <v>तांदूळ</v>
      </c>
      <c r="ER85" s="281" t="str">
        <f>'साठा नोंदवही'!F60</f>
        <v>मुगडाळ</v>
      </c>
      <c r="ES85" s="281" t="str">
        <f>'साठा नोंदवही'!G60</f>
        <v>तुरडाळ</v>
      </c>
      <c r="ET85" s="281" t="str">
        <f>'साठा नोंदवही'!H60</f>
        <v>मसूरडाळ</v>
      </c>
      <c r="EU85" s="281" t="str">
        <f>'साठा नोंदवही'!I60</f>
        <v>मटकी</v>
      </c>
      <c r="EV85" s="281" t="str">
        <f>'साठा नोंदवही'!J60</f>
        <v>मुग</v>
      </c>
      <c r="EW85" s="281" t="str">
        <f>'साठा नोंदवही'!K60</f>
        <v>चवळी</v>
      </c>
      <c r="EX85" s="281" t="str">
        <f>'साठा नोंदवही'!L60</f>
        <v>हरभरा</v>
      </c>
      <c r="EY85" s="281" t="str">
        <f>'साठा नोंदवही'!M60</f>
        <v>वाटणा</v>
      </c>
      <c r="EZ85" s="281" t="str">
        <f>'साठा नोंदवही'!N60</f>
        <v>जिरे</v>
      </c>
      <c r="FA85" s="281" t="str">
        <f>'साठा नोंदवही'!O60</f>
        <v>मोहरी</v>
      </c>
      <c r="FB85" s="281" t="str">
        <f>'साठा नोंदवही'!P60</f>
        <v>हळद</v>
      </c>
      <c r="FC85" s="281" t="str">
        <f>'साठा नोंदवही'!Q60</f>
        <v>मिरची पावडर</v>
      </c>
      <c r="FD85" s="281" t="str">
        <f>'साठा नोंदवही'!R60</f>
        <v>गरम मसाला</v>
      </c>
      <c r="FE85" s="281" t="str">
        <f>'साठा नोंदवही'!S60</f>
        <v>सोयाबीन तेल</v>
      </c>
      <c r="FF85" s="281" t="str">
        <f>'साठा नोंदवही'!T60</f>
        <v>मीठ</v>
      </c>
      <c r="FG85" s="281" t="str">
        <f>'साठा नोंदवही'!U60</f>
        <v>कांदा लसून मसाला</v>
      </c>
      <c r="FH85" s="281">
        <f>'साठा नोंदवही'!V60</f>
        <v>0</v>
      </c>
      <c r="FI85" s="281" t="s">
        <v>98</v>
      </c>
      <c r="FJ85" s="281" t="s">
        <v>60</v>
      </c>
      <c r="FK85" s="281" t="s">
        <v>99</v>
      </c>
      <c r="FL85" s="281" t="s">
        <v>100</v>
      </c>
      <c r="FM85" s="2025" t="s">
        <v>86</v>
      </c>
      <c r="FN85" s="2025" t="s">
        <v>17</v>
      </c>
      <c r="FO85" s="2026" t="s">
        <v>18</v>
      </c>
      <c r="FP85" s="2026" t="s">
        <v>32</v>
      </c>
      <c r="FQ85" s="2027" t="s">
        <v>107</v>
      </c>
      <c r="FR85" s="2026" t="s">
        <v>108</v>
      </c>
      <c r="FS85" s="2027" t="s">
        <v>93</v>
      </c>
      <c r="FT85" s="281" t="str">
        <f>'साठा नोंदवही'!E60</f>
        <v>तांदूळ</v>
      </c>
      <c r="FU85" s="281" t="str">
        <f>'साठा नोंदवही'!F60</f>
        <v>मुगडाळ</v>
      </c>
      <c r="FV85" s="281" t="str">
        <f>'साठा नोंदवही'!G60</f>
        <v>तुरडाळ</v>
      </c>
      <c r="FW85" s="281" t="str">
        <f>'साठा नोंदवही'!H60</f>
        <v>मसूरडाळ</v>
      </c>
      <c r="FX85" s="281" t="str">
        <f>'साठा नोंदवही'!I60</f>
        <v>मटकी</v>
      </c>
      <c r="FY85" s="281" t="str">
        <f>'साठा नोंदवही'!J60</f>
        <v>मुग</v>
      </c>
      <c r="FZ85" s="281" t="str">
        <f>'साठा नोंदवही'!K60</f>
        <v>चवळी</v>
      </c>
      <c r="GA85" s="281" t="str">
        <f>'साठा नोंदवही'!L60</f>
        <v>हरभरा</v>
      </c>
      <c r="GB85" s="281" t="str">
        <f>'साठा नोंदवही'!M60</f>
        <v>वाटणा</v>
      </c>
      <c r="GC85" s="281" t="str">
        <f>'साठा नोंदवही'!N60</f>
        <v>जिरे</v>
      </c>
      <c r="GD85" s="281" t="str">
        <f>'साठा नोंदवही'!O60</f>
        <v>मोहरी</v>
      </c>
      <c r="GE85" s="281" t="str">
        <f>'साठा नोंदवही'!P60</f>
        <v>हळद</v>
      </c>
      <c r="GF85" s="281" t="str">
        <f>'साठा नोंदवही'!Q60</f>
        <v>मिरची पावडर</v>
      </c>
      <c r="GG85" s="281" t="str">
        <f>'साठा नोंदवही'!R60</f>
        <v>गरम मसाला</v>
      </c>
      <c r="GH85" s="281" t="str">
        <f>'साठा नोंदवही'!S60</f>
        <v>सोयाबीन तेल</v>
      </c>
      <c r="GI85" s="281" t="str">
        <f>'साठा नोंदवही'!T60</f>
        <v>मीठ</v>
      </c>
      <c r="GJ85" s="281" t="str">
        <f>'साठा नोंदवही'!U60</f>
        <v>कांदा लसून मसाला</v>
      </c>
      <c r="GK85" s="281">
        <f>'साठा नोंदवही'!V60</f>
        <v>0</v>
      </c>
      <c r="GL85" s="281" t="s">
        <v>98</v>
      </c>
      <c r="GM85" s="281" t="s">
        <v>60</v>
      </c>
      <c r="GN85" s="281" t="s">
        <v>99</v>
      </c>
      <c r="GO85" s="281" t="s">
        <v>100</v>
      </c>
      <c r="GP85" s="2025" t="s">
        <v>86</v>
      </c>
      <c r="GQ85" s="2025" t="s">
        <v>17</v>
      </c>
      <c r="GR85" s="2026" t="s">
        <v>18</v>
      </c>
      <c r="GS85" s="2026" t="s">
        <v>32</v>
      </c>
      <c r="GT85" s="2027" t="s">
        <v>107</v>
      </c>
      <c r="GU85" s="2026" t="s">
        <v>108</v>
      </c>
      <c r="GV85" s="2027" t="s">
        <v>93</v>
      </c>
      <c r="GW85" s="281" t="str">
        <f>'साठा नोंदवही'!E60</f>
        <v>तांदूळ</v>
      </c>
      <c r="GX85" s="281" t="str">
        <f>'साठा नोंदवही'!F60</f>
        <v>मुगडाळ</v>
      </c>
      <c r="GY85" s="281" t="str">
        <f>'साठा नोंदवही'!G60</f>
        <v>तुरडाळ</v>
      </c>
      <c r="GZ85" s="281" t="str">
        <f>'साठा नोंदवही'!H60</f>
        <v>मसूरडाळ</v>
      </c>
      <c r="HA85" s="281" t="str">
        <f>'साठा नोंदवही'!I60</f>
        <v>मटकी</v>
      </c>
      <c r="HB85" s="281" t="str">
        <f>'साठा नोंदवही'!J60</f>
        <v>मुग</v>
      </c>
      <c r="HC85" s="281" t="str">
        <f>'साठा नोंदवही'!K60</f>
        <v>चवळी</v>
      </c>
      <c r="HD85" s="281" t="str">
        <f>'साठा नोंदवही'!L60</f>
        <v>हरभरा</v>
      </c>
      <c r="HE85" s="281" t="str">
        <f>'साठा नोंदवही'!M60</f>
        <v>वाटणा</v>
      </c>
      <c r="HF85" s="281" t="str">
        <f>'साठा नोंदवही'!N60</f>
        <v>जिरे</v>
      </c>
      <c r="HG85" s="281" t="str">
        <f>'साठा नोंदवही'!O60</f>
        <v>मोहरी</v>
      </c>
      <c r="HH85" s="281" t="str">
        <f>'साठा नोंदवही'!P60</f>
        <v>हळद</v>
      </c>
      <c r="HI85" s="281" t="str">
        <f>'साठा नोंदवही'!Q60</f>
        <v>मिरची पावडर</v>
      </c>
      <c r="HJ85" s="281" t="str">
        <f>'साठा नोंदवही'!R60</f>
        <v>गरम मसाला</v>
      </c>
      <c r="HK85" s="281" t="str">
        <f>'साठा नोंदवही'!S60</f>
        <v>सोयाबीन तेल</v>
      </c>
      <c r="HL85" s="281" t="str">
        <f>'साठा नोंदवही'!T60</f>
        <v>मीठ</v>
      </c>
      <c r="HM85" s="281" t="str">
        <f>'साठा नोंदवही'!U60</f>
        <v>कांदा लसून मसाला</v>
      </c>
      <c r="HN85" s="281">
        <f>'साठा नोंदवही'!V60</f>
        <v>0</v>
      </c>
      <c r="HO85" s="281" t="s">
        <v>98</v>
      </c>
      <c r="HP85" s="281" t="s">
        <v>60</v>
      </c>
      <c r="HQ85" s="281" t="s">
        <v>99</v>
      </c>
      <c r="HR85" s="281" t="s">
        <v>100</v>
      </c>
      <c r="HS85" s="2025" t="s">
        <v>86</v>
      </c>
      <c r="HT85" s="2025" t="s">
        <v>17</v>
      </c>
      <c r="HU85" s="2026" t="s">
        <v>18</v>
      </c>
      <c r="HV85" s="2026" t="s">
        <v>32</v>
      </c>
      <c r="HW85" s="2027" t="s">
        <v>107</v>
      </c>
      <c r="HX85" s="2026" t="s">
        <v>108</v>
      </c>
      <c r="HY85" s="2027" t="s">
        <v>93</v>
      </c>
      <c r="HZ85" s="281" t="str">
        <f>'साठा नोंदवही'!E60</f>
        <v>तांदूळ</v>
      </c>
      <c r="IA85" s="281" t="str">
        <f>'साठा नोंदवही'!F60</f>
        <v>मुगडाळ</v>
      </c>
      <c r="IB85" s="281" t="str">
        <f>'साठा नोंदवही'!G60</f>
        <v>तुरडाळ</v>
      </c>
      <c r="IC85" s="281" t="str">
        <f>'साठा नोंदवही'!H60</f>
        <v>मसूरडाळ</v>
      </c>
      <c r="ID85" s="281" t="str">
        <f>'साठा नोंदवही'!I60</f>
        <v>मटकी</v>
      </c>
      <c r="IE85" s="281" t="str">
        <f>'साठा नोंदवही'!J60</f>
        <v>मुग</v>
      </c>
      <c r="IF85" s="281" t="str">
        <f>'साठा नोंदवही'!K60</f>
        <v>चवळी</v>
      </c>
      <c r="IG85" s="281" t="str">
        <f>'साठा नोंदवही'!L60</f>
        <v>हरभरा</v>
      </c>
      <c r="IH85" s="281" t="str">
        <f>'साठा नोंदवही'!M60</f>
        <v>वाटणा</v>
      </c>
      <c r="II85" s="281" t="str">
        <f>'साठा नोंदवही'!N60</f>
        <v>जिरे</v>
      </c>
      <c r="IJ85" s="281" t="str">
        <f>'साठा नोंदवही'!O60</f>
        <v>मोहरी</v>
      </c>
      <c r="IK85" s="281" t="str">
        <f>'साठा नोंदवही'!P60</f>
        <v>हळद</v>
      </c>
      <c r="IL85" s="281" t="str">
        <f>'साठा नोंदवही'!Q60</f>
        <v>मिरची पावडर</v>
      </c>
      <c r="IM85" s="281" t="str">
        <f>'साठा नोंदवही'!R60</f>
        <v>गरम मसाला</v>
      </c>
      <c r="IN85" s="281" t="str">
        <f>'साठा नोंदवही'!S60</f>
        <v>सोयाबीन तेल</v>
      </c>
      <c r="IO85" s="281" t="str">
        <f>'साठा नोंदवही'!T60</f>
        <v>मीठ</v>
      </c>
      <c r="IP85" s="281" t="str">
        <f>'साठा नोंदवही'!U60</f>
        <v>कांदा लसून मसाला</v>
      </c>
      <c r="IQ85" s="281">
        <f>'साठा नोंदवही'!V60</f>
        <v>0</v>
      </c>
      <c r="IR85" s="281" t="s">
        <v>98</v>
      </c>
      <c r="IS85" s="281" t="s">
        <v>60</v>
      </c>
      <c r="IT85" s="281" t="s">
        <v>99</v>
      </c>
      <c r="IU85" s="281" t="s">
        <v>100</v>
      </c>
      <c r="IV85" s="2025" t="s">
        <v>86</v>
      </c>
      <c r="IW85" s="2025" t="s">
        <v>17</v>
      </c>
      <c r="IX85" s="2026" t="s">
        <v>18</v>
      </c>
      <c r="IY85" s="2026" t="s">
        <v>32</v>
      </c>
      <c r="IZ85" s="2027" t="s">
        <v>107</v>
      </c>
      <c r="JA85" s="2026" t="s">
        <v>108</v>
      </c>
      <c r="JB85" s="2027" t="s">
        <v>93</v>
      </c>
      <c r="JC85" s="281" t="str">
        <f>'साठा नोंदवही'!E60</f>
        <v>तांदूळ</v>
      </c>
      <c r="JD85" s="281" t="str">
        <f>'साठा नोंदवही'!F60</f>
        <v>मुगडाळ</v>
      </c>
      <c r="JE85" s="281" t="str">
        <f>'साठा नोंदवही'!G60</f>
        <v>तुरडाळ</v>
      </c>
      <c r="JF85" s="281" t="str">
        <f>'साठा नोंदवही'!H60</f>
        <v>मसूरडाळ</v>
      </c>
      <c r="JG85" s="281" t="str">
        <f>'साठा नोंदवही'!I60</f>
        <v>मटकी</v>
      </c>
      <c r="JH85" s="281" t="str">
        <f>'साठा नोंदवही'!J60</f>
        <v>मुग</v>
      </c>
      <c r="JI85" s="281" t="str">
        <f>'साठा नोंदवही'!K60</f>
        <v>चवळी</v>
      </c>
      <c r="JJ85" s="281" t="str">
        <f>'साठा नोंदवही'!L60</f>
        <v>हरभरा</v>
      </c>
      <c r="JK85" s="281" t="str">
        <f>'साठा नोंदवही'!M60</f>
        <v>वाटणा</v>
      </c>
      <c r="JL85" s="281" t="str">
        <f>'साठा नोंदवही'!N60</f>
        <v>जिरे</v>
      </c>
      <c r="JM85" s="281" t="str">
        <f>'साठा नोंदवही'!O60</f>
        <v>मोहरी</v>
      </c>
      <c r="JN85" s="281" t="str">
        <f>'साठा नोंदवही'!P60</f>
        <v>हळद</v>
      </c>
      <c r="JO85" s="281" t="str">
        <f>'साठा नोंदवही'!Q60</f>
        <v>मिरची पावडर</v>
      </c>
      <c r="JP85" s="281" t="str">
        <f>'साठा नोंदवही'!R60</f>
        <v>गरम मसाला</v>
      </c>
      <c r="JQ85" s="281" t="str">
        <f>'साठा नोंदवही'!S60</f>
        <v>सोयाबीन तेल</v>
      </c>
      <c r="JR85" s="281" t="str">
        <f>'साठा नोंदवही'!T60</f>
        <v>मीठ</v>
      </c>
      <c r="JS85" s="281" t="str">
        <f>'साठा नोंदवही'!U60</f>
        <v>कांदा लसून मसाला</v>
      </c>
      <c r="JT85" s="281">
        <f>'साठा नोंदवही'!V60</f>
        <v>0</v>
      </c>
      <c r="JU85" s="281" t="s">
        <v>98</v>
      </c>
      <c r="JV85" s="281" t="s">
        <v>60</v>
      </c>
      <c r="JW85" s="281" t="s">
        <v>99</v>
      </c>
      <c r="JX85" s="281" t="s">
        <v>100</v>
      </c>
      <c r="JY85" s="2025" t="s">
        <v>86</v>
      </c>
      <c r="JZ85" s="2025" t="s">
        <v>17</v>
      </c>
      <c r="KA85" s="2026" t="s">
        <v>18</v>
      </c>
      <c r="KB85" s="2026" t="s">
        <v>32</v>
      </c>
      <c r="KC85" s="2027" t="s">
        <v>107</v>
      </c>
      <c r="KD85" s="2026" t="s">
        <v>108</v>
      </c>
      <c r="KE85" s="2027" t="s">
        <v>93</v>
      </c>
      <c r="KF85" s="281" t="str">
        <f>'साठा नोंदवही'!E60</f>
        <v>तांदूळ</v>
      </c>
      <c r="KG85" s="281" t="str">
        <f>'साठा नोंदवही'!F60</f>
        <v>मुगडाळ</v>
      </c>
      <c r="KH85" s="281" t="str">
        <f>'साठा नोंदवही'!G60</f>
        <v>तुरडाळ</v>
      </c>
      <c r="KI85" s="281" t="str">
        <f>'साठा नोंदवही'!H60</f>
        <v>मसूरडाळ</v>
      </c>
      <c r="KJ85" s="281" t="str">
        <f>'साठा नोंदवही'!I60</f>
        <v>मटकी</v>
      </c>
      <c r="KK85" s="281" t="str">
        <f>'साठा नोंदवही'!J60</f>
        <v>मुग</v>
      </c>
      <c r="KL85" s="281" t="str">
        <f>'साठा नोंदवही'!K60</f>
        <v>चवळी</v>
      </c>
      <c r="KM85" s="281" t="str">
        <f>'साठा नोंदवही'!L60</f>
        <v>हरभरा</v>
      </c>
      <c r="KN85" s="281" t="str">
        <f>'साठा नोंदवही'!M60</f>
        <v>वाटणा</v>
      </c>
      <c r="KO85" s="281" t="str">
        <f>'साठा नोंदवही'!N60</f>
        <v>जिरे</v>
      </c>
      <c r="KP85" s="281" t="str">
        <f>'साठा नोंदवही'!O60</f>
        <v>मोहरी</v>
      </c>
      <c r="KQ85" s="281" t="str">
        <f>'साठा नोंदवही'!P60</f>
        <v>हळद</v>
      </c>
      <c r="KR85" s="281" t="str">
        <f>'साठा नोंदवही'!Q60</f>
        <v>मिरची पावडर</v>
      </c>
      <c r="KS85" s="281" t="str">
        <f>'साठा नोंदवही'!R60</f>
        <v>गरम मसाला</v>
      </c>
      <c r="KT85" s="281" t="str">
        <f>'साठा नोंदवही'!S60</f>
        <v>सोयाबीन तेल</v>
      </c>
      <c r="KU85" s="281" t="str">
        <f>'साठा नोंदवही'!T60</f>
        <v>मीठ</v>
      </c>
      <c r="KV85" s="281" t="str">
        <f>'साठा नोंदवही'!U60</f>
        <v>कांदा लसून मसाला</v>
      </c>
      <c r="KW85" s="281">
        <f>'साठा नोंदवही'!V60</f>
        <v>0</v>
      </c>
      <c r="KX85" s="281" t="s">
        <v>98</v>
      </c>
      <c r="KY85" s="281" t="s">
        <v>60</v>
      </c>
      <c r="KZ85" s="281" t="s">
        <v>99</v>
      </c>
      <c r="LA85" s="281" t="s">
        <v>100</v>
      </c>
      <c r="LB85" s="2025" t="s">
        <v>86</v>
      </c>
      <c r="LC85" s="2025" t="s">
        <v>17</v>
      </c>
      <c r="LD85" s="2026" t="s">
        <v>18</v>
      </c>
      <c r="LE85" s="2026" t="s">
        <v>32</v>
      </c>
      <c r="LF85" s="2027" t="s">
        <v>107</v>
      </c>
      <c r="LG85" s="2026" t="s">
        <v>108</v>
      </c>
      <c r="LH85" s="2027" t="s">
        <v>93</v>
      </c>
      <c r="LI85" s="281" t="str">
        <f>'साठा नोंदवही'!E60</f>
        <v>तांदूळ</v>
      </c>
      <c r="LJ85" s="281" t="str">
        <f>'साठा नोंदवही'!F60</f>
        <v>मुगडाळ</v>
      </c>
      <c r="LK85" s="281" t="str">
        <f>'साठा नोंदवही'!G60</f>
        <v>तुरडाळ</v>
      </c>
      <c r="LL85" s="281" t="str">
        <f>'साठा नोंदवही'!H60</f>
        <v>मसूरडाळ</v>
      </c>
      <c r="LM85" s="281" t="str">
        <f>'साठा नोंदवही'!I60</f>
        <v>मटकी</v>
      </c>
      <c r="LN85" s="281" t="str">
        <f>'साठा नोंदवही'!J60</f>
        <v>मुग</v>
      </c>
      <c r="LO85" s="281" t="str">
        <f>'साठा नोंदवही'!K60</f>
        <v>चवळी</v>
      </c>
      <c r="LP85" s="281" t="str">
        <f>'साठा नोंदवही'!L60</f>
        <v>हरभरा</v>
      </c>
      <c r="LQ85" s="281" t="str">
        <f>'साठा नोंदवही'!M60</f>
        <v>वाटणा</v>
      </c>
      <c r="LR85" s="281" t="str">
        <f>'साठा नोंदवही'!N60</f>
        <v>जिरे</v>
      </c>
      <c r="LS85" s="281" t="str">
        <f>'साठा नोंदवही'!O60</f>
        <v>मोहरी</v>
      </c>
      <c r="LT85" s="281" t="str">
        <f>'साठा नोंदवही'!P60</f>
        <v>हळद</v>
      </c>
      <c r="LU85" s="281" t="str">
        <f>'साठा नोंदवही'!Q60</f>
        <v>मिरची पावडर</v>
      </c>
      <c r="LV85" s="281" t="str">
        <f>'साठा नोंदवही'!R60</f>
        <v>गरम मसाला</v>
      </c>
      <c r="LW85" s="281" t="str">
        <f>'साठा नोंदवही'!S60</f>
        <v>सोयाबीन तेल</v>
      </c>
      <c r="LX85" s="281" t="str">
        <f>'साठा नोंदवही'!T60</f>
        <v>मीठ</v>
      </c>
      <c r="LY85" s="281" t="str">
        <f>'साठा नोंदवही'!U60</f>
        <v>कांदा लसून मसाला</v>
      </c>
      <c r="LZ85" s="281">
        <f>'साठा नोंदवही'!V60</f>
        <v>0</v>
      </c>
      <c r="MA85" s="281" t="s">
        <v>98</v>
      </c>
      <c r="MB85" s="281" t="s">
        <v>60</v>
      </c>
      <c r="MC85" s="281" t="s">
        <v>99</v>
      </c>
      <c r="MD85" s="281" t="s">
        <v>100</v>
      </c>
      <c r="ME85" s="2025" t="s">
        <v>86</v>
      </c>
      <c r="MF85" s="2025" t="s">
        <v>17</v>
      </c>
      <c r="MG85" s="2026" t="s">
        <v>18</v>
      </c>
      <c r="MH85" s="2026" t="s">
        <v>32</v>
      </c>
      <c r="MI85" s="2027" t="s">
        <v>107</v>
      </c>
      <c r="MJ85" s="2026" t="s">
        <v>108</v>
      </c>
      <c r="MK85" s="2027" t="s">
        <v>93</v>
      </c>
      <c r="ML85" s="281" t="str">
        <f>'साठा नोंदवही'!E60</f>
        <v>तांदूळ</v>
      </c>
      <c r="MM85" s="281" t="str">
        <f>'साठा नोंदवही'!F60</f>
        <v>मुगडाळ</v>
      </c>
      <c r="MN85" s="281" t="str">
        <f>'साठा नोंदवही'!G60</f>
        <v>तुरडाळ</v>
      </c>
      <c r="MO85" s="281" t="str">
        <f>'साठा नोंदवही'!H60</f>
        <v>मसूरडाळ</v>
      </c>
      <c r="MP85" s="281" t="str">
        <f>'साठा नोंदवही'!I60</f>
        <v>मटकी</v>
      </c>
      <c r="MQ85" s="281" t="str">
        <f>'साठा नोंदवही'!J60</f>
        <v>मुग</v>
      </c>
      <c r="MR85" s="281" t="str">
        <f>'साठा नोंदवही'!K60</f>
        <v>चवळी</v>
      </c>
      <c r="MS85" s="281" t="str">
        <f>'साठा नोंदवही'!L60</f>
        <v>हरभरा</v>
      </c>
      <c r="MT85" s="281" t="str">
        <f>'साठा नोंदवही'!M60</f>
        <v>वाटणा</v>
      </c>
      <c r="MU85" s="281" t="str">
        <f>'साठा नोंदवही'!N60</f>
        <v>जिरे</v>
      </c>
      <c r="MV85" s="281" t="str">
        <f>'साठा नोंदवही'!O60</f>
        <v>मोहरी</v>
      </c>
      <c r="MW85" s="281" t="str">
        <f>'साठा नोंदवही'!P60</f>
        <v>हळद</v>
      </c>
      <c r="MX85" s="281" t="str">
        <f>'साठा नोंदवही'!Q60</f>
        <v>मिरची पावडर</v>
      </c>
      <c r="MY85" s="281" t="str">
        <f>'साठा नोंदवही'!R60</f>
        <v>गरम मसाला</v>
      </c>
      <c r="MZ85" s="281" t="str">
        <f>'साठा नोंदवही'!S60</f>
        <v>सोयाबीन तेल</v>
      </c>
      <c r="NA85" s="281" t="str">
        <f>'साठा नोंदवही'!T60</f>
        <v>मीठ</v>
      </c>
      <c r="NB85" s="281" t="str">
        <f>'साठा नोंदवही'!U60</f>
        <v>कांदा लसून मसाला</v>
      </c>
      <c r="NC85" s="281">
        <f>'साठा नोंदवही'!V60</f>
        <v>0</v>
      </c>
      <c r="ND85" s="281" t="s">
        <v>98</v>
      </c>
      <c r="NE85" s="281" t="s">
        <v>60</v>
      </c>
      <c r="NF85" s="281" t="s">
        <v>99</v>
      </c>
      <c r="NG85" s="281" t="s">
        <v>100</v>
      </c>
      <c r="NH85" s="2025" t="s">
        <v>86</v>
      </c>
      <c r="NI85" s="2025" t="s">
        <v>17</v>
      </c>
      <c r="NJ85" s="2026" t="s">
        <v>18</v>
      </c>
      <c r="NK85" s="2026" t="s">
        <v>32</v>
      </c>
      <c r="NL85" s="2027" t="s">
        <v>107</v>
      </c>
      <c r="NM85" s="2026" t="s">
        <v>108</v>
      </c>
      <c r="NN85" s="2027" t="s">
        <v>93</v>
      </c>
      <c r="NO85" s="281" t="str">
        <f>'साठा नोंदवही'!E60</f>
        <v>तांदूळ</v>
      </c>
      <c r="NP85" s="281" t="str">
        <f>'साठा नोंदवही'!F60</f>
        <v>मुगडाळ</v>
      </c>
      <c r="NQ85" s="281" t="str">
        <f>'साठा नोंदवही'!G60</f>
        <v>तुरडाळ</v>
      </c>
      <c r="NR85" s="281" t="str">
        <f>'साठा नोंदवही'!H60</f>
        <v>मसूरडाळ</v>
      </c>
      <c r="NS85" s="281" t="str">
        <f>'साठा नोंदवही'!I60</f>
        <v>मटकी</v>
      </c>
      <c r="NT85" s="281" t="str">
        <f>'साठा नोंदवही'!J60</f>
        <v>मुग</v>
      </c>
      <c r="NU85" s="281" t="str">
        <f>'साठा नोंदवही'!K60</f>
        <v>चवळी</v>
      </c>
      <c r="NV85" s="281" t="str">
        <f>'साठा नोंदवही'!L60</f>
        <v>हरभरा</v>
      </c>
      <c r="NW85" s="281" t="str">
        <f>'साठा नोंदवही'!M60</f>
        <v>वाटणा</v>
      </c>
      <c r="NX85" s="281" t="str">
        <f>'साठा नोंदवही'!N60</f>
        <v>जिरे</v>
      </c>
      <c r="NY85" s="281" t="str">
        <f>'साठा नोंदवही'!O60</f>
        <v>मोहरी</v>
      </c>
      <c r="NZ85" s="281" t="str">
        <f>'साठा नोंदवही'!P60</f>
        <v>हळद</v>
      </c>
      <c r="OA85" s="281" t="str">
        <f>'साठा नोंदवही'!Q60</f>
        <v>मिरची पावडर</v>
      </c>
      <c r="OB85" s="281" t="str">
        <f>'साठा नोंदवही'!R60</f>
        <v>गरम मसाला</v>
      </c>
      <c r="OC85" s="281" t="str">
        <f>'साठा नोंदवही'!S60</f>
        <v>सोयाबीन तेल</v>
      </c>
      <c r="OD85" s="281" t="str">
        <f>'साठा नोंदवही'!T60</f>
        <v>मीठ</v>
      </c>
      <c r="OE85" s="281" t="str">
        <f>'साठा नोंदवही'!U60</f>
        <v>कांदा लसून मसाला</v>
      </c>
      <c r="OF85" s="281">
        <f>'साठा नोंदवही'!V60</f>
        <v>0</v>
      </c>
      <c r="OG85" s="281" t="s">
        <v>98</v>
      </c>
      <c r="OH85" s="281" t="s">
        <v>60</v>
      </c>
      <c r="OI85" s="281" t="s">
        <v>99</v>
      </c>
      <c r="OJ85" s="281" t="s">
        <v>100</v>
      </c>
    </row>
    <row r="86" spans="53:400" ht="29.25" customHeight="1" x14ac:dyDescent="0.3">
      <c r="BA86" s="2025"/>
      <c r="BB86" s="2025"/>
      <c r="BC86" s="2026"/>
      <c r="BD86" s="2026"/>
      <c r="BE86" s="2027"/>
      <c r="BF86" s="2026"/>
      <c r="BG86" s="2028"/>
      <c r="BH86" s="281" t="s">
        <v>81</v>
      </c>
      <c r="BI86" s="281" t="s">
        <v>81</v>
      </c>
      <c r="BJ86" s="281" t="s">
        <v>81</v>
      </c>
      <c r="BK86" s="281" t="s">
        <v>81</v>
      </c>
      <c r="BL86" s="281" t="s">
        <v>81</v>
      </c>
      <c r="BM86" s="281" t="s">
        <v>81</v>
      </c>
      <c r="BN86" s="281" t="s">
        <v>81</v>
      </c>
      <c r="BO86" s="281" t="s">
        <v>81</v>
      </c>
      <c r="BP86" s="281" t="s">
        <v>81</v>
      </c>
      <c r="BQ86" s="281" t="s">
        <v>81</v>
      </c>
      <c r="BR86" s="281" t="s">
        <v>81</v>
      </c>
      <c r="BS86" s="281" t="s">
        <v>81</v>
      </c>
      <c r="BT86" s="281" t="s">
        <v>81</v>
      </c>
      <c r="BU86" s="281" t="s">
        <v>81</v>
      </c>
      <c r="BV86" s="281" t="s">
        <v>215</v>
      </c>
      <c r="BW86" s="281" t="s">
        <v>81</v>
      </c>
      <c r="BX86" s="281" t="s">
        <v>81</v>
      </c>
      <c r="BY86" s="281" t="s">
        <v>81</v>
      </c>
      <c r="BZ86" s="281" t="s">
        <v>214</v>
      </c>
      <c r="CA86" s="281" t="s">
        <v>214</v>
      </c>
      <c r="CB86" s="281" t="s">
        <v>214</v>
      </c>
      <c r="CC86" s="281" t="s">
        <v>214</v>
      </c>
      <c r="CD86" s="2025"/>
      <c r="CE86" s="2025"/>
      <c r="CF86" s="2026"/>
      <c r="CG86" s="2026"/>
      <c r="CH86" s="2027"/>
      <c r="CI86" s="2026"/>
      <c r="CJ86" s="2028"/>
      <c r="CK86" s="281" t="s">
        <v>81</v>
      </c>
      <c r="CL86" s="281" t="s">
        <v>81</v>
      </c>
      <c r="CM86" s="281" t="s">
        <v>81</v>
      </c>
      <c r="CN86" s="281" t="s">
        <v>81</v>
      </c>
      <c r="CO86" s="281" t="s">
        <v>81</v>
      </c>
      <c r="CP86" s="281" t="s">
        <v>81</v>
      </c>
      <c r="CQ86" s="281" t="s">
        <v>81</v>
      </c>
      <c r="CR86" s="281" t="s">
        <v>81</v>
      </c>
      <c r="CS86" s="281" t="s">
        <v>81</v>
      </c>
      <c r="CT86" s="281" t="s">
        <v>81</v>
      </c>
      <c r="CU86" s="281" t="s">
        <v>81</v>
      </c>
      <c r="CV86" s="281" t="s">
        <v>81</v>
      </c>
      <c r="CW86" s="281" t="s">
        <v>81</v>
      </c>
      <c r="CX86" s="281" t="s">
        <v>81</v>
      </c>
      <c r="CY86" s="281" t="s">
        <v>215</v>
      </c>
      <c r="CZ86" s="281" t="s">
        <v>81</v>
      </c>
      <c r="DA86" s="281" t="s">
        <v>81</v>
      </c>
      <c r="DB86" s="281" t="s">
        <v>81</v>
      </c>
      <c r="DC86" s="281" t="s">
        <v>214</v>
      </c>
      <c r="DD86" s="281" t="s">
        <v>214</v>
      </c>
      <c r="DE86" s="281" t="s">
        <v>214</v>
      </c>
      <c r="DF86" s="281" t="s">
        <v>214</v>
      </c>
      <c r="DG86" s="2025"/>
      <c r="DH86" s="2025"/>
      <c r="DI86" s="2026"/>
      <c r="DJ86" s="2026"/>
      <c r="DK86" s="2027"/>
      <c r="DL86" s="2026"/>
      <c r="DM86" s="2028"/>
      <c r="DN86" s="281" t="s">
        <v>81</v>
      </c>
      <c r="DO86" s="281" t="s">
        <v>81</v>
      </c>
      <c r="DP86" s="281" t="s">
        <v>81</v>
      </c>
      <c r="DQ86" s="281" t="s">
        <v>81</v>
      </c>
      <c r="DR86" s="281" t="s">
        <v>81</v>
      </c>
      <c r="DS86" s="281" t="s">
        <v>81</v>
      </c>
      <c r="DT86" s="281" t="s">
        <v>81</v>
      </c>
      <c r="DU86" s="281" t="s">
        <v>81</v>
      </c>
      <c r="DV86" s="281" t="s">
        <v>81</v>
      </c>
      <c r="DW86" s="281" t="s">
        <v>81</v>
      </c>
      <c r="DX86" s="281" t="s">
        <v>81</v>
      </c>
      <c r="DY86" s="281" t="s">
        <v>81</v>
      </c>
      <c r="DZ86" s="281" t="s">
        <v>81</v>
      </c>
      <c r="EA86" s="281" t="s">
        <v>81</v>
      </c>
      <c r="EB86" s="281" t="s">
        <v>215</v>
      </c>
      <c r="EC86" s="281" t="s">
        <v>81</v>
      </c>
      <c r="ED86" s="281" t="s">
        <v>81</v>
      </c>
      <c r="EE86" s="281" t="s">
        <v>81</v>
      </c>
      <c r="EF86" s="281" t="s">
        <v>214</v>
      </c>
      <c r="EG86" s="281" t="s">
        <v>214</v>
      </c>
      <c r="EH86" s="281" t="s">
        <v>214</v>
      </c>
      <c r="EI86" s="281" t="s">
        <v>214</v>
      </c>
      <c r="EJ86" s="2025"/>
      <c r="EK86" s="2025"/>
      <c r="EL86" s="2026"/>
      <c r="EM86" s="2026"/>
      <c r="EN86" s="2027"/>
      <c r="EO86" s="2026"/>
      <c r="EP86" s="2028"/>
      <c r="EQ86" s="281" t="s">
        <v>81</v>
      </c>
      <c r="ER86" s="281" t="s">
        <v>81</v>
      </c>
      <c r="ES86" s="281" t="s">
        <v>81</v>
      </c>
      <c r="ET86" s="281" t="s">
        <v>81</v>
      </c>
      <c r="EU86" s="281" t="s">
        <v>81</v>
      </c>
      <c r="EV86" s="281" t="s">
        <v>81</v>
      </c>
      <c r="EW86" s="281" t="s">
        <v>81</v>
      </c>
      <c r="EX86" s="281" t="s">
        <v>81</v>
      </c>
      <c r="EY86" s="281" t="s">
        <v>81</v>
      </c>
      <c r="EZ86" s="281" t="s">
        <v>81</v>
      </c>
      <c r="FA86" s="281" t="s">
        <v>81</v>
      </c>
      <c r="FB86" s="281" t="s">
        <v>81</v>
      </c>
      <c r="FC86" s="281" t="s">
        <v>81</v>
      </c>
      <c r="FD86" s="281" t="s">
        <v>81</v>
      </c>
      <c r="FE86" s="281" t="s">
        <v>215</v>
      </c>
      <c r="FF86" s="281" t="s">
        <v>81</v>
      </c>
      <c r="FG86" s="281" t="s">
        <v>81</v>
      </c>
      <c r="FH86" s="281" t="s">
        <v>81</v>
      </c>
      <c r="FI86" s="281" t="s">
        <v>214</v>
      </c>
      <c r="FJ86" s="281" t="s">
        <v>214</v>
      </c>
      <c r="FK86" s="281" t="s">
        <v>214</v>
      </c>
      <c r="FL86" s="281" t="s">
        <v>214</v>
      </c>
      <c r="FM86" s="2025"/>
      <c r="FN86" s="2025"/>
      <c r="FO86" s="2026"/>
      <c r="FP86" s="2026"/>
      <c r="FQ86" s="2027"/>
      <c r="FR86" s="2026"/>
      <c r="FS86" s="2028"/>
      <c r="FT86" s="281" t="s">
        <v>81</v>
      </c>
      <c r="FU86" s="281" t="s">
        <v>81</v>
      </c>
      <c r="FV86" s="281" t="s">
        <v>81</v>
      </c>
      <c r="FW86" s="281" t="s">
        <v>81</v>
      </c>
      <c r="FX86" s="281" t="s">
        <v>81</v>
      </c>
      <c r="FY86" s="281" t="s">
        <v>81</v>
      </c>
      <c r="FZ86" s="281" t="s">
        <v>81</v>
      </c>
      <c r="GA86" s="281" t="s">
        <v>81</v>
      </c>
      <c r="GB86" s="281" t="s">
        <v>81</v>
      </c>
      <c r="GC86" s="281" t="s">
        <v>81</v>
      </c>
      <c r="GD86" s="281" t="s">
        <v>81</v>
      </c>
      <c r="GE86" s="281" t="s">
        <v>81</v>
      </c>
      <c r="GF86" s="281" t="s">
        <v>81</v>
      </c>
      <c r="GG86" s="281" t="s">
        <v>81</v>
      </c>
      <c r="GH86" s="281" t="s">
        <v>215</v>
      </c>
      <c r="GI86" s="281" t="s">
        <v>81</v>
      </c>
      <c r="GJ86" s="281" t="s">
        <v>81</v>
      </c>
      <c r="GK86" s="281" t="s">
        <v>81</v>
      </c>
      <c r="GL86" s="281" t="s">
        <v>214</v>
      </c>
      <c r="GM86" s="281" t="s">
        <v>214</v>
      </c>
      <c r="GN86" s="281" t="s">
        <v>214</v>
      </c>
      <c r="GO86" s="281" t="s">
        <v>214</v>
      </c>
      <c r="GP86" s="2025"/>
      <c r="GQ86" s="2025"/>
      <c r="GR86" s="2026"/>
      <c r="GS86" s="2026"/>
      <c r="GT86" s="2027"/>
      <c r="GU86" s="2026"/>
      <c r="GV86" s="2028"/>
      <c r="GW86" s="281" t="s">
        <v>81</v>
      </c>
      <c r="GX86" s="281" t="s">
        <v>81</v>
      </c>
      <c r="GY86" s="281" t="s">
        <v>81</v>
      </c>
      <c r="GZ86" s="281" t="s">
        <v>81</v>
      </c>
      <c r="HA86" s="281" t="s">
        <v>81</v>
      </c>
      <c r="HB86" s="281" t="s">
        <v>81</v>
      </c>
      <c r="HC86" s="281" t="s">
        <v>81</v>
      </c>
      <c r="HD86" s="281" t="s">
        <v>81</v>
      </c>
      <c r="HE86" s="281" t="s">
        <v>81</v>
      </c>
      <c r="HF86" s="281" t="s">
        <v>81</v>
      </c>
      <c r="HG86" s="281" t="s">
        <v>81</v>
      </c>
      <c r="HH86" s="281" t="s">
        <v>81</v>
      </c>
      <c r="HI86" s="281" t="s">
        <v>81</v>
      </c>
      <c r="HJ86" s="281" t="s">
        <v>81</v>
      </c>
      <c r="HK86" s="281" t="s">
        <v>215</v>
      </c>
      <c r="HL86" s="281" t="s">
        <v>81</v>
      </c>
      <c r="HM86" s="281" t="s">
        <v>81</v>
      </c>
      <c r="HN86" s="281" t="s">
        <v>81</v>
      </c>
      <c r="HO86" s="281" t="s">
        <v>214</v>
      </c>
      <c r="HP86" s="281" t="s">
        <v>214</v>
      </c>
      <c r="HQ86" s="281" t="s">
        <v>214</v>
      </c>
      <c r="HR86" s="281" t="s">
        <v>214</v>
      </c>
      <c r="HS86" s="2025"/>
      <c r="HT86" s="2025"/>
      <c r="HU86" s="2026"/>
      <c r="HV86" s="2026"/>
      <c r="HW86" s="2027"/>
      <c r="HX86" s="2026"/>
      <c r="HY86" s="2028"/>
      <c r="HZ86" s="281" t="s">
        <v>81</v>
      </c>
      <c r="IA86" s="281" t="s">
        <v>81</v>
      </c>
      <c r="IB86" s="281" t="s">
        <v>81</v>
      </c>
      <c r="IC86" s="281" t="s">
        <v>81</v>
      </c>
      <c r="ID86" s="281" t="s">
        <v>81</v>
      </c>
      <c r="IE86" s="281" t="s">
        <v>81</v>
      </c>
      <c r="IF86" s="281" t="s">
        <v>81</v>
      </c>
      <c r="IG86" s="281" t="s">
        <v>81</v>
      </c>
      <c r="IH86" s="281" t="s">
        <v>81</v>
      </c>
      <c r="II86" s="281" t="s">
        <v>81</v>
      </c>
      <c r="IJ86" s="281" t="s">
        <v>81</v>
      </c>
      <c r="IK86" s="281" t="s">
        <v>81</v>
      </c>
      <c r="IL86" s="281" t="s">
        <v>81</v>
      </c>
      <c r="IM86" s="281" t="s">
        <v>81</v>
      </c>
      <c r="IN86" s="281" t="s">
        <v>215</v>
      </c>
      <c r="IO86" s="281" t="s">
        <v>81</v>
      </c>
      <c r="IP86" s="281" t="s">
        <v>81</v>
      </c>
      <c r="IQ86" s="281" t="s">
        <v>81</v>
      </c>
      <c r="IR86" s="281" t="s">
        <v>214</v>
      </c>
      <c r="IS86" s="281" t="s">
        <v>214</v>
      </c>
      <c r="IT86" s="281" t="s">
        <v>214</v>
      </c>
      <c r="IU86" s="281" t="s">
        <v>214</v>
      </c>
      <c r="IV86" s="2025"/>
      <c r="IW86" s="2025"/>
      <c r="IX86" s="2026"/>
      <c r="IY86" s="2026"/>
      <c r="IZ86" s="2027"/>
      <c r="JA86" s="2026"/>
      <c r="JB86" s="2028"/>
      <c r="JC86" s="281" t="s">
        <v>81</v>
      </c>
      <c r="JD86" s="281" t="s">
        <v>81</v>
      </c>
      <c r="JE86" s="281" t="s">
        <v>81</v>
      </c>
      <c r="JF86" s="281" t="s">
        <v>81</v>
      </c>
      <c r="JG86" s="281" t="s">
        <v>81</v>
      </c>
      <c r="JH86" s="281" t="s">
        <v>81</v>
      </c>
      <c r="JI86" s="281" t="s">
        <v>81</v>
      </c>
      <c r="JJ86" s="281" t="s">
        <v>81</v>
      </c>
      <c r="JK86" s="281" t="s">
        <v>81</v>
      </c>
      <c r="JL86" s="281" t="s">
        <v>81</v>
      </c>
      <c r="JM86" s="281" t="s">
        <v>81</v>
      </c>
      <c r="JN86" s="281" t="s">
        <v>81</v>
      </c>
      <c r="JO86" s="281" t="s">
        <v>81</v>
      </c>
      <c r="JP86" s="281" t="s">
        <v>81</v>
      </c>
      <c r="JQ86" s="281" t="s">
        <v>215</v>
      </c>
      <c r="JR86" s="281" t="s">
        <v>81</v>
      </c>
      <c r="JS86" s="281" t="s">
        <v>81</v>
      </c>
      <c r="JT86" s="281" t="s">
        <v>81</v>
      </c>
      <c r="JU86" s="281" t="s">
        <v>214</v>
      </c>
      <c r="JV86" s="281" t="s">
        <v>214</v>
      </c>
      <c r="JW86" s="281" t="s">
        <v>214</v>
      </c>
      <c r="JX86" s="281" t="s">
        <v>214</v>
      </c>
      <c r="JY86" s="2025"/>
      <c r="JZ86" s="2025"/>
      <c r="KA86" s="2026"/>
      <c r="KB86" s="2026"/>
      <c r="KC86" s="2027"/>
      <c r="KD86" s="2026"/>
      <c r="KE86" s="2028"/>
      <c r="KF86" s="281" t="s">
        <v>81</v>
      </c>
      <c r="KG86" s="281" t="s">
        <v>81</v>
      </c>
      <c r="KH86" s="281" t="s">
        <v>81</v>
      </c>
      <c r="KI86" s="281" t="s">
        <v>81</v>
      </c>
      <c r="KJ86" s="281" t="s">
        <v>81</v>
      </c>
      <c r="KK86" s="281" t="s">
        <v>81</v>
      </c>
      <c r="KL86" s="281" t="s">
        <v>81</v>
      </c>
      <c r="KM86" s="281" t="s">
        <v>81</v>
      </c>
      <c r="KN86" s="281" t="s">
        <v>81</v>
      </c>
      <c r="KO86" s="281" t="s">
        <v>81</v>
      </c>
      <c r="KP86" s="281" t="s">
        <v>81</v>
      </c>
      <c r="KQ86" s="281" t="s">
        <v>81</v>
      </c>
      <c r="KR86" s="281" t="s">
        <v>81</v>
      </c>
      <c r="KS86" s="281" t="s">
        <v>81</v>
      </c>
      <c r="KT86" s="281" t="s">
        <v>215</v>
      </c>
      <c r="KU86" s="281" t="s">
        <v>81</v>
      </c>
      <c r="KV86" s="281" t="s">
        <v>81</v>
      </c>
      <c r="KW86" s="281" t="s">
        <v>81</v>
      </c>
      <c r="KX86" s="281" t="s">
        <v>214</v>
      </c>
      <c r="KY86" s="281" t="s">
        <v>214</v>
      </c>
      <c r="KZ86" s="281" t="s">
        <v>214</v>
      </c>
      <c r="LA86" s="281" t="s">
        <v>214</v>
      </c>
      <c r="LB86" s="2025"/>
      <c r="LC86" s="2025"/>
      <c r="LD86" s="2026"/>
      <c r="LE86" s="2026"/>
      <c r="LF86" s="2027"/>
      <c r="LG86" s="2026"/>
      <c r="LH86" s="2028"/>
      <c r="LI86" s="281" t="s">
        <v>81</v>
      </c>
      <c r="LJ86" s="281" t="s">
        <v>81</v>
      </c>
      <c r="LK86" s="281" t="s">
        <v>81</v>
      </c>
      <c r="LL86" s="281" t="s">
        <v>81</v>
      </c>
      <c r="LM86" s="281" t="s">
        <v>81</v>
      </c>
      <c r="LN86" s="281" t="s">
        <v>81</v>
      </c>
      <c r="LO86" s="281" t="s">
        <v>81</v>
      </c>
      <c r="LP86" s="281" t="s">
        <v>81</v>
      </c>
      <c r="LQ86" s="281" t="s">
        <v>81</v>
      </c>
      <c r="LR86" s="281" t="s">
        <v>81</v>
      </c>
      <c r="LS86" s="281" t="s">
        <v>81</v>
      </c>
      <c r="LT86" s="281" t="s">
        <v>81</v>
      </c>
      <c r="LU86" s="281" t="s">
        <v>81</v>
      </c>
      <c r="LV86" s="281" t="s">
        <v>81</v>
      </c>
      <c r="LW86" s="281" t="s">
        <v>215</v>
      </c>
      <c r="LX86" s="281" t="s">
        <v>81</v>
      </c>
      <c r="LY86" s="281" t="s">
        <v>81</v>
      </c>
      <c r="LZ86" s="281" t="s">
        <v>81</v>
      </c>
      <c r="MA86" s="281" t="s">
        <v>214</v>
      </c>
      <c r="MB86" s="281" t="s">
        <v>214</v>
      </c>
      <c r="MC86" s="281" t="s">
        <v>214</v>
      </c>
      <c r="MD86" s="281" t="s">
        <v>214</v>
      </c>
      <c r="ME86" s="2025"/>
      <c r="MF86" s="2025"/>
      <c r="MG86" s="2026"/>
      <c r="MH86" s="2026"/>
      <c r="MI86" s="2027"/>
      <c r="MJ86" s="2026"/>
      <c r="MK86" s="2028"/>
      <c r="ML86" s="281" t="s">
        <v>81</v>
      </c>
      <c r="MM86" s="281" t="s">
        <v>81</v>
      </c>
      <c r="MN86" s="281" t="s">
        <v>81</v>
      </c>
      <c r="MO86" s="281" t="s">
        <v>81</v>
      </c>
      <c r="MP86" s="281" t="s">
        <v>81</v>
      </c>
      <c r="MQ86" s="281" t="s">
        <v>81</v>
      </c>
      <c r="MR86" s="281" t="s">
        <v>81</v>
      </c>
      <c r="MS86" s="281" t="s">
        <v>81</v>
      </c>
      <c r="MT86" s="281" t="s">
        <v>81</v>
      </c>
      <c r="MU86" s="281" t="s">
        <v>81</v>
      </c>
      <c r="MV86" s="281" t="s">
        <v>81</v>
      </c>
      <c r="MW86" s="281" t="s">
        <v>81</v>
      </c>
      <c r="MX86" s="281" t="s">
        <v>81</v>
      </c>
      <c r="MY86" s="281" t="s">
        <v>81</v>
      </c>
      <c r="MZ86" s="281" t="s">
        <v>215</v>
      </c>
      <c r="NA86" s="281" t="s">
        <v>81</v>
      </c>
      <c r="NB86" s="281" t="s">
        <v>81</v>
      </c>
      <c r="NC86" s="281" t="s">
        <v>81</v>
      </c>
      <c r="ND86" s="281" t="s">
        <v>214</v>
      </c>
      <c r="NE86" s="281" t="s">
        <v>214</v>
      </c>
      <c r="NF86" s="281" t="s">
        <v>214</v>
      </c>
      <c r="NG86" s="281" t="s">
        <v>214</v>
      </c>
      <c r="NH86" s="2025"/>
      <c r="NI86" s="2025"/>
      <c r="NJ86" s="2026"/>
      <c r="NK86" s="2026"/>
      <c r="NL86" s="2027"/>
      <c r="NM86" s="2026"/>
      <c r="NN86" s="2028"/>
      <c r="NO86" s="281" t="s">
        <v>81</v>
      </c>
      <c r="NP86" s="281" t="s">
        <v>81</v>
      </c>
      <c r="NQ86" s="281" t="s">
        <v>81</v>
      </c>
      <c r="NR86" s="281" t="s">
        <v>81</v>
      </c>
      <c r="NS86" s="281" t="s">
        <v>81</v>
      </c>
      <c r="NT86" s="281" t="s">
        <v>81</v>
      </c>
      <c r="NU86" s="281" t="s">
        <v>81</v>
      </c>
      <c r="NV86" s="281" t="s">
        <v>81</v>
      </c>
      <c r="NW86" s="281" t="s">
        <v>81</v>
      </c>
      <c r="NX86" s="281" t="s">
        <v>81</v>
      </c>
      <c r="NY86" s="281" t="s">
        <v>81</v>
      </c>
      <c r="NZ86" s="281" t="s">
        <v>81</v>
      </c>
      <c r="OA86" s="281" t="s">
        <v>81</v>
      </c>
      <c r="OB86" s="281" t="s">
        <v>81</v>
      </c>
      <c r="OC86" s="281" t="s">
        <v>215</v>
      </c>
      <c r="OD86" s="281" t="s">
        <v>81</v>
      </c>
      <c r="OE86" s="281" t="s">
        <v>81</v>
      </c>
      <c r="OF86" s="281" t="s">
        <v>81</v>
      </c>
      <c r="OG86" s="281" t="s">
        <v>214</v>
      </c>
      <c r="OH86" s="281" t="s">
        <v>214</v>
      </c>
      <c r="OI86" s="281" t="s">
        <v>214</v>
      </c>
      <c r="OJ86" s="281" t="s">
        <v>214</v>
      </c>
    </row>
    <row r="87" spans="53:400" ht="29.25" customHeight="1" x14ac:dyDescent="0.3">
      <c r="BA87" s="1016"/>
      <c r="BB87" s="1016"/>
      <c r="BC87" s="295"/>
      <c r="BD87" s="2032" t="s">
        <v>216</v>
      </c>
      <c r="BE87" s="2032"/>
      <c r="BF87" s="2032"/>
      <c r="BG87" s="2032"/>
      <c r="BH87" s="282">
        <f>' प्रमाण निश्चिती '!C28</f>
        <v>0.15</v>
      </c>
      <c r="BI87" s="282">
        <f>' प्रमाण निश्चिती '!D28</f>
        <v>0.03</v>
      </c>
      <c r="BJ87" s="282">
        <f>' प्रमाण निश्चिती '!E28</f>
        <v>0.03</v>
      </c>
      <c r="BK87" s="282">
        <f>' प्रमाण निश्चिती '!F28</f>
        <v>0.03</v>
      </c>
      <c r="BL87" s="282">
        <f>' प्रमाण निश्चिती '!G28</f>
        <v>0.03</v>
      </c>
      <c r="BM87" s="282">
        <f>' प्रमाण निश्चिती '!H28</f>
        <v>0.03</v>
      </c>
      <c r="BN87" s="282">
        <f>' प्रमाण निश्चिती '!I28</f>
        <v>0.03</v>
      </c>
      <c r="BO87" s="282">
        <f>' प्रमाण निश्चिती '!J28</f>
        <v>0.03</v>
      </c>
      <c r="BP87" s="282">
        <f>' प्रमाण निश्चिती '!K28</f>
        <v>0.03</v>
      </c>
      <c r="BQ87" s="282">
        <f>' प्रमाण निश्चिती '!L28</f>
        <v>2.0000000000000001E-4</v>
      </c>
      <c r="BR87" s="282">
        <f>' प्रमाण निश्चिती '!M28</f>
        <v>2.0000000000000001E-4</v>
      </c>
      <c r="BS87" s="282">
        <f>' प्रमाण निश्चिती '!N28</f>
        <v>1E-3</v>
      </c>
      <c r="BT87" s="282">
        <f>' प्रमाण निश्चिती '!O28</f>
        <v>0</v>
      </c>
      <c r="BU87" s="282">
        <f>' प्रमाण निश्चिती '!P28</f>
        <v>0</v>
      </c>
      <c r="BV87" s="282">
        <f>' प्रमाण निश्चिती '!Q28</f>
        <v>7.4999999999999997E-3</v>
      </c>
      <c r="BW87" s="282">
        <f>' प्रमाण निश्चिती '!R28</f>
        <v>2E-3</v>
      </c>
      <c r="BX87" s="282">
        <f>' प्रमाण निश्चिती '!S28</f>
        <v>1.5E-3</v>
      </c>
      <c r="BY87" s="282">
        <f>' प्रमाण निश्चिती '!T28</f>
        <v>0</v>
      </c>
      <c r="BZ87" s="283">
        <f>' प्रमाण निश्चिती '!U28</f>
        <v>1.1399999999999999</v>
      </c>
      <c r="CA87" s="283">
        <f>' प्रमाण निश्चिती '!V28</f>
        <v>0.88</v>
      </c>
      <c r="CB87" s="283">
        <f>' प्रमाण निश्चिती '!W28</f>
        <v>0.82</v>
      </c>
      <c r="CC87" s="283">
        <f>' प्रमाण निश्चिती '!Y28</f>
        <v>4.0199999999999996</v>
      </c>
      <c r="CD87" s="1016"/>
      <c r="CE87" s="1016"/>
      <c r="CF87" s="295"/>
      <c r="CG87" s="2032" t="s">
        <v>216</v>
      </c>
      <c r="CH87" s="2032"/>
      <c r="CI87" s="2032"/>
      <c r="CJ87" s="2032"/>
      <c r="CK87" s="282">
        <f>' प्रमाण निश्चिती '!C29</f>
        <v>0.15</v>
      </c>
      <c r="CL87" s="282">
        <f>' प्रमाण निश्चिती '!D29</f>
        <v>0.03</v>
      </c>
      <c r="CM87" s="282">
        <f>' प्रमाण निश्चिती '!E29</f>
        <v>0.03</v>
      </c>
      <c r="CN87" s="282">
        <f>' प्रमाण निश्चिती '!F29</f>
        <v>0.03</v>
      </c>
      <c r="CO87" s="282">
        <f>' प्रमाण निश्चिती '!G29</f>
        <v>0.03</v>
      </c>
      <c r="CP87" s="282">
        <f>' प्रमाण निश्चिती '!H29</f>
        <v>0.03</v>
      </c>
      <c r="CQ87" s="282">
        <f>' प्रमाण निश्चिती '!I29</f>
        <v>0.03</v>
      </c>
      <c r="CR87" s="282">
        <f>' प्रमाण निश्चिती '!J29</f>
        <v>0.03</v>
      </c>
      <c r="CS87" s="282">
        <f>' प्रमाण निश्चिती '!K29</f>
        <v>0.03</v>
      </c>
      <c r="CT87" s="282">
        <f>' प्रमाण निश्चिती '!L29</f>
        <v>2.0000000000000001E-4</v>
      </c>
      <c r="CU87" s="282">
        <f>' प्रमाण निश्चिती '!M29</f>
        <v>2.0000000000000001E-4</v>
      </c>
      <c r="CV87" s="282">
        <f>' प्रमाण निश्चिती '!N29</f>
        <v>1E-3</v>
      </c>
      <c r="CW87" s="282">
        <f>' प्रमाण निश्चिती '!O29</f>
        <v>0</v>
      </c>
      <c r="CX87" s="282">
        <f>' प्रमाण निश्चिती '!P29</f>
        <v>0</v>
      </c>
      <c r="CY87" s="282">
        <f>' प्रमाण निश्चिती '!Q29</f>
        <v>7.4999999999999997E-3</v>
      </c>
      <c r="CZ87" s="282">
        <f>' प्रमाण निश्चिती '!R29</f>
        <v>2E-3</v>
      </c>
      <c r="DA87" s="282">
        <f>' प्रमाण निश्चिती '!S29</f>
        <v>1.5E-3</v>
      </c>
      <c r="DB87" s="282">
        <f>' प्रमाण निश्चिती '!T29</f>
        <v>0</v>
      </c>
      <c r="DC87" s="283">
        <f>' प्रमाण निश्चिती '!U29</f>
        <v>1.1399999999999999</v>
      </c>
      <c r="DD87" s="283">
        <f>' प्रमाण निश्चिती '!V29</f>
        <v>0.88</v>
      </c>
      <c r="DE87" s="283">
        <f>' प्रमाण निश्चिती '!W29</f>
        <v>0.82</v>
      </c>
      <c r="DF87" s="283">
        <f>' प्रमाण निश्चिती '!Y29</f>
        <v>4.0199999999999996</v>
      </c>
      <c r="DG87" s="1016"/>
      <c r="DH87" s="1016"/>
      <c r="DI87" s="295"/>
      <c r="DJ87" s="2032" t="s">
        <v>216</v>
      </c>
      <c r="DK87" s="2032"/>
      <c r="DL87" s="2032"/>
      <c r="DM87" s="2032"/>
      <c r="DN87" s="282">
        <f>' प्रमाण निश्चिती '!C30</f>
        <v>0.15</v>
      </c>
      <c r="DO87" s="282">
        <f>' प्रमाण निश्चिती '!D30</f>
        <v>0.03</v>
      </c>
      <c r="DP87" s="282">
        <f>' प्रमाण निश्चिती '!E30</f>
        <v>0.03</v>
      </c>
      <c r="DQ87" s="282">
        <f>' प्रमाण निश्चिती '!F30</f>
        <v>0.03</v>
      </c>
      <c r="DR87" s="282">
        <f>' प्रमाण निश्चिती '!G30</f>
        <v>0.03</v>
      </c>
      <c r="DS87" s="282">
        <f>' प्रमाण निश्चिती '!H30</f>
        <v>0.03</v>
      </c>
      <c r="DT87" s="282">
        <f>' प्रमाण निश्चिती '!I30</f>
        <v>0.03</v>
      </c>
      <c r="DU87" s="282">
        <f>' प्रमाण निश्चिती '!J30</f>
        <v>0.03</v>
      </c>
      <c r="DV87" s="282">
        <f>' प्रमाण निश्चिती '!K30</f>
        <v>0.03</v>
      </c>
      <c r="DW87" s="282">
        <f>' प्रमाण निश्चिती '!L30</f>
        <v>2.0000000000000001E-4</v>
      </c>
      <c r="DX87" s="282">
        <f>' प्रमाण निश्चिती '!M30</f>
        <v>2.0000000000000001E-4</v>
      </c>
      <c r="DY87" s="282">
        <f>' प्रमाण निश्चिती '!N30</f>
        <v>1E-3</v>
      </c>
      <c r="DZ87" s="282">
        <f>' प्रमाण निश्चिती '!O30</f>
        <v>0</v>
      </c>
      <c r="EA87" s="282">
        <f>' प्रमाण निश्चिती '!P30</f>
        <v>0</v>
      </c>
      <c r="EB87" s="282">
        <f>' प्रमाण निश्चिती '!Q30</f>
        <v>7.4999999999999997E-3</v>
      </c>
      <c r="EC87" s="282">
        <f>' प्रमाण निश्चिती '!R30</f>
        <v>2E-3</v>
      </c>
      <c r="ED87" s="282">
        <f>' प्रमाण निश्चिती '!S30</f>
        <v>1.5E-3</v>
      </c>
      <c r="EE87" s="282">
        <f>' प्रमाण निश्चिती '!T30</f>
        <v>0</v>
      </c>
      <c r="EF87" s="283">
        <f>' प्रमाण निश्चिती '!U30</f>
        <v>1.1399999999999999</v>
      </c>
      <c r="EG87" s="283">
        <f>' प्रमाण निश्चिती '!V30</f>
        <v>0.88</v>
      </c>
      <c r="EH87" s="283">
        <f>' प्रमाण निश्चिती '!W30</f>
        <v>0.82</v>
      </c>
      <c r="EI87" s="283">
        <f>' प्रमाण निश्चिती '!Y30</f>
        <v>4.0199999999999996</v>
      </c>
      <c r="EJ87" s="1016"/>
      <c r="EK87" s="1016"/>
      <c r="EL87" s="295"/>
      <c r="EM87" s="2032" t="s">
        <v>216</v>
      </c>
      <c r="EN87" s="2032"/>
      <c r="EO87" s="2032"/>
      <c r="EP87" s="2032"/>
      <c r="EQ87" s="282">
        <f>' प्रमाण निश्चिती '!C31</f>
        <v>0.15</v>
      </c>
      <c r="ER87" s="282">
        <f>' प्रमाण निश्चिती '!D31</f>
        <v>0.03</v>
      </c>
      <c r="ES87" s="282">
        <f>' प्रमाण निश्चिती '!E31</f>
        <v>0.03</v>
      </c>
      <c r="ET87" s="282">
        <f>' प्रमाण निश्चिती '!F31</f>
        <v>0.03</v>
      </c>
      <c r="EU87" s="282">
        <f>' प्रमाण निश्चिती '!G31</f>
        <v>0.03</v>
      </c>
      <c r="EV87" s="282">
        <f>' प्रमाण निश्चिती '!H31</f>
        <v>0.03</v>
      </c>
      <c r="EW87" s="282">
        <f>' प्रमाण निश्चिती '!I31</f>
        <v>0.03</v>
      </c>
      <c r="EX87" s="282">
        <f>' प्रमाण निश्चिती '!J31</f>
        <v>0.03</v>
      </c>
      <c r="EY87" s="282">
        <f>' प्रमाण निश्चिती '!K31</f>
        <v>0.03</v>
      </c>
      <c r="EZ87" s="282">
        <f>' प्रमाण निश्चिती '!L31</f>
        <v>2.0000000000000001E-4</v>
      </c>
      <c r="FA87" s="282">
        <f>' प्रमाण निश्चिती '!M31</f>
        <v>2.0000000000000001E-4</v>
      </c>
      <c r="FB87" s="282">
        <f>' प्रमाण निश्चिती '!N31</f>
        <v>1E-3</v>
      </c>
      <c r="FC87" s="282">
        <f>' प्रमाण निश्चिती '!O31</f>
        <v>0</v>
      </c>
      <c r="FD87" s="282">
        <f>' प्रमाण निश्चिती '!P31</f>
        <v>0</v>
      </c>
      <c r="FE87" s="282">
        <f>' प्रमाण निश्चिती '!Q31</f>
        <v>7.4999999999999997E-3</v>
      </c>
      <c r="FF87" s="282">
        <f>' प्रमाण निश्चिती '!R31</f>
        <v>2E-3</v>
      </c>
      <c r="FG87" s="282">
        <f>' प्रमाण निश्चिती '!S31</f>
        <v>1.5E-3</v>
      </c>
      <c r="FH87" s="282">
        <f>' प्रमाण निश्चिती '!T31</f>
        <v>0</v>
      </c>
      <c r="FI87" s="283">
        <f>' प्रमाण निश्चिती '!U31</f>
        <v>1.1399999999999999</v>
      </c>
      <c r="FJ87" s="283">
        <f>' प्रमाण निश्चिती '!V31</f>
        <v>0.88</v>
      </c>
      <c r="FK87" s="283">
        <f>' प्रमाण निश्चिती '!W31</f>
        <v>0.82</v>
      </c>
      <c r="FL87" s="283">
        <f>' प्रमाण निश्चिती '!Y31</f>
        <v>4.0199999999999996</v>
      </c>
      <c r="FM87" s="1016"/>
      <c r="FN87" s="1016"/>
      <c r="FO87" s="295"/>
      <c r="FP87" s="2032" t="s">
        <v>216</v>
      </c>
      <c r="FQ87" s="2032"/>
      <c r="FR87" s="2032"/>
      <c r="FS87" s="2032"/>
      <c r="FT87" s="282">
        <f>' प्रमाण निश्चिती '!C32</f>
        <v>0.15</v>
      </c>
      <c r="FU87" s="282">
        <f>' प्रमाण निश्चिती '!D32</f>
        <v>0.03</v>
      </c>
      <c r="FV87" s="282">
        <f>' प्रमाण निश्चिती '!E32</f>
        <v>0.03</v>
      </c>
      <c r="FW87" s="282">
        <f>' प्रमाण निश्चिती '!F32</f>
        <v>0.03</v>
      </c>
      <c r="FX87" s="282">
        <f>' प्रमाण निश्चिती '!G32</f>
        <v>0.03</v>
      </c>
      <c r="FY87" s="282">
        <f>' प्रमाण निश्चिती '!H32</f>
        <v>0.03</v>
      </c>
      <c r="FZ87" s="282">
        <f>' प्रमाण निश्चिती '!I32</f>
        <v>0.03</v>
      </c>
      <c r="GA87" s="282">
        <f>' प्रमाण निश्चिती '!J32</f>
        <v>0.03</v>
      </c>
      <c r="GB87" s="282">
        <f>' प्रमाण निश्चिती '!K32</f>
        <v>0.03</v>
      </c>
      <c r="GC87" s="282">
        <f>' प्रमाण निश्चिती '!L32</f>
        <v>2.0000000000000001E-4</v>
      </c>
      <c r="GD87" s="282">
        <f>' प्रमाण निश्चिती '!M32</f>
        <v>2.0000000000000001E-4</v>
      </c>
      <c r="GE87" s="282">
        <f>' प्रमाण निश्चिती '!N32</f>
        <v>1E-3</v>
      </c>
      <c r="GF87" s="282">
        <f>' प्रमाण निश्चिती '!O32</f>
        <v>0</v>
      </c>
      <c r="GG87" s="282">
        <f>' प्रमाण निश्चिती '!P32</f>
        <v>0</v>
      </c>
      <c r="GH87" s="282">
        <f>' प्रमाण निश्चिती '!Q32</f>
        <v>7.4999999999999997E-3</v>
      </c>
      <c r="GI87" s="282">
        <f>' प्रमाण निश्चिती '!R32</f>
        <v>2E-3</v>
      </c>
      <c r="GJ87" s="282">
        <f>' प्रमाण निश्चिती '!S32</f>
        <v>1.5E-3</v>
      </c>
      <c r="GK87" s="282">
        <f>' प्रमाण निश्चिती '!T32</f>
        <v>0</v>
      </c>
      <c r="GL87" s="283">
        <f>' प्रमाण निश्चिती '!U32</f>
        <v>1.1399999999999999</v>
      </c>
      <c r="GM87" s="283">
        <f>' प्रमाण निश्चिती '!V32</f>
        <v>0.88</v>
      </c>
      <c r="GN87" s="283">
        <f>' प्रमाण निश्चिती '!W32</f>
        <v>0.82</v>
      </c>
      <c r="GO87" s="283">
        <f>' प्रमाण निश्चिती '!Y32</f>
        <v>4.0199999999999996</v>
      </c>
      <c r="GP87" s="1016"/>
      <c r="GQ87" s="1016"/>
      <c r="GR87" s="295"/>
      <c r="GS87" s="2032" t="s">
        <v>216</v>
      </c>
      <c r="GT87" s="2032"/>
      <c r="GU87" s="2032"/>
      <c r="GV87" s="2032"/>
      <c r="GW87" s="282">
        <f>' प्रमाण निश्चिती '!C33</f>
        <v>0.15</v>
      </c>
      <c r="GX87" s="282">
        <f>' प्रमाण निश्चिती '!D33</f>
        <v>0.03</v>
      </c>
      <c r="GY87" s="282">
        <f>' प्रमाण निश्चिती '!E33</f>
        <v>0.03</v>
      </c>
      <c r="GZ87" s="282">
        <f>' प्रमाण निश्चिती '!F33</f>
        <v>0.03</v>
      </c>
      <c r="HA87" s="282">
        <f>' प्रमाण निश्चिती '!G33</f>
        <v>0.03</v>
      </c>
      <c r="HB87" s="282">
        <f>' प्रमाण निश्चिती '!H33</f>
        <v>0.03</v>
      </c>
      <c r="HC87" s="282">
        <f>' प्रमाण निश्चिती '!I33</f>
        <v>0.03</v>
      </c>
      <c r="HD87" s="282">
        <f>' प्रमाण निश्चिती '!J33</f>
        <v>0.03</v>
      </c>
      <c r="HE87" s="282">
        <f>' प्रमाण निश्चिती '!K33</f>
        <v>0.03</v>
      </c>
      <c r="HF87" s="282">
        <f>' प्रमाण निश्चिती '!L33</f>
        <v>2.0000000000000001E-4</v>
      </c>
      <c r="HG87" s="282">
        <f>' प्रमाण निश्चिती '!M33</f>
        <v>2.0000000000000001E-4</v>
      </c>
      <c r="HH87" s="282">
        <f>' प्रमाण निश्चिती '!N33</f>
        <v>1E-3</v>
      </c>
      <c r="HI87" s="282">
        <f>' प्रमाण निश्चिती '!O33</f>
        <v>0</v>
      </c>
      <c r="HJ87" s="282">
        <f>' प्रमाण निश्चिती '!P33</f>
        <v>0</v>
      </c>
      <c r="HK87" s="282">
        <f>' प्रमाण निश्चिती '!Q33</f>
        <v>7.4999999999999997E-3</v>
      </c>
      <c r="HL87" s="282">
        <f>' प्रमाण निश्चिती '!R33</f>
        <v>2E-3</v>
      </c>
      <c r="HM87" s="282">
        <f>' प्रमाण निश्चिती '!S33</f>
        <v>1.5E-3</v>
      </c>
      <c r="HN87" s="282">
        <f>' प्रमाण निश्चिती '!T33</f>
        <v>0</v>
      </c>
      <c r="HO87" s="283">
        <f>' प्रमाण निश्चिती '!U33</f>
        <v>1.1399999999999999</v>
      </c>
      <c r="HP87" s="283">
        <f>' प्रमाण निश्चिती '!V33</f>
        <v>0.88</v>
      </c>
      <c r="HQ87" s="283">
        <f>' प्रमाण निश्चिती '!W33</f>
        <v>0.82</v>
      </c>
      <c r="HR87" s="283">
        <f>' प्रमाण निश्चिती '!Y33</f>
        <v>4.0199999999999996</v>
      </c>
      <c r="HS87" s="1016"/>
      <c r="HT87" s="1016"/>
      <c r="HU87" s="295"/>
      <c r="HV87" s="2032" t="s">
        <v>216</v>
      </c>
      <c r="HW87" s="2032"/>
      <c r="HX87" s="2032"/>
      <c r="HY87" s="2032"/>
      <c r="HZ87" s="282">
        <f>' प्रमाण निश्चिती '!C34</f>
        <v>0.15</v>
      </c>
      <c r="IA87" s="282">
        <f>' प्रमाण निश्चिती '!D34</f>
        <v>0.03</v>
      </c>
      <c r="IB87" s="282">
        <f>' प्रमाण निश्चिती '!E34</f>
        <v>0.03</v>
      </c>
      <c r="IC87" s="282">
        <f>' प्रमाण निश्चिती '!F34</f>
        <v>0.03</v>
      </c>
      <c r="ID87" s="282">
        <f>' प्रमाण निश्चिती '!G34</f>
        <v>0.03</v>
      </c>
      <c r="IE87" s="282">
        <f>' प्रमाण निश्चिती '!H34</f>
        <v>0.03</v>
      </c>
      <c r="IF87" s="282">
        <f>' प्रमाण निश्चिती '!I34</f>
        <v>0.03</v>
      </c>
      <c r="IG87" s="282">
        <f>' प्रमाण निश्चिती '!J34</f>
        <v>0.03</v>
      </c>
      <c r="IH87" s="282">
        <f>' प्रमाण निश्चिती '!K34</f>
        <v>0.03</v>
      </c>
      <c r="II87" s="282">
        <f>' प्रमाण निश्चिती '!L34</f>
        <v>2.0000000000000001E-4</v>
      </c>
      <c r="IJ87" s="282">
        <f>' प्रमाण निश्चिती '!M34</f>
        <v>2.0000000000000001E-4</v>
      </c>
      <c r="IK87" s="282">
        <f>' प्रमाण निश्चिती '!N34</f>
        <v>1E-3</v>
      </c>
      <c r="IL87" s="282">
        <f>' प्रमाण निश्चिती '!O34</f>
        <v>0</v>
      </c>
      <c r="IM87" s="282">
        <f>' प्रमाण निश्चिती '!P34</f>
        <v>0</v>
      </c>
      <c r="IN87" s="282">
        <f>' प्रमाण निश्चिती '!Q34</f>
        <v>7.4999999999999997E-3</v>
      </c>
      <c r="IO87" s="282">
        <f>' प्रमाण निश्चिती '!R34</f>
        <v>2E-3</v>
      </c>
      <c r="IP87" s="282">
        <f>' प्रमाण निश्चिती '!S34</f>
        <v>1.5E-3</v>
      </c>
      <c r="IQ87" s="282">
        <f>' प्रमाण निश्चिती '!T34</f>
        <v>0</v>
      </c>
      <c r="IR87" s="283">
        <f>' प्रमाण निश्चिती '!U34</f>
        <v>1.1399999999999999</v>
      </c>
      <c r="IS87" s="283">
        <f>' प्रमाण निश्चिती '!V34</f>
        <v>0.88</v>
      </c>
      <c r="IT87" s="283">
        <f>' प्रमाण निश्चिती '!W34</f>
        <v>0.82</v>
      </c>
      <c r="IU87" s="283">
        <f>' प्रमाण निश्चिती '!Y34</f>
        <v>4.0199999999999996</v>
      </c>
      <c r="IV87" s="1016"/>
      <c r="IW87" s="1016"/>
      <c r="IX87" s="295"/>
      <c r="IY87" s="2032" t="s">
        <v>216</v>
      </c>
      <c r="IZ87" s="2032"/>
      <c r="JA87" s="2032"/>
      <c r="JB87" s="2032"/>
      <c r="JC87" s="282">
        <f>' प्रमाण निश्चिती '!C35</f>
        <v>0.15</v>
      </c>
      <c r="JD87" s="282">
        <f>' प्रमाण निश्चिती '!D35</f>
        <v>0.03</v>
      </c>
      <c r="JE87" s="282">
        <f>' प्रमाण निश्चिती '!E35</f>
        <v>0.03</v>
      </c>
      <c r="JF87" s="282">
        <f>' प्रमाण निश्चिती '!F35</f>
        <v>0.03</v>
      </c>
      <c r="JG87" s="282">
        <f>' प्रमाण निश्चिती '!G35</f>
        <v>0.03</v>
      </c>
      <c r="JH87" s="282">
        <f>' प्रमाण निश्चिती '!H35</f>
        <v>0.03</v>
      </c>
      <c r="JI87" s="282">
        <f>' प्रमाण निश्चिती '!I35</f>
        <v>0.03</v>
      </c>
      <c r="JJ87" s="282">
        <f>' प्रमाण निश्चिती '!J35</f>
        <v>0.03</v>
      </c>
      <c r="JK87" s="282">
        <f>' प्रमाण निश्चिती '!K35</f>
        <v>0.03</v>
      </c>
      <c r="JL87" s="282">
        <f>' प्रमाण निश्चिती '!L35</f>
        <v>2.0000000000000001E-4</v>
      </c>
      <c r="JM87" s="282">
        <f>' प्रमाण निश्चिती '!M35</f>
        <v>2.0000000000000001E-4</v>
      </c>
      <c r="JN87" s="282">
        <f>' प्रमाण निश्चिती '!N35</f>
        <v>1E-3</v>
      </c>
      <c r="JO87" s="282">
        <f>' प्रमाण निश्चिती '!O35</f>
        <v>0</v>
      </c>
      <c r="JP87" s="282">
        <f>' प्रमाण निश्चिती '!P35</f>
        <v>0</v>
      </c>
      <c r="JQ87" s="282">
        <f>' प्रमाण निश्चिती '!Q35</f>
        <v>7.4999999999999997E-3</v>
      </c>
      <c r="JR87" s="282">
        <f>' प्रमाण निश्चिती '!R35</f>
        <v>2E-3</v>
      </c>
      <c r="JS87" s="282">
        <f>' प्रमाण निश्चिती '!S35</f>
        <v>1.5E-3</v>
      </c>
      <c r="JT87" s="282">
        <f>' प्रमाण निश्चिती '!T35</f>
        <v>0</v>
      </c>
      <c r="JU87" s="283">
        <f>' प्रमाण निश्चिती '!U35</f>
        <v>1.1399999999999999</v>
      </c>
      <c r="JV87" s="283">
        <f>' प्रमाण निश्चिती '!V35</f>
        <v>0.88</v>
      </c>
      <c r="JW87" s="283">
        <f>' प्रमाण निश्चिती '!W35</f>
        <v>0.82</v>
      </c>
      <c r="JX87" s="283">
        <f>' प्रमाण निश्चिती '!Y35</f>
        <v>4.0199999999999996</v>
      </c>
      <c r="JY87" s="1016"/>
      <c r="JZ87" s="1016"/>
      <c r="KA87" s="295"/>
      <c r="KB87" s="2032" t="s">
        <v>216</v>
      </c>
      <c r="KC87" s="2032"/>
      <c r="KD87" s="2032"/>
      <c r="KE87" s="2032"/>
      <c r="KF87" s="282">
        <f>' प्रमाण निश्चिती '!C36</f>
        <v>0.15</v>
      </c>
      <c r="KG87" s="282">
        <f>' प्रमाण निश्चिती '!D36</f>
        <v>0.03</v>
      </c>
      <c r="KH87" s="282">
        <f>' प्रमाण निश्चिती '!E36</f>
        <v>0.03</v>
      </c>
      <c r="KI87" s="282">
        <f>' प्रमाण निश्चिती '!F36</f>
        <v>0.03</v>
      </c>
      <c r="KJ87" s="282">
        <f>' प्रमाण निश्चिती '!G36</f>
        <v>0.03</v>
      </c>
      <c r="KK87" s="282">
        <f>' प्रमाण निश्चिती '!H36</f>
        <v>0.03</v>
      </c>
      <c r="KL87" s="282">
        <f>' प्रमाण निश्चिती '!I36</f>
        <v>0.03</v>
      </c>
      <c r="KM87" s="282">
        <f>' प्रमाण निश्चिती '!J36</f>
        <v>0.03</v>
      </c>
      <c r="KN87" s="282">
        <f>' प्रमाण निश्चिती '!K36</f>
        <v>0.03</v>
      </c>
      <c r="KO87" s="282">
        <f>' प्रमाण निश्चिती '!L36</f>
        <v>2.0000000000000001E-4</v>
      </c>
      <c r="KP87" s="282">
        <f>' प्रमाण निश्चिती '!M36</f>
        <v>2.0000000000000001E-4</v>
      </c>
      <c r="KQ87" s="282">
        <f>' प्रमाण निश्चिती '!N36</f>
        <v>1E-3</v>
      </c>
      <c r="KR87" s="282">
        <f>' प्रमाण निश्चिती '!O36</f>
        <v>0</v>
      </c>
      <c r="KS87" s="282">
        <f>' प्रमाण निश्चिती '!P36</f>
        <v>0</v>
      </c>
      <c r="KT87" s="282">
        <f>' प्रमाण निश्चिती '!Q36</f>
        <v>7.4999999999999997E-3</v>
      </c>
      <c r="KU87" s="282">
        <f>' प्रमाण निश्चिती '!R36</f>
        <v>2E-3</v>
      </c>
      <c r="KV87" s="282">
        <f>' प्रमाण निश्चिती '!S36</f>
        <v>1.5E-3</v>
      </c>
      <c r="KW87" s="282">
        <f>' प्रमाण निश्चिती '!T36</f>
        <v>0</v>
      </c>
      <c r="KX87" s="282">
        <f>' प्रमाण निश्चिती '!U36</f>
        <v>1.1399999999999999</v>
      </c>
      <c r="KY87" s="282">
        <f>' प्रमाण निश्चिती '!V36</f>
        <v>0.88</v>
      </c>
      <c r="KZ87" s="282">
        <f>' प्रमाण निश्चिती '!W36</f>
        <v>0.82</v>
      </c>
      <c r="LA87" s="282">
        <f>' प्रमाण निश्चिती '!Y36</f>
        <v>4.0199999999999996</v>
      </c>
      <c r="LB87" s="1016"/>
      <c r="LC87" s="1016"/>
      <c r="LD87" s="295"/>
      <c r="LE87" s="2032" t="s">
        <v>216</v>
      </c>
      <c r="LF87" s="2032"/>
      <c r="LG87" s="2032"/>
      <c r="LH87" s="2032"/>
      <c r="LI87" s="282">
        <f>' प्रमाण निश्चिती '!C37</f>
        <v>0.15</v>
      </c>
      <c r="LJ87" s="282">
        <f>' प्रमाण निश्चिती '!D37</f>
        <v>0.03</v>
      </c>
      <c r="LK87" s="282">
        <f>' प्रमाण निश्चिती '!E37</f>
        <v>0.03</v>
      </c>
      <c r="LL87" s="282">
        <f>' प्रमाण निश्चिती '!F37</f>
        <v>0.03</v>
      </c>
      <c r="LM87" s="282">
        <f>' प्रमाण निश्चिती '!G37</f>
        <v>0.03</v>
      </c>
      <c r="LN87" s="282">
        <f>' प्रमाण निश्चिती '!H37</f>
        <v>0.03</v>
      </c>
      <c r="LO87" s="282">
        <f>' प्रमाण निश्चिती '!I37</f>
        <v>0.03</v>
      </c>
      <c r="LP87" s="282">
        <f>' प्रमाण निश्चिती '!J37</f>
        <v>0.03</v>
      </c>
      <c r="LQ87" s="282">
        <f>' प्रमाण निश्चिती '!K37</f>
        <v>0.03</v>
      </c>
      <c r="LR87" s="282">
        <f>' प्रमाण निश्चिती '!L37</f>
        <v>2.0000000000000001E-4</v>
      </c>
      <c r="LS87" s="282">
        <f>' प्रमाण निश्चिती '!M37</f>
        <v>2.0000000000000001E-4</v>
      </c>
      <c r="LT87" s="282">
        <f>' प्रमाण निश्चिती '!N37</f>
        <v>1E-3</v>
      </c>
      <c r="LU87" s="282">
        <f>' प्रमाण निश्चिती '!O37</f>
        <v>0</v>
      </c>
      <c r="LV87" s="282">
        <f>' प्रमाण निश्चिती '!P37</f>
        <v>0</v>
      </c>
      <c r="LW87" s="282">
        <f>' प्रमाण निश्चिती '!Q37</f>
        <v>7.4999999999999997E-3</v>
      </c>
      <c r="LX87" s="282">
        <f>' प्रमाण निश्चिती '!R37</f>
        <v>2E-3</v>
      </c>
      <c r="LY87" s="282">
        <f>' प्रमाण निश्चिती '!S37</f>
        <v>1.5E-3</v>
      </c>
      <c r="LZ87" s="282">
        <f>' प्रमाण निश्चिती '!T37</f>
        <v>0</v>
      </c>
      <c r="MA87" s="283">
        <f>' प्रमाण निश्चिती '!U37</f>
        <v>1.1399999999999999</v>
      </c>
      <c r="MB87" s="283">
        <f>' प्रमाण निश्चिती '!V37</f>
        <v>0.88</v>
      </c>
      <c r="MC87" s="283">
        <f>' प्रमाण निश्चिती '!W37</f>
        <v>0.82</v>
      </c>
      <c r="MD87" s="283">
        <f>' प्रमाण निश्चिती '!Y37</f>
        <v>4.0199999999999996</v>
      </c>
      <c r="ME87" s="1016"/>
      <c r="MF87" s="1016"/>
      <c r="MG87" s="295"/>
      <c r="MH87" s="2032" t="s">
        <v>216</v>
      </c>
      <c r="MI87" s="2032"/>
      <c r="MJ87" s="2032"/>
      <c r="MK87" s="2032"/>
      <c r="ML87" s="282">
        <f>' प्रमाण निश्चिती '!C38</f>
        <v>0.15</v>
      </c>
      <c r="MM87" s="282">
        <f>' प्रमाण निश्चिती '!D38</f>
        <v>0.03</v>
      </c>
      <c r="MN87" s="282">
        <f>' प्रमाण निश्चिती '!E38</f>
        <v>0.03</v>
      </c>
      <c r="MO87" s="282">
        <f>' प्रमाण निश्चिती '!F38</f>
        <v>0.03</v>
      </c>
      <c r="MP87" s="282">
        <f>' प्रमाण निश्चिती '!G38</f>
        <v>0.03</v>
      </c>
      <c r="MQ87" s="282">
        <f>' प्रमाण निश्चिती '!H38</f>
        <v>0.03</v>
      </c>
      <c r="MR87" s="282">
        <f>' प्रमाण निश्चिती '!I38</f>
        <v>0.03</v>
      </c>
      <c r="MS87" s="282">
        <f>' प्रमाण निश्चिती '!J38</f>
        <v>0.03</v>
      </c>
      <c r="MT87" s="282">
        <f>' प्रमाण निश्चिती '!K38</f>
        <v>0.03</v>
      </c>
      <c r="MU87" s="282">
        <f>' प्रमाण निश्चिती '!L38</f>
        <v>2.0000000000000001E-4</v>
      </c>
      <c r="MV87" s="282">
        <f>' प्रमाण निश्चिती '!M38</f>
        <v>2.0000000000000001E-4</v>
      </c>
      <c r="MW87" s="282">
        <f>' प्रमाण निश्चिती '!N38</f>
        <v>1E-3</v>
      </c>
      <c r="MX87" s="282">
        <f>' प्रमाण निश्चिती '!O38</f>
        <v>0</v>
      </c>
      <c r="MY87" s="282">
        <f>' प्रमाण निश्चिती '!P38</f>
        <v>0</v>
      </c>
      <c r="MZ87" s="282">
        <f>' प्रमाण निश्चिती '!Q38</f>
        <v>7.4999999999999997E-3</v>
      </c>
      <c r="NA87" s="282">
        <f>' प्रमाण निश्चिती '!R38</f>
        <v>2E-3</v>
      </c>
      <c r="NB87" s="282">
        <f>' प्रमाण निश्चिती '!S38</f>
        <v>1.5E-3</v>
      </c>
      <c r="NC87" s="282">
        <f>' प्रमाण निश्चिती '!T38</f>
        <v>0</v>
      </c>
      <c r="ND87" s="283">
        <f>' प्रमाण निश्चिती '!U38</f>
        <v>1.1399999999999999</v>
      </c>
      <c r="NE87" s="283">
        <f>' प्रमाण निश्चिती '!V38</f>
        <v>0.88</v>
      </c>
      <c r="NF87" s="283">
        <f>' प्रमाण निश्चिती '!W38</f>
        <v>0.82</v>
      </c>
      <c r="NG87" s="283">
        <f>' प्रमाण निश्चिती '!Y38</f>
        <v>4.0199999999999996</v>
      </c>
      <c r="NH87" s="1016"/>
      <c r="NI87" s="1016"/>
      <c r="NJ87" s="295"/>
      <c r="NK87" s="2032" t="s">
        <v>216</v>
      </c>
      <c r="NL87" s="2032"/>
      <c r="NM87" s="2032"/>
      <c r="NN87" s="2032"/>
      <c r="NO87" s="282">
        <f>' प्रमाण निश्चिती '!C39</f>
        <v>0.15</v>
      </c>
      <c r="NP87" s="282">
        <f>' प्रमाण निश्चिती '!D39</f>
        <v>0.03</v>
      </c>
      <c r="NQ87" s="282">
        <f>' प्रमाण निश्चिती '!E39</f>
        <v>0.03</v>
      </c>
      <c r="NR87" s="282">
        <f>' प्रमाण निश्चिती '!F39</f>
        <v>0.03</v>
      </c>
      <c r="NS87" s="282">
        <f>' प्रमाण निश्चिती '!G39</f>
        <v>0.03</v>
      </c>
      <c r="NT87" s="282">
        <f>' प्रमाण निश्चिती '!H39</f>
        <v>0.03</v>
      </c>
      <c r="NU87" s="282">
        <f>' प्रमाण निश्चिती '!I39</f>
        <v>0.03</v>
      </c>
      <c r="NV87" s="282">
        <f>' प्रमाण निश्चिती '!J39</f>
        <v>0.03</v>
      </c>
      <c r="NW87" s="282">
        <f>' प्रमाण निश्चिती '!K39</f>
        <v>0.03</v>
      </c>
      <c r="NX87" s="282">
        <f>' प्रमाण निश्चिती '!L39</f>
        <v>2.0000000000000001E-4</v>
      </c>
      <c r="NY87" s="282">
        <f>' प्रमाण निश्चिती '!M39</f>
        <v>2.0000000000000001E-4</v>
      </c>
      <c r="NZ87" s="282">
        <f>' प्रमाण निश्चिती '!N39</f>
        <v>1E-3</v>
      </c>
      <c r="OA87" s="282">
        <f>' प्रमाण निश्चिती '!O39</f>
        <v>0</v>
      </c>
      <c r="OB87" s="282">
        <f>' प्रमाण निश्चिती '!P39</f>
        <v>0</v>
      </c>
      <c r="OC87" s="282">
        <f>' प्रमाण निश्चिती '!Q39</f>
        <v>7.4999999999999997E-3</v>
      </c>
      <c r="OD87" s="282">
        <f>' प्रमाण निश्चिती '!R39</f>
        <v>2E-3</v>
      </c>
      <c r="OE87" s="282">
        <f>' प्रमाण निश्चिती '!S39</f>
        <v>1.5E-3</v>
      </c>
      <c r="OF87" s="282">
        <f>' प्रमाण निश्चिती '!T39</f>
        <v>0</v>
      </c>
      <c r="OG87" s="283">
        <f>' प्रमाण निश्चिती '!U39</f>
        <v>1.1399999999999999</v>
      </c>
      <c r="OH87" s="283">
        <f>' प्रमाण निश्चिती '!V39</f>
        <v>0.88</v>
      </c>
      <c r="OI87" s="283">
        <f>' प्रमाण निश्चिती '!W39</f>
        <v>0.82</v>
      </c>
      <c r="OJ87" s="283">
        <f>' प्रमाण निश्चिती '!Y39</f>
        <v>4.0199999999999996</v>
      </c>
    </row>
    <row r="88" spans="53:400" ht="29.25" customHeight="1" x14ac:dyDescent="0.3">
      <c r="BA88" s="1017"/>
      <c r="BB88" s="1017">
        <v>6</v>
      </c>
      <c r="BC88" s="1017"/>
      <c r="BD88" s="2019" t="s">
        <v>101</v>
      </c>
      <c r="BE88" s="2019"/>
      <c r="BF88" s="2019"/>
      <c r="BG88" s="2019"/>
      <c r="BH88" s="285">
        <f>'साठा नोंदवही'!E62</f>
        <v>0</v>
      </c>
      <c r="BI88" s="285">
        <f>'साठा नोंदवही'!F62</f>
        <v>0</v>
      </c>
      <c r="BJ88" s="285">
        <f>'साठा नोंदवही'!G62</f>
        <v>0</v>
      </c>
      <c r="BK88" s="285">
        <f>'साठा नोंदवही'!H62</f>
        <v>0</v>
      </c>
      <c r="BL88" s="285">
        <f>'साठा नोंदवही'!I62</f>
        <v>0</v>
      </c>
      <c r="BM88" s="285">
        <f>'साठा नोंदवही'!J62</f>
        <v>0</v>
      </c>
      <c r="BN88" s="285">
        <f>'साठा नोंदवही'!K62</f>
        <v>0</v>
      </c>
      <c r="BO88" s="285">
        <f>'साठा नोंदवही'!L62</f>
        <v>0</v>
      </c>
      <c r="BP88" s="285">
        <f>'साठा नोंदवही'!M62</f>
        <v>0</v>
      </c>
      <c r="BQ88" s="285">
        <f>'साठा नोंदवही'!N62</f>
        <v>0</v>
      </c>
      <c r="BR88" s="285">
        <f>'साठा नोंदवही'!O62</f>
        <v>0</v>
      </c>
      <c r="BS88" s="285">
        <f>'साठा नोंदवही'!P62</f>
        <v>0</v>
      </c>
      <c r="BT88" s="285">
        <f>'साठा नोंदवही'!Q62</f>
        <v>0</v>
      </c>
      <c r="BU88" s="285">
        <f>'साठा नोंदवही'!R62</f>
        <v>0</v>
      </c>
      <c r="BV88" s="285">
        <f>'साठा नोंदवही'!S62</f>
        <v>0</v>
      </c>
      <c r="BW88" s="285">
        <f>'साठा नोंदवही'!T62</f>
        <v>0</v>
      </c>
      <c r="BX88" s="285">
        <f>'साठा नोंदवही'!U62</f>
        <v>0</v>
      </c>
      <c r="BY88" s="285">
        <f>'साठा नोंदवही'!V62</f>
        <v>0</v>
      </c>
      <c r="BZ88" s="2021"/>
      <c r="CA88" s="2021"/>
      <c r="CB88" s="2021"/>
      <c r="CC88" s="2021"/>
      <c r="CD88" s="1017"/>
      <c r="CE88" s="1017">
        <v>6</v>
      </c>
      <c r="CF88" s="1017"/>
      <c r="CG88" s="2019" t="s">
        <v>101</v>
      </c>
      <c r="CH88" s="2019"/>
      <c r="CI88" s="2019"/>
      <c r="CJ88" s="2019"/>
      <c r="CK88" s="285">
        <f>BH124</f>
        <v>0</v>
      </c>
      <c r="CL88" s="285">
        <f t="shared" ref="CL88" si="386">BI124</f>
        <v>0</v>
      </c>
      <c r="CM88" s="285">
        <f t="shared" ref="CM88" si="387">BJ124</f>
        <v>0</v>
      </c>
      <c r="CN88" s="285">
        <f t="shared" ref="CN88" si="388">BK124</f>
        <v>0</v>
      </c>
      <c r="CO88" s="285">
        <f t="shared" ref="CO88" si="389">BL124</f>
        <v>0</v>
      </c>
      <c r="CP88" s="285">
        <f t="shared" ref="CP88" si="390">BM124</f>
        <v>0</v>
      </c>
      <c r="CQ88" s="285">
        <f t="shared" ref="CQ88" si="391">BN124</f>
        <v>0</v>
      </c>
      <c r="CR88" s="285">
        <f t="shared" ref="CR88" si="392">BO124</f>
        <v>0</v>
      </c>
      <c r="CS88" s="285">
        <f t="shared" ref="CS88" si="393">BP124</f>
        <v>0</v>
      </c>
      <c r="CT88" s="285">
        <f t="shared" ref="CT88" si="394">BQ124</f>
        <v>0</v>
      </c>
      <c r="CU88" s="285">
        <f t="shared" ref="CU88" si="395">BR124</f>
        <v>0</v>
      </c>
      <c r="CV88" s="285">
        <f t="shared" ref="CV88" si="396">BS124</f>
        <v>0</v>
      </c>
      <c r="CW88" s="285">
        <f t="shared" ref="CW88" si="397">BT124</f>
        <v>0</v>
      </c>
      <c r="CX88" s="285">
        <f t="shared" ref="CX88" si="398">BU124</f>
        <v>0</v>
      </c>
      <c r="CY88" s="285">
        <f t="shared" ref="CY88" si="399">BV124</f>
        <v>0</v>
      </c>
      <c r="CZ88" s="285">
        <f t="shared" ref="CZ88" si="400">BW124</f>
        <v>0</v>
      </c>
      <c r="DA88" s="285">
        <f t="shared" ref="DA88" si="401">BX124</f>
        <v>0</v>
      </c>
      <c r="DB88" s="285">
        <f t="shared" ref="DB88" si="402">BY124</f>
        <v>0</v>
      </c>
      <c r="DC88" s="2021"/>
      <c r="DD88" s="2021"/>
      <c r="DE88" s="2021"/>
      <c r="DF88" s="2021"/>
      <c r="DG88" s="1017"/>
      <c r="DH88" s="1017"/>
      <c r="DI88" s="1017"/>
      <c r="DJ88" s="2019" t="s">
        <v>101</v>
      </c>
      <c r="DK88" s="2019"/>
      <c r="DL88" s="2019"/>
      <c r="DM88" s="2019"/>
      <c r="DN88" s="285">
        <f>CK124</f>
        <v>0</v>
      </c>
      <c r="DO88" s="285">
        <f t="shared" ref="DO88" si="403">CL124</f>
        <v>0</v>
      </c>
      <c r="DP88" s="285">
        <f t="shared" ref="DP88" si="404">CM124</f>
        <v>0</v>
      </c>
      <c r="DQ88" s="285">
        <f t="shared" ref="DQ88" si="405">CN124</f>
        <v>0</v>
      </c>
      <c r="DR88" s="285">
        <f t="shared" ref="DR88" si="406">CO124</f>
        <v>0</v>
      </c>
      <c r="DS88" s="285">
        <f t="shared" ref="DS88" si="407">CP124</f>
        <v>0</v>
      </c>
      <c r="DT88" s="285">
        <f t="shared" ref="DT88" si="408">CQ124</f>
        <v>0</v>
      </c>
      <c r="DU88" s="285">
        <f t="shared" ref="DU88" si="409">CR124</f>
        <v>0</v>
      </c>
      <c r="DV88" s="285">
        <f t="shared" ref="DV88" si="410">CS124</f>
        <v>0</v>
      </c>
      <c r="DW88" s="285">
        <f t="shared" ref="DW88" si="411">CT124</f>
        <v>0</v>
      </c>
      <c r="DX88" s="285">
        <f t="shared" ref="DX88" si="412">CU124</f>
        <v>0</v>
      </c>
      <c r="DY88" s="285">
        <f t="shared" ref="DY88" si="413">CV124</f>
        <v>0</v>
      </c>
      <c r="DZ88" s="285">
        <f t="shared" ref="DZ88" si="414">CW124</f>
        <v>0</v>
      </c>
      <c r="EA88" s="285">
        <f t="shared" ref="EA88" si="415">CX124</f>
        <v>0</v>
      </c>
      <c r="EB88" s="285">
        <f t="shared" ref="EB88" si="416">CY124</f>
        <v>0</v>
      </c>
      <c r="EC88" s="285">
        <f t="shared" ref="EC88" si="417">CZ124</f>
        <v>0</v>
      </c>
      <c r="ED88" s="285">
        <f t="shared" ref="ED88" si="418">DA124</f>
        <v>0</v>
      </c>
      <c r="EE88" s="285">
        <f t="shared" ref="EE88" si="419">DB124</f>
        <v>0</v>
      </c>
      <c r="EF88" s="2021"/>
      <c r="EG88" s="2021"/>
      <c r="EH88" s="2021"/>
      <c r="EI88" s="2021"/>
      <c r="EJ88" s="1017"/>
      <c r="EK88" s="1017"/>
      <c r="EL88" s="1017"/>
      <c r="EM88" s="2019" t="s">
        <v>101</v>
      </c>
      <c r="EN88" s="2019"/>
      <c r="EO88" s="2019"/>
      <c r="EP88" s="2019"/>
      <c r="EQ88" s="285">
        <f>DN124</f>
        <v>0</v>
      </c>
      <c r="ER88" s="285">
        <f t="shared" ref="ER88" si="420">DO124</f>
        <v>0</v>
      </c>
      <c r="ES88" s="285">
        <f t="shared" ref="ES88" si="421">DP124</f>
        <v>0</v>
      </c>
      <c r="ET88" s="285">
        <f t="shared" ref="ET88" si="422">DQ124</f>
        <v>0</v>
      </c>
      <c r="EU88" s="285">
        <f t="shared" ref="EU88" si="423">DR124</f>
        <v>0</v>
      </c>
      <c r="EV88" s="285">
        <f t="shared" ref="EV88" si="424">DS124</f>
        <v>0</v>
      </c>
      <c r="EW88" s="285">
        <f t="shared" ref="EW88" si="425">DT124</f>
        <v>0</v>
      </c>
      <c r="EX88" s="285">
        <f t="shared" ref="EX88" si="426">DU124</f>
        <v>0</v>
      </c>
      <c r="EY88" s="285">
        <f t="shared" ref="EY88" si="427">DV124</f>
        <v>0</v>
      </c>
      <c r="EZ88" s="285">
        <f t="shared" ref="EZ88" si="428">DW124</f>
        <v>0</v>
      </c>
      <c r="FA88" s="285">
        <f t="shared" ref="FA88" si="429">DX124</f>
        <v>0</v>
      </c>
      <c r="FB88" s="285">
        <f t="shared" ref="FB88" si="430">DY124</f>
        <v>0</v>
      </c>
      <c r="FC88" s="285">
        <f t="shared" ref="FC88" si="431">DZ124</f>
        <v>0</v>
      </c>
      <c r="FD88" s="285">
        <f t="shared" ref="FD88" si="432">EA124</f>
        <v>0</v>
      </c>
      <c r="FE88" s="285">
        <f t="shared" ref="FE88" si="433">EB124</f>
        <v>0</v>
      </c>
      <c r="FF88" s="285">
        <f t="shared" ref="FF88" si="434">EC124</f>
        <v>0</v>
      </c>
      <c r="FG88" s="285">
        <f t="shared" ref="FG88" si="435">ED124</f>
        <v>0</v>
      </c>
      <c r="FH88" s="285">
        <f t="shared" ref="FH88" si="436">EE124</f>
        <v>0</v>
      </c>
      <c r="FI88" s="2021"/>
      <c r="FJ88" s="2021"/>
      <c r="FK88" s="2021"/>
      <c r="FL88" s="2021"/>
      <c r="FM88" s="1017"/>
      <c r="FN88" s="1017"/>
      <c r="FO88" s="1017"/>
      <c r="FP88" s="2019" t="s">
        <v>101</v>
      </c>
      <c r="FQ88" s="2019"/>
      <c r="FR88" s="2019"/>
      <c r="FS88" s="2019"/>
      <c r="FT88" s="285">
        <f>EQ124</f>
        <v>0</v>
      </c>
      <c r="FU88" s="285">
        <f t="shared" ref="FU88" si="437">ER124</f>
        <v>0</v>
      </c>
      <c r="FV88" s="285">
        <f t="shared" ref="FV88" si="438">ES124</f>
        <v>0</v>
      </c>
      <c r="FW88" s="285">
        <f t="shared" ref="FW88" si="439">ET124</f>
        <v>0</v>
      </c>
      <c r="FX88" s="285">
        <f t="shared" ref="FX88" si="440">EU124</f>
        <v>0</v>
      </c>
      <c r="FY88" s="285">
        <f t="shared" ref="FY88" si="441">EV124</f>
        <v>0</v>
      </c>
      <c r="FZ88" s="285">
        <f t="shared" ref="FZ88" si="442">EW124</f>
        <v>0</v>
      </c>
      <c r="GA88" s="285">
        <f t="shared" ref="GA88" si="443">EX124</f>
        <v>0</v>
      </c>
      <c r="GB88" s="285">
        <f t="shared" ref="GB88" si="444">EY124</f>
        <v>0</v>
      </c>
      <c r="GC88" s="285">
        <f t="shared" ref="GC88" si="445">EZ124</f>
        <v>0</v>
      </c>
      <c r="GD88" s="285">
        <f t="shared" ref="GD88" si="446">FA124</f>
        <v>0</v>
      </c>
      <c r="GE88" s="285">
        <f t="shared" ref="GE88" si="447">FB124</f>
        <v>0</v>
      </c>
      <c r="GF88" s="285">
        <f t="shared" ref="GF88" si="448">FC124</f>
        <v>0</v>
      </c>
      <c r="GG88" s="285">
        <f t="shared" ref="GG88" si="449">FD124</f>
        <v>0</v>
      </c>
      <c r="GH88" s="285">
        <f t="shared" ref="GH88" si="450">FE124</f>
        <v>0</v>
      </c>
      <c r="GI88" s="285">
        <f t="shared" ref="GI88" si="451">FF124</f>
        <v>0</v>
      </c>
      <c r="GJ88" s="285">
        <f t="shared" ref="GJ88" si="452">FG124</f>
        <v>0</v>
      </c>
      <c r="GK88" s="285">
        <f t="shared" ref="GK88" si="453">FH124</f>
        <v>0</v>
      </c>
      <c r="GL88" s="2021"/>
      <c r="GM88" s="2021"/>
      <c r="GN88" s="2021"/>
      <c r="GO88" s="2021"/>
      <c r="GP88" s="1017"/>
      <c r="GQ88" s="1017">
        <v>6</v>
      </c>
      <c r="GR88" s="1017"/>
      <c r="GS88" s="2019" t="s">
        <v>101</v>
      </c>
      <c r="GT88" s="2019"/>
      <c r="GU88" s="2019"/>
      <c r="GV88" s="2019"/>
      <c r="GW88" s="285">
        <f>FT124</f>
        <v>0</v>
      </c>
      <c r="GX88" s="285">
        <f t="shared" ref="GX88" si="454">FU124</f>
        <v>0</v>
      </c>
      <c r="GY88" s="285">
        <f t="shared" ref="GY88" si="455">FV124</f>
        <v>0</v>
      </c>
      <c r="GZ88" s="285">
        <f t="shared" ref="GZ88" si="456">FW124</f>
        <v>0</v>
      </c>
      <c r="HA88" s="285">
        <f t="shared" ref="HA88" si="457">FX124</f>
        <v>0</v>
      </c>
      <c r="HB88" s="285">
        <f t="shared" ref="HB88" si="458">FY124</f>
        <v>0</v>
      </c>
      <c r="HC88" s="285">
        <f t="shared" ref="HC88" si="459">FZ124</f>
        <v>0</v>
      </c>
      <c r="HD88" s="285">
        <f t="shared" ref="HD88" si="460">GA124</f>
        <v>0</v>
      </c>
      <c r="HE88" s="285">
        <f t="shared" ref="HE88" si="461">GB124</f>
        <v>0</v>
      </c>
      <c r="HF88" s="285">
        <f t="shared" ref="HF88" si="462">GC124</f>
        <v>0</v>
      </c>
      <c r="HG88" s="285">
        <f t="shared" ref="HG88" si="463">GD124</f>
        <v>0</v>
      </c>
      <c r="HH88" s="285">
        <f t="shared" ref="HH88" si="464">GE124</f>
        <v>0</v>
      </c>
      <c r="HI88" s="285">
        <f t="shared" ref="HI88" si="465">GF124</f>
        <v>0</v>
      </c>
      <c r="HJ88" s="285">
        <f t="shared" ref="HJ88" si="466">GG124</f>
        <v>0</v>
      </c>
      <c r="HK88" s="285">
        <f t="shared" ref="HK88" si="467">GH124</f>
        <v>0</v>
      </c>
      <c r="HL88" s="285">
        <f t="shared" ref="HL88" si="468">GI124</f>
        <v>0</v>
      </c>
      <c r="HM88" s="285">
        <f t="shared" ref="HM88" si="469">GJ124</f>
        <v>0</v>
      </c>
      <c r="HN88" s="285">
        <f t="shared" ref="HN88" si="470">GK124</f>
        <v>0</v>
      </c>
      <c r="HO88" s="2021"/>
      <c r="HP88" s="2021"/>
      <c r="HQ88" s="2021"/>
      <c r="HR88" s="2021"/>
      <c r="HS88" s="1017"/>
      <c r="HT88" s="1017">
        <v>6</v>
      </c>
      <c r="HU88" s="1017"/>
      <c r="HV88" s="2019" t="s">
        <v>101</v>
      </c>
      <c r="HW88" s="2019"/>
      <c r="HX88" s="2019"/>
      <c r="HY88" s="2019"/>
      <c r="HZ88" s="285">
        <f>GW124</f>
        <v>0</v>
      </c>
      <c r="IA88" s="285">
        <f t="shared" ref="IA88" si="471">GX124</f>
        <v>0</v>
      </c>
      <c r="IB88" s="285">
        <f t="shared" ref="IB88" si="472">GY124</f>
        <v>0</v>
      </c>
      <c r="IC88" s="285">
        <f t="shared" ref="IC88" si="473">GZ124</f>
        <v>0</v>
      </c>
      <c r="ID88" s="285">
        <f t="shared" ref="ID88" si="474">HA124</f>
        <v>0</v>
      </c>
      <c r="IE88" s="285">
        <f t="shared" ref="IE88" si="475">HB124</f>
        <v>0</v>
      </c>
      <c r="IF88" s="285">
        <f t="shared" ref="IF88" si="476">HC124</f>
        <v>0</v>
      </c>
      <c r="IG88" s="285">
        <f t="shared" ref="IG88" si="477">HD124</f>
        <v>0</v>
      </c>
      <c r="IH88" s="285">
        <f t="shared" ref="IH88" si="478">HE124</f>
        <v>0</v>
      </c>
      <c r="II88" s="285">
        <f t="shared" ref="II88" si="479">HF124</f>
        <v>0</v>
      </c>
      <c r="IJ88" s="285">
        <f t="shared" ref="IJ88" si="480">HG124</f>
        <v>0</v>
      </c>
      <c r="IK88" s="285">
        <f t="shared" ref="IK88" si="481">HH124</f>
        <v>0</v>
      </c>
      <c r="IL88" s="285">
        <f t="shared" ref="IL88" si="482">HI124</f>
        <v>0</v>
      </c>
      <c r="IM88" s="285">
        <f t="shared" ref="IM88" si="483">HJ124</f>
        <v>0</v>
      </c>
      <c r="IN88" s="285">
        <f t="shared" ref="IN88" si="484">HK124</f>
        <v>0</v>
      </c>
      <c r="IO88" s="285">
        <f t="shared" ref="IO88" si="485">HL124</f>
        <v>0</v>
      </c>
      <c r="IP88" s="285">
        <f t="shared" ref="IP88" si="486">HM124</f>
        <v>0</v>
      </c>
      <c r="IQ88" s="285">
        <f t="shared" ref="IQ88" si="487">HN124</f>
        <v>0</v>
      </c>
      <c r="IR88" s="2021"/>
      <c r="IS88" s="2021"/>
      <c r="IT88" s="2021"/>
      <c r="IU88" s="2021"/>
      <c r="IV88" s="1017"/>
      <c r="IW88" s="1017">
        <v>6</v>
      </c>
      <c r="IX88" s="1017"/>
      <c r="IY88" s="2019" t="s">
        <v>101</v>
      </c>
      <c r="IZ88" s="2019"/>
      <c r="JA88" s="2019"/>
      <c r="JB88" s="2019"/>
      <c r="JC88" s="285">
        <f>HZ124</f>
        <v>0</v>
      </c>
      <c r="JD88" s="285">
        <f t="shared" ref="JD88" si="488">IA124</f>
        <v>0</v>
      </c>
      <c r="JE88" s="285">
        <f t="shared" ref="JE88" si="489">IB124</f>
        <v>0</v>
      </c>
      <c r="JF88" s="285">
        <f t="shared" ref="JF88" si="490">IC124</f>
        <v>0</v>
      </c>
      <c r="JG88" s="285">
        <f t="shared" ref="JG88" si="491">ID124</f>
        <v>0</v>
      </c>
      <c r="JH88" s="285">
        <f t="shared" ref="JH88" si="492">IE124</f>
        <v>0</v>
      </c>
      <c r="JI88" s="285">
        <f t="shared" ref="JI88" si="493">IF124</f>
        <v>0</v>
      </c>
      <c r="JJ88" s="285">
        <f t="shared" ref="JJ88" si="494">IG124</f>
        <v>0</v>
      </c>
      <c r="JK88" s="285">
        <f t="shared" ref="JK88" si="495">IH124</f>
        <v>0</v>
      </c>
      <c r="JL88" s="285">
        <f t="shared" ref="JL88" si="496">II124</f>
        <v>0</v>
      </c>
      <c r="JM88" s="285">
        <f t="shared" ref="JM88" si="497">IJ124</f>
        <v>0</v>
      </c>
      <c r="JN88" s="285">
        <f t="shared" ref="JN88" si="498">IK124</f>
        <v>0</v>
      </c>
      <c r="JO88" s="285">
        <f t="shared" ref="JO88" si="499">IL124</f>
        <v>0</v>
      </c>
      <c r="JP88" s="285">
        <f t="shared" ref="JP88" si="500">IM124</f>
        <v>0</v>
      </c>
      <c r="JQ88" s="285">
        <f t="shared" ref="JQ88" si="501">IN124</f>
        <v>0</v>
      </c>
      <c r="JR88" s="285">
        <f t="shared" ref="JR88" si="502">IO124</f>
        <v>0</v>
      </c>
      <c r="JS88" s="285">
        <f t="shared" ref="JS88" si="503">IP124</f>
        <v>0</v>
      </c>
      <c r="JT88" s="285">
        <f t="shared" ref="JT88" si="504">IQ124</f>
        <v>0</v>
      </c>
      <c r="JU88" s="2021"/>
      <c r="JV88" s="2021"/>
      <c r="JW88" s="2021"/>
      <c r="JX88" s="2021"/>
      <c r="JY88" s="1017"/>
      <c r="JZ88" s="1017"/>
      <c r="KA88" s="1017"/>
      <c r="KB88" s="2019" t="s">
        <v>101</v>
      </c>
      <c r="KC88" s="2019"/>
      <c r="KD88" s="2019"/>
      <c r="KE88" s="2019"/>
      <c r="KF88" s="285">
        <f>JC124</f>
        <v>0</v>
      </c>
      <c r="KG88" s="285">
        <f t="shared" ref="KG88" si="505">JD124</f>
        <v>0</v>
      </c>
      <c r="KH88" s="285">
        <f t="shared" ref="KH88" si="506">JE124</f>
        <v>0</v>
      </c>
      <c r="KI88" s="285">
        <f t="shared" ref="KI88" si="507">JF124</f>
        <v>0</v>
      </c>
      <c r="KJ88" s="285">
        <f t="shared" ref="KJ88" si="508">JG124</f>
        <v>0</v>
      </c>
      <c r="KK88" s="285">
        <f t="shared" ref="KK88" si="509">JH124</f>
        <v>0</v>
      </c>
      <c r="KL88" s="285">
        <f t="shared" ref="KL88" si="510">JI124</f>
        <v>0</v>
      </c>
      <c r="KM88" s="285">
        <f t="shared" ref="KM88" si="511">JJ124</f>
        <v>0</v>
      </c>
      <c r="KN88" s="285">
        <f t="shared" ref="KN88" si="512">JK124</f>
        <v>0</v>
      </c>
      <c r="KO88" s="285">
        <f t="shared" ref="KO88" si="513">JL124</f>
        <v>0</v>
      </c>
      <c r="KP88" s="285">
        <f t="shared" ref="KP88" si="514">JM124</f>
        <v>0</v>
      </c>
      <c r="KQ88" s="285">
        <f t="shared" ref="KQ88" si="515">JN124</f>
        <v>0</v>
      </c>
      <c r="KR88" s="285">
        <f t="shared" ref="KR88" si="516">JO124</f>
        <v>0</v>
      </c>
      <c r="KS88" s="285">
        <f t="shared" ref="KS88" si="517">JP124</f>
        <v>0</v>
      </c>
      <c r="KT88" s="285">
        <f t="shared" ref="KT88" si="518">JQ124</f>
        <v>0</v>
      </c>
      <c r="KU88" s="285">
        <f t="shared" ref="KU88" si="519">JR124</f>
        <v>0</v>
      </c>
      <c r="KV88" s="285">
        <f t="shared" ref="KV88" si="520">JS124</f>
        <v>0</v>
      </c>
      <c r="KW88" s="285">
        <f t="shared" ref="KW88" si="521">JT124</f>
        <v>0</v>
      </c>
      <c r="KX88" s="2021"/>
      <c r="KY88" s="2021"/>
      <c r="KZ88" s="2021"/>
      <c r="LA88" s="2021"/>
      <c r="LB88" s="1017"/>
      <c r="LC88" s="1017"/>
      <c r="LD88" s="1017"/>
      <c r="LE88" s="2019" t="s">
        <v>101</v>
      </c>
      <c r="LF88" s="2019"/>
      <c r="LG88" s="2019"/>
      <c r="LH88" s="2019"/>
      <c r="LI88" s="285">
        <f>KF124</f>
        <v>0</v>
      </c>
      <c r="LJ88" s="285">
        <f t="shared" ref="LJ88" si="522">KG124</f>
        <v>0</v>
      </c>
      <c r="LK88" s="285">
        <f t="shared" ref="LK88" si="523">KH124</f>
        <v>0</v>
      </c>
      <c r="LL88" s="285">
        <f t="shared" ref="LL88" si="524">KI124</f>
        <v>0</v>
      </c>
      <c r="LM88" s="285">
        <f t="shared" ref="LM88" si="525">KJ124</f>
        <v>0</v>
      </c>
      <c r="LN88" s="285">
        <f t="shared" ref="LN88" si="526">KK124</f>
        <v>0</v>
      </c>
      <c r="LO88" s="285">
        <f t="shared" ref="LO88" si="527">KL124</f>
        <v>0</v>
      </c>
      <c r="LP88" s="285">
        <f t="shared" ref="LP88" si="528">KM124</f>
        <v>0</v>
      </c>
      <c r="LQ88" s="285">
        <f t="shared" ref="LQ88" si="529">KN124</f>
        <v>0</v>
      </c>
      <c r="LR88" s="285">
        <f t="shared" ref="LR88" si="530">KO124</f>
        <v>0</v>
      </c>
      <c r="LS88" s="285">
        <f t="shared" ref="LS88" si="531">KP124</f>
        <v>0</v>
      </c>
      <c r="LT88" s="285">
        <f t="shared" ref="LT88" si="532">KQ124</f>
        <v>0</v>
      </c>
      <c r="LU88" s="285">
        <f t="shared" ref="LU88" si="533">KR124</f>
        <v>0</v>
      </c>
      <c r="LV88" s="285">
        <f t="shared" ref="LV88" si="534">KS124</f>
        <v>0</v>
      </c>
      <c r="LW88" s="285">
        <f t="shared" ref="LW88" si="535">KT124</f>
        <v>0</v>
      </c>
      <c r="LX88" s="285">
        <f t="shared" ref="LX88" si="536">KU124</f>
        <v>0</v>
      </c>
      <c r="LY88" s="285">
        <f t="shared" ref="LY88" si="537">KV124</f>
        <v>0</v>
      </c>
      <c r="LZ88" s="285">
        <f t="shared" ref="LZ88" si="538">KW124</f>
        <v>0</v>
      </c>
      <c r="MA88" s="2021"/>
      <c r="MB88" s="2021"/>
      <c r="MC88" s="2021"/>
      <c r="MD88" s="2021"/>
      <c r="ME88" s="1017"/>
      <c r="MF88" s="1017">
        <v>6</v>
      </c>
      <c r="MG88" s="1017"/>
      <c r="MH88" s="2019" t="s">
        <v>101</v>
      </c>
      <c r="MI88" s="2019"/>
      <c r="MJ88" s="2019"/>
      <c r="MK88" s="2019"/>
      <c r="ML88" s="285">
        <f>LI124</f>
        <v>0</v>
      </c>
      <c r="MM88" s="285">
        <f t="shared" ref="MM88" si="539">LJ124</f>
        <v>0</v>
      </c>
      <c r="MN88" s="285">
        <f t="shared" ref="MN88" si="540">LK124</f>
        <v>0</v>
      </c>
      <c r="MO88" s="285">
        <f t="shared" ref="MO88" si="541">LL124</f>
        <v>0</v>
      </c>
      <c r="MP88" s="285">
        <f t="shared" ref="MP88" si="542">LM124</f>
        <v>0</v>
      </c>
      <c r="MQ88" s="285">
        <f t="shared" ref="MQ88" si="543">LN124</f>
        <v>0</v>
      </c>
      <c r="MR88" s="285">
        <f t="shared" ref="MR88" si="544">LO124</f>
        <v>0</v>
      </c>
      <c r="MS88" s="285">
        <f t="shared" ref="MS88" si="545">LP124</f>
        <v>0</v>
      </c>
      <c r="MT88" s="285">
        <f t="shared" ref="MT88" si="546">LQ124</f>
        <v>0</v>
      </c>
      <c r="MU88" s="285">
        <f t="shared" ref="MU88" si="547">LR124</f>
        <v>0</v>
      </c>
      <c r="MV88" s="285">
        <f t="shared" ref="MV88" si="548">LS124</f>
        <v>0</v>
      </c>
      <c r="MW88" s="285">
        <f t="shared" ref="MW88" si="549">LT124</f>
        <v>0</v>
      </c>
      <c r="MX88" s="285">
        <f t="shared" ref="MX88" si="550">LU124</f>
        <v>0</v>
      </c>
      <c r="MY88" s="285">
        <f t="shared" ref="MY88" si="551">LV124</f>
        <v>0</v>
      </c>
      <c r="MZ88" s="285">
        <f t="shared" ref="MZ88" si="552">LW124</f>
        <v>0</v>
      </c>
      <c r="NA88" s="285">
        <f t="shared" ref="NA88" si="553">LX124</f>
        <v>0</v>
      </c>
      <c r="NB88" s="285">
        <f t="shared" ref="NB88" si="554">LY124</f>
        <v>0</v>
      </c>
      <c r="NC88" s="285">
        <f t="shared" ref="NC88" si="555">LZ124</f>
        <v>0</v>
      </c>
      <c r="ND88" s="2021"/>
      <c r="NE88" s="2021"/>
      <c r="NF88" s="2021"/>
      <c r="NG88" s="2021"/>
      <c r="NH88" s="1017"/>
      <c r="NI88" s="1017"/>
      <c r="NJ88" s="1017"/>
      <c r="NK88" s="2019" t="s">
        <v>101</v>
      </c>
      <c r="NL88" s="2019"/>
      <c r="NM88" s="2019"/>
      <c r="NN88" s="2019"/>
      <c r="NO88" s="285">
        <f>ML124</f>
        <v>0</v>
      </c>
      <c r="NP88" s="285">
        <f t="shared" ref="NP88" si="556">MM124</f>
        <v>0</v>
      </c>
      <c r="NQ88" s="285">
        <f t="shared" ref="NQ88" si="557">MN124</f>
        <v>0</v>
      </c>
      <c r="NR88" s="285">
        <f t="shared" ref="NR88" si="558">MO124</f>
        <v>0</v>
      </c>
      <c r="NS88" s="285">
        <f t="shared" ref="NS88" si="559">MP124</f>
        <v>0</v>
      </c>
      <c r="NT88" s="285">
        <f t="shared" ref="NT88" si="560">MQ124</f>
        <v>0</v>
      </c>
      <c r="NU88" s="285">
        <f t="shared" ref="NU88" si="561">MR124</f>
        <v>0</v>
      </c>
      <c r="NV88" s="285">
        <f t="shared" ref="NV88" si="562">MS124</f>
        <v>0</v>
      </c>
      <c r="NW88" s="285">
        <f t="shared" ref="NW88" si="563">MT124</f>
        <v>0</v>
      </c>
      <c r="NX88" s="285">
        <f t="shared" ref="NX88" si="564">MU124</f>
        <v>0</v>
      </c>
      <c r="NY88" s="285">
        <f t="shared" ref="NY88" si="565">MV124</f>
        <v>0</v>
      </c>
      <c r="NZ88" s="285">
        <f t="shared" ref="NZ88" si="566">MW124</f>
        <v>0</v>
      </c>
      <c r="OA88" s="285">
        <f t="shared" ref="OA88" si="567">MX124</f>
        <v>0</v>
      </c>
      <c r="OB88" s="285">
        <f t="shared" ref="OB88" si="568">MY124</f>
        <v>0</v>
      </c>
      <c r="OC88" s="285">
        <f t="shared" ref="OC88" si="569">MZ124</f>
        <v>0</v>
      </c>
      <c r="OD88" s="285">
        <f t="shared" ref="OD88" si="570">NA124</f>
        <v>0</v>
      </c>
      <c r="OE88" s="285">
        <f t="shared" ref="OE88" si="571">NB124</f>
        <v>0</v>
      </c>
      <c r="OF88" s="285">
        <f t="shared" ref="OF88" si="572">NC124</f>
        <v>0</v>
      </c>
      <c r="OG88" s="2021"/>
      <c r="OH88" s="2021"/>
      <c r="OI88" s="2021"/>
      <c r="OJ88" s="2021"/>
    </row>
    <row r="89" spans="53:400" ht="29.25" customHeight="1" x14ac:dyDescent="0.3">
      <c r="BA89" s="1017"/>
      <c r="BB89" s="1017"/>
      <c r="BC89" s="1017"/>
      <c r="BD89" s="2019" t="s">
        <v>102</v>
      </c>
      <c r="BE89" s="2019"/>
      <c r="BF89" s="2019"/>
      <c r="BG89" s="2019"/>
      <c r="BH89" s="285">
        <f>'साठा नोंदवही'!BA101</f>
        <v>0</v>
      </c>
      <c r="BI89" s="285">
        <f>'साठा नोंदवही'!BB101</f>
        <v>0</v>
      </c>
      <c r="BJ89" s="285">
        <f>'साठा नोंदवही'!BC101</f>
        <v>0</v>
      </c>
      <c r="BK89" s="285">
        <f>'साठा नोंदवही'!BD101</f>
        <v>0</v>
      </c>
      <c r="BL89" s="285">
        <f>'साठा नोंदवही'!BE101</f>
        <v>0</v>
      </c>
      <c r="BM89" s="285">
        <f>'साठा नोंदवही'!BF101</f>
        <v>0</v>
      </c>
      <c r="BN89" s="285">
        <f>'साठा नोंदवही'!BG101</f>
        <v>0</v>
      </c>
      <c r="BO89" s="285">
        <f>'साठा नोंदवही'!BH101</f>
        <v>0</v>
      </c>
      <c r="BP89" s="285">
        <f>'साठा नोंदवही'!BI101</f>
        <v>0</v>
      </c>
      <c r="BQ89" s="285">
        <f>'साठा नोंदवही'!BJ101</f>
        <v>0</v>
      </c>
      <c r="BR89" s="285">
        <f>'साठा नोंदवही'!BK101</f>
        <v>0</v>
      </c>
      <c r="BS89" s="285">
        <f>'साठा नोंदवही'!BL101</f>
        <v>0</v>
      </c>
      <c r="BT89" s="285">
        <f>'साठा नोंदवही'!BM101</f>
        <v>0</v>
      </c>
      <c r="BU89" s="285">
        <f>'साठा नोंदवही'!BN101</f>
        <v>0</v>
      </c>
      <c r="BV89" s="285">
        <f>'साठा नोंदवही'!BO101</f>
        <v>0</v>
      </c>
      <c r="BW89" s="285">
        <f>'साठा नोंदवही'!BP101</f>
        <v>0</v>
      </c>
      <c r="BX89" s="285">
        <f>'साठा नोंदवही'!BQ101</f>
        <v>0</v>
      </c>
      <c r="BY89" s="285">
        <f>'साठा नोंदवही'!BR101</f>
        <v>0</v>
      </c>
      <c r="BZ89" s="2021"/>
      <c r="CA89" s="2021"/>
      <c r="CB89" s="2021"/>
      <c r="CC89" s="2021"/>
      <c r="CD89" s="1017"/>
      <c r="CE89" s="1017"/>
      <c r="CF89" s="1017"/>
      <c r="CG89" s="2019" t="s">
        <v>102</v>
      </c>
      <c r="CH89" s="2019"/>
      <c r="CI89" s="2019"/>
      <c r="CJ89" s="2019"/>
      <c r="CK89" s="285">
        <f>'साठा नोंदवही'!BA104</f>
        <v>0</v>
      </c>
      <c r="CL89" s="285">
        <f>'साठा नोंदवही'!BB104</f>
        <v>0</v>
      </c>
      <c r="CM89" s="285">
        <f>'साठा नोंदवही'!BC104</f>
        <v>0</v>
      </c>
      <c r="CN89" s="285">
        <f>'साठा नोंदवही'!BD104</f>
        <v>0</v>
      </c>
      <c r="CO89" s="285">
        <f>'साठा नोंदवही'!BE104</f>
        <v>0</v>
      </c>
      <c r="CP89" s="285">
        <f>'साठा नोंदवही'!BF104</f>
        <v>0</v>
      </c>
      <c r="CQ89" s="285">
        <f>'साठा नोंदवही'!BG104</f>
        <v>0</v>
      </c>
      <c r="CR89" s="285">
        <f>'साठा नोंदवही'!BH104</f>
        <v>0</v>
      </c>
      <c r="CS89" s="285">
        <f>'साठा नोंदवही'!BI104</f>
        <v>0</v>
      </c>
      <c r="CT89" s="285">
        <f>'साठा नोंदवही'!BJ104</f>
        <v>0</v>
      </c>
      <c r="CU89" s="285">
        <f>'साठा नोंदवही'!BK104</f>
        <v>0</v>
      </c>
      <c r="CV89" s="285">
        <f>'साठा नोंदवही'!BL104</f>
        <v>0</v>
      </c>
      <c r="CW89" s="285">
        <f>'साठा नोंदवही'!BM104</f>
        <v>0</v>
      </c>
      <c r="CX89" s="285">
        <f>'साठा नोंदवही'!BN104</f>
        <v>0</v>
      </c>
      <c r="CY89" s="285">
        <f>'साठा नोंदवही'!BO104</f>
        <v>0</v>
      </c>
      <c r="CZ89" s="285">
        <f>'साठा नोंदवही'!BP104</f>
        <v>0</v>
      </c>
      <c r="DA89" s="285">
        <f>'साठा नोंदवही'!BQ104</f>
        <v>0</v>
      </c>
      <c r="DB89" s="285">
        <f>'साठा नोंदवही'!BR104</f>
        <v>0</v>
      </c>
      <c r="DC89" s="2021"/>
      <c r="DD89" s="2021"/>
      <c r="DE89" s="2021"/>
      <c r="DF89" s="2021"/>
      <c r="DG89" s="1017"/>
      <c r="DH89" s="1017">
        <v>6</v>
      </c>
      <c r="DI89" s="1017"/>
      <c r="DJ89" s="2019" t="s">
        <v>102</v>
      </c>
      <c r="DK89" s="2019"/>
      <c r="DL89" s="2019"/>
      <c r="DM89" s="2019"/>
      <c r="DN89" s="285">
        <f>'साठा नोंदवही'!BA107</f>
        <v>0</v>
      </c>
      <c r="DO89" s="285">
        <f>'साठा नोंदवही'!BB107</f>
        <v>0</v>
      </c>
      <c r="DP89" s="285">
        <f>'साठा नोंदवही'!BC107</f>
        <v>0</v>
      </c>
      <c r="DQ89" s="285">
        <f>'साठा नोंदवही'!BD107</f>
        <v>0</v>
      </c>
      <c r="DR89" s="285">
        <f>'साठा नोंदवही'!BE107</f>
        <v>0</v>
      </c>
      <c r="DS89" s="285">
        <f>'साठा नोंदवही'!BF107</f>
        <v>0</v>
      </c>
      <c r="DT89" s="285">
        <f>'साठा नोंदवही'!BG107</f>
        <v>0</v>
      </c>
      <c r="DU89" s="285">
        <f>'साठा नोंदवही'!BH107</f>
        <v>0</v>
      </c>
      <c r="DV89" s="285">
        <f>'साठा नोंदवही'!BI107</f>
        <v>0</v>
      </c>
      <c r="DW89" s="285">
        <f>'साठा नोंदवही'!BJ107</f>
        <v>0</v>
      </c>
      <c r="DX89" s="285">
        <f>'साठा नोंदवही'!BK107</f>
        <v>0</v>
      </c>
      <c r="DY89" s="285">
        <f>'साठा नोंदवही'!BL107</f>
        <v>0</v>
      </c>
      <c r="DZ89" s="285">
        <f>'साठा नोंदवही'!BM107</f>
        <v>0</v>
      </c>
      <c r="EA89" s="285">
        <f>'साठा नोंदवही'!BN107</f>
        <v>0</v>
      </c>
      <c r="EB89" s="285">
        <f>'साठा नोंदवही'!BO107</f>
        <v>0</v>
      </c>
      <c r="EC89" s="285">
        <f>'साठा नोंदवही'!BP107</f>
        <v>0</v>
      </c>
      <c r="ED89" s="285">
        <f>'साठा नोंदवही'!BQ107</f>
        <v>0</v>
      </c>
      <c r="EE89" s="285">
        <f>'साठा नोंदवही'!BR107</f>
        <v>0</v>
      </c>
      <c r="EF89" s="2021"/>
      <c r="EG89" s="2021"/>
      <c r="EH89" s="2021"/>
      <c r="EI89" s="2021"/>
      <c r="EJ89" s="1017"/>
      <c r="EK89" s="1017">
        <v>6</v>
      </c>
      <c r="EL89" s="1017"/>
      <c r="EM89" s="2019" t="s">
        <v>102</v>
      </c>
      <c r="EN89" s="2019"/>
      <c r="EO89" s="2019"/>
      <c r="EP89" s="2019"/>
      <c r="EQ89" s="285">
        <f>'साठा नोंदवही'!BA110</f>
        <v>0</v>
      </c>
      <c r="ER89" s="285">
        <f>'साठा नोंदवही'!BB110</f>
        <v>0</v>
      </c>
      <c r="ES89" s="285">
        <f>'साठा नोंदवही'!BC110</f>
        <v>0</v>
      </c>
      <c r="ET89" s="285">
        <f>'साठा नोंदवही'!BD110</f>
        <v>0</v>
      </c>
      <c r="EU89" s="285">
        <f>'साठा नोंदवही'!BE110</f>
        <v>0</v>
      </c>
      <c r="EV89" s="285">
        <f>'साठा नोंदवही'!BF110</f>
        <v>0</v>
      </c>
      <c r="EW89" s="285">
        <f>'साठा नोंदवही'!BG110</f>
        <v>0</v>
      </c>
      <c r="EX89" s="285">
        <f>'साठा नोंदवही'!BH110</f>
        <v>0</v>
      </c>
      <c r="EY89" s="285">
        <f>'साठा नोंदवही'!BI110</f>
        <v>0</v>
      </c>
      <c r="EZ89" s="285">
        <f>'साठा नोंदवही'!BJ110</f>
        <v>0</v>
      </c>
      <c r="FA89" s="285">
        <f>'साठा नोंदवही'!BK110</f>
        <v>0</v>
      </c>
      <c r="FB89" s="285">
        <f>'साठा नोंदवही'!BL110</f>
        <v>0</v>
      </c>
      <c r="FC89" s="285">
        <f>'साठा नोंदवही'!BM110</f>
        <v>0</v>
      </c>
      <c r="FD89" s="285">
        <f>'साठा नोंदवही'!BN110</f>
        <v>0</v>
      </c>
      <c r="FE89" s="285">
        <f>'साठा नोंदवही'!BO110</f>
        <v>0</v>
      </c>
      <c r="FF89" s="285">
        <f>'साठा नोंदवही'!BP110</f>
        <v>0</v>
      </c>
      <c r="FG89" s="285">
        <f>'साठा नोंदवही'!BQ110</f>
        <v>0</v>
      </c>
      <c r="FH89" s="285">
        <f>'साठा नोंदवही'!BR110</f>
        <v>0</v>
      </c>
      <c r="FI89" s="2021"/>
      <c r="FJ89" s="2021"/>
      <c r="FK89" s="2021"/>
      <c r="FL89" s="2021"/>
      <c r="FM89" s="1017"/>
      <c r="FN89" s="1017">
        <v>6</v>
      </c>
      <c r="FO89" s="1017"/>
      <c r="FP89" s="2019" t="s">
        <v>102</v>
      </c>
      <c r="FQ89" s="2019"/>
      <c r="FR89" s="2019"/>
      <c r="FS89" s="2019"/>
      <c r="FT89" s="285">
        <f>'साठा नोंदवही'!BA113</f>
        <v>0</v>
      </c>
      <c r="FU89" s="285">
        <f>'साठा नोंदवही'!BB113</f>
        <v>0</v>
      </c>
      <c r="FV89" s="285">
        <f>'साठा नोंदवही'!BC113</f>
        <v>0</v>
      </c>
      <c r="FW89" s="285">
        <f>'साठा नोंदवही'!BD113</f>
        <v>0</v>
      </c>
      <c r="FX89" s="285">
        <f>'साठा नोंदवही'!BE113</f>
        <v>0</v>
      </c>
      <c r="FY89" s="285">
        <f>'साठा नोंदवही'!BF113</f>
        <v>0</v>
      </c>
      <c r="FZ89" s="285">
        <f>'साठा नोंदवही'!BG113</f>
        <v>0</v>
      </c>
      <c r="GA89" s="285">
        <f>'साठा नोंदवही'!BH113</f>
        <v>0</v>
      </c>
      <c r="GB89" s="285">
        <f>'साठा नोंदवही'!BI113</f>
        <v>0</v>
      </c>
      <c r="GC89" s="285">
        <f>'साठा नोंदवही'!BJ113</f>
        <v>0</v>
      </c>
      <c r="GD89" s="285">
        <f>'साठा नोंदवही'!BK113</f>
        <v>0</v>
      </c>
      <c r="GE89" s="285">
        <f>'साठा नोंदवही'!BL113</f>
        <v>0</v>
      </c>
      <c r="GF89" s="285">
        <f>'साठा नोंदवही'!BM113</f>
        <v>0</v>
      </c>
      <c r="GG89" s="285">
        <f>'साठा नोंदवही'!BN113</f>
        <v>0</v>
      </c>
      <c r="GH89" s="285">
        <f>'साठा नोंदवही'!BO113</f>
        <v>0</v>
      </c>
      <c r="GI89" s="285">
        <f>'साठा नोंदवही'!BP113</f>
        <v>0</v>
      </c>
      <c r="GJ89" s="285">
        <f>'साठा नोंदवही'!BQ113</f>
        <v>0</v>
      </c>
      <c r="GK89" s="285">
        <f>'साठा नोंदवही'!BR113</f>
        <v>0</v>
      </c>
      <c r="GL89" s="2021"/>
      <c r="GM89" s="2021"/>
      <c r="GN89" s="2021"/>
      <c r="GO89" s="2021"/>
      <c r="GP89" s="1017"/>
      <c r="GQ89" s="1017"/>
      <c r="GR89" s="1017"/>
      <c r="GS89" s="2019" t="s">
        <v>102</v>
      </c>
      <c r="GT89" s="2019"/>
      <c r="GU89" s="2019"/>
      <c r="GV89" s="2019"/>
      <c r="GW89" s="285">
        <f>'साठा नोंदवही'!BA116</f>
        <v>0</v>
      </c>
      <c r="GX89" s="285">
        <f>'साठा नोंदवही'!BB116</f>
        <v>0</v>
      </c>
      <c r="GY89" s="285">
        <f>'साठा नोंदवही'!BC116</f>
        <v>0</v>
      </c>
      <c r="GZ89" s="285">
        <f>'साठा नोंदवही'!BD116</f>
        <v>0</v>
      </c>
      <c r="HA89" s="285">
        <f>'साठा नोंदवही'!BE116</f>
        <v>0</v>
      </c>
      <c r="HB89" s="285">
        <f>'साठा नोंदवही'!BF116</f>
        <v>0</v>
      </c>
      <c r="HC89" s="285">
        <f>'साठा नोंदवही'!BG116</f>
        <v>0</v>
      </c>
      <c r="HD89" s="285">
        <f>'साठा नोंदवही'!BH116</f>
        <v>0</v>
      </c>
      <c r="HE89" s="285">
        <f>'साठा नोंदवही'!BI116</f>
        <v>0</v>
      </c>
      <c r="HF89" s="285">
        <f>'साठा नोंदवही'!BJ116</f>
        <v>0</v>
      </c>
      <c r="HG89" s="285">
        <f>'साठा नोंदवही'!BK116</f>
        <v>0</v>
      </c>
      <c r="HH89" s="285">
        <f>'साठा नोंदवही'!BL116</f>
        <v>0</v>
      </c>
      <c r="HI89" s="285">
        <f>'साठा नोंदवही'!BM116</f>
        <v>0</v>
      </c>
      <c r="HJ89" s="285">
        <f>'साठा नोंदवही'!BN116</f>
        <v>0</v>
      </c>
      <c r="HK89" s="285">
        <f>'साठा नोंदवही'!BO116</f>
        <v>0</v>
      </c>
      <c r="HL89" s="285">
        <f>'साठा नोंदवही'!BP116</f>
        <v>0</v>
      </c>
      <c r="HM89" s="285">
        <f>'साठा नोंदवही'!BQ116</f>
        <v>0</v>
      </c>
      <c r="HN89" s="285">
        <f>'साठा नोंदवही'!BR116</f>
        <v>0</v>
      </c>
      <c r="HO89" s="2021"/>
      <c r="HP89" s="2021"/>
      <c r="HQ89" s="2021"/>
      <c r="HR89" s="2021"/>
      <c r="HS89" s="1017"/>
      <c r="HT89" s="1017"/>
      <c r="HU89" s="1017"/>
      <c r="HV89" s="2019" t="s">
        <v>102</v>
      </c>
      <c r="HW89" s="2019"/>
      <c r="HX89" s="2019"/>
      <c r="HY89" s="2019"/>
      <c r="HZ89" s="285">
        <f>'साठा नोंदवही'!BA119</f>
        <v>0</v>
      </c>
      <c r="IA89" s="285">
        <f>'साठा नोंदवही'!BB119</f>
        <v>0</v>
      </c>
      <c r="IB89" s="285">
        <f>'साठा नोंदवही'!BC119</f>
        <v>0</v>
      </c>
      <c r="IC89" s="285">
        <f>'साठा नोंदवही'!BD119</f>
        <v>0</v>
      </c>
      <c r="ID89" s="285">
        <f>'साठा नोंदवही'!BE119</f>
        <v>0</v>
      </c>
      <c r="IE89" s="285">
        <f>'साठा नोंदवही'!BF119</f>
        <v>0</v>
      </c>
      <c r="IF89" s="285">
        <f>'साठा नोंदवही'!BG119</f>
        <v>0</v>
      </c>
      <c r="IG89" s="285">
        <f>'साठा नोंदवही'!BH119</f>
        <v>0</v>
      </c>
      <c r="IH89" s="285">
        <f>'साठा नोंदवही'!BI119</f>
        <v>0</v>
      </c>
      <c r="II89" s="285">
        <f>'साठा नोंदवही'!BJ119</f>
        <v>0</v>
      </c>
      <c r="IJ89" s="285">
        <f>'साठा नोंदवही'!BK119</f>
        <v>0</v>
      </c>
      <c r="IK89" s="285">
        <f>'साठा नोंदवही'!BL119</f>
        <v>0</v>
      </c>
      <c r="IL89" s="285">
        <f>'साठा नोंदवही'!BM119</f>
        <v>0</v>
      </c>
      <c r="IM89" s="285">
        <f>'साठा नोंदवही'!BN119</f>
        <v>0</v>
      </c>
      <c r="IN89" s="285">
        <f>'साठा नोंदवही'!BO119</f>
        <v>0</v>
      </c>
      <c r="IO89" s="285">
        <f>'साठा नोंदवही'!BP119</f>
        <v>0</v>
      </c>
      <c r="IP89" s="285">
        <f>'साठा नोंदवही'!BQ119</f>
        <v>0</v>
      </c>
      <c r="IQ89" s="285">
        <f>'साठा नोंदवही'!BR119</f>
        <v>0</v>
      </c>
      <c r="IR89" s="2021"/>
      <c r="IS89" s="2021"/>
      <c r="IT89" s="2021"/>
      <c r="IU89" s="2021"/>
      <c r="IV89" s="1017"/>
      <c r="IW89" s="1017"/>
      <c r="IX89" s="1017"/>
      <c r="IY89" s="2019" t="s">
        <v>102</v>
      </c>
      <c r="IZ89" s="2019"/>
      <c r="JA89" s="2019"/>
      <c r="JB89" s="2019"/>
      <c r="JC89" s="285">
        <f>'साठा नोंदवही'!BA122</f>
        <v>0</v>
      </c>
      <c r="JD89" s="285">
        <f>'साठा नोंदवही'!BB122</f>
        <v>0</v>
      </c>
      <c r="JE89" s="285">
        <f>'साठा नोंदवही'!BC122</f>
        <v>0</v>
      </c>
      <c r="JF89" s="285">
        <f>'साठा नोंदवही'!BD122</f>
        <v>0</v>
      </c>
      <c r="JG89" s="285">
        <f>'साठा नोंदवही'!BE122</f>
        <v>0</v>
      </c>
      <c r="JH89" s="285">
        <f>'साठा नोंदवही'!BF122</f>
        <v>0</v>
      </c>
      <c r="JI89" s="285">
        <f>'साठा नोंदवही'!BG122</f>
        <v>0</v>
      </c>
      <c r="JJ89" s="285">
        <f>'साठा नोंदवही'!BH122</f>
        <v>0</v>
      </c>
      <c r="JK89" s="285">
        <f>'साठा नोंदवही'!BI122</f>
        <v>0</v>
      </c>
      <c r="JL89" s="285">
        <f>'साठा नोंदवही'!BJ122</f>
        <v>0</v>
      </c>
      <c r="JM89" s="285">
        <f>'साठा नोंदवही'!BK122</f>
        <v>0</v>
      </c>
      <c r="JN89" s="285">
        <f>'साठा नोंदवही'!BL122</f>
        <v>0</v>
      </c>
      <c r="JO89" s="285">
        <f>'साठा नोंदवही'!BM122</f>
        <v>0</v>
      </c>
      <c r="JP89" s="285">
        <f>'साठा नोंदवही'!BN122</f>
        <v>0</v>
      </c>
      <c r="JQ89" s="285">
        <f>'साठा नोंदवही'!BO122</f>
        <v>0</v>
      </c>
      <c r="JR89" s="285">
        <f>'साठा नोंदवही'!BP122</f>
        <v>0</v>
      </c>
      <c r="JS89" s="285">
        <f>'साठा नोंदवही'!BQ122</f>
        <v>0</v>
      </c>
      <c r="JT89" s="285">
        <f>'साठा नोंदवही'!BR122</f>
        <v>0</v>
      </c>
      <c r="JU89" s="2021"/>
      <c r="JV89" s="2021"/>
      <c r="JW89" s="2021"/>
      <c r="JX89" s="2021"/>
      <c r="JY89" s="1017"/>
      <c r="JZ89" s="1017">
        <v>6</v>
      </c>
      <c r="KA89" s="1017"/>
      <c r="KB89" s="2019" t="s">
        <v>102</v>
      </c>
      <c r="KC89" s="2019"/>
      <c r="KD89" s="2019"/>
      <c r="KE89" s="2019"/>
      <c r="KF89" s="285">
        <f>'साठा नोंदवही'!BA125</f>
        <v>0</v>
      </c>
      <c r="KG89" s="285">
        <f>'साठा नोंदवही'!BB125</f>
        <v>0</v>
      </c>
      <c r="KH89" s="285">
        <f>'साठा नोंदवही'!BC125</f>
        <v>0</v>
      </c>
      <c r="KI89" s="285">
        <f>'साठा नोंदवही'!BD125</f>
        <v>0</v>
      </c>
      <c r="KJ89" s="285">
        <f>'साठा नोंदवही'!BE125</f>
        <v>0</v>
      </c>
      <c r="KK89" s="285">
        <f>'साठा नोंदवही'!BF125</f>
        <v>0</v>
      </c>
      <c r="KL89" s="285">
        <f>'साठा नोंदवही'!BG125</f>
        <v>0</v>
      </c>
      <c r="KM89" s="285">
        <f>'साठा नोंदवही'!BH125</f>
        <v>0</v>
      </c>
      <c r="KN89" s="285">
        <f>'साठा नोंदवही'!BI125</f>
        <v>0</v>
      </c>
      <c r="KO89" s="285">
        <f>'साठा नोंदवही'!BJ125</f>
        <v>0</v>
      </c>
      <c r="KP89" s="285">
        <f>'साठा नोंदवही'!BK125</f>
        <v>0</v>
      </c>
      <c r="KQ89" s="285">
        <f>'साठा नोंदवही'!BL125</f>
        <v>0</v>
      </c>
      <c r="KR89" s="285">
        <f>'साठा नोंदवही'!BM125</f>
        <v>0</v>
      </c>
      <c r="KS89" s="285">
        <f>'साठा नोंदवही'!BN125</f>
        <v>0</v>
      </c>
      <c r="KT89" s="285">
        <f>'साठा नोंदवही'!BO125</f>
        <v>0</v>
      </c>
      <c r="KU89" s="285">
        <f>'साठा नोंदवही'!BP125</f>
        <v>0</v>
      </c>
      <c r="KV89" s="285">
        <f>'साठा नोंदवही'!BQ125</f>
        <v>0</v>
      </c>
      <c r="KW89" s="285">
        <f>'साठा नोंदवही'!BR125</f>
        <v>0</v>
      </c>
      <c r="KX89" s="2021"/>
      <c r="KY89" s="2021"/>
      <c r="KZ89" s="2021"/>
      <c r="LA89" s="2021"/>
      <c r="LB89" s="1017"/>
      <c r="LC89" s="1017">
        <v>6</v>
      </c>
      <c r="LD89" s="1017"/>
      <c r="LE89" s="2019" t="s">
        <v>102</v>
      </c>
      <c r="LF89" s="2019"/>
      <c r="LG89" s="2019"/>
      <c r="LH89" s="2019"/>
      <c r="LI89" s="285">
        <f>'साठा नोंदवही'!BA128</f>
        <v>0</v>
      </c>
      <c r="LJ89" s="285">
        <f>'साठा नोंदवही'!BB128</f>
        <v>0</v>
      </c>
      <c r="LK89" s="285">
        <f>'साठा नोंदवही'!BC128</f>
        <v>0</v>
      </c>
      <c r="LL89" s="285">
        <f>'साठा नोंदवही'!BD128</f>
        <v>0</v>
      </c>
      <c r="LM89" s="285">
        <f>'साठा नोंदवही'!BE128</f>
        <v>0</v>
      </c>
      <c r="LN89" s="285">
        <f>'साठा नोंदवही'!BF128</f>
        <v>0</v>
      </c>
      <c r="LO89" s="285">
        <f>'साठा नोंदवही'!BG128</f>
        <v>0</v>
      </c>
      <c r="LP89" s="285">
        <f>'साठा नोंदवही'!BH128</f>
        <v>0</v>
      </c>
      <c r="LQ89" s="285">
        <f>'साठा नोंदवही'!BI128</f>
        <v>0</v>
      </c>
      <c r="LR89" s="285">
        <f>'साठा नोंदवही'!BJ128</f>
        <v>0</v>
      </c>
      <c r="LS89" s="285">
        <f>'साठा नोंदवही'!BK128</f>
        <v>0</v>
      </c>
      <c r="LT89" s="285">
        <f>'साठा नोंदवही'!BL128</f>
        <v>0</v>
      </c>
      <c r="LU89" s="285">
        <f>'साठा नोंदवही'!BM128</f>
        <v>0</v>
      </c>
      <c r="LV89" s="285">
        <f>'साठा नोंदवही'!BN128</f>
        <v>0</v>
      </c>
      <c r="LW89" s="285">
        <f>'साठा नोंदवही'!BO128</f>
        <v>0</v>
      </c>
      <c r="LX89" s="285">
        <f>'साठा नोंदवही'!BP128</f>
        <v>0</v>
      </c>
      <c r="LY89" s="285">
        <f>'साठा नोंदवही'!BQ128</f>
        <v>0</v>
      </c>
      <c r="LZ89" s="285">
        <f>'साठा नोंदवही'!BR128</f>
        <v>0</v>
      </c>
      <c r="MA89" s="2021"/>
      <c r="MB89" s="2021"/>
      <c r="MC89" s="2021"/>
      <c r="MD89" s="2021"/>
      <c r="ME89" s="1017"/>
      <c r="MF89" s="1017"/>
      <c r="MG89" s="1017"/>
      <c r="MH89" s="2019" t="s">
        <v>102</v>
      </c>
      <c r="MI89" s="2019"/>
      <c r="MJ89" s="2019"/>
      <c r="MK89" s="2019"/>
      <c r="ML89" s="285">
        <f>'साठा नोंदवही'!BA131</f>
        <v>0</v>
      </c>
      <c r="MM89" s="285">
        <f>'साठा नोंदवही'!BB131</f>
        <v>0</v>
      </c>
      <c r="MN89" s="285">
        <f>'साठा नोंदवही'!BC131</f>
        <v>0</v>
      </c>
      <c r="MO89" s="285">
        <f>'साठा नोंदवही'!BD131</f>
        <v>0</v>
      </c>
      <c r="MP89" s="285">
        <f>'साठा नोंदवही'!BE131</f>
        <v>0</v>
      </c>
      <c r="MQ89" s="285">
        <f>'साठा नोंदवही'!BF131</f>
        <v>0</v>
      </c>
      <c r="MR89" s="285">
        <f>'साठा नोंदवही'!BG131</f>
        <v>0</v>
      </c>
      <c r="MS89" s="285">
        <f>'साठा नोंदवही'!BH131</f>
        <v>0</v>
      </c>
      <c r="MT89" s="285">
        <f>'साठा नोंदवही'!BI131</f>
        <v>0</v>
      </c>
      <c r="MU89" s="285">
        <f>'साठा नोंदवही'!BJ131</f>
        <v>0</v>
      </c>
      <c r="MV89" s="285">
        <f>'साठा नोंदवही'!BK131</f>
        <v>0</v>
      </c>
      <c r="MW89" s="285">
        <f>'साठा नोंदवही'!BL131</f>
        <v>0</v>
      </c>
      <c r="MX89" s="285">
        <f>'साठा नोंदवही'!BM131</f>
        <v>0</v>
      </c>
      <c r="MY89" s="285">
        <f>'साठा नोंदवही'!BN131</f>
        <v>0</v>
      </c>
      <c r="MZ89" s="285">
        <f>'साठा नोंदवही'!BO131</f>
        <v>0</v>
      </c>
      <c r="NA89" s="285">
        <f>'साठा नोंदवही'!BP131</f>
        <v>0</v>
      </c>
      <c r="NB89" s="285">
        <f>'साठा नोंदवही'!BQ131</f>
        <v>0</v>
      </c>
      <c r="NC89" s="285">
        <f>'साठा नोंदवही'!BR131</f>
        <v>0</v>
      </c>
      <c r="ND89" s="2021"/>
      <c r="NE89" s="2021"/>
      <c r="NF89" s="2021"/>
      <c r="NG89" s="2021"/>
      <c r="NH89" s="1017"/>
      <c r="NI89" s="1017">
        <v>6</v>
      </c>
      <c r="NJ89" s="1017"/>
      <c r="NK89" s="2019" t="s">
        <v>102</v>
      </c>
      <c r="NL89" s="2019"/>
      <c r="NM89" s="2019"/>
      <c r="NN89" s="2019"/>
      <c r="NO89" s="285">
        <f>'साठा नोंदवही'!BA134</f>
        <v>0</v>
      </c>
      <c r="NP89" s="285">
        <f>'साठा नोंदवही'!BB134</f>
        <v>0</v>
      </c>
      <c r="NQ89" s="285">
        <f>'साठा नोंदवही'!BC134</f>
        <v>0</v>
      </c>
      <c r="NR89" s="285">
        <f>'साठा नोंदवही'!BD134</f>
        <v>0</v>
      </c>
      <c r="NS89" s="285">
        <f>'साठा नोंदवही'!BE134</f>
        <v>0</v>
      </c>
      <c r="NT89" s="285">
        <f>'साठा नोंदवही'!BF134</f>
        <v>0</v>
      </c>
      <c r="NU89" s="285">
        <f>'साठा नोंदवही'!BG134</f>
        <v>0</v>
      </c>
      <c r="NV89" s="285">
        <f>'साठा नोंदवही'!BH134</f>
        <v>0</v>
      </c>
      <c r="NW89" s="285">
        <f>'साठा नोंदवही'!BI134</f>
        <v>0</v>
      </c>
      <c r="NX89" s="285">
        <f>'साठा नोंदवही'!BJ134</f>
        <v>0</v>
      </c>
      <c r="NY89" s="285">
        <f>'साठा नोंदवही'!BK134</f>
        <v>0</v>
      </c>
      <c r="NZ89" s="285">
        <f>'साठा नोंदवही'!BL134</f>
        <v>0</v>
      </c>
      <c r="OA89" s="285">
        <f>'साठा नोंदवही'!BM134</f>
        <v>0</v>
      </c>
      <c r="OB89" s="285">
        <f>'साठा नोंदवही'!BN134</f>
        <v>0</v>
      </c>
      <c r="OC89" s="285">
        <f>'साठा नोंदवही'!BO134</f>
        <v>0</v>
      </c>
      <c r="OD89" s="285">
        <f>'साठा नोंदवही'!BP134</f>
        <v>0</v>
      </c>
      <c r="OE89" s="285">
        <f>'साठा नोंदवही'!BQ134</f>
        <v>0</v>
      </c>
      <c r="OF89" s="285">
        <f>'साठा नोंदवही'!BR134</f>
        <v>0</v>
      </c>
      <c r="OG89" s="2021"/>
      <c r="OH89" s="2021"/>
      <c r="OI89" s="2021"/>
      <c r="OJ89" s="2021"/>
    </row>
    <row r="90" spans="53:400" ht="29.25" customHeight="1" x14ac:dyDescent="0.3">
      <c r="BA90" s="1017"/>
      <c r="BB90" s="1017"/>
      <c r="BC90" s="1017"/>
      <c r="BD90" s="2019" t="s">
        <v>335</v>
      </c>
      <c r="BE90" s="2019"/>
      <c r="BF90" s="2019"/>
      <c r="BG90" s="2019"/>
      <c r="BH90" s="285">
        <f>'साठा नोंदवही'!E99</f>
        <v>0</v>
      </c>
      <c r="BI90" s="285">
        <f>'साठा नोंदवही'!F99</f>
        <v>0</v>
      </c>
      <c r="BJ90" s="285">
        <f>'साठा नोंदवही'!G99</f>
        <v>0</v>
      </c>
      <c r="BK90" s="285">
        <f>'साठा नोंदवही'!H99</f>
        <v>0</v>
      </c>
      <c r="BL90" s="285">
        <f>'साठा नोंदवही'!I99</f>
        <v>0</v>
      </c>
      <c r="BM90" s="285">
        <f>'साठा नोंदवही'!J99</f>
        <v>0</v>
      </c>
      <c r="BN90" s="285">
        <f>'साठा नोंदवही'!K99</f>
        <v>0</v>
      </c>
      <c r="BO90" s="285">
        <f>'साठा नोंदवही'!L99</f>
        <v>0</v>
      </c>
      <c r="BP90" s="285">
        <f>'साठा नोंदवही'!M99</f>
        <v>0</v>
      </c>
      <c r="BQ90" s="285">
        <f>'साठा नोंदवही'!N99</f>
        <v>0</v>
      </c>
      <c r="BR90" s="285">
        <f>'साठा नोंदवही'!O99</f>
        <v>0</v>
      </c>
      <c r="BS90" s="285">
        <f>'साठा नोंदवही'!P99</f>
        <v>0</v>
      </c>
      <c r="BT90" s="285">
        <f>'साठा नोंदवही'!Q99</f>
        <v>0</v>
      </c>
      <c r="BU90" s="285">
        <f>'साठा नोंदवही'!R99</f>
        <v>0</v>
      </c>
      <c r="BV90" s="285">
        <f>'साठा नोंदवही'!S99</f>
        <v>0</v>
      </c>
      <c r="BW90" s="285">
        <f>'साठा नोंदवही'!T99</f>
        <v>0</v>
      </c>
      <c r="BX90" s="285">
        <f>'साठा नोंदवही'!U99</f>
        <v>0</v>
      </c>
      <c r="BY90" s="285">
        <f>'साठा नोंदवही'!V99</f>
        <v>0</v>
      </c>
      <c r="BZ90" s="2021"/>
      <c r="CA90" s="2021"/>
      <c r="CB90" s="2021"/>
      <c r="CC90" s="2021"/>
      <c r="CD90" s="1017"/>
      <c r="CE90" s="1017"/>
      <c r="CF90" s="1017"/>
      <c r="CG90" s="294"/>
      <c r="CH90" s="294"/>
      <c r="CI90" s="294"/>
      <c r="CJ90" s="294"/>
      <c r="CK90" s="285">
        <f>'साठा नोंदवही'!E100</f>
        <v>0</v>
      </c>
      <c r="CL90" s="285">
        <f>'साठा नोंदवही'!F100</f>
        <v>0</v>
      </c>
      <c r="CM90" s="285">
        <f>'साठा नोंदवही'!G100</f>
        <v>0</v>
      </c>
      <c r="CN90" s="285">
        <f>'साठा नोंदवही'!H100</f>
        <v>0</v>
      </c>
      <c r="CO90" s="285">
        <f>'साठा नोंदवही'!I100</f>
        <v>0</v>
      </c>
      <c r="CP90" s="285">
        <f>'साठा नोंदवही'!J100</f>
        <v>0</v>
      </c>
      <c r="CQ90" s="285">
        <f>'साठा नोंदवही'!K100</f>
        <v>0</v>
      </c>
      <c r="CR90" s="285">
        <f>'साठा नोंदवही'!L100</f>
        <v>0</v>
      </c>
      <c r="CS90" s="285">
        <f>'साठा नोंदवही'!M100</f>
        <v>0</v>
      </c>
      <c r="CT90" s="285">
        <f>'साठा नोंदवही'!N100</f>
        <v>0</v>
      </c>
      <c r="CU90" s="285">
        <f>'साठा नोंदवही'!O100</f>
        <v>0</v>
      </c>
      <c r="CV90" s="285">
        <f>'साठा नोंदवही'!P100</f>
        <v>0</v>
      </c>
      <c r="CW90" s="285">
        <f>'साठा नोंदवही'!Q100</f>
        <v>0</v>
      </c>
      <c r="CX90" s="285">
        <f>'साठा नोंदवही'!R100</f>
        <v>0</v>
      </c>
      <c r="CY90" s="285">
        <f>'साठा नोंदवही'!S100</f>
        <v>0</v>
      </c>
      <c r="CZ90" s="285">
        <f>'साठा नोंदवही'!T100</f>
        <v>0</v>
      </c>
      <c r="DA90" s="285">
        <f>'साठा नोंदवही'!U100</f>
        <v>0</v>
      </c>
      <c r="DB90" s="285">
        <f>'साठा नोंदवही'!V100</f>
        <v>0</v>
      </c>
      <c r="DC90" s="2021"/>
      <c r="DD90" s="2021"/>
      <c r="DE90" s="2021"/>
      <c r="DF90" s="2021"/>
      <c r="DG90" s="1017"/>
      <c r="DH90" s="1017"/>
      <c r="DI90" s="1017"/>
      <c r="DJ90" s="294"/>
      <c r="DK90" s="294"/>
      <c r="DL90" s="294"/>
      <c r="DM90" s="294"/>
      <c r="DN90" s="285">
        <f>'साठा नोंदवही'!E101</f>
        <v>0</v>
      </c>
      <c r="DO90" s="285">
        <f>'साठा नोंदवही'!F101</f>
        <v>0</v>
      </c>
      <c r="DP90" s="285">
        <f>'साठा नोंदवही'!G101</f>
        <v>0</v>
      </c>
      <c r="DQ90" s="285">
        <f>'साठा नोंदवही'!H101</f>
        <v>0</v>
      </c>
      <c r="DR90" s="285">
        <f>'साठा नोंदवही'!I101</f>
        <v>0</v>
      </c>
      <c r="DS90" s="285">
        <f>'साठा नोंदवही'!J101</f>
        <v>0</v>
      </c>
      <c r="DT90" s="285">
        <f>'साठा नोंदवही'!K101</f>
        <v>0</v>
      </c>
      <c r="DU90" s="285">
        <f>'साठा नोंदवही'!L101</f>
        <v>0</v>
      </c>
      <c r="DV90" s="285">
        <f>'साठा नोंदवही'!M101</f>
        <v>0</v>
      </c>
      <c r="DW90" s="285">
        <f>'साठा नोंदवही'!N101</f>
        <v>0</v>
      </c>
      <c r="DX90" s="285">
        <f>'साठा नोंदवही'!O101</f>
        <v>0</v>
      </c>
      <c r="DY90" s="285">
        <f>'साठा नोंदवही'!P101</f>
        <v>0</v>
      </c>
      <c r="DZ90" s="285">
        <f>'साठा नोंदवही'!Q101</f>
        <v>0</v>
      </c>
      <c r="EA90" s="285">
        <f>'साठा नोंदवही'!R101</f>
        <v>0</v>
      </c>
      <c r="EB90" s="285">
        <f>'साठा नोंदवही'!S101</f>
        <v>0</v>
      </c>
      <c r="EC90" s="285">
        <f>'साठा नोंदवही'!T101</f>
        <v>0</v>
      </c>
      <c r="ED90" s="285">
        <f>'साठा नोंदवही'!U101</f>
        <v>0</v>
      </c>
      <c r="EE90" s="285">
        <f>'साठा नोंदवही'!V101</f>
        <v>0</v>
      </c>
      <c r="EF90" s="2021"/>
      <c r="EG90" s="2021"/>
      <c r="EH90" s="2021"/>
      <c r="EI90" s="2021"/>
      <c r="EJ90" s="1017"/>
      <c r="EK90" s="1017"/>
      <c r="EL90" s="1017"/>
      <c r="EM90" s="294"/>
      <c r="EN90" s="294"/>
      <c r="EO90" s="294"/>
      <c r="EP90" s="294"/>
      <c r="EQ90" s="285">
        <f>'साठा नोंदवही'!E102</f>
        <v>0</v>
      </c>
      <c r="ER90" s="285">
        <f>'साठा नोंदवही'!F102</f>
        <v>0</v>
      </c>
      <c r="ES90" s="285">
        <f>'साठा नोंदवही'!G102</f>
        <v>0</v>
      </c>
      <c r="ET90" s="285">
        <f>'साठा नोंदवही'!H102</f>
        <v>0</v>
      </c>
      <c r="EU90" s="285">
        <f>'साठा नोंदवही'!I102</f>
        <v>0</v>
      </c>
      <c r="EV90" s="285">
        <f>'साठा नोंदवही'!J102</f>
        <v>0</v>
      </c>
      <c r="EW90" s="285">
        <f>'साठा नोंदवही'!K102</f>
        <v>0</v>
      </c>
      <c r="EX90" s="285">
        <f>'साठा नोंदवही'!L102</f>
        <v>0</v>
      </c>
      <c r="EY90" s="285">
        <f>'साठा नोंदवही'!M102</f>
        <v>0</v>
      </c>
      <c r="EZ90" s="285">
        <f>'साठा नोंदवही'!N102</f>
        <v>0</v>
      </c>
      <c r="FA90" s="285">
        <f>'साठा नोंदवही'!O102</f>
        <v>0</v>
      </c>
      <c r="FB90" s="285">
        <f>'साठा नोंदवही'!P102</f>
        <v>0</v>
      </c>
      <c r="FC90" s="285">
        <f>'साठा नोंदवही'!Q102</f>
        <v>0</v>
      </c>
      <c r="FD90" s="285">
        <f>'साठा नोंदवही'!R102</f>
        <v>0</v>
      </c>
      <c r="FE90" s="285">
        <f>'साठा नोंदवही'!S102</f>
        <v>0</v>
      </c>
      <c r="FF90" s="285">
        <f>'साठा नोंदवही'!T102</f>
        <v>0</v>
      </c>
      <c r="FG90" s="285">
        <f>'साठा नोंदवही'!U102</f>
        <v>0</v>
      </c>
      <c r="FH90" s="285">
        <f>'साठा नोंदवही'!V102</f>
        <v>0</v>
      </c>
      <c r="FI90" s="2021"/>
      <c r="FJ90" s="2021"/>
      <c r="FK90" s="2021"/>
      <c r="FL90" s="2021"/>
      <c r="FM90" s="1017"/>
      <c r="FN90" s="1017"/>
      <c r="FO90" s="1017"/>
      <c r="FP90" s="294"/>
      <c r="FQ90" s="294"/>
      <c r="FR90" s="294"/>
      <c r="FS90" s="294"/>
      <c r="FT90" s="285">
        <f>'साठा नोंदवही'!E103</f>
        <v>0</v>
      </c>
      <c r="FU90" s="285">
        <f>'साठा नोंदवही'!F103</f>
        <v>0</v>
      </c>
      <c r="FV90" s="285">
        <f>'साठा नोंदवही'!G103</f>
        <v>0</v>
      </c>
      <c r="FW90" s="285">
        <f>'साठा नोंदवही'!H103</f>
        <v>0</v>
      </c>
      <c r="FX90" s="285">
        <f>'साठा नोंदवही'!I103</f>
        <v>0</v>
      </c>
      <c r="FY90" s="285">
        <f>'साठा नोंदवही'!J103</f>
        <v>0</v>
      </c>
      <c r="FZ90" s="285">
        <f>'साठा नोंदवही'!K103</f>
        <v>0</v>
      </c>
      <c r="GA90" s="285">
        <f>'साठा नोंदवही'!L103</f>
        <v>0</v>
      </c>
      <c r="GB90" s="285">
        <f>'साठा नोंदवही'!M103</f>
        <v>0</v>
      </c>
      <c r="GC90" s="285">
        <f>'साठा नोंदवही'!N103</f>
        <v>0</v>
      </c>
      <c r="GD90" s="285">
        <f>'साठा नोंदवही'!O103</f>
        <v>0</v>
      </c>
      <c r="GE90" s="285">
        <f>'साठा नोंदवही'!P103</f>
        <v>0</v>
      </c>
      <c r="GF90" s="285">
        <f>'साठा नोंदवही'!Q103</f>
        <v>0</v>
      </c>
      <c r="GG90" s="285">
        <f>'साठा नोंदवही'!R103</f>
        <v>0</v>
      </c>
      <c r="GH90" s="285">
        <f>'साठा नोंदवही'!S103</f>
        <v>0</v>
      </c>
      <c r="GI90" s="285">
        <f>'साठा नोंदवही'!T103</f>
        <v>0</v>
      </c>
      <c r="GJ90" s="285">
        <f>'साठा नोंदवही'!U103</f>
        <v>0</v>
      </c>
      <c r="GK90" s="285">
        <f>'साठा नोंदवही'!V103</f>
        <v>0</v>
      </c>
      <c r="GL90" s="2021"/>
      <c r="GM90" s="2021"/>
      <c r="GN90" s="2021"/>
      <c r="GO90" s="2021"/>
      <c r="GP90" s="1017"/>
      <c r="GQ90" s="1017"/>
      <c r="GR90" s="1017"/>
      <c r="GS90" s="294"/>
      <c r="GT90" s="294"/>
      <c r="GU90" s="294"/>
      <c r="GV90" s="294"/>
      <c r="GW90" s="285">
        <f>'साठा नोंदवही'!E104</f>
        <v>0</v>
      </c>
      <c r="GX90" s="285">
        <f>'साठा नोंदवही'!F104</f>
        <v>0</v>
      </c>
      <c r="GY90" s="285">
        <f>'साठा नोंदवही'!G104</f>
        <v>0</v>
      </c>
      <c r="GZ90" s="285">
        <f>'साठा नोंदवही'!H104</f>
        <v>0</v>
      </c>
      <c r="HA90" s="285">
        <f>'साठा नोंदवही'!I104</f>
        <v>0</v>
      </c>
      <c r="HB90" s="285">
        <f>'साठा नोंदवही'!J104</f>
        <v>0</v>
      </c>
      <c r="HC90" s="285">
        <f>'साठा नोंदवही'!K104</f>
        <v>0</v>
      </c>
      <c r="HD90" s="285">
        <f>'साठा नोंदवही'!L104</f>
        <v>0</v>
      </c>
      <c r="HE90" s="285">
        <f>'साठा नोंदवही'!M104</f>
        <v>0</v>
      </c>
      <c r="HF90" s="285">
        <f>'साठा नोंदवही'!N104</f>
        <v>0</v>
      </c>
      <c r="HG90" s="285">
        <f>'साठा नोंदवही'!O104</f>
        <v>0</v>
      </c>
      <c r="HH90" s="285">
        <f>'साठा नोंदवही'!P104</f>
        <v>0</v>
      </c>
      <c r="HI90" s="285">
        <f>'साठा नोंदवही'!Q104</f>
        <v>0</v>
      </c>
      <c r="HJ90" s="285">
        <f>'साठा नोंदवही'!R104</f>
        <v>0</v>
      </c>
      <c r="HK90" s="285">
        <f>'साठा नोंदवही'!S104</f>
        <v>0</v>
      </c>
      <c r="HL90" s="285">
        <f>'साठा नोंदवही'!T104</f>
        <v>0</v>
      </c>
      <c r="HM90" s="285">
        <f>'साठा नोंदवही'!U104</f>
        <v>0</v>
      </c>
      <c r="HN90" s="285">
        <f>'साठा नोंदवही'!V104</f>
        <v>0</v>
      </c>
      <c r="HO90" s="2021"/>
      <c r="HP90" s="2021"/>
      <c r="HQ90" s="2021"/>
      <c r="HR90" s="2021"/>
      <c r="HS90" s="1017"/>
      <c r="HT90" s="1017"/>
      <c r="HU90" s="1017"/>
      <c r="HV90" s="294"/>
      <c r="HW90" s="294"/>
      <c r="HX90" s="294"/>
      <c r="HY90" s="294"/>
      <c r="HZ90" s="285">
        <f>'साठा नोंदवही'!E105</f>
        <v>0</v>
      </c>
      <c r="IA90" s="285">
        <f>'साठा नोंदवही'!F105</f>
        <v>0</v>
      </c>
      <c r="IB90" s="285">
        <f>'साठा नोंदवही'!G105</f>
        <v>0</v>
      </c>
      <c r="IC90" s="285">
        <f>'साठा नोंदवही'!H105</f>
        <v>0</v>
      </c>
      <c r="ID90" s="285">
        <f>'साठा नोंदवही'!I105</f>
        <v>0</v>
      </c>
      <c r="IE90" s="285">
        <f>'साठा नोंदवही'!J105</f>
        <v>0</v>
      </c>
      <c r="IF90" s="285">
        <f>'साठा नोंदवही'!K105</f>
        <v>0</v>
      </c>
      <c r="IG90" s="285">
        <f>'साठा नोंदवही'!L105</f>
        <v>0</v>
      </c>
      <c r="IH90" s="285">
        <f>'साठा नोंदवही'!M105</f>
        <v>0</v>
      </c>
      <c r="II90" s="285">
        <f>'साठा नोंदवही'!N105</f>
        <v>0</v>
      </c>
      <c r="IJ90" s="285">
        <f>'साठा नोंदवही'!O105</f>
        <v>0</v>
      </c>
      <c r="IK90" s="285">
        <f>'साठा नोंदवही'!P105</f>
        <v>0</v>
      </c>
      <c r="IL90" s="285">
        <f>'साठा नोंदवही'!Q105</f>
        <v>0</v>
      </c>
      <c r="IM90" s="285">
        <f>'साठा नोंदवही'!R105</f>
        <v>0</v>
      </c>
      <c r="IN90" s="285">
        <f>'साठा नोंदवही'!S105</f>
        <v>0</v>
      </c>
      <c r="IO90" s="285">
        <f>'साठा नोंदवही'!T105</f>
        <v>0</v>
      </c>
      <c r="IP90" s="285">
        <f>'साठा नोंदवही'!U105</f>
        <v>0</v>
      </c>
      <c r="IQ90" s="285">
        <f>'साठा नोंदवही'!V105</f>
        <v>0</v>
      </c>
      <c r="IR90" s="2021"/>
      <c r="IS90" s="2021"/>
      <c r="IT90" s="2021"/>
      <c r="IU90" s="2021"/>
      <c r="IV90" s="1017"/>
      <c r="IW90" s="1017"/>
      <c r="IX90" s="1017"/>
      <c r="IY90" s="294"/>
      <c r="IZ90" s="294"/>
      <c r="JA90" s="294"/>
      <c r="JB90" s="294"/>
      <c r="JC90" s="285">
        <f>'साठा नोंदवही'!E106</f>
        <v>0</v>
      </c>
      <c r="JD90" s="285">
        <f>'साठा नोंदवही'!F106</f>
        <v>0</v>
      </c>
      <c r="JE90" s="285">
        <f>'साठा नोंदवही'!G106</f>
        <v>0</v>
      </c>
      <c r="JF90" s="285">
        <f>'साठा नोंदवही'!H106</f>
        <v>0</v>
      </c>
      <c r="JG90" s="285">
        <f>'साठा नोंदवही'!I106</f>
        <v>0</v>
      </c>
      <c r="JH90" s="285">
        <f>'साठा नोंदवही'!J106</f>
        <v>0</v>
      </c>
      <c r="JI90" s="285">
        <f>'साठा नोंदवही'!K106</f>
        <v>0</v>
      </c>
      <c r="JJ90" s="285">
        <f>'साठा नोंदवही'!L106</f>
        <v>0</v>
      </c>
      <c r="JK90" s="285">
        <f>'साठा नोंदवही'!M106</f>
        <v>0</v>
      </c>
      <c r="JL90" s="285">
        <f>'साठा नोंदवही'!N106</f>
        <v>0</v>
      </c>
      <c r="JM90" s="285">
        <f>'साठा नोंदवही'!O106</f>
        <v>0</v>
      </c>
      <c r="JN90" s="285">
        <f>'साठा नोंदवही'!P106</f>
        <v>0</v>
      </c>
      <c r="JO90" s="285">
        <f>'साठा नोंदवही'!Q106</f>
        <v>0</v>
      </c>
      <c r="JP90" s="285">
        <f>'साठा नोंदवही'!R106</f>
        <v>0</v>
      </c>
      <c r="JQ90" s="285">
        <f>'साठा नोंदवही'!S106</f>
        <v>0</v>
      </c>
      <c r="JR90" s="285">
        <f>'साठा नोंदवही'!T106</f>
        <v>0</v>
      </c>
      <c r="JS90" s="285">
        <f>'साठा नोंदवही'!U106</f>
        <v>0</v>
      </c>
      <c r="JT90" s="285">
        <f>'साठा नोंदवही'!V106</f>
        <v>0</v>
      </c>
      <c r="JU90" s="2021"/>
      <c r="JV90" s="2021"/>
      <c r="JW90" s="2021"/>
      <c r="JX90" s="2021"/>
      <c r="JY90" s="1017"/>
      <c r="JZ90" s="1017"/>
      <c r="KA90" s="1017"/>
      <c r="KB90" s="294"/>
      <c r="KC90" s="294"/>
      <c r="KD90" s="294"/>
      <c r="KE90" s="294"/>
      <c r="KF90" s="285">
        <f>'साठा नोंदवही'!E107</f>
        <v>0</v>
      </c>
      <c r="KG90" s="285">
        <f>'साठा नोंदवही'!F107</f>
        <v>0</v>
      </c>
      <c r="KH90" s="285">
        <f>'साठा नोंदवही'!G107</f>
        <v>0</v>
      </c>
      <c r="KI90" s="285">
        <f>'साठा नोंदवही'!H107</f>
        <v>0</v>
      </c>
      <c r="KJ90" s="285">
        <f>'साठा नोंदवही'!I107</f>
        <v>0</v>
      </c>
      <c r="KK90" s="285">
        <f>'साठा नोंदवही'!J107</f>
        <v>0</v>
      </c>
      <c r="KL90" s="285">
        <f>'साठा नोंदवही'!K107</f>
        <v>0</v>
      </c>
      <c r="KM90" s="285">
        <f>'साठा नोंदवही'!L107</f>
        <v>0</v>
      </c>
      <c r="KN90" s="285">
        <f>'साठा नोंदवही'!M107</f>
        <v>0</v>
      </c>
      <c r="KO90" s="285">
        <f>'साठा नोंदवही'!N107</f>
        <v>0</v>
      </c>
      <c r="KP90" s="285">
        <f>'साठा नोंदवही'!O107</f>
        <v>0</v>
      </c>
      <c r="KQ90" s="285">
        <f>'साठा नोंदवही'!P107</f>
        <v>0</v>
      </c>
      <c r="KR90" s="285">
        <f>'साठा नोंदवही'!Q107</f>
        <v>0</v>
      </c>
      <c r="KS90" s="285">
        <f>'साठा नोंदवही'!R107</f>
        <v>0</v>
      </c>
      <c r="KT90" s="285">
        <f>'साठा नोंदवही'!S107</f>
        <v>0</v>
      </c>
      <c r="KU90" s="285">
        <f>'साठा नोंदवही'!T107</f>
        <v>0</v>
      </c>
      <c r="KV90" s="285">
        <f>'साठा नोंदवही'!U107</f>
        <v>0</v>
      </c>
      <c r="KW90" s="285">
        <f>'साठा नोंदवही'!V107</f>
        <v>0</v>
      </c>
      <c r="KX90" s="2021"/>
      <c r="KY90" s="2021"/>
      <c r="KZ90" s="2021"/>
      <c r="LA90" s="2021"/>
      <c r="LB90" s="1017"/>
      <c r="LC90" s="1017"/>
      <c r="LD90" s="1017"/>
      <c r="LE90" s="294"/>
      <c r="LF90" s="294"/>
      <c r="LG90" s="294"/>
      <c r="LH90" s="294"/>
      <c r="LI90" s="285">
        <f>'साठा नोंदवही'!E108</f>
        <v>0</v>
      </c>
      <c r="LJ90" s="285">
        <f>'साठा नोंदवही'!F108</f>
        <v>0</v>
      </c>
      <c r="LK90" s="285">
        <f>'साठा नोंदवही'!G108</f>
        <v>0</v>
      </c>
      <c r="LL90" s="285">
        <f>'साठा नोंदवही'!H108</f>
        <v>0</v>
      </c>
      <c r="LM90" s="285">
        <f>'साठा नोंदवही'!I108</f>
        <v>0</v>
      </c>
      <c r="LN90" s="285">
        <f>'साठा नोंदवही'!J108</f>
        <v>0</v>
      </c>
      <c r="LO90" s="285">
        <f>'साठा नोंदवही'!K108</f>
        <v>0</v>
      </c>
      <c r="LP90" s="285">
        <f>'साठा नोंदवही'!L108</f>
        <v>0</v>
      </c>
      <c r="LQ90" s="285">
        <f>'साठा नोंदवही'!M108</f>
        <v>0</v>
      </c>
      <c r="LR90" s="285">
        <f>'साठा नोंदवही'!N108</f>
        <v>0</v>
      </c>
      <c r="LS90" s="285">
        <f>'साठा नोंदवही'!O108</f>
        <v>0</v>
      </c>
      <c r="LT90" s="285">
        <f>'साठा नोंदवही'!P108</f>
        <v>0</v>
      </c>
      <c r="LU90" s="285">
        <f>'साठा नोंदवही'!Q108</f>
        <v>0</v>
      </c>
      <c r="LV90" s="285">
        <f>'साठा नोंदवही'!R108</f>
        <v>0</v>
      </c>
      <c r="LW90" s="285">
        <f>'साठा नोंदवही'!S108</f>
        <v>0</v>
      </c>
      <c r="LX90" s="285">
        <f>'साठा नोंदवही'!T108</f>
        <v>0</v>
      </c>
      <c r="LY90" s="285">
        <f>'साठा नोंदवही'!U108</f>
        <v>0</v>
      </c>
      <c r="LZ90" s="285">
        <f>'साठा नोंदवही'!V108</f>
        <v>0</v>
      </c>
      <c r="MA90" s="2021"/>
      <c r="MB90" s="2021"/>
      <c r="MC90" s="2021"/>
      <c r="MD90" s="2021"/>
      <c r="ME90" s="1017"/>
      <c r="MF90" s="1017"/>
      <c r="MG90" s="1017"/>
      <c r="MH90" s="294"/>
      <c r="MI90" s="294"/>
      <c r="MJ90" s="294"/>
      <c r="MK90" s="294"/>
      <c r="ML90" s="285">
        <f>'साठा नोंदवही'!E109</f>
        <v>0</v>
      </c>
      <c r="MM90" s="285">
        <f>'साठा नोंदवही'!F109</f>
        <v>0</v>
      </c>
      <c r="MN90" s="285">
        <f>'साठा नोंदवही'!G109</f>
        <v>0</v>
      </c>
      <c r="MO90" s="285">
        <f>'साठा नोंदवही'!H109</f>
        <v>0</v>
      </c>
      <c r="MP90" s="285">
        <f>'साठा नोंदवही'!I109</f>
        <v>0</v>
      </c>
      <c r="MQ90" s="285">
        <f>'साठा नोंदवही'!J109</f>
        <v>0</v>
      </c>
      <c r="MR90" s="285">
        <f>'साठा नोंदवही'!K109</f>
        <v>0</v>
      </c>
      <c r="MS90" s="285">
        <f>'साठा नोंदवही'!L109</f>
        <v>0</v>
      </c>
      <c r="MT90" s="285">
        <f>'साठा नोंदवही'!M109</f>
        <v>0</v>
      </c>
      <c r="MU90" s="285">
        <f>'साठा नोंदवही'!N109</f>
        <v>0</v>
      </c>
      <c r="MV90" s="285">
        <f>'साठा नोंदवही'!O109</f>
        <v>0</v>
      </c>
      <c r="MW90" s="285">
        <f>'साठा नोंदवही'!P109</f>
        <v>0</v>
      </c>
      <c r="MX90" s="285">
        <f>'साठा नोंदवही'!Q109</f>
        <v>0</v>
      </c>
      <c r="MY90" s="285">
        <f>'साठा नोंदवही'!R109</f>
        <v>0</v>
      </c>
      <c r="MZ90" s="285">
        <f>'साठा नोंदवही'!S109</f>
        <v>0</v>
      </c>
      <c r="NA90" s="285">
        <f>'साठा नोंदवही'!T109</f>
        <v>0</v>
      </c>
      <c r="NB90" s="285">
        <f>'साठा नोंदवही'!U109</f>
        <v>0</v>
      </c>
      <c r="NC90" s="285">
        <f>'साठा नोंदवही'!V109</f>
        <v>0</v>
      </c>
      <c r="ND90" s="2021"/>
      <c r="NE90" s="2021"/>
      <c r="NF90" s="2021"/>
      <c r="NG90" s="2021"/>
      <c r="NH90" s="1017"/>
      <c r="NI90" s="1017"/>
      <c r="NJ90" s="1017"/>
      <c r="NK90" s="294"/>
      <c r="NL90" s="294"/>
      <c r="NM90" s="294"/>
      <c r="NN90" s="294"/>
      <c r="NO90" s="285">
        <f>'साठा नोंदवही'!E110</f>
        <v>0</v>
      </c>
      <c r="NP90" s="285">
        <f>'साठा नोंदवही'!F110</f>
        <v>0</v>
      </c>
      <c r="NQ90" s="285">
        <f>'साठा नोंदवही'!G110</f>
        <v>0</v>
      </c>
      <c r="NR90" s="285">
        <f>'साठा नोंदवही'!H110</f>
        <v>0</v>
      </c>
      <c r="NS90" s="285">
        <f>'साठा नोंदवही'!I110</f>
        <v>0</v>
      </c>
      <c r="NT90" s="285">
        <f>'साठा नोंदवही'!J110</f>
        <v>0</v>
      </c>
      <c r="NU90" s="285">
        <f>'साठा नोंदवही'!K110</f>
        <v>0</v>
      </c>
      <c r="NV90" s="285">
        <f>'साठा नोंदवही'!L110</f>
        <v>0</v>
      </c>
      <c r="NW90" s="285">
        <f>'साठा नोंदवही'!M110</f>
        <v>0</v>
      </c>
      <c r="NX90" s="285">
        <f>'साठा नोंदवही'!N110</f>
        <v>0</v>
      </c>
      <c r="NY90" s="285">
        <f>'साठा नोंदवही'!O110</f>
        <v>0</v>
      </c>
      <c r="NZ90" s="285">
        <f>'साठा नोंदवही'!P110</f>
        <v>0</v>
      </c>
      <c r="OA90" s="285">
        <f>'साठा नोंदवही'!Q110</f>
        <v>0</v>
      </c>
      <c r="OB90" s="285">
        <f>'साठा नोंदवही'!R110</f>
        <v>0</v>
      </c>
      <c r="OC90" s="285">
        <f>'साठा नोंदवही'!S110</f>
        <v>0</v>
      </c>
      <c r="OD90" s="285">
        <f>'साठा नोंदवही'!T110</f>
        <v>0</v>
      </c>
      <c r="OE90" s="285">
        <f>'साठा नोंदवही'!U110</f>
        <v>0</v>
      </c>
      <c r="OF90" s="285">
        <f>'साठा नोंदवही'!V110</f>
        <v>0</v>
      </c>
      <c r="OG90" s="2021"/>
      <c r="OH90" s="2021"/>
      <c r="OI90" s="2021"/>
      <c r="OJ90" s="2021"/>
    </row>
    <row r="91" spans="53:400" ht="29.25" customHeight="1" x14ac:dyDescent="0.3">
      <c r="BA91" s="1017"/>
      <c r="BB91" s="1017"/>
      <c r="BC91" s="1017"/>
      <c r="BD91" s="2019" t="s">
        <v>103</v>
      </c>
      <c r="BE91" s="2019"/>
      <c r="BF91" s="2019"/>
      <c r="BG91" s="2019"/>
      <c r="BH91" s="285">
        <f>(BH88+BH89-BH90)</f>
        <v>0</v>
      </c>
      <c r="BI91" s="285">
        <f t="shared" ref="BI91:BY91" si="573">(BI88+BI89-BI90)</f>
        <v>0</v>
      </c>
      <c r="BJ91" s="285">
        <f t="shared" si="573"/>
        <v>0</v>
      </c>
      <c r="BK91" s="285">
        <f t="shared" si="573"/>
        <v>0</v>
      </c>
      <c r="BL91" s="285">
        <f t="shared" si="573"/>
        <v>0</v>
      </c>
      <c r="BM91" s="285">
        <f t="shared" si="573"/>
        <v>0</v>
      </c>
      <c r="BN91" s="285">
        <f t="shared" si="573"/>
        <v>0</v>
      </c>
      <c r="BO91" s="285">
        <f t="shared" si="573"/>
        <v>0</v>
      </c>
      <c r="BP91" s="285">
        <f t="shared" si="573"/>
        <v>0</v>
      </c>
      <c r="BQ91" s="285">
        <f t="shared" si="573"/>
        <v>0</v>
      </c>
      <c r="BR91" s="285">
        <f t="shared" si="573"/>
        <v>0</v>
      </c>
      <c r="BS91" s="285">
        <f t="shared" si="573"/>
        <v>0</v>
      </c>
      <c r="BT91" s="285">
        <f t="shared" si="573"/>
        <v>0</v>
      </c>
      <c r="BU91" s="285">
        <f t="shared" si="573"/>
        <v>0</v>
      </c>
      <c r="BV91" s="285">
        <f t="shared" si="573"/>
        <v>0</v>
      </c>
      <c r="BW91" s="285">
        <f t="shared" si="573"/>
        <v>0</v>
      </c>
      <c r="BX91" s="285">
        <f t="shared" si="573"/>
        <v>0</v>
      </c>
      <c r="BY91" s="285">
        <f t="shared" si="573"/>
        <v>0</v>
      </c>
      <c r="BZ91" s="2021"/>
      <c r="CA91" s="2021"/>
      <c r="CB91" s="2021"/>
      <c r="CC91" s="2021"/>
      <c r="CD91" s="1017"/>
      <c r="CE91" s="1017"/>
      <c r="CF91" s="1017"/>
      <c r="CG91" s="2019" t="s">
        <v>103</v>
      </c>
      <c r="CH91" s="2019"/>
      <c r="CI91" s="2019"/>
      <c r="CJ91" s="2019"/>
      <c r="CK91" s="285">
        <f>(CK88+CK89-CK90)</f>
        <v>0</v>
      </c>
      <c r="CL91" s="285">
        <f t="shared" ref="CL91:DB91" si="574">(CL88+CL89-CL90)</f>
        <v>0</v>
      </c>
      <c r="CM91" s="285">
        <f t="shared" si="574"/>
        <v>0</v>
      </c>
      <c r="CN91" s="285">
        <f t="shared" si="574"/>
        <v>0</v>
      </c>
      <c r="CO91" s="285">
        <f t="shared" si="574"/>
        <v>0</v>
      </c>
      <c r="CP91" s="285">
        <f t="shared" si="574"/>
        <v>0</v>
      </c>
      <c r="CQ91" s="285">
        <f t="shared" si="574"/>
        <v>0</v>
      </c>
      <c r="CR91" s="285">
        <f t="shared" si="574"/>
        <v>0</v>
      </c>
      <c r="CS91" s="285">
        <f t="shared" si="574"/>
        <v>0</v>
      </c>
      <c r="CT91" s="285">
        <f t="shared" si="574"/>
        <v>0</v>
      </c>
      <c r="CU91" s="285">
        <f t="shared" si="574"/>
        <v>0</v>
      </c>
      <c r="CV91" s="285">
        <f t="shared" si="574"/>
        <v>0</v>
      </c>
      <c r="CW91" s="285">
        <f t="shared" si="574"/>
        <v>0</v>
      </c>
      <c r="CX91" s="285">
        <f t="shared" si="574"/>
        <v>0</v>
      </c>
      <c r="CY91" s="285">
        <f t="shared" si="574"/>
        <v>0</v>
      </c>
      <c r="CZ91" s="285">
        <f t="shared" si="574"/>
        <v>0</v>
      </c>
      <c r="DA91" s="285">
        <f t="shared" si="574"/>
        <v>0</v>
      </c>
      <c r="DB91" s="285">
        <f t="shared" si="574"/>
        <v>0</v>
      </c>
      <c r="DC91" s="2021"/>
      <c r="DD91" s="2021"/>
      <c r="DE91" s="2021"/>
      <c r="DF91" s="2021"/>
      <c r="DG91" s="1017"/>
      <c r="DH91" s="1017"/>
      <c r="DI91" s="1017"/>
      <c r="DJ91" s="2019" t="s">
        <v>103</v>
      </c>
      <c r="DK91" s="2019"/>
      <c r="DL91" s="2019"/>
      <c r="DM91" s="2019"/>
      <c r="DN91" s="285">
        <f>(DN88+DN89-DN90)</f>
        <v>0</v>
      </c>
      <c r="DO91" s="285">
        <f t="shared" ref="DO91:EE91" si="575">(DO88+DO89-DO90)</f>
        <v>0</v>
      </c>
      <c r="DP91" s="285">
        <f t="shared" si="575"/>
        <v>0</v>
      </c>
      <c r="DQ91" s="285">
        <f t="shared" si="575"/>
        <v>0</v>
      </c>
      <c r="DR91" s="285">
        <f t="shared" si="575"/>
        <v>0</v>
      </c>
      <c r="DS91" s="285">
        <f t="shared" si="575"/>
        <v>0</v>
      </c>
      <c r="DT91" s="285">
        <f t="shared" si="575"/>
        <v>0</v>
      </c>
      <c r="DU91" s="285">
        <f t="shared" si="575"/>
        <v>0</v>
      </c>
      <c r="DV91" s="285">
        <f t="shared" si="575"/>
        <v>0</v>
      </c>
      <c r="DW91" s="285">
        <f t="shared" si="575"/>
        <v>0</v>
      </c>
      <c r="DX91" s="285">
        <f t="shared" si="575"/>
        <v>0</v>
      </c>
      <c r="DY91" s="285">
        <f t="shared" si="575"/>
        <v>0</v>
      </c>
      <c r="DZ91" s="285">
        <f t="shared" si="575"/>
        <v>0</v>
      </c>
      <c r="EA91" s="285">
        <f t="shared" si="575"/>
        <v>0</v>
      </c>
      <c r="EB91" s="285">
        <f t="shared" si="575"/>
        <v>0</v>
      </c>
      <c r="EC91" s="285">
        <f t="shared" si="575"/>
        <v>0</v>
      </c>
      <c r="ED91" s="285">
        <f t="shared" si="575"/>
        <v>0</v>
      </c>
      <c r="EE91" s="285">
        <f t="shared" si="575"/>
        <v>0</v>
      </c>
      <c r="EF91" s="2021"/>
      <c r="EG91" s="2021"/>
      <c r="EH91" s="2021"/>
      <c r="EI91" s="2021"/>
      <c r="EJ91" s="1017"/>
      <c r="EK91" s="1017"/>
      <c r="EL91" s="1017"/>
      <c r="EM91" s="2019" t="s">
        <v>103</v>
      </c>
      <c r="EN91" s="2019"/>
      <c r="EO91" s="2019"/>
      <c r="EP91" s="2019"/>
      <c r="EQ91" s="285">
        <f>(EQ88+EQ89-EQ90)</f>
        <v>0</v>
      </c>
      <c r="ER91" s="285">
        <f t="shared" ref="ER91:FH91" si="576">(ER88+ER89-ER90)</f>
        <v>0</v>
      </c>
      <c r="ES91" s="285">
        <f t="shared" si="576"/>
        <v>0</v>
      </c>
      <c r="ET91" s="285">
        <f t="shared" si="576"/>
        <v>0</v>
      </c>
      <c r="EU91" s="285">
        <f t="shared" si="576"/>
        <v>0</v>
      </c>
      <c r="EV91" s="285">
        <f t="shared" si="576"/>
        <v>0</v>
      </c>
      <c r="EW91" s="285">
        <f t="shared" si="576"/>
        <v>0</v>
      </c>
      <c r="EX91" s="285">
        <f t="shared" si="576"/>
        <v>0</v>
      </c>
      <c r="EY91" s="285">
        <f t="shared" si="576"/>
        <v>0</v>
      </c>
      <c r="EZ91" s="285">
        <f t="shared" si="576"/>
        <v>0</v>
      </c>
      <c r="FA91" s="285">
        <f t="shared" si="576"/>
        <v>0</v>
      </c>
      <c r="FB91" s="285">
        <f t="shared" si="576"/>
        <v>0</v>
      </c>
      <c r="FC91" s="285">
        <f t="shared" si="576"/>
        <v>0</v>
      </c>
      <c r="FD91" s="285">
        <f t="shared" si="576"/>
        <v>0</v>
      </c>
      <c r="FE91" s="285">
        <f t="shared" si="576"/>
        <v>0</v>
      </c>
      <c r="FF91" s="285">
        <f t="shared" si="576"/>
        <v>0</v>
      </c>
      <c r="FG91" s="285">
        <f t="shared" si="576"/>
        <v>0</v>
      </c>
      <c r="FH91" s="285">
        <f t="shared" si="576"/>
        <v>0</v>
      </c>
      <c r="FI91" s="2021"/>
      <c r="FJ91" s="2021"/>
      <c r="FK91" s="2021"/>
      <c r="FL91" s="2021"/>
      <c r="FM91" s="1017"/>
      <c r="FN91" s="1017"/>
      <c r="FO91" s="1017"/>
      <c r="FP91" s="2019" t="s">
        <v>103</v>
      </c>
      <c r="FQ91" s="2019"/>
      <c r="FR91" s="2019"/>
      <c r="FS91" s="2019"/>
      <c r="FT91" s="285">
        <f>(FT88+FT89-FT90)</f>
        <v>0</v>
      </c>
      <c r="FU91" s="285">
        <f t="shared" ref="FU91:GK91" si="577">(FU88+FU89-FU90)</f>
        <v>0</v>
      </c>
      <c r="FV91" s="285">
        <f t="shared" si="577"/>
        <v>0</v>
      </c>
      <c r="FW91" s="285">
        <f t="shared" si="577"/>
        <v>0</v>
      </c>
      <c r="FX91" s="285">
        <f t="shared" si="577"/>
        <v>0</v>
      </c>
      <c r="FY91" s="285">
        <f t="shared" si="577"/>
        <v>0</v>
      </c>
      <c r="FZ91" s="285">
        <f t="shared" si="577"/>
        <v>0</v>
      </c>
      <c r="GA91" s="285">
        <f t="shared" si="577"/>
        <v>0</v>
      </c>
      <c r="GB91" s="285">
        <f t="shared" si="577"/>
        <v>0</v>
      </c>
      <c r="GC91" s="285">
        <f t="shared" si="577"/>
        <v>0</v>
      </c>
      <c r="GD91" s="285">
        <f t="shared" si="577"/>
        <v>0</v>
      </c>
      <c r="GE91" s="285">
        <f t="shared" si="577"/>
        <v>0</v>
      </c>
      <c r="GF91" s="285">
        <f t="shared" si="577"/>
        <v>0</v>
      </c>
      <c r="GG91" s="285">
        <f t="shared" si="577"/>
        <v>0</v>
      </c>
      <c r="GH91" s="285">
        <f t="shared" si="577"/>
        <v>0</v>
      </c>
      <c r="GI91" s="285">
        <f t="shared" si="577"/>
        <v>0</v>
      </c>
      <c r="GJ91" s="285">
        <f t="shared" si="577"/>
        <v>0</v>
      </c>
      <c r="GK91" s="285">
        <f t="shared" si="577"/>
        <v>0</v>
      </c>
      <c r="GL91" s="2021"/>
      <c r="GM91" s="2021"/>
      <c r="GN91" s="2021"/>
      <c r="GO91" s="2021"/>
      <c r="GP91" s="1017"/>
      <c r="GQ91" s="1017"/>
      <c r="GR91" s="1017"/>
      <c r="GS91" s="2019" t="s">
        <v>103</v>
      </c>
      <c r="GT91" s="2019"/>
      <c r="GU91" s="2019"/>
      <c r="GV91" s="2019"/>
      <c r="GW91" s="285">
        <f>(GW88+GW89-GW90)</f>
        <v>0</v>
      </c>
      <c r="GX91" s="285">
        <f t="shared" ref="GX91:HN91" si="578">(GX88+GX89-GX90)</f>
        <v>0</v>
      </c>
      <c r="GY91" s="285">
        <f t="shared" si="578"/>
        <v>0</v>
      </c>
      <c r="GZ91" s="285">
        <f t="shared" si="578"/>
        <v>0</v>
      </c>
      <c r="HA91" s="285">
        <f t="shared" si="578"/>
        <v>0</v>
      </c>
      <c r="HB91" s="285">
        <f t="shared" si="578"/>
        <v>0</v>
      </c>
      <c r="HC91" s="285">
        <f t="shared" si="578"/>
        <v>0</v>
      </c>
      <c r="HD91" s="285">
        <f t="shared" si="578"/>
        <v>0</v>
      </c>
      <c r="HE91" s="285">
        <f t="shared" si="578"/>
        <v>0</v>
      </c>
      <c r="HF91" s="285">
        <f t="shared" si="578"/>
        <v>0</v>
      </c>
      <c r="HG91" s="285">
        <f t="shared" si="578"/>
        <v>0</v>
      </c>
      <c r="HH91" s="285">
        <f t="shared" si="578"/>
        <v>0</v>
      </c>
      <c r="HI91" s="285">
        <f t="shared" si="578"/>
        <v>0</v>
      </c>
      <c r="HJ91" s="285">
        <f t="shared" si="578"/>
        <v>0</v>
      </c>
      <c r="HK91" s="285">
        <f t="shared" si="578"/>
        <v>0</v>
      </c>
      <c r="HL91" s="285">
        <f t="shared" si="578"/>
        <v>0</v>
      </c>
      <c r="HM91" s="285">
        <f t="shared" si="578"/>
        <v>0</v>
      </c>
      <c r="HN91" s="285">
        <f t="shared" si="578"/>
        <v>0</v>
      </c>
      <c r="HO91" s="2021"/>
      <c r="HP91" s="2021"/>
      <c r="HQ91" s="2021"/>
      <c r="HR91" s="2021"/>
      <c r="HS91" s="1017"/>
      <c r="HT91" s="1017"/>
      <c r="HU91" s="1017"/>
      <c r="HV91" s="2019" t="s">
        <v>103</v>
      </c>
      <c r="HW91" s="2019"/>
      <c r="HX91" s="2019"/>
      <c r="HY91" s="2019"/>
      <c r="HZ91" s="285">
        <f>(HZ88+HZ89-HZ90)</f>
        <v>0</v>
      </c>
      <c r="IA91" s="285">
        <f t="shared" ref="IA91:IQ91" si="579">(IA88+IA89-IA90)</f>
        <v>0</v>
      </c>
      <c r="IB91" s="285">
        <f t="shared" si="579"/>
        <v>0</v>
      </c>
      <c r="IC91" s="285">
        <f t="shared" si="579"/>
        <v>0</v>
      </c>
      <c r="ID91" s="285">
        <f t="shared" si="579"/>
        <v>0</v>
      </c>
      <c r="IE91" s="285">
        <f t="shared" si="579"/>
        <v>0</v>
      </c>
      <c r="IF91" s="285">
        <f t="shared" si="579"/>
        <v>0</v>
      </c>
      <c r="IG91" s="285">
        <f t="shared" si="579"/>
        <v>0</v>
      </c>
      <c r="IH91" s="285">
        <f t="shared" si="579"/>
        <v>0</v>
      </c>
      <c r="II91" s="285">
        <f t="shared" si="579"/>
        <v>0</v>
      </c>
      <c r="IJ91" s="285">
        <f t="shared" si="579"/>
        <v>0</v>
      </c>
      <c r="IK91" s="285">
        <f t="shared" si="579"/>
        <v>0</v>
      </c>
      <c r="IL91" s="285">
        <f t="shared" si="579"/>
        <v>0</v>
      </c>
      <c r="IM91" s="285">
        <f t="shared" si="579"/>
        <v>0</v>
      </c>
      <c r="IN91" s="285">
        <f t="shared" si="579"/>
        <v>0</v>
      </c>
      <c r="IO91" s="285">
        <f t="shared" si="579"/>
        <v>0</v>
      </c>
      <c r="IP91" s="285">
        <f t="shared" si="579"/>
        <v>0</v>
      </c>
      <c r="IQ91" s="285">
        <f t="shared" si="579"/>
        <v>0</v>
      </c>
      <c r="IR91" s="2021"/>
      <c r="IS91" s="2021"/>
      <c r="IT91" s="2021"/>
      <c r="IU91" s="2021"/>
      <c r="IV91" s="1017"/>
      <c r="IW91" s="1017"/>
      <c r="IX91" s="1017"/>
      <c r="IY91" s="2019" t="s">
        <v>103</v>
      </c>
      <c r="IZ91" s="2019"/>
      <c r="JA91" s="2019"/>
      <c r="JB91" s="2019"/>
      <c r="JC91" s="285">
        <f>(JC88+JC89-JC90)</f>
        <v>0</v>
      </c>
      <c r="JD91" s="285">
        <f t="shared" ref="JD91:JT91" si="580">(JD88+JD89-JD90)</f>
        <v>0</v>
      </c>
      <c r="JE91" s="285">
        <f t="shared" si="580"/>
        <v>0</v>
      </c>
      <c r="JF91" s="285">
        <f t="shared" si="580"/>
        <v>0</v>
      </c>
      <c r="JG91" s="285">
        <f t="shared" si="580"/>
        <v>0</v>
      </c>
      <c r="JH91" s="285">
        <f t="shared" si="580"/>
        <v>0</v>
      </c>
      <c r="JI91" s="285">
        <f t="shared" si="580"/>
        <v>0</v>
      </c>
      <c r="JJ91" s="285">
        <f t="shared" si="580"/>
        <v>0</v>
      </c>
      <c r="JK91" s="285">
        <f t="shared" si="580"/>
        <v>0</v>
      </c>
      <c r="JL91" s="285">
        <f t="shared" si="580"/>
        <v>0</v>
      </c>
      <c r="JM91" s="285">
        <f t="shared" si="580"/>
        <v>0</v>
      </c>
      <c r="JN91" s="285">
        <f t="shared" si="580"/>
        <v>0</v>
      </c>
      <c r="JO91" s="285">
        <f t="shared" si="580"/>
        <v>0</v>
      </c>
      <c r="JP91" s="285">
        <f t="shared" si="580"/>
        <v>0</v>
      </c>
      <c r="JQ91" s="285">
        <f t="shared" si="580"/>
        <v>0</v>
      </c>
      <c r="JR91" s="285">
        <f t="shared" si="580"/>
        <v>0</v>
      </c>
      <c r="JS91" s="285">
        <f t="shared" si="580"/>
        <v>0</v>
      </c>
      <c r="JT91" s="285">
        <f t="shared" si="580"/>
        <v>0</v>
      </c>
      <c r="JU91" s="2021"/>
      <c r="JV91" s="2021"/>
      <c r="JW91" s="2021"/>
      <c r="JX91" s="2021"/>
      <c r="JY91" s="1017"/>
      <c r="JZ91" s="1017"/>
      <c r="KA91" s="1017"/>
      <c r="KB91" s="2019" t="s">
        <v>103</v>
      </c>
      <c r="KC91" s="2019"/>
      <c r="KD91" s="2019"/>
      <c r="KE91" s="2019"/>
      <c r="KF91" s="285">
        <f>(KF88+KF89-KF90)</f>
        <v>0</v>
      </c>
      <c r="KG91" s="285">
        <f t="shared" ref="KG91:KW91" si="581">(KG88+KG89-KG90)</f>
        <v>0</v>
      </c>
      <c r="KH91" s="285">
        <f t="shared" si="581"/>
        <v>0</v>
      </c>
      <c r="KI91" s="285">
        <f t="shared" si="581"/>
        <v>0</v>
      </c>
      <c r="KJ91" s="285">
        <f t="shared" si="581"/>
        <v>0</v>
      </c>
      <c r="KK91" s="285">
        <f t="shared" si="581"/>
        <v>0</v>
      </c>
      <c r="KL91" s="285">
        <f t="shared" si="581"/>
        <v>0</v>
      </c>
      <c r="KM91" s="285">
        <f t="shared" si="581"/>
        <v>0</v>
      </c>
      <c r="KN91" s="285">
        <f t="shared" si="581"/>
        <v>0</v>
      </c>
      <c r="KO91" s="285">
        <f t="shared" si="581"/>
        <v>0</v>
      </c>
      <c r="KP91" s="285">
        <f t="shared" si="581"/>
        <v>0</v>
      </c>
      <c r="KQ91" s="285">
        <f t="shared" si="581"/>
        <v>0</v>
      </c>
      <c r="KR91" s="285">
        <f t="shared" si="581"/>
        <v>0</v>
      </c>
      <c r="KS91" s="285">
        <f t="shared" si="581"/>
        <v>0</v>
      </c>
      <c r="KT91" s="285">
        <f t="shared" si="581"/>
        <v>0</v>
      </c>
      <c r="KU91" s="285">
        <f t="shared" si="581"/>
        <v>0</v>
      </c>
      <c r="KV91" s="285">
        <f t="shared" si="581"/>
        <v>0</v>
      </c>
      <c r="KW91" s="285">
        <f t="shared" si="581"/>
        <v>0</v>
      </c>
      <c r="KX91" s="2021"/>
      <c r="KY91" s="2021"/>
      <c r="KZ91" s="2021"/>
      <c r="LA91" s="2021"/>
      <c r="LB91" s="1017"/>
      <c r="LC91" s="1017"/>
      <c r="LD91" s="1017"/>
      <c r="LE91" s="2019" t="s">
        <v>103</v>
      </c>
      <c r="LF91" s="2019"/>
      <c r="LG91" s="2019"/>
      <c r="LH91" s="2019"/>
      <c r="LI91" s="285">
        <f>(LI88+LI89-LI90)</f>
        <v>0</v>
      </c>
      <c r="LJ91" s="285">
        <f t="shared" ref="LJ91:LZ91" si="582">(LJ88+LJ89-LJ90)</f>
        <v>0</v>
      </c>
      <c r="LK91" s="285">
        <f t="shared" si="582"/>
        <v>0</v>
      </c>
      <c r="LL91" s="285">
        <f t="shared" si="582"/>
        <v>0</v>
      </c>
      <c r="LM91" s="285">
        <f t="shared" si="582"/>
        <v>0</v>
      </c>
      <c r="LN91" s="285">
        <f t="shared" si="582"/>
        <v>0</v>
      </c>
      <c r="LO91" s="285">
        <f t="shared" si="582"/>
        <v>0</v>
      </c>
      <c r="LP91" s="285">
        <f t="shared" si="582"/>
        <v>0</v>
      </c>
      <c r="LQ91" s="285">
        <f t="shared" si="582"/>
        <v>0</v>
      </c>
      <c r="LR91" s="285">
        <f t="shared" si="582"/>
        <v>0</v>
      </c>
      <c r="LS91" s="285">
        <f t="shared" si="582"/>
        <v>0</v>
      </c>
      <c r="LT91" s="285">
        <f t="shared" si="582"/>
        <v>0</v>
      </c>
      <c r="LU91" s="285">
        <f t="shared" si="582"/>
        <v>0</v>
      </c>
      <c r="LV91" s="285">
        <f t="shared" si="582"/>
        <v>0</v>
      </c>
      <c r="LW91" s="285">
        <f t="shared" si="582"/>
        <v>0</v>
      </c>
      <c r="LX91" s="285">
        <f t="shared" si="582"/>
        <v>0</v>
      </c>
      <c r="LY91" s="285">
        <f t="shared" si="582"/>
        <v>0</v>
      </c>
      <c r="LZ91" s="285">
        <f t="shared" si="582"/>
        <v>0</v>
      </c>
      <c r="MA91" s="2021"/>
      <c r="MB91" s="2021"/>
      <c r="MC91" s="2021"/>
      <c r="MD91" s="2021"/>
      <c r="ME91" s="1017"/>
      <c r="MF91" s="1017"/>
      <c r="MG91" s="1017"/>
      <c r="MH91" s="2019" t="s">
        <v>103</v>
      </c>
      <c r="MI91" s="2019"/>
      <c r="MJ91" s="2019"/>
      <c r="MK91" s="2019"/>
      <c r="ML91" s="285">
        <f>(ML88+ML89-ML90)</f>
        <v>0</v>
      </c>
      <c r="MM91" s="285">
        <f t="shared" ref="MM91:NC91" si="583">(MM88+MM89-MM90)</f>
        <v>0</v>
      </c>
      <c r="MN91" s="285">
        <f t="shared" si="583"/>
        <v>0</v>
      </c>
      <c r="MO91" s="285">
        <f t="shared" si="583"/>
        <v>0</v>
      </c>
      <c r="MP91" s="285">
        <f t="shared" si="583"/>
        <v>0</v>
      </c>
      <c r="MQ91" s="285">
        <f t="shared" si="583"/>
        <v>0</v>
      </c>
      <c r="MR91" s="285">
        <f t="shared" si="583"/>
        <v>0</v>
      </c>
      <c r="MS91" s="285">
        <f t="shared" si="583"/>
        <v>0</v>
      </c>
      <c r="MT91" s="285">
        <f t="shared" si="583"/>
        <v>0</v>
      </c>
      <c r="MU91" s="285">
        <f t="shared" si="583"/>
        <v>0</v>
      </c>
      <c r="MV91" s="285">
        <f t="shared" si="583"/>
        <v>0</v>
      </c>
      <c r="MW91" s="285">
        <f t="shared" si="583"/>
        <v>0</v>
      </c>
      <c r="MX91" s="285">
        <f t="shared" si="583"/>
        <v>0</v>
      </c>
      <c r="MY91" s="285">
        <f t="shared" si="583"/>
        <v>0</v>
      </c>
      <c r="MZ91" s="285">
        <f t="shared" si="583"/>
        <v>0</v>
      </c>
      <c r="NA91" s="285">
        <f t="shared" si="583"/>
        <v>0</v>
      </c>
      <c r="NB91" s="285">
        <f t="shared" si="583"/>
        <v>0</v>
      </c>
      <c r="NC91" s="285">
        <f t="shared" si="583"/>
        <v>0</v>
      </c>
      <c r="ND91" s="2021"/>
      <c r="NE91" s="2021"/>
      <c r="NF91" s="2021"/>
      <c r="NG91" s="2021"/>
      <c r="NH91" s="1017"/>
      <c r="NI91" s="1017"/>
      <c r="NJ91" s="1017"/>
      <c r="NK91" s="2019" t="s">
        <v>103</v>
      </c>
      <c r="NL91" s="2019"/>
      <c r="NM91" s="2019"/>
      <c r="NN91" s="2019"/>
      <c r="NO91" s="285">
        <f>(NO88+NO89-NO90)</f>
        <v>0</v>
      </c>
      <c r="NP91" s="285">
        <f t="shared" ref="NP91:OF91" si="584">(NP88+NP89-NP90)</f>
        <v>0</v>
      </c>
      <c r="NQ91" s="285">
        <f t="shared" si="584"/>
        <v>0</v>
      </c>
      <c r="NR91" s="285">
        <f t="shared" si="584"/>
        <v>0</v>
      </c>
      <c r="NS91" s="285">
        <f t="shared" si="584"/>
        <v>0</v>
      </c>
      <c r="NT91" s="285">
        <f t="shared" si="584"/>
        <v>0</v>
      </c>
      <c r="NU91" s="285">
        <f t="shared" si="584"/>
        <v>0</v>
      </c>
      <c r="NV91" s="285">
        <f t="shared" si="584"/>
        <v>0</v>
      </c>
      <c r="NW91" s="285">
        <f t="shared" si="584"/>
        <v>0</v>
      </c>
      <c r="NX91" s="285">
        <f t="shared" si="584"/>
        <v>0</v>
      </c>
      <c r="NY91" s="285">
        <f t="shared" si="584"/>
        <v>0</v>
      </c>
      <c r="NZ91" s="285">
        <f t="shared" si="584"/>
        <v>0</v>
      </c>
      <c r="OA91" s="285">
        <f t="shared" si="584"/>
        <v>0</v>
      </c>
      <c r="OB91" s="285">
        <f t="shared" si="584"/>
        <v>0</v>
      </c>
      <c r="OC91" s="285">
        <f t="shared" si="584"/>
        <v>0</v>
      </c>
      <c r="OD91" s="285">
        <f t="shared" si="584"/>
        <v>0</v>
      </c>
      <c r="OE91" s="285">
        <f t="shared" si="584"/>
        <v>0</v>
      </c>
      <c r="OF91" s="285">
        <f t="shared" si="584"/>
        <v>0</v>
      </c>
      <c r="OG91" s="2021"/>
      <c r="OH91" s="2021"/>
      <c r="OI91" s="2021"/>
      <c r="OJ91" s="2021"/>
    </row>
    <row r="92" spans="53:400" ht="29.25" customHeight="1" x14ac:dyDescent="0.3">
      <c r="BA92" s="999">
        <v>1</v>
      </c>
      <c r="BB92" s="286">
        <f>DATE(BE84,INDEX({1,2,3,4,5,6,7,8,9,10,11,12},MATCH(BD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43922</v>
      </c>
      <c r="BC92" s="287">
        <f t="shared" ref="BC92:BC122" si="585">BB92</f>
        <v>43922</v>
      </c>
      <c r="BD92" s="288">
        <f>'दैनिक माहिती'!M9</f>
        <v>0</v>
      </c>
      <c r="BE92" s="289">
        <f>'दैनिक माहिती'!J9</f>
        <v>0</v>
      </c>
      <c r="BF92" s="289">
        <f>'दैनिक माहिती'!K9</f>
        <v>0</v>
      </c>
      <c r="BG92" s="289">
        <f>'दैनिक माहिती'!L9</f>
        <v>0</v>
      </c>
      <c r="BH92" s="290">
        <f>$BH$87*BG92</f>
        <v>0</v>
      </c>
      <c r="BI92" s="290">
        <f>IF(BD92=$BI$85,$BI$87*BG92,0)</f>
        <v>0</v>
      </c>
      <c r="BJ92" s="290">
        <f>IF(BD92=$BJ$85,$BJ$87*BG92,0)</f>
        <v>0</v>
      </c>
      <c r="BK92" s="290">
        <f>IF(BD92=$BK$85,$BK$87*BG92,0)</f>
        <v>0</v>
      </c>
      <c r="BL92" s="290">
        <f>IF(BD92=$BL$85,$BL$87*BG92,0)</f>
        <v>0</v>
      </c>
      <c r="BM92" s="290">
        <f>IF(BD92=$BM$85,$BM$87*BG92,0)</f>
        <v>0</v>
      </c>
      <c r="BN92" s="290">
        <f>IF(BD92=$BN$85,$BN$87*BG92,0)</f>
        <v>0</v>
      </c>
      <c r="BO92" s="290">
        <f>IF(BD92=$BO$85,$BO$87*BG92,0)</f>
        <v>0</v>
      </c>
      <c r="BP92" s="290">
        <f>IF(BD92=$BP$85,$BP$87*BG92,0)</f>
        <v>0</v>
      </c>
      <c r="BQ92" s="290">
        <f>$BQ$87*BG92</f>
        <v>0</v>
      </c>
      <c r="BR92" s="290">
        <f>$BR$87*BG92</f>
        <v>0</v>
      </c>
      <c r="BS92" s="290">
        <f>$BS$87*BG92</f>
        <v>0</v>
      </c>
      <c r="BT92" s="290">
        <f>$BT$87*BG92</f>
        <v>0</v>
      </c>
      <c r="BU92" s="290">
        <f>$BU$87*BG92</f>
        <v>0</v>
      </c>
      <c r="BV92" s="290">
        <f>$BV$87*BG92</f>
        <v>0</v>
      </c>
      <c r="BW92" s="290">
        <f>$BW$87*BG92</f>
        <v>0</v>
      </c>
      <c r="BX92" s="290">
        <f>$BX$87*BG92</f>
        <v>0</v>
      </c>
      <c r="BY92" s="290">
        <f>$BY$87*BG92</f>
        <v>0</v>
      </c>
      <c r="BZ92" s="291">
        <f>$BZ$87*BG92</f>
        <v>0</v>
      </c>
      <c r="CA92" s="291">
        <f>$CA$87*BG92</f>
        <v>0</v>
      </c>
      <c r="CB92" s="291">
        <f>$CB$87*BG92</f>
        <v>0</v>
      </c>
      <c r="CC92" s="292">
        <f>$CC$87*BG92</f>
        <v>0</v>
      </c>
      <c r="CD92" s="999">
        <v>1</v>
      </c>
      <c r="CE92" s="286">
        <f>DATE(CH84,INDEX({1,2,3,4,5,6,7,8,9,10,11,12},MATCH(CG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43952</v>
      </c>
      <c r="CF92" s="287">
        <f t="shared" ref="CF92:CF122" si="586">CE92</f>
        <v>43952</v>
      </c>
      <c r="CG92" s="288">
        <f>'दैनिक माहिती'!M40</f>
        <v>0</v>
      </c>
      <c r="CH92" s="289">
        <f>'दैनिक माहिती'!J40</f>
        <v>0</v>
      </c>
      <c r="CI92" s="289">
        <f>'दैनिक माहिती'!K40</f>
        <v>0</v>
      </c>
      <c r="CJ92" s="289">
        <f>'दैनिक माहिती'!L40</f>
        <v>0</v>
      </c>
      <c r="CK92" s="290">
        <f>$CK$87*CJ92</f>
        <v>0</v>
      </c>
      <c r="CL92" s="290">
        <f>IF(CG92=$CL$85,$CL$87*CJ92,0)</f>
        <v>0</v>
      </c>
      <c r="CM92" s="290">
        <f>IF(CG92=$CM$85,$CM$87*CJ92,0)</f>
        <v>0</v>
      </c>
      <c r="CN92" s="290">
        <f>IF(CG92=$CN$85,$CN$87*CJ92,0)</f>
        <v>0</v>
      </c>
      <c r="CO92" s="290">
        <f>IF(CG92=$CO$85,$CO$87*CJ92,0)</f>
        <v>0</v>
      </c>
      <c r="CP92" s="290">
        <f>IF(CG92=$CP$85,$CP$87*CJ92,0)</f>
        <v>0</v>
      </c>
      <c r="CQ92" s="290">
        <f>IF(CG92=$CQ$85,$CQ$87*CJ92,0)</f>
        <v>0</v>
      </c>
      <c r="CR92" s="290">
        <f>IF(CG92=$CR$85,$CR$87*CJ92,0)</f>
        <v>0</v>
      </c>
      <c r="CS92" s="290">
        <f>IF(CG92=$CS$85,$CS$87*CJ92,0)</f>
        <v>0</v>
      </c>
      <c r="CT92" s="290">
        <f>$CT$87*CJ92</f>
        <v>0</v>
      </c>
      <c r="CU92" s="290">
        <f>$CU$87*CJ92</f>
        <v>0</v>
      </c>
      <c r="CV92" s="290">
        <f>$CV$87*CJ92</f>
        <v>0</v>
      </c>
      <c r="CW92" s="290">
        <f>$CW$87*CJ92</f>
        <v>0</v>
      </c>
      <c r="CX92" s="290">
        <f>$CX$87*CJ92</f>
        <v>0</v>
      </c>
      <c r="CY92" s="290">
        <f>$CY$87*CJ92</f>
        <v>0</v>
      </c>
      <c r="CZ92" s="290">
        <f>$CZ$87*CJ92</f>
        <v>0</v>
      </c>
      <c r="DA92" s="290">
        <f>$DA$87*CJ92</f>
        <v>0</v>
      </c>
      <c r="DB92" s="290">
        <f>$DB$87*CJ92</f>
        <v>0</v>
      </c>
      <c r="DC92" s="291">
        <f>$DC$87*CJ92</f>
        <v>0</v>
      </c>
      <c r="DD92" s="291">
        <f>$DD$87*CJ92</f>
        <v>0</v>
      </c>
      <c r="DE92" s="291">
        <f>$DE$87*CJ92</f>
        <v>0</v>
      </c>
      <c r="DF92" s="292">
        <f>$DF$87*CJ92</f>
        <v>0</v>
      </c>
      <c r="DG92" s="999">
        <v>1</v>
      </c>
      <c r="DH92" s="286">
        <f>DATE(DK84,INDEX({1,2,3,4,5,6,7,8,9,10,11,12},MATCH(DJ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43983</v>
      </c>
      <c r="DI92" s="287">
        <f t="shared" ref="DI92:DI122" si="587">DH92</f>
        <v>43983</v>
      </c>
      <c r="DJ92" s="288">
        <f>'दैनिक माहिती'!M72</f>
        <v>0</v>
      </c>
      <c r="DK92" s="289">
        <f>'दैनिक माहिती'!J72</f>
        <v>0</v>
      </c>
      <c r="DL92" s="289">
        <f>'दैनिक माहिती'!K72</f>
        <v>0</v>
      </c>
      <c r="DM92" s="289">
        <f>'दैनिक माहिती'!L72</f>
        <v>0</v>
      </c>
      <c r="DN92" s="290">
        <f>$DN$87*DM92</f>
        <v>0</v>
      </c>
      <c r="DO92" s="290">
        <f>IF(DJ92=$DO$85,$DO$87*DM92,0)</f>
        <v>0</v>
      </c>
      <c r="DP92" s="290">
        <f>IF(DJ92=$DP$85,$DP$87*DM92,0)</f>
        <v>0</v>
      </c>
      <c r="DQ92" s="290">
        <f>IF(DJ92=$DQ$85,$DQ$87*DM92,0)</f>
        <v>0</v>
      </c>
      <c r="DR92" s="290">
        <f>IF(DJ92=$DR$85,$DR$87*DM92,0)</f>
        <v>0</v>
      </c>
      <c r="DS92" s="290">
        <f>IF(DJ92=$DS$85,$DS$87*DM92,0)</f>
        <v>0</v>
      </c>
      <c r="DT92" s="290">
        <f>IF(DJ92=$DT$85,$DT$87*DM92,0)</f>
        <v>0</v>
      </c>
      <c r="DU92" s="290">
        <f>IF(DJ92=$DU$85,$DU$87*DM92,0)</f>
        <v>0</v>
      </c>
      <c r="DV92" s="290">
        <f>IF(DJ92=$DV$85,$DV$87*DM92,0)</f>
        <v>0</v>
      </c>
      <c r="DW92" s="290">
        <f>$DW$87*DM92</f>
        <v>0</v>
      </c>
      <c r="DX92" s="290">
        <f>$DX$87*DM92</f>
        <v>0</v>
      </c>
      <c r="DY92" s="290">
        <f>$DY$87*DM92</f>
        <v>0</v>
      </c>
      <c r="DZ92" s="290">
        <f>$DZ$87*DM92</f>
        <v>0</v>
      </c>
      <c r="EA92" s="290">
        <f>$EA$87*DM92</f>
        <v>0</v>
      </c>
      <c r="EB92" s="290">
        <f>$EB$87*DM92</f>
        <v>0</v>
      </c>
      <c r="EC92" s="290">
        <f>$EC$87*DM92</f>
        <v>0</v>
      </c>
      <c r="ED92" s="290">
        <f>$ED$87*DM92</f>
        <v>0</v>
      </c>
      <c r="EE92" s="290">
        <f>$EE$87*DM92</f>
        <v>0</v>
      </c>
      <c r="EF92" s="291">
        <f>$EF$87*DM92</f>
        <v>0</v>
      </c>
      <c r="EG92" s="291">
        <f>$EG$87*DM92</f>
        <v>0</v>
      </c>
      <c r="EH92" s="291">
        <f>$EH$87*DM92</f>
        <v>0</v>
      </c>
      <c r="EI92" s="292">
        <f>$EI$87*DM92</f>
        <v>0</v>
      </c>
      <c r="EJ92" s="999">
        <v>1</v>
      </c>
      <c r="EK92" s="286">
        <f>DATE(EN84,INDEX({1,2,3,4,5,6,7,8,9,10,11,12},MATCH(EM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44013</v>
      </c>
      <c r="EL92" s="287">
        <f t="shared" ref="EL92:EL122" si="588">EK92</f>
        <v>44013</v>
      </c>
      <c r="EM92" s="288">
        <f>'दैनिक माहिती'!M103</f>
        <v>0</v>
      </c>
      <c r="EN92" s="289">
        <f>'दैनिक माहिती'!J103</f>
        <v>0</v>
      </c>
      <c r="EO92" s="289">
        <f>'दैनिक माहिती'!K103</f>
        <v>0</v>
      </c>
      <c r="EP92" s="289">
        <f>'दैनिक माहिती'!L103</f>
        <v>0</v>
      </c>
      <c r="EQ92" s="290">
        <f>$EQ$87*EP92</f>
        <v>0</v>
      </c>
      <c r="ER92" s="290">
        <f>IF(EM92=$ER$85,$ER$87*EP92,0)</f>
        <v>0</v>
      </c>
      <c r="ES92" s="290">
        <f>IF(EM92=$ES$85,$ES$87*EP92,0)</f>
        <v>0</v>
      </c>
      <c r="ET92" s="290">
        <f>IF(EM92=$ET$85,$ET$87*EP92,0)</f>
        <v>0</v>
      </c>
      <c r="EU92" s="290">
        <f>IF(EM92=$EU$85,$EU$87*EP92,0)</f>
        <v>0</v>
      </c>
      <c r="EV92" s="290">
        <f>IF(EM92=$EV$85,$EV$87*EP92,0)</f>
        <v>0</v>
      </c>
      <c r="EW92" s="290">
        <f>IF(EM92=$EW$85,$EW$87*EP92,0)</f>
        <v>0</v>
      </c>
      <c r="EX92" s="290">
        <f>IF(EM92=$EX$85,$EX$87*EP92,0)</f>
        <v>0</v>
      </c>
      <c r="EY92" s="290">
        <f>IF(EM92=$EY$85,$EY$87*EP92,0)</f>
        <v>0</v>
      </c>
      <c r="EZ92" s="290">
        <f>$EZ$87*EP92</f>
        <v>0</v>
      </c>
      <c r="FA92" s="290">
        <f>$FA$87*EP92</f>
        <v>0</v>
      </c>
      <c r="FB92" s="290">
        <f>$FB$87*EP92</f>
        <v>0</v>
      </c>
      <c r="FC92" s="290">
        <f>$FC$87*EP92</f>
        <v>0</v>
      </c>
      <c r="FD92" s="290">
        <f>$FD$87*EP92</f>
        <v>0</v>
      </c>
      <c r="FE92" s="290">
        <f>$FE$87*EP92</f>
        <v>0</v>
      </c>
      <c r="FF92" s="290">
        <f>$FF$87*EP92</f>
        <v>0</v>
      </c>
      <c r="FG92" s="290">
        <f>$FG$87*EP92</f>
        <v>0</v>
      </c>
      <c r="FH92" s="290">
        <f>$FH$87*EP92</f>
        <v>0</v>
      </c>
      <c r="FI92" s="291">
        <f>$FI$87*EP92</f>
        <v>0</v>
      </c>
      <c r="FJ92" s="291">
        <f>$FJ$87*EP92</f>
        <v>0</v>
      </c>
      <c r="FK92" s="291">
        <f>$FK$87*EP92</f>
        <v>0</v>
      </c>
      <c r="FL92" s="292">
        <f>$FL$87*EP92</f>
        <v>0</v>
      </c>
      <c r="FM92" s="999">
        <v>1</v>
      </c>
      <c r="FN92" s="286">
        <f>DATE(FQ84,INDEX({1,2,3,4,5,6,7,8,9,10,11,12},MATCH(FP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44044</v>
      </c>
      <c r="FO92" s="287">
        <f t="shared" ref="FO92:FO122" si="589">FN92</f>
        <v>44044</v>
      </c>
      <c r="FP92" s="288">
        <f>'दैनिक माहिती'!M135</f>
        <v>0</v>
      </c>
      <c r="FQ92" s="289">
        <f>'दैनिक माहिती'!J135</f>
        <v>0</v>
      </c>
      <c r="FR92" s="289">
        <f>'दैनिक माहिती'!K135</f>
        <v>0</v>
      </c>
      <c r="FS92" s="289">
        <f>'दैनिक माहिती'!L135</f>
        <v>0</v>
      </c>
      <c r="FT92" s="290">
        <f>$FT$87*FS92</f>
        <v>0</v>
      </c>
      <c r="FU92" s="290">
        <f>IF(FP92=$FU$85,$FU$87*FS92,0)</f>
        <v>0</v>
      </c>
      <c r="FV92" s="290">
        <f>IF(FP92=$FV$85,$FV$87*FS92,0)</f>
        <v>0</v>
      </c>
      <c r="FW92" s="290">
        <f>IF(FP92=$FW$85,$FW$87*FS92,0)</f>
        <v>0</v>
      </c>
      <c r="FX92" s="290">
        <f>IF(FP92=$FX$85,$FX$87*FS92,0)</f>
        <v>0</v>
      </c>
      <c r="FY92" s="290">
        <f>IF(FP92=$FY$85,$FY$87*FS92,0)</f>
        <v>0</v>
      </c>
      <c r="FZ92" s="290">
        <f>IF(FP92=$FZ$85,$FZ$87*FS92,0)</f>
        <v>0</v>
      </c>
      <c r="GA92" s="290">
        <f>IF(FP92=$GA$85,$GA$87*FS92,0)</f>
        <v>0</v>
      </c>
      <c r="GB92" s="290">
        <f>IF(FP92=$GB$85,$GB$87*FS92,0)</f>
        <v>0</v>
      </c>
      <c r="GC92" s="290">
        <f>$GC$87*FS92</f>
        <v>0</v>
      </c>
      <c r="GD92" s="290">
        <f>$GD$87*FS92</f>
        <v>0</v>
      </c>
      <c r="GE92" s="290">
        <f>$GE$87*FS92</f>
        <v>0</v>
      </c>
      <c r="GF92" s="290">
        <f>$GF$87*FS92</f>
        <v>0</v>
      </c>
      <c r="GG92" s="290">
        <f>$GG$87*FS92</f>
        <v>0</v>
      </c>
      <c r="GH92" s="290">
        <f>$GH$87*FS92</f>
        <v>0</v>
      </c>
      <c r="GI92" s="290">
        <f>$GI$87*FS92</f>
        <v>0</v>
      </c>
      <c r="GJ92" s="290">
        <f>$GJ$87*FS92</f>
        <v>0</v>
      </c>
      <c r="GK92" s="290">
        <f>$GK$87*FS92</f>
        <v>0</v>
      </c>
      <c r="GL92" s="291">
        <f>$GL$87*FS92</f>
        <v>0</v>
      </c>
      <c r="GM92" s="291">
        <f>$GM$87*FS92</f>
        <v>0</v>
      </c>
      <c r="GN92" s="291">
        <f>$GN$87*FS92</f>
        <v>0</v>
      </c>
      <c r="GO92" s="292">
        <f>$GO$87*FS92</f>
        <v>0</v>
      </c>
      <c r="GP92" s="999">
        <v>1</v>
      </c>
      <c r="GQ92" s="286">
        <f>DATE(GT84,INDEX({1,2,3,4,5,6,7,8,9,10,11,12},MATCH(GS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44075</v>
      </c>
      <c r="GR92" s="287">
        <f t="shared" ref="GR92:GR122" si="590">GQ92</f>
        <v>44075</v>
      </c>
      <c r="GS92" s="288">
        <f>'दैनिक माहिती'!M167</f>
        <v>0</v>
      </c>
      <c r="GT92" s="289">
        <f>'दैनिक माहिती'!J167</f>
        <v>0</v>
      </c>
      <c r="GU92" s="289">
        <f>'दैनिक माहिती'!K167</f>
        <v>0</v>
      </c>
      <c r="GV92" s="289">
        <f>'दैनिक माहिती'!L167</f>
        <v>0</v>
      </c>
      <c r="GW92" s="290">
        <f>$GW$87*GV92</f>
        <v>0</v>
      </c>
      <c r="GX92" s="290">
        <f>IF(GS92=$GX$85,$GX$87*GV92,0)</f>
        <v>0</v>
      </c>
      <c r="GY92" s="290">
        <f>IF(GS92=$GY$85,$GY$87*GV92,0)</f>
        <v>0</v>
      </c>
      <c r="GZ92" s="290">
        <f>IF(GS92=$GZ$85,$GZ$87*GV92,0)</f>
        <v>0</v>
      </c>
      <c r="HA92" s="290">
        <f>IF(GS92=$HA$85,$HA$87*GV92,0)</f>
        <v>0</v>
      </c>
      <c r="HB92" s="290">
        <f>IF(GS92=$HB$85,$HB$87*GV92,0)</f>
        <v>0</v>
      </c>
      <c r="HC92" s="290">
        <f>IF(GS92=$HC$85,$HC$87*GV92,0)</f>
        <v>0</v>
      </c>
      <c r="HD92" s="290">
        <f>IF(GS92=$HD$85,$HD$87*GV92,0)</f>
        <v>0</v>
      </c>
      <c r="HE92" s="290">
        <f>IF(GS92=$HE$85,$HE$87*GV92,0)</f>
        <v>0</v>
      </c>
      <c r="HF92" s="290">
        <f>$HF$87*GV92</f>
        <v>0</v>
      </c>
      <c r="HG92" s="290">
        <f>$HG$87*GV92</f>
        <v>0</v>
      </c>
      <c r="HH92" s="290">
        <f>$HH$87*GV92</f>
        <v>0</v>
      </c>
      <c r="HI92" s="290">
        <f>$HI$87*GV92</f>
        <v>0</v>
      </c>
      <c r="HJ92" s="290">
        <f>$HJ$87*GV92</f>
        <v>0</v>
      </c>
      <c r="HK92" s="290">
        <f>$HK$87*GV92</f>
        <v>0</v>
      </c>
      <c r="HL92" s="290">
        <f>$HL$87*GV92</f>
        <v>0</v>
      </c>
      <c r="HM92" s="290">
        <f>$HM$87*GV92</f>
        <v>0</v>
      </c>
      <c r="HN92" s="290">
        <f>$HN$87*GV92</f>
        <v>0</v>
      </c>
      <c r="HO92" s="291">
        <f>$HO$87*GV92</f>
        <v>0</v>
      </c>
      <c r="HP92" s="291">
        <f>$HP$87*GV92</f>
        <v>0</v>
      </c>
      <c r="HQ92" s="291">
        <f>$HQ$87*GV92</f>
        <v>0</v>
      </c>
      <c r="HR92" s="292">
        <f>$HR$87*GV92</f>
        <v>0</v>
      </c>
      <c r="HS92" s="999">
        <v>1</v>
      </c>
      <c r="HT92" s="286">
        <f>DATE(HW84,INDEX({1,2,3,4,5,6,7,8,9,10,11,12},MATCH(HV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44105</v>
      </c>
      <c r="HU92" s="287">
        <f t="shared" ref="HU92:HU122" si="591">HT92</f>
        <v>44105</v>
      </c>
      <c r="HV92" s="288">
        <f>'दैनिक माहिती'!M198</f>
        <v>0</v>
      </c>
      <c r="HW92" s="289">
        <f>'दैनिक माहिती'!J198</f>
        <v>0</v>
      </c>
      <c r="HX92" s="289">
        <f>'दैनिक माहिती'!K198</f>
        <v>0</v>
      </c>
      <c r="HY92" s="289">
        <f>'दैनिक माहिती'!L198</f>
        <v>0</v>
      </c>
      <c r="HZ92" s="290">
        <f>$HZ$87*HY92</f>
        <v>0</v>
      </c>
      <c r="IA92" s="290">
        <f>IF(HV92=$IA$85,$IA$87*HY92,0)</f>
        <v>0</v>
      </c>
      <c r="IB92" s="290">
        <f>IF(HV92=$IB$85,$IB$87*HY92,0)</f>
        <v>0</v>
      </c>
      <c r="IC92" s="290">
        <f>IF(HV92=$IC$85,$IC$87*HY92,0)</f>
        <v>0</v>
      </c>
      <c r="ID92" s="290">
        <f>IF(HV92=$ID$85,$ID$87*HY92,0)</f>
        <v>0</v>
      </c>
      <c r="IE92" s="290">
        <f>IF(HV92=$IE$85,$IE$87*HY92,0)</f>
        <v>0</v>
      </c>
      <c r="IF92" s="290">
        <f>IF(HV92=$IF$85,$IF$87*HY92,0)</f>
        <v>0</v>
      </c>
      <c r="IG92" s="290">
        <f>IF(HV92=$IG$85,$IG$87*HY92,0)</f>
        <v>0</v>
      </c>
      <c r="IH92" s="290">
        <f>IF(HV92=$IH$85,$IH$87*HY92,0)</f>
        <v>0</v>
      </c>
      <c r="II92" s="290">
        <f>$II$87*HY92</f>
        <v>0</v>
      </c>
      <c r="IJ92" s="290">
        <f>$IJ$87*HY92</f>
        <v>0</v>
      </c>
      <c r="IK92" s="290">
        <f>$IK$87*HY92</f>
        <v>0</v>
      </c>
      <c r="IL92" s="290">
        <f>$IL$87*HY92</f>
        <v>0</v>
      </c>
      <c r="IM92" s="290">
        <f>$IM$87*HY92</f>
        <v>0</v>
      </c>
      <c r="IN92" s="290">
        <f>$IN$87*HY92</f>
        <v>0</v>
      </c>
      <c r="IO92" s="290">
        <f>$IO$87*HY92</f>
        <v>0</v>
      </c>
      <c r="IP92" s="290">
        <f>$IP$87*HY92</f>
        <v>0</v>
      </c>
      <c r="IQ92" s="290">
        <f>$IQ$87*HY92</f>
        <v>0</v>
      </c>
      <c r="IR92" s="291">
        <f>$IR$87*HY92</f>
        <v>0</v>
      </c>
      <c r="IS92" s="291">
        <f>$IS$87*HY92</f>
        <v>0</v>
      </c>
      <c r="IT92" s="291">
        <f>$IT$87*HY92</f>
        <v>0</v>
      </c>
      <c r="IU92" s="292">
        <f>$IU$87*HY92</f>
        <v>0</v>
      </c>
      <c r="IV92" s="999">
        <v>1</v>
      </c>
      <c r="IW92" s="286">
        <f>DATE(IZ84,INDEX({1,2,3,4,5,6,7,8,9,10,11,12},MATCH(IY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44136</v>
      </c>
      <c r="IX92" s="287">
        <f t="shared" ref="IX92:IX122" si="592">IW92</f>
        <v>44136</v>
      </c>
      <c r="IY92" s="288">
        <f>'दैनिक माहिती'!M230</f>
        <v>0</v>
      </c>
      <c r="IZ92" s="289">
        <f>'दैनिक माहिती'!J230</f>
        <v>0</v>
      </c>
      <c r="JA92" s="289">
        <f>'दैनिक माहिती'!K230</f>
        <v>0</v>
      </c>
      <c r="JB92" s="289">
        <f>'दैनिक माहिती'!L230</f>
        <v>0</v>
      </c>
      <c r="JC92" s="290">
        <f>$JC$87*JB92</f>
        <v>0</v>
      </c>
      <c r="JD92" s="290">
        <f>IF(IY92=$JD$85,$JD$87*JB92,0)</f>
        <v>0</v>
      </c>
      <c r="JE92" s="290">
        <f>IF(IY92=$JE$85,$JE$87*JB92,0)</f>
        <v>0</v>
      </c>
      <c r="JF92" s="290">
        <f>IF(IY92=$JF$85,$JF$87*JB92,0)</f>
        <v>0</v>
      </c>
      <c r="JG92" s="290">
        <f>IF(IY92=$JG$85,$JG$87*JB92,0)</f>
        <v>0</v>
      </c>
      <c r="JH92" s="290">
        <f>IF(IY92=$JH$85,$JH$87*JB92,0)</f>
        <v>0</v>
      </c>
      <c r="JI92" s="290">
        <f>IF(IY92=$JI$85,$JI$87*JB92,0)</f>
        <v>0</v>
      </c>
      <c r="JJ92" s="290">
        <f>IF(IY92=$JJ$85,$JJ$87*JB92,0)</f>
        <v>0</v>
      </c>
      <c r="JK92" s="290">
        <f>IF(IY92=$JK$85,$JK$87*JB92,0)</f>
        <v>0</v>
      </c>
      <c r="JL92" s="290">
        <f>$JL$87*JB92</f>
        <v>0</v>
      </c>
      <c r="JM92" s="290">
        <f>$JM$87*JB92</f>
        <v>0</v>
      </c>
      <c r="JN92" s="290">
        <f>$JN$87*JB92</f>
        <v>0</v>
      </c>
      <c r="JO92" s="290">
        <f>$JO$87*JB92</f>
        <v>0</v>
      </c>
      <c r="JP92" s="290">
        <f>$JP$87*JB92</f>
        <v>0</v>
      </c>
      <c r="JQ92" s="290">
        <f>$JQ$87*JB92</f>
        <v>0</v>
      </c>
      <c r="JR92" s="290">
        <f>$JR$87*JB92</f>
        <v>0</v>
      </c>
      <c r="JS92" s="290">
        <f>$JS$87*JB92</f>
        <v>0</v>
      </c>
      <c r="JT92" s="290">
        <f>$JT$87*JB92</f>
        <v>0</v>
      </c>
      <c r="JU92" s="291">
        <f>$JU$87*JB92</f>
        <v>0</v>
      </c>
      <c r="JV92" s="291">
        <f>$JV$87*JB92</f>
        <v>0</v>
      </c>
      <c r="JW92" s="291">
        <f>$JW$87*JB92</f>
        <v>0</v>
      </c>
      <c r="JX92" s="292">
        <f>$JX$87*JB92</f>
        <v>0</v>
      </c>
      <c r="JY92" s="999">
        <v>1</v>
      </c>
      <c r="JZ92" s="286">
        <f>DATE(KC84,INDEX({1,2,3,4,5,6,7,8,9,10,11,12},MATCH(KB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44166</v>
      </c>
      <c r="KA92" s="287">
        <f t="shared" ref="KA92:KA122" si="593">JZ92</f>
        <v>44166</v>
      </c>
      <c r="KB92" s="288">
        <f>'दैनिक माहिती'!M261</f>
        <v>0</v>
      </c>
      <c r="KC92" s="289">
        <f>'दैनिक माहिती'!J261</f>
        <v>0</v>
      </c>
      <c r="KD92" s="289">
        <f>'दैनिक माहिती'!K261</f>
        <v>0</v>
      </c>
      <c r="KE92" s="289">
        <f>'दैनिक माहिती'!L261</f>
        <v>0</v>
      </c>
      <c r="KF92" s="290">
        <f>$KF$87*KE92</f>
        <v>0</v>
      </c>
      <c r="KG92" s="290">
        <f>IF(KB92=$KG$85,$KG$87*KE92,0)</f>
        <v>0</v>
      </c>
      <c r="KH92" s="290">
        <f>IF(KB92=$KH$85,$KH$87*KE92,0)</f>
        <v>0</v>
      </c>
      <c r="KI92" s="290">
        <f>IF(KB92=$KI$85,$KI$87*KE92,0)</f>
        <v>0</v>
      </c>
      <c r="KJ92" s="290">
        <f>IF(KB92=$KJ$85,$KJ$87*KE92,0)</f>
        <v>0</v>
      </c>
      <c r="KK92" s="290">
        <f>IF(KB92=$KK$85,$KK$87*KE92,0)</f>
        <v>0</v>
      </c>
      <c r="KL92" s="290">
        <f>IF(KB92=$KL$85,$KL$87*KE92,0)</f>
        <v>0</v>
      </c>
      <c r="KM92" s="290">
        <f>IF(KB92=$KM$85,$KM$87*KE92,0)</f>
        <v>0</v>
      </c>
      <c r="KN92" s="290">
        <f>IF(KB92=$KN$85,$KN$87*KE92,0)</f>
        <v>0</v>
      </c>
      <c r="KO92" s="290">
        <f>$KO$87*KE92</f>
        <v>0</v>
      </c>
      <c r="KP92" s="290">
        <f>$KP$87*KE92</f>
        <v>0</v>
      </c>
      <c r="KQ92" s="290">
        <f>$KQ$87*KE92</f>
        <v>0</v>
      </c>
      <c r="KR92" s="290">
        <f>$KR$87*KE92</f>
        <v>0</v>
      </c>
      <c r="KS92" s="290">
        <f>$KS$87*KE92</f>
        <v>0</v>
      </c>
      <c r="KT92" s="290">
        <f>$KT$87*KE92</f>
        <v>0</v>
      </c>
      <c r="KU92" s="290">
        <f>$KU$87*KE92</f>
        <v>0</v>
      </c>
      <c r="KV92" s="290">
        <f>$KV$87*KE92</f>
        <v>0</v>
      </c>
      <c r="KW92" s="290">
        <f>$KW$87*KE92</f>
        <v>0</v>
      </c>
      <c r="KX92" s="291">
        <f>$KX$87*KE92</f>
        <v>0</v>
      </c>
      <c r="KY92" s="291">
        <f>$KY$87*KE92</f>
        <v>0</v>
      </c>
      <c r="KZ92" s="291">
        <f>$KZ$87*KE92</f>
        <v>0</v>
      </c>
      <c r="LA92" s="292">
        <f>$LA$87*KE92</f>
        <v>0</v>
      </c>
      <c r="LB92" s="999">
        <v>1</v>
      </c>
      <c r="LC92" s="286">
        <f>DATE(LF84,INDEX({1,2,3,4,5,6,7,8,9,10,11,12},MATCH(LE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44197</v>
      </c>
      <c r="LD92" s="287">
        <f t="shared" ref="LD92:LD122" si="594">LC92</f>
        <v>44197</v>
      </c>
      <c r="LE92" s="288">
        <f>'दैनिक माहिती'!M293</f>
        <v>0</v>
      </c>
      <c r="LF92" s="289">
        <f>'दैनिक माहिती'!J293</f>
        <v>0</v>
      </c>
      <c r="LG92" s="289">
        <f>'दैनिक माहिती'!K293</f>
        <v>0</v>
      </c>
      <c r="LH92" s="289">
        <f>'दैनिक माहिती'!L293</f>
        <v>0</v>
      </c>
      <c r="LI92" s="290">
        <f>$LI$87*LH92</f>
        <v>0</v>
      </c>
      <c r="LJ92" s="290">
        <f>IF(LE92=$LJ$85,$LJ$87*LH92,0)</f>
        <v>0</v>
      </c>
      <c r="LK92" s="290">
        <f>IF(LE92=$LK$85,$LK$87*LH92,0)</f>
        <v>0</v>
      </c>
      <c r="LL92" s="290">
        <f>IF(LE92=$LL$85,$LL$87*LH92,0)</f>
        <v>0</v>
      </c>
      <c r="LM92" s="290">
        <f>IF(LE92=$LM$85,$LM$87*LH92,0)</f>
        <v>0</v>
      </c>
      <c r="LN92" s="290">
        <f>IF(LE92=$LN$85,$LN$87*LH92,0)</f>
        <v>0</v>
      </c>
      <c r="LO92" s="290">
        <f>IF(LE92=$LO$85,$LO$87*LH92,0)</f>
        <v>0</v>
      </c>
      <c r="LP92" s="290">
        <f>IF(LE92=$LP$85,$LP$87*LH92,0)</f>
        <v>0</v>
      </c>
      <c r="LQ92" s="290">
        <f>IF(LE92=$LQ$85,$LQ$87*LH92,0)</f>
        <v>0</v>
      </c>
      <c r="LR92" s="290">
        <f>$LR$87*LH92</f>
        <v>0</v>
      </c>
      <c r="LS92" s="290">
        <f>$LS$87*LH92</f>
        <v>0</v>
      </c>
      <c r="LT92" s="290">
        <f>$LT$87*LH92</f>
        <v>0</v>
      </c>
      <c r="LU92" s="290">
        <f>$LU$87*LH92</f>
        <v>0</v>
      </c>
      <c r="LV92" s="290">
        <f>$LV$87*LH92</f>
        <v>0</v>
      </c>
      <c r="LW92" s="290">
        <f>$LW$87*LH92</f>
        <v>0</v>
      </c>
      <c r="LX92" s="290">
        <f>$LX$87*LH92</f>
        <v>0</v>
      </c>
      <c r="LY92" s="290">
        <f>$LY$87*LH92</f>
        <v>0</v>
      </c>
      <c r="LZ92" s="290">
        <f>$LZ$87*LH92</f>
        <v>0</v>
      </c>
      <c r="MA92" s="291">
        <f>$MA$87*LH92</f>
        <v>0</v>
      </c>
      <c r="MB92" s="291">
        <f>$MB$87*LH92</f>
        <v>0</v>
      </c>
      <c r="MC92" s="291">
        <f>$MC$87*LH92</f>
        <v>0</v>
      </c>
      <c r="MD92" s="292">
        <f>$MD$87*LH92</f>
        <v>0</v>
      </c>
      <c r="ME92" s="999">
        <v>1</v>
      </c>
      <c r="MF92" s="286">
        <f>DATE(MI84,INDEX({1,2,3,4,5,6,7,8,9,10,11,12},MATCH(MH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44228</v>
      </c>
      <c r="MG92" s="287">
        <f t="shared" ref="MG92:MG122" si="595">MF92</f>
        <v>44228</v>
      </c>
      <c r="MH92" s="288">
        <f>'दैनिक माहिती'!M325</f>
        <v>0</v>
      </c>
      <c r="MI92" s="289">
        <f>'दैनिक माहिती'!J325</f>
        <v>0</v>
      </c>
      <c r="MJ92" s="289">
        <f>'दैनिक माहिती'!K325</f>
        <v>0</v>
      </c>
      <c r="MK92" s="289">
        <f>'दैनिक माहिती'!L325</f>
        <v>0</v>
      </c>
      <c r="ML92" s="290">
        <f>$ML$87*MK92</f>
        <v>0</v>
      </c>
      <c r="MM92" s="290">
        <f>IF(MH92=$MM$85,$MM$87*MK92,0)</f>
        <v>0</v>
      </c>
      <c r="MN92" s="290">
        <f>IF(MH92=$MN$85,$MN$87*MK92,0)</f>
        <v>0</v>
      </c>
      <c r="MO92" s="290">
        <f>IF(MH92=$MO$85,$MO$87*MK92,0)</f>
        <v>0</v>
      </c>
      <c r="MP92" s="290">
        <f>IF(MH92=$MP$85,$MP$87*MK92,0)</f>
        <v>0</v>
      </c>
      <c r="MQ92" s="290">
        <f>IF(MH92=$MQ$85,$MQ$87*MK92,0)</f>
        <v>0</v>
      </c>
      <c r="MR92" s="290">
        <f>IF(MH92=$MR$85,$MR$87*MK92,0)</f>
        <v>0</v>
      </c>
      <c r="MS92" s="290">
        <f>IF(MH92=$MS$85,$MS$87*MK92,0)</f>
        <v>0</v>
      </c>
      <c r="MT92" s="290">
        <f>IF(MH92=$MT$85,$MT$87*MK92,0)</f>
        <v>0</v>
      </c>
      <c r="MU92" s="290">
        <f>$MU$87*MK92</f>
        <v>0</v>
      </c>
      <c r="MV92" s="290">
        <f>$MV$87*MK92</f>
        <v>0</v>
      </c>
      <c r="MW92" s="290">
        <f>$MW$87*MK92</f>
        <v>0</v>
      </c>
      <c r="MX92" s="290">
        <f>$MX$87*MK92</f>
        <v>0</v>
      </c>
      <c r="MY92" s="290">
        <f>$MY$87*MK92</f>
        <v>0</v>
      </c>
      <c r="MZ92" s="290">
        <f>$MZ$87*MK92</f>
        <v>0</v>
      </c>
      <c r="NA92" s="290">
        <f>$NA$87*MK92</f>
        <v>0</v>
      </c>
      <c r="NB92" s="290">
        <f>$NB$87*MK92</f>
        <v>0</v>
      </c>
      <c r="NC92" s="290">
        <f>$NC$87*MK92</f>
        <v>0</v>
      </c>
      <c r="ND92" s="291">
        <f>$ND$87*MK92</f>
        <v>0</v>
      </c>
      <c r="NE92" s="291">
        <f>$NE$87*MK92</f>
        <v>0</v>
      </c>
      <c r="NF92" s="291">
        <f>$NF$87*MK92</f>
        <v>0</v>
      </c>
      <c r="NG92" s="292">
        <f>$NG$87*MK92</f>
        <v>0</v>
      </c>
      <c r="NH92" s="999">
        <v>1</v>
      </c>
      <c r="NI92" s="286">
        <f>DATE(NL84,INDEX({1,2,3,4,5,6,7,8,9,10,11,12},MATCH(NK84,{"जानेवारी","फेब्रुवारी","मार्च","एप्रिल","मे","जून","जुलै","ऑगस्ट","सप्टेंबर","ऑक्टोबर","नोव्हेंबर","डिसेंबर"},0)),1)</f>
        <v>44256</v>
      </c>
      <c r="NJ92" s="287">
        <f t="shared" ref="NJ92:NJ122" si="596">NI92</f>
        <v>44256</v>
      </c>
      <c r="NK92" s="288">
        <f>'दैनिक माहिती'!M355</f>
        <v>0</v>
      </c>
      <c r="NL92" s="289">
        <f>'दैनिक माहिती'!J355</f>
        <v>0</v>
      </c>
      <c r="NM92" s="289">
        <f>'दैनिक माहिती'!K355</f>
        <v>0</v>
      </c>
      <c r="NN92" s="289">
        <f>'दैनिक माहिती'!L355</f>
        <v>0</v>
      </c>
      <c r="NO92" s="290">
        <f>$NO$87*NN92</f>
        <v>0</v>
      </c>
      <c r="NP92" s="290">
        <f>IF(NK92=$NP$85,$NP$87*NN92,0)</f>
        <v>0</v>
      </c>
      <c r="NQ92" s="290">
        <f>IF(NK92=$NQ$85,$NQ$87*NN92,0)</f>
        <v>0</v>
      </c>
      <c r="NR92" s="290">
        <f>IF(NK92=$NR$85,$NR$87*NN92,0)</f>
        <v>0</v>
      </c>
      <c r="NS92" s="290">
        <f>IF(NK92=$NS$85,$NS$87*NN92,0)</f>
        <v>0</v>
      </c>
      <c r="NT92" s="290">
        <f>IF(NK92=$NT$85,$NT$87*NN92,0)</f>
        <v>0</v>
      </c>
      <c r="NU92" s="290">
        <f>IF(NK92=$NU$85,$NU$87*NN92,0)</f>
        <v>0</v>
      </c>
      <c r="NV92" s="290">
        <f>IF(NK92=$NV$85,$NV$87*NN92,0)</f>
        <v>0</v>
      </c>
      <c r="NW92" s="290">
        <f>IF(NK92=$NW$85,$NW$87*NN92,0)</f>
        <v>0</v>
      </c>
      <c r="NX92" s="290">
        <f>$NX$87*NN92</f>
        <v>0</v>
      </c>
      <c r="NY92" s="290">
        <f>$NY$87*NN92</f>
        <v>0</v>
      </c>
      <c r="NZ92" s="290">
        <f>$NZ$87*NN92</f>
        <v>0</v>
      </c>
      <c r="OA92" s="290">
        <f>$OA$87*NN92</f>
        <v>0</v>
      </c>
      <c r="OB92" s="290">
        <f>$OB$87*NN92</f>
        <v>0</v>
      </c>
      <c r="OC92" s="290">
        <f>$OC$87*NN92</f>
        <v>0</v>
      </c>
      <c r="OD92" s="290">
        <f>$OD$87*NN92</f>
        <v>0</v>
      </c>
      <c r="OE92" s="290">
        <f>$OE$87*NN92</f>
        <v>0</v>
      </c>
      <c r="OF92" s="290">
        <f>$OF$87*NN92</f>
        <v>0</v>
      </c>
      <c r="OG92" s="291">
        <f>$OG$87*NN92</f>
        <v>0</v>
      </c>
      <c r="OH92" s="291">
        <f>$OH$87*NN92</f>
        <v>0</v>
      </c>
      <c r="OI92" s="291">
        <f>$OI$87*NN92</f>
        <v>0</v>
      </c>
      <c r="OJ92" s="292">
        <f>$OJ$87*NN92</f>
        <v>0</v>
      </c>
    </row>
    <row r="93" spans="53:400" ht="29.25" customHeight="1" x14ac:dyDescent="0.3">
      <c r="BA93" s="999">
        <v>2</v>
      </c>
      <c r="BB93" s="286">
        <f>BB92+1</f>
        <v>43923</v>
      </c>
      <c r="BC93" s="293">
        <f t="shared" si="585"/>
        <v>43923</v>
      </c>
      <c r="BD93" s="288">
        <f>'दैनिक माहिती'!M10</f>
        <v>0</v>
      </c>
      <c r="BE93" s="289">
        <f>'दैनिक माहिती'!J10</f>
        <v>0</v>
      </c>
      <c r="BF93" s="289">
        <f>'दैनिक माहिती'!K10</f>
        <v>0</v>
      </c>
      <c r="BG93" s="289">
        <f>'दैनिक माहिती'!L10</f>
        <v>0</v>
      </c>
      <c r="BH93" s="290">
        <f t="shared" ref="BH93:BH122" si="597">$BH$87*BG93</f>
        <v>0</v>
      </c>
      <c r="BI93" s="290">
        <f t="shared" ref="BI93:BI122" si="598">IF(BD93=$BI$85,$BI$87*BG93,0)</f>
        <v>0</v>
      </c>
      <c r="BJ93" s="290">
        <f t="shared" ref="BJ93:BJ122" si="599">IF(BD93=$BJ$85,$BJ$87*BG93,0)</f>
        <v>0</v>
      </c>
      <c r="BK93" s="290">
        <f t="shared" ref="BK93:BK122" si="600">IF(BD93=$BK$85,$BK$87*BG93,0)</f>
        <v>0</v>
      </c>
      <c r="BL93" s="290">
        <f t="shared" ref="BL93:BL122" si="601">IF(BD93=$BL$85,$BL$87*BG93,0)</f>
        <v>0</v>
      </c>
      <c r="BM93" s="290">
        <f t="shared" ref="BM93:BM122" si="602">IF(BD93=$BM$85,$BM$87*BG93,0)</f>
        <v>0</v>
      </c>
      <c r="BN93" s="290">
        <f t="shared" ref="BN93:BN122" si="603">IF(BD93=$BN$85,$BN$87*BG93,0)</f>
        <v>0</v>
      </c>
      <c r="BO93" s="290">
        <f t="shared" ref="BO93:BO122" si="604">IF(BD93=$BO$85,$BO$87*BG93,0)</f>
        <v>0</v>
      </c>
      <c r="BP93" s="290">
        <f t="shared" ref="BP93:BP122" si="605">IF(BD93=$BP$85,$BP$87*BG93,0)</f>
        <v>0</v>
      </c>
      <c r="BQ93" s="290">
        <f t="shared" ref="BQ93:BQ122" si="606">$BQ$87*BG93</f>
        <v>0</v>
      </c>
      <c r="BR93" s="290">
        <f t="shared" ref="BR93:BR122" si="607">$BR$87*BG93</f>
        <v>0</v>
      </c>
      <c r="BS93" s="290">
        <f t="shared" ref="BS93:BS122" si="608">$BS$87*BG93</f>
        <v>0</v>
      </c>
      <c r="BT93" s="290">
        <f t="shared" ref="BT93:BT122" si="609">$BT$87*BG93</f>
        <v>0</v>
      </c>
      <c r="BU93" s="290">
        <f t="shared" ref="BU93:BU122" si="610">$BU$87*BG93</f>
        <v>0</v>
      </c>
      <c r="BV93" s="290">
        <f t="shared" ref="BV93:BV122" si="611">$BV$87*BG93</f>
        <v>0</v>
      </c>
      <c r="BW93" s="290">
        <f t="shared" ref="BW93:BW122" si="612">$BW$87*BG93</f>
        <v>0</v>
      </c>
      <c r="BX93" s="290">
        <f t="shared" ref="BX93:BX122" si="613">$BX$87*BG93</f>
        <v>0</v>
      </c>
      <c r="BY93" s="290">
        <f t="shared" ref="BY93:BY122" si="614">$BY$87*BG93</f>
        <v>0</v>
      </c>
      <c r="BZ93" s="291">
        <f t="shared" ref="BZ93:BZ122" si="615">$BZ$87*BG93</f>
        <v>0</v>
      </c>
      <c r="CA93" s="291">
        <f t="shared" ref="CA93:CA122" si="616">$CA$87*BG93</f>
        <v>0</v>
      </c>
      <c r="CB93" s="291">
        <f t="shared" ref="CB93:CB122" si="617">$CB$87*BG93</f>
        <v>0</v>
      </c>
      <c r="CC93" s="292">
        <f t="shared" ref="CC93:CC122" si="618">$CC$87*BG93</f>
        <v>0</v>
      </c>
      <c r="CD93" s="999">
        <v>2</v>
      </c>
      <c r="CE93" s="286">
        <f>CE92+1</f>
        <v>43953</v>
      </c>
      <c r="CF93" s="293">
        <f t="shared" si="586"/>
        <v>43953</v>
      </c>
      <c r="CG93" s="288">
        <f>'दैनिक माहिती'!M41</f>
        <v>0</v>
      </c>
      <c r="CH93" s="289">
        <f>'दैनिक माहिती'!J41</f>
        <v>0</v>
      </c>
      <c r="CI93" s="289">
        <f>'दैनिक माहिती'!K41</f>
        <v>0</v>
      </c>
      <c r="CJ93" s="289">
        <f>'दैनिक माहिती'!L41</f>
        <v>0</v>
      </c>
      <c r="CK93" s="290">
        <f t="shared" ref="CK93:CK122" si="619">$CK$87*CJ93</f>
        <v>0</v>
      </c>
      <c r="CL93" s="290">
        <f t="shared" ref="CL93:CL122" si="620">IF(CG93=$CL$85,$CL$87*CJ93,0)</f>
        <v>0</v>
      </c>
      <c r="CM93" s="290">
        <f t="shared" ref="CM93:CM122" si="621">IF(CG93=$CM$85,$CM$87*CJ93,0)</f>
        <v>0</v>
      </c>
      <c r="CN93" s="290">
        <f t="shared" ref="CN93:CN122" si="622">IF(CG93=$CN$85,$CN$87*CJ93,0)</f>
        <v>0</v>
      </c>
      <c r="CO93" s="290">
        <f t="shared" ref="CO93:CO122" si="623">IF(CG93=$CO$85,$CO$87*CJ93,0)</f>
        <v>0</v>
      </c>
      <c r="CP93" s="290">
        <f t="shared" ref="CP93:CP122" si="624">IF(CG93=$CP$85,$CP$87*CJ93,0)</f>
        <v>0</v>
      </c>
      <c r="CQ93" s="290">
        <f t="shared" ref="CQ93:CQ122" si="625">IF(CG93=$CQ$85,$CQ$87*CJ93,0)</f>
        <v>0</v>
      </c>
      <c r="CR93" s="290">
        <f t="shared" ref="CR93:CR122" si="626">IF(CG93=$CR$85,$CR$87*CJ93,0)</f>
        <v>0</v>
      </c>
      <c r="CS93" s="290">
        <f t="shared" ref="CS93:CS122" si="627">IF(CG93=$CS$85,$CS$87*CJ93,0)</f>
        <v>0</v>
      </c>
      <c r="CT93" s="290">
        <f t="shared" ref="CT93:CT122" si="628">$CT$87*CJ93</f>
        <v>0</v>
      </c>
      <c r="CU93" s="290">
        <f t="shared" ref="CU93:CU122" si="629">$CU$87*CJ93</f>
        <v>0</v>
      </c>
      <c r="CV93" s="290">
        <f t="shared" ref="CV93:CV122" si="630">$CV$87*CJ93</f>
        <v>0</v>
      </c>
      <c r="CW93" s="290">
        <f t="shared" ref="CW93:CW122" si="631">$CW$87*CJ93</f>
        <v>0</v>
      </c>
      <c r="CX93" s="290">
        <f t="shared" ref="CX93:CX122" si="632">$CX$87*CJ93</f>
        <v>0</v>
      </c>
      <c r="CY93" s="290">
        <f t="shared" ref="CY93:CY122" si="633">$CY$87*CJ93</f>
        <v>0</v>
      </c>
      <c r="CZ93" s="290">
        <f t="shared" ref="CZ93:CZ122" si="634">$CZ$87*CJ93</f>
        <v>0</v>
      </c>
      <c r="DA93" s="290">
        <f t="shared" ref="DA93:DA122" si="635">$DA$87*CJ93</f>
        <v>0</v>
      </c>
      <c r="DB93" s="290">
        <f t="shared" ref="DB93:DB122" si="636">$DB$87*CJ93</f>
        <v>0</v>
      </c>
      <c r="DC93" s="291">
        <f t="shared" ref="DC93:DC122" si="637">$DC$87*CJ93</f>
        <v>0</v>
      </c>
      <c r="DD93" s="291">
        <f t="shared" ref="DD93:DD122" si="638">$DD$87*CJ93</f>
        <v>0</v>
      </c>
      <c r="DE93" s="291">
        <f t="shared" ref="DE93:DE122" si="639">$DE$87*CJ93</f>
        <v>0</v>
      </c>
      <c r="DF93" s="292">
        <f t="shared" ref="DF93:DF122" si="640">$DF$87*CJ93</f>
        <v>0</v>
      </c>
      <c r="DG93" s="999">
        <v>2</v>
      </c>
      <c r="DH93" s="286">
        <f>DH92+1</f>
        <v>43984</v>
      </c>
      <c r="DI93" s="293">
        <f t="shared" si="587"/>
        <v>43984</v>
      </c>
      <c r="DJ93" s="288">
        <f>'दैनिक माहिती'!M73</f>
        <v>0</v>
      </c>
      <c r="DK93" s="289">
        <f>'दैनिक माहिती'!J73</f>
        <v>0</v>
      </c>
      <c r="DL93" s="289">
        <f>'दैनिक माहिती'!K73</f>
        <v>0</v>
      </c>
      <c r="DM93" s="289">
        <f>'दैनिक माहिती'!L73</f>
        <v>0</v>
      </c>
      <c r="DN93" s="290">
        <f t="shared" ref="DN93:DN122" si="641">$DN$87*DM93</f>
        <v>0</v>
      </c>
      <c r="DO93" s="290">
        <f t="shared" ref="DO93:DO122" si="642">IF(DJ93=$DO$85,$DO$87*DM93,0)</f>
        <v>0</v>
      </c>
      <c r="DP93" s="290">
        <f t="shared" ref="DP93:DP122" si="643">IF(DJ93=$DP$85,$DP$87*DM93,0)</f>
        <v>0</v>
      </c>
      <c r="DQ93" s="290">
        <f t="shared" ref="DQ93:DQ122" si="644">IF(DJ93=$DQ$85,$DQ$87*DM93,0)</f>
        <v>0</v>
      </c>
      <c r="DR93" s="290">
        <f t="shared" ref="DR93:DR122" si="645">IF(DJ93=$DR$85,$DR$87*DM93,0)</f>
        <v>0</v>
      </c>
      <c r="DS93" s="290">
        <f t="shared" ref="DS93:DS122" si="646">IF(DJ93=$DS$85,$DS$87*DM93,0)</f>
        <v>0</v>
      </c>
      <c r="DT93" s="290">
        <f t="shared" ref="DT93:DT122" si="647">IF(DJ93=$DT$85,$DT$87*DM93,0)</f>
        <v>0</v>
      </c>
      <c r="DU93" s="290">
        <f t="shared" ref="DU93:DU122" si="648">IF(DJ93=$DU$85,$DU$87*DM93,0)</f>
        <v>0</v>
      </c>
      <c r="DV93" s="290">
        <f t="shared" ref="DV93:DV122" si="649">IF(DJ93=$DV$85,$DV$87*DM93,0)</f>
        <v>0</v>
      </c>
      <c r="DW93" s="290">
        <f t="shared" ref="DW93:DW122" si="650">$DW$87*DM93</f>
        <v>0</v>
      </c>
      <c r="DX93" s="290">
        <f t="shared" ref="DX93:DX122" si="651">$DX$87*DM93</f>
        <v>0</v>
      </c>
      <c r="DY93" s="290">
        <f t="shared" ref="DY93:DY122" si="652">$DY$87*DM93</f>
        <v>0</v>
      </c>
      <c r="DZ93" s="290">
        <f t="shared" ref="DZ93:DZ122" si="653">$DZ$87*DM93</f>
        <v>0</v>
      </c>
      <c r="EA93" s="290">
        <f t="shared" ref="EA93:EA122" si="654">$EA$87*DM93</f>
        <v>0</v>
      </c>
      <c r="EB93" s="290">
        <f t="shared" ref="EB93:EB122" si="655">$EB$87*DM93</f>
        <v>0</v>
      </c>
      <c r="EC93" s="290">
        <f t="shared" ref="EC93:EC122" si="656">$EC$87*DM93</f>
        <v>0</v>
      </c>
      <c r="ED93" s="290">
        <f t="shared" ref="ED93:ED122" si="657">$ED$87*DM93</f>
        <v>0</v>
      </c>
      <c r="EE93" s="290">
        <f t="shared" ref="EE93:EE122" si="658">$EE$87*DM93</f>
        <v>0</v>
      </c>
      <c r="EF93" s="291">
        <f t="shared" ref="EF93:EF122" si="659">$EF$87*DM93</f>
        <v>0</v>
      </c>
      <c r="EG93" s="291">
        <f t="shared" ref="EG93:EG122" si="660">$EG$87*DM93</f>
        <v>0</v>
      </c>
      <c r="EH93" s="291">
        <f t="shared" ref="EH93:EH122" si="661">$EH$87*DM93</f>
        <v>0</v>
      </c>
      <c r="EI93" s="292">
        <f t="shared" ref="EI93:EI122" si="662">$EI$87*DM93</f>
        <v>0</v>
      </c>
      <c r="EJ93" s="999">
        <v>2</v>
      </c>
      <c r="EK93" s="286">
        <f>EK92+1</f>
        <v>44014</v>
      </c>
      <c r="EL93" s="293">
        <f t="shared" si="588"/>
        <v>44014</v>
      </c>
      <c r="EM93" s="288">
        <f>'दैनिक माहिती'!M104</f>
        <v>0</v>
      </c>
      <c r="EN93" s="289">
        <f>'दैनिक माहिती'!J104</f>
        <v>0</v>
      </c>
      <c r="EO93" s="289">
        <f>'दैनिक माहिती'!K104</f>
        <v>0</v>
      </c>
      <c r="EP93" s="289">
        <f>'दैनिक माहिती'!L104</f>
        <v>0</v>
      </c>
      <c r="EQ93" s="290">
        <f t="shared" ref="EQ93:EQ122" si="663">$EQ$87*EP93</f>
        <v>0</v>
      </c>
      <c r="ER93" s="290">
        <f t="shared" ref="ER93:ER122" si="664">IF(EM93=$ER$85,$ER$87*EP93,0)</f>
        <v>0</v>
      </c>
      <c r="ES93" s="290">
        <f t="shared" ref="ES93:ES122" si="665">IF(EM93=$ES$85,$ES$87*EP93,0)</f>
        <v>0</v>
      </c>
      <c r="ET93" s="290">
        <f t="shared" ref="ET93:ET122" si="666">IF(EM93=$ET$85,$ET$87*EP93,0)</f>
        <v>0</v>
      </c>
      <c r="EU93" s="290">
        <f t="shared" ref="EU93:EU122" si="667">IF(EM93=$EU$85,$EU$87*EP93,0)</f>
        <v>0</v>
      </c>
      <c r="EV93" s="290">
        <f t="shared" ref="EV93:EV122" si="668">IF(EM93=$EV$85,$EV$87*EP93,0)</f>
        <v>0</v>
      </c>
      <c r="EW93" s="290">
        <f t="shared" ref="EW93:EW122" si="669">IF(EM93=$EW$85,$EW$87*EP93,0)</f>
        <v>0</v>
      </c>
      <c r="EX93" s="290">
        <f t="shared" ref="EX93:EX122" si="670">IF(EM93=$EX$85,$EX$87*EP93,0)</f>
        <v>0</v>
      </c>
      <c r="EY93" s="290">
        <f t="shared" ref="EY93:EY122" si="671">IF(EM93=$EY$85,$EY$87*EP93,0)</f>
        <v>0</v>
      </c>
      <c r="EZ93" s="290">
        <f t="shared" ref="EZ93:EZ122" si="672">$EZ$87*EP93</f>
        <v>0</v>
      </c>
      <c r="FA93" s="290">
        <f t="shared" ref="FA93:FA122" si="673">$FA$87*EP93</f>
        <v>0</v>
      </c>
      <c r="FB93" s="290">
        <f t="shared" ref="FB93:FB122" si="674">$FB$87*EP93</f>
        <v>0</v>
      </c>
      <c r="FC93" s="290">
        <f t="shared" ref="FC93:FC122" si="675">$FC$87*EP93</f>
        <v>0</v>
      </c>
      <c r="FD93" s="290">
        <f t="shared" ref="FD93:FD122" si="676">$FD$87*EP93</f>
        <v>0</v>
      </c>
      <c r="FE93" s="290">
        <f t="shared" ref="FE93:FE122" si="677">$FE$87*EP93</f>
        <v>0</v>
      </c>
      <c r="FF93" s="290">
        <f t="shared" ref="FF93:FF122" si="678">$FF$87*EP93</f>
        <v>0</v>
      </c>
      <c r="FG93" s="290">
        <f t="shared" ref="FG93:FG122" si="679">$FG$87*EP93</f>
        <v>0</v>
      </c>
      <c r="FH93" s="290">
        <f t="shared" ref="FH93:FH122" si="680">$FH$87*EP93</f>
        <v>0</v>
      </c>
      <c r="FI93" s="291">
        <f t="shared" ref="FI93:FI122" si="681">$FI$87*EP93</f>
        <v>0</v>
      </c>
      <c r="FJ93" s="291">
        <f t="shared" ref="FJ93:FJ122" si="682">$FJ$87*EP93</f>
        <v>0</v>
      </c>
      <c r="FK93" s="291">
        <f t="shared" ref="FK93:FK122" si="683">$FK$87*EP93</f>
        <v>0</v>
      </c>
      <c r="FL93" s="292">
        <f t="shared" ref="FL93:FL122" si="684">$FL$87*EP93</f>
        <v>0</v>
      </c>
      <c r="FM93" s="999">
        <v>2</v>
      </c>
      <c r="FN93" s="286">
        <f>FN92+1</f>
        <v>44045</v>
      </c>
      <c r="FO93" s="293">
        <f t="shared" si="589"/>
        <v>44045</v>
      </c>
      <c r="FP93" s="288">
        <f>'दैनिक माहिती'!M136</f>
        <v>0</v>
      </c>
      <c r="FQ93" s="289">
        <f>'दैनिक माहिती'!J136</f>
        <v>0</v>
      </c>
      <c r="FR93" s="289">
        <f>'दैनिक माहिती'!K136</f>
        <v>0</v>
      </c>
      <c r="FS93" s="289">
        <f>'दैनिक माहिती'!L136</f>
        <v>0</v>
      </c>
      <c r="FT93" s="290">
        <f t="shared" ref="FT93:FT122" si="685">$FT$87*FS93</f>
        <v>0</v>
      </c>
      <c r="FU93" s="290">
        <f t="shared" ref="FU93:FU122" si="686">IF(FP93=$FU$85,$FU$87*FS93,0)</f>
        <v>0</v>
      </c>
      <c r="FV93" s="290">
        <f t="shared" ref="FV93:FV122" si="687">IF(FP93=$FV$85,$FV$87*FS93,0)</f>
        <v>0</v>
      </c>
      <c r="FW93" s="290">
        <f t="shared" ref="FW93:FW122" si="688">IF(FP93=$FW$85,$FW$87*FS93,0)</f>
        <v>0</v>
      </c>
      <c r="FX93" s="290">
        <f t="shared" ref="FX93:FX122" si="689">IF(FP93=$FX$85,$FX$87*FS93,0)</f>
        <v>0</v>
      </c>
      <c r="FY93" s="290">
        <f t="shared" ref="FY93:FY122" si="690">IF(FP93=$FY$85,$FY$87*FS93,0)</f>
        <v>0</v>
      </c>
      <c r="FZ93" s="290">
        <f t="shared" ref="FZ93:FZ122" si="691">IF(FP93=$FZ$85,$FZ$87*FS93,0)</f>
        <v>0</v>
      </c>
      <c r="GA93" s="290">
        <f t="shared" ref="GA93:GA122" si="692">IF(FP93=$GA$85,$GA$87*FS93,0)</f>
        <v>0</v>
      </c>
      <c r="GB93" s="290">
        <f t="shared" ref="GB93:GB122" si="693">IF(FP93=$GB$85,$GB$87*FS93,0)</f>
        <v>0</v>
      </c>
      <c r="GC93" s="290">
        <f t="shared" ref="GC93:GC122" si="694">$GC$87*FS93</f>
        <v>0</v>
      </c>
      <c r="GD93" s="290">
        <f t="shared" ref="GD93:GD122" si="695">$GD$87*FS93</f>
        <v>0</v>
      </c>
      <c r="GE93" s="290">
        <f t="shared" ref="GE93:GE122" si="696">$GE$87*FS93</f>
        <v>0</v>
      </c>
      <c r="GF93" s="290">
        <f t="shared" ref="GF93:GF122" si="697">$GF$87*FS93</f>
        <v>0</v>
      </c>
      <c r="GG93" s="290">
        <f t="shared" ref="GG93:GG122" si="698">$GG$87*FS93</f>
        <v>0</v>
      </c>
      <c r="GH93" s="290">
        <f t="shared" ref="GH93:GH122" si="699">$GH$87*FS93</f>
        <v>0</v>
      </c>
      <c r="GI93" s="290">
        <f t="shared" ref="GI93:GI122" si="700">$GI$87*FS93</f>
        <v>0</v>
      </c>
      <c r="GJ93" s="290">
        <f t="shared" ref="GJ93:GJ122" si="701">$GJ$87*FS93</f>
        <v>0</v>
      </c>
      <c r="GK93" s="290">
        <f t="shared" ref="GK93:GK122" si="702">$GK$87*FS93</f>
        <v>0</v>
      </c>
      <c r="GL93" s="291">
        <f t="shared" ref="GL93:GL122" si="703">$GL$87*FS93</f>
        <v>0</v>
      </c>
      <c r="GM93" s="291">
        <f t="shared" ref="GM93:GM122" si="704">$GM$87*FS93</f>
        <v>0</v>
      </c>
      <c r="GN93" s="291">
        <f t="shared" ref="GN93:GN122" si="705">$GN$87*FS93</f>
        <v>0</v>
      </c>
      <c r="GO93" s="292">
        <f t="shared" ref="GO93:GO122" si="706">$GO$87*FS93</f>
        <v>0</v>
      </c>
      <c r="GP93" s="999">
        <v>2</v>
      </c>
      <c r="GQ93" s="286">
        <f>GQ92+1</f>
        <v>44076</v>
      </c>
      <c r="GR93" s="293">
        <f t="shared" si="590"/>
        <v>44076</v>
      </c>
      <c r="GS93" s="288">
        <f>'दैनिक माहिती'!M168</f>
        <v>0</v>
      </c>
      <c r="GT93" s="289">
        <f>'दैनिक माहिती'!J168</f>
        <v>0</v>
      </c>
      <c r="GU93" s="289">
        <f>'दैनिक माहिती'!K168</f>
        <v>0</v>
      </c>
      <c r="GV93" s="289">
        <f>'दैनिक माहिती'!L168</f>
        <v>0</v>
      </c>
      <c r="GW93" s="290">
        <f t="shared" ref="GW93:GW122" si="707">$GW$87*GV93</f>
        <v>0</v>
      </c>
      <c r="GX93" s="290">
        <f t="shared" ref="GX93:GX122" si="708">IF(GS93=$GX$85,$GX$87*GV93,0)</f>
        <v>0</v>
      </c>
      <c r="GY93" s="290">
        <f t="shared" ref="GY93:GY122" si="709">IF(GS93=$GY$85,$GY$87*GV93,0)</f>
        <v>0</v>
      </c>
      <c r="GZ93" s="290">
        <f t="shared" ref="GZ93:GZ122" si="710">IF(GS93=$GZ$85,$GZ$87*GV93,0)</f>
        <v>0</v>
      </c>
      <c r="HA93" s="290">
        <f t="shared" ref="HA93:HA122" si="711">IF(GS93=$HA$85,$HA$87*GV93,0)</f>
        <v>0</v>
      </c>
      <c r="HB93" s="290">
        <f t="shared" ref="HB93:HB122" si="712">IF(GS93=$HB$85,$HB$87*GV93,0)</f>
        <v>0</v>
      </c>
      <c r="HC93" s="290">
        <f t="shared" ref="HC93:HC122" si="713">IF(GS93=$HC$85,$HC$87*GV93,0)</f>
        <v>0</v>
      </c>
      <c r="HD93" s="290">
        <f t="shared" ref="HD93:HD122" si="714">IF(GS93=$HD$85,$HD$87*GV93,0)</f>
        <v>0</v>
      </c>
      <c r="HE93" s="290">
        <f t="shared" ref="HE93:HE122" si="715">IF(GS93=$HE$85,$HE$87*GV93,0)</f>
        <v>0</v>
      </c>
      <c r="HF93" s="290">
        <f t="shared" ref="HF93:HF122" si="716">$HF$87*GV93</f>
        <v>0</v>
      </c>
      <c r="HG93" s="290">
        <f t="shared" ref="HG93:HG122" si="717">$HG$87*GV93</f>
        <v>0</v>
      </c>
      <c r="HH93" s="290">
        <f t="shared" ref="HH93:HH122" si="718">$HH$87*GV93</f>
        <v>0</v>
      </c>
      <c r="HI93" s="290">
        <f t="shared" ref="HI93:HI122" si="719">$HI$87*GV93</f>
        <v>0</v>
      </c>
      <c r="HJ93" s="290">
        <f t="shared" ref="HJ93:HJ122" si="720">$HJ$87*GV93</f>
        <v>0</v>
      </c>
      <c r="HK93" s="290">
        <f t="shared" ref="HK93:HK122" si="721">$HK$87*GV93</f>
        <v>0</v>
      </c>
      <c r="HL93" s="290">
        <f t="shared" ref="HL93:HL122" si="722">$HL$87*GV93</f>
        <v>0</v>
      </c>
      <c r="HM93" s="290">
        <f t="shared" ref="HM93:HM122" si="723">$HM$87*GV93</f>
        <v>0</v>
      </c>
      <c r="HN93" s="290">
        <f t="shared" ref="HN93:HN122" si="724">$HN$87*GV93</f>
        <v>0</v>
      </c>
      <c r="HO93" s="291">
        <f t="shared" ref="HO93:HO122" si="725">$HO$87*GV93</f>
        <v>0</v>
      </c>
      <c r="HP93" s="291">
        <f t="shared" ref="HP93:HP122" si="726">$HP$87*GV93</f>
        <v>0</v>
      </c>
      <c r="HQ93" s="291">
        <f t="shared" ref="HQ93:HQ122" si="727">$HQ$87*GV93</f>
        <v>0</v>
      </c>
      <c r="HR93" s="292">
        <f t="shared" ref="HR93:HR122" si="728">$HR$87*GV93</f>
        <v>0</v>
      </c>
      <c r="HS93" s="999">
        <v>2</v>
      </c>
      <c r="HT93" s="286">
        <f>HT92+1</f>
        <v>44106</v>
      </c>
      <c r="HU93" s="293">
        <f t="shared" si="591"/>
        <v>44106</v>
      </c>
      <c r="HV93" s="288">
        <f>'दैनिक माहिती'!M199</f>
        <v>0</v>
      </c>
      <c r="HW93" s="289">
        <f>'दैनिक माहिती'!J199</f>
        <v>0</v>
      </c>
      <c r="HX93" s="289">
        <f>'दैनिक माहिती'!K199</f>
        <v>0</v>
      </c>
      <c r="HY93" s="289">
        <f>'दैनिक माहिती'!L199</f>
        <v>0</v>
      </c>
      <c r="HZ93" s="290">
        <f t="shared" ref="HZ93:HZ122" si="729">$HZ$87*HY93</f>
        <v>0</v>
      </c>
      <c r="IA93" s="290">
        <f t="shared" ref="IA93:IA122" si="730">IF(HV93=$IA$85,$IA$87*HY93,0)</f>
        <v>0</v>
      </c>
      <c r="IB93" s="290">
        <f t="shared" ref="IB93:IB122" si="731">IF(HV93=$IB$85,$IB$87*HY93,0)</f>
        <v>0</v>
      </c>
      <c r="IC93" s="290">
        <f t="shared" ref="IC93:IC122" si="732">IF(HV93=$IC$85,$IC$87*HY93,0)</f>
        <v>0</v>
      </c>
      <c r="ID93" s="290">
        <f t="shared" ref="ID93:ID122" si="733">IF(HV93=$ID$85,$ID$87*HY93,0)</f>
        <v>0</v>
      </c>
      <c r="IE93" s="290">
        <f t="shared" ref="IE93:IE122" si="734">IF(HV93=$IE$85,$IE$87*HY93,0)</f>
        <v>0</v>
      </c>
      <c r="IF93" s="290">
        <f t="shared" ref="IF93:IF122" si="735">IF(HV93=$IF$85,$IF$87*HY93,0)</f>
        <v>0</v>
      </c>
      <c r="IG93" s="290">
        <f t="shared" ref="IG93:IG122" si="736">IF(HV93=$IG$85,$IG$87*HY93,0)</f>
        <v>0</v>
      </c>
      <c r="IH93" s="290">
        <f t="shared" ref="IH93:IH122" si="737">IF(HV93=$IH$85,$IH$87*HY93,0)</f>
        <v>0</v>
      </c>
      <c r="II93" s="290">
        <f t="shared" ref="II93:II122" si="738">$II$87*HY93</f>
        <v>0</v>
      </c>
      <c r="IJ93" s="290">
        <f t="shared" ref="IJ93:IJ122" si="739">$IJ$87*HY93</f>
        <v>0</v>
      </c>
      <c r="IK93" s="290">
        <f t="shared" ref="IK93:IK122" si="740">$IK$87*HY93</f>
        <v>0</v>
      </c>
      <c r="IL93" s="290">
        <f t="shared" ref="IL93:IL122" si="741">$IL$87*HY93</f>
        <v>0</v>
      </c>
      <c r="IM93" s="290">
        <f t="shared" ref="IM93:IM122" si="742">$IM$87*HY93</f>
        <v>0</v>
      </c>
      <c r="IN93" s="290">
        <f t="shared" ref="IN93:IN122" si="743">$IN$87*HY93</f>
        <v>0</v>
      </c>
      <c r="IO93" s="290">
        <f t="shared" ref="IO93:IO122" si="744">$IO$87*HY93</f>
        <v>0</v>
      </c>
      <c r="IP93" s="290">
        <f t="shared" ref="IP93:IP122" si="745">$IP$87*HY93</f>
        <v>0</v>
      </c>
      <c r="IQ93" s="290">
        <f t="shared" ref="IQ93:IQ122" si="746">$IQ$87*HY93</f>
        <v>0</v>
      </c>
      <c r="IR93" s="291">
        <f t="shared" ref="IR93:IR122" si="747">$IR$87*HY93</f>
        <v>0</v>
      </c>
      <c r="IS93" s="291">
        <f t="shared" ref="IS93:IS122" si="748">$IS$87*HY93</f>
        <v>0</v>
      </c>
      <c r="IT93" s="291">
        <f t="shared" ref="IT93:IT122" si="749">$IT$87*HY93</f>
        <v>0</v>
      </c>
      <c r="IU93" s="292">
        <f t="shared" ref="IU93:IU122" si="750">$IU$87*HY93</f>
        <v>0</v>
      </c>
      <c r="IV93" s="999">
        <v>2</v>
      </c>
      <c r="IW93" s="286">
        <f>IW92+1</f>
        <v>44137</v>
      </c>
      <c r="IX93" s="293">
        <f t="shared" si="592"/>
        <v>44137</v>
      </c>
      <c r="IY93" s="288">
        <f>'दैनिक माहिती'!M231</f>
        <v>0</v>
      </c>
      <c r="IZ93" s="289">
        <f>'दैनिक माहिती'!J231</f>
        <v>0</v>
      </c>
      <c r="JA93" s="289">
        <f>'दैनिक माहिती'!K231</f>
        <v>0</v>
      </c>
      <c r="JB93" s="289">
        <f>'दैनिक माहिती'!L231</f>
        <v>0</v>
      </c>
      <c r="JC93" s="290">
        <f t="shared" ref="JC93:JC122" si="751">$JC$87*JB93</f>
        <v>0</v>
      </c>
      <c r="JD93" s="290">
        <f t="shared" ref="JD93:JD122" si="752">IF(IY93=$JD$85,$JD$87*JB93,0)</f>
        <v>0</v>
      </c>
      <c r="JE93" s="290">
        <f t="shared" ref="JE93:JE122" si="753">IF(IY93=$JE$85,$JE$87*JB93,0)</f>
        <v>0</v>
      </c>
      <c r="JF93" s="290">
        <f t="shared" ref="JF93:JF122" si="754">IF(IY93=$JF$85,$JF$87*JB93,0)</f>
        <v>0</v>
      </c>
      <c r="JG93" s="290">
        <f t="shared" ref="JG93:JG122" si="755">IF(IY93=$JG$85,$JG$87*JB93,0)</f>
        <v>0</v>
      </c>
      <c r="JH93" s="290">
        <f t="shared" ref="JH93:JH122" si="756">IF(IY93=$JH$85,$JH$87*JB93,0)</f>
        <v>0</v>
      </c>
      <c r="JI93" s="290">
        <f t="shared" ref="JI93:JI122" si="757">IF(IY93=$JI$85,$JI$87*JB93,0)</f>
        <v>0</v>
      </c>
      <c r="JJ93" s="290">
        <f t="shared" ref="JJ93:JJ122" si="758">IF(IY93=$JJ$85,$JJ$87*JB93,0)</f>
        <v>0</v>
      </c>
      <c r="JK93" s="290">
        <f t="shared" ref="JK93:JK122" si="759">IF(IY93=$JK$85,$JK$87*JB93,0)</f>
        <v>0</v>
      </c>
      <c r="JL93" s="290">
        <f t="shared" ref="JL93:JL122" si="760">$JL$87*JB93</f>
        <v>0</v>
      </c>
      <c r="JM93" s="290">
        <f t="shared" ref="JM93:JM122" si="761">$JM$87*JB93</f>
        <v>0</v>
      </c>
      <c r="JN93" s="290">
        <f t="shared" ref="JN93:JN122" si="762">$JN$87*JB93</f>
        <v>0</v>
      </c>
      <c r="JO93" s="290">
        <f t="shared" ref="JO93:JO122" si="763">$JO$87*JB93</f>
        <v>0</v>
      </c>
      <c r="JP93" s="290">
        <f t="shared" ref="JP93:JP122" si="764">$JP$87*JB93</f>
        <v>0</v>
      </c>
      <c r="JQ93" s="290">
        <f t="shared" ref="JQ93:JQ122" si="765">$JQ$87*JB93</f>
        <v>0</v>
      </c>
      <c r="JR93" s="290">
        <f t="shared" ref="JR93:JR122" si="766">$JR$87*JB93</f>
        <v>0</v>
      </c>
      <c r="JS93" s="290">
        <f t="shared" ref="JS93:JS122" si="767">$JS$87*JB93</f>
        <v>0</v>
      </c>
      <c r="JT93" s="290">
        <f t="shared" ref="JT93:JT122" si="768">$JT$87*JB93</f>
        <v>0</v>
      </c>
      <c r="JU93" s="291">
        <f t="shared" ref="JU93:JU122" si="769">$JU$87*JB93</f>
        <v>0</v>
      </c>
      <c r="JV93" s="291">
        <f t="shared" ref="JV93:JV122" si="770">$JV$87*JB93</f>
        <v>0</v>
      </c>
      <c r="JW93" s="291">
        <f t="shared" ref="JW93:JW122" si="771">$JW$87*JB93</f>
        <v>0</v>
      </c>
      <c r="JX93" s="292">
        <f t="shared" ref="JX93:JX122" si="772">$JX$87*JB93</f>
        <v>0</v>
      </c>
      <c r="JY93" s="999">
        <v>2</v>
      </c>
      <c r="JZ93" s="286">
        <f>JZ92+1</f>
        <v>44167</v>
      </c>
      <c r="KA93" s="293">
        <f t="shared" si="593"/>
        <v>44167</v>
      </c>
      <c r="KB93" s="288">
        <f>'दैनिक माहिती'!M262</f>
        <v>0</v>
      </c>
      <c r="KC93" s="289">
        <f>'दैनिक माहिती'!J262</f>
        <v>0</v>
      </c>
      <c r="KD93" s="289">
        <f>'दैनिक माहिती'!K262</f>
        <v>0</v>
      </c>
      <c r="KE93" s="289">
        <f>'दैनिक माहिती'!L262</f>
        <v>0</v>
      </c>
      <c r="KF93" s="290">
        <f t="shared" ref="KF93:KF122" si="773">$KF$87*KE93</f>
        <v>0</v>
      </c>
      <c r="KG93" s="290">
        <f t="shared" ref="KG93:KG122" si="774">IF(KB93=$KG$85,$KG$87*KE93,0)</f>
        <v>0</v>
      </c>
      <c r="KH93" s="290">
        <f t="shared" ref="KH93:KH122" si="775">IF(KB93=$KH$85,$KH$87*KE93,0)</f>
        <v>0</v>
      </c>
      <c r="KI93" s="290">
        <f t="shared" ref="KI93:KI122" si="776">IF(KB93=$KI$85,$KI$87*KE93,0)</f>
        <v>0</v>
      </c>
      <c r="KJ93" s="290">
        <f t="shared" ref="KJ93:KJ122" si="777">IF(KB93=$KJ$85,$KJ$87*KE93,0)</f>
        <v>0</v>
      </c>
      <c r="KK93" s="290">
        <f t="shared" ref="KK93:KK122" si="778">IF(KB93=$KK$85,$KK$87*KE93,0)</f>
        <v>0</v>
      </c>
      <c r="KL93" s="290">
        <f t="shared" ref="KL93:KL122" si="779">IF(KB93=$KL$85,$KL$87*KE93,0)</f>
        <v>0</v>
      </c>
      <c r="KM93" s="290">
        <f t="shared" ref="KM93:KM122" si="780">IF(KB93=$KM$85,$KM$87*KE93,0)</f>
        <v>0</v>
      </c>
      <c r="KN93" s="290">
        <f t="shared" ref="KN93:KN122" si="781">IF(KB93=$KN$85,$KN$87*KE93,0)</f>
        <v>0</v>
      </c>
      <c r="KO93" s="290">
        <f t="shared" ref="KO93:KO122" si="782">$KO$87*KE93</f>
        <v>0</v>
      </c>
      <c r="KP93" s="290">
        <f t="shared" ref="KP93:KP122" si="783">$KP$87*KE93</f>
        <v>0</v>
      </c>
      <c r="KQ93" s="290">
        <f t="shared" ref="KQ93:KQ122" si="784">$KQ$87*KE93</f>
        <v>0</v>
      </c>
      <c r="KR93" s="290">
        <f t="shared" ref="KR93:KR122" si="785">$KR$87*KE93</f>
        <v>0</v>
      </c>
      <c r="KS93" s="290">
        <f t="shared" ref="KS93:KS122" si="786">$KS$87*KE93</f>
        <v>0</v>
      </c>
      <c r="KT93" s="290">
        <f t="shared" ref="KT93:KT122" si="787">$KT$87*KE93</f>
        <v>0</v>
      </c>
      <c r="KU93" s="290">
        <f t="shared" ref="KU93:KU122" si="788">$KU$87*KE93</f>
        <v>0</v>
      </c>
      <c r="KV93" s="290">
        <f t="shared" ref="KV93:KV122" si="789">$KV$87*KE93</f>
        <v>0</v>
      </c>
      <c r="KW93" s="290">
        <f t="shared" ref="KW93:KW122" si="790">$KW$87*KE93</f>
        <v>0</v>
      </c>
      <c r="KX93" s="291">
        <f t="shared" ref="KX93:KX122" si="791">$KX$87*KE93</f>
        <v>0</v>
      </c>
      <c r="KY93" s="291">
        <f t="shared" ref="KY93:KY122" si="792">$KY$87*KE93</f>
        <v>0</v>
      </c>
      <c r="KZ93" s="291">
        <f t="shared" ref="KZ93:KZ122" si="793">$KZ$87*KE93</f>
        <v>0</v>
      </c>
      <c r="LA93" s="292">
        <f t="shared" ref="LA93:LA122" si="794">$LA$87*KE93</f>
        <v>0</v>
      </c>
      <c r="LB93" s="999">
        <v>2</v>
      </c>
      <c r="LC93" s="286">
        <f>LC92+1</f>
        <v>44198</v>
      </c>
      <c r="LD93" s="293">
        <f t="shared" si="594"/>
        <v>44198</v>
      </c>
      <c r="LE93" s="288">
        <f>'दैनिक माहिती'!M294</f>
        <v>0</v>
      </c>
      <c r="LF93" s="289">
        <f>'दैनिक माहिती'!J294</f>
        <v>0</v>
      </c>
      <c r="LG93" s="289">
        <f>'दैनिक माहिती'!K294</f>
        <v>0</v>
      </c>
      <c r="LH93" s="289">
        <f>'दैनिक माहिती'!L294</f>
        <v>0</v>
      </c>
      <c r="LI93" s="290">
        <f t="shared" ref="LI93:LI122" si="795">$LI$87*LH93</f>
        <v>0</v>
      </c>
      <c r="LJ93" s="290">
        <f t="shared" ref="LJ93:LJ122" si="796">IF(LE93=$LJ$85,$LJ$87*LH93,0)</f>
        <v>0</v>
      </c>
      <c r="LK93" s="290">
        <f t="shared" ref="LK93:LK122" si="797">IF(LE93=$LK$85,$LK$87*LH93,0)</f>
        <v>0</v>
      </c>
      <c r="LL93" s="290">
        <f t="shared" ref="LL93:LL122" si="798">IF(LE93=$LL$85,$LL$87*LH93,0)</f>
        <v>0</v>
      </c>
      <c r="LM93" s="290">
        <f t="shared" ref="LM93:LM122" si="799">IF(LE93=$LM$85,$LM$87*LH93,0)</f>
        <v>0</v>
      </c>
      <c r="LN93" s="290">
        <f t="shared" ref="LN93:LN122" si="800">IF(LE93=$LN$85,$LN$87*LH93,0)</f>
        <v>0</v>
      </c>
      <c r="LO93" s="290">
        <f t="shared" ref="LO93:LO122" si="801">IF(LE93=$LO$85,$LO$87*LH93,0)</f>
        <v>0</v>
      </c>
      <c r="LP93" s="290">
        <f t="shared" ref="LP93:LP122" si="802">IF(LE93=$LP$85,$LP$87*LH93,0)</f>
        <v>0</v>
      </c>
      <c r="LQ93" s="290">
        <f t="shared" ref="LQ93:LQ122" si="803">IF(LE93=$LQ$85,$LQ$87*LH93,0)</f>
        <v>0</v>
      </c>
      <c r="LR93" s="290">
        <f t="shared" ref="LR93:LR122" si="804">$LR$87*LH93</f>
        <v>0</v>
      </c>
      <c r="LS93" s="290">
        <f t="shared" ref="LS93:LS122" si="805">$LS$87*LH93</f>
        <v>0</v>
      </c>
      <c r="LT93" s="290">
        <f t="shared" ref="LT93:LT122" si="806">$LT$87*LH93</f>
        <v>0</v>
      </c>
      <c r="LU93" s="290">
        <f t="shared" ref="LU93:LU122" si="807">$LU$87*LH93</f>
        <v>0</v>
      </c>
      <c r="LV93" s="290">
        <f t="shared" ref="LV93:LV122" si="808">$LV$87*LH93</f>
        <v>0</v>
      </c>
      <c r="LW93" s="290">
        <f t="shared" ref="LW93:LW122" si="809">$LW$87*LH93</f>
        <v>0</v>
      </c>
      <c r="LX93" s="290">
        <f t="shared" ref="LX93:LX122" si="810">$LX$87*LH93</f>
        <v>0</v>
      </c>
      <c r="LY93" s="290">
        <f t="shared" ref="LY93:LY122" si="811">$LY$87*LH93</f>
        <v>0</v>
      </c>
      <c r="LZ93" s="290">
        <f t="shared" ref="LZ93:LZ122" si="812">$LZ$87*LH93</f>
        <v>0</v>
      </c>
      <c r="MA93" s="291">
        <f t="shared" ref="MA93:MA122" si="813">$MA$87*LH93</f>
        <v>0</v>
      </c>
      <c r="MB93" s="291">
        <f t="shared" ref="MB93:MB122" si="814">$MB$87*LH93</f>
        <v>0</v>
      </c>
      <c r="MC93" s="291">
        <f t="shared" ref="MC93:MC122" si="815">$MC$87*LH93</f>
        <v>0</v>
      </c>
      <c r="MD93" s="292">
        <f t="shared" ref="MD93:MD122" si="816">$MD$87*LH93</f>
        <v>0</v>
      </c>
      <c r="ME93" s="999">
        <v>2</v>
      </c>
      <c r="MF93" s="286">
        <f>MF92+1</f>
        <v>44229</v>
      </c>
      <c r="MG93" s="293">
        <f t="shared" si="595"/>
        <v>44229</v>
      </c>
      <c r="MH93" s="288">
        <f>'दैनिक माहिती'!M326</f>
        <v>0</v>
      </c>
      <c r="MI93" s="289">
        <f>'दैनिक माहिती'!J326</f>
        <v>0</v>
      </c>
      <c r="MJ93" s="289">
        <f>'दैनिक माहिती'!K326</f>
        <v>0</v>
      </c>
      <c r="MK93" s="289">
        <f>'दैनिक माहिती'!L326</f>
        <v>0</v>
      </c>
      <c r="ML93" s="290">
        <f t="shared" ref="ML93:ML122" si="817">$ML$87*MK93</f>
        <v>0</v>
      </c>
      <c r="MM93" s="290">
        <f t="shared" ref="MM93:MM122" si="818">IF(MH93=$MM$85,$MM$87*MK93,0)</f>
        <v>0</v>
      </c>
      <c r="MN93" s="290">
        <f t="shared" ref="MN93:MN122" si="819">IF(MH93=$MN$85,$MN$87*MK93,0)</f>
        <v>0</v>
      </c>
      <c r="MO93" s="290">
        <f t="shared" ref="MO93:MO122" si="820">IF(MH93=$MO$85,$MO$87*MK93,0)</f>
        <v>0</v>
      </c>
      <c r="MP93" s="290">
        <f t="shared" ref="MP93:MP122" si="821">IF(MH93=$MP$85,$MP$87*MK93,0)</f>
        <v>0</v>
      </c>
      <c r="MQ93" s="290">
        <f t="shared" ref="MQ93:MQ122" si="822">IF(MH93=$MQ$85,$MQ$87*MK93,0)</f>
        <v>0</v>
      </c>
      <c r="MR93" s="290">
        <f t="shared" ref="MR93:MR122" si="823">IF(MH93=$MR$85,$MR$87*MK93,0)</f>
        <v>0</v>
      </c>
      <c r="MS93" s="290">
        <f t="shared" ref="MS93:MS122" si="824">IF(MH93=$MS$85,$MS$87*MK93,0)</f>
        <v>0</v>
      </c>
      <c r="MT93" s="290">
        <f t="shared" ref="MT93:MT122" si="825">IF(MH93=$MT$85,$MT$87*MK93,0)</f>
        <v>0</v>
      </c>
      <c r="MU93" s="290">
        <f t="shared" ref="MU93:MU122" si="826">$MU$87*MK93</f>
        <v>0</v>
      </c>
      <c r="MV93" s="290">
        <f t="shared" ref="MV93:MV122" si="827">$MV$87*MK93</f>
        <v>0</v>
      </c>
      <c r="MW93" s="290">
        <f t="shared" ref="MW93:MW122" si="828">$MW$87*MK93</f>
        <v>0</v>
      </c>
      <c r="MX93" s="290">
        <f t="shared" ref="MX93:MX122" si="829">$MX$87*MK93</f>
        <v>0</v>
      </c>
      <c r="MY93" s="290">
        <f t="shared" ref="MY93:MY122" si="830">$MY$87*MK93</f>
        <v>0</v>
      </c>
      <c r="MZ93" s="290">
        <f t="shared" ref="MZ93:MZ122" si="831">$MZ$87*MK93</f>
        <v>0</v>
      </c>
      <c r="NA93" s="290">
        <f t="shared" ref="NA93:NA122" si="832">$NA$87*MK93</f>
        <v>0</v>
      </c>
      <c r="NB93" s="290">
        <f t="shared" ref="NB93:NB122" si="833">$NB$87*MK93</f>
        <v>0</v>
      </c>
      <c r="NC93" s="290">
        <f t="shared" ref="NC93:NC122" si="834">$NC$87*MK93</f>
        <v>0</v>
      </c>
      <c r="ND93" s="291">
        <f t="shared" ref="ND93:ND122" si="835">$ND$87*MK93</f>
        <v>0</v>
      </c>
      <c r="NE93" s="291">
        <f t="shared" ref="NE93:NE122" si="836">$NE$87*MK93</f>
        <v>0</v>
      </c>
      <c r="NF93" s="291">
        <f t="shared" ref="NF93:NF122" si="837">$NF$87*MK93</f>
        <v>0</v>
      </c>
      <c r="NG93" s="292">
        <f t="shared" ref="NG93:NG122" si="838">$NG$87*MK93</f>
        <v>0</v>
      </c>
      <c r="NH93" s="999">
        <v>2</v>
      </c>
      <c r="NI93" s="286">
        <f>NI92+1</f>
        <v>44257</v>
      </c>
      <c r="NJ93" s="293">
        <f t="shared" si="596"/>
        <v>44257</v>
      </c>
      <c r="NK93" s="288">
        <f>'दैनिक माहिती'!M356</f>
        <v>0</v>
      </c>
      <c r="NL93" s="289">
        <f>'दैनिक माहिती'!J356</f>
        <v>0</v>
      </c>
      <c r="NM93" s="289">
        <f>'दैनिक माहिती'!K356</f>
        <v>0</v>
      </c>
      <c r="NN93" s="289">
        <f>'दैनिक माहिती'!L356</f>
        <v>0</v>
      </c>
      <c r="NO93" s="290">
        <f t="shared" ref="NO93:NO122" si="839">$NO$87*NN93</f>
        <v>0</v>
      </c>
      <c r="NP93" s="290">
        <f t="shared" ref="NP93:NP122" si="840">IF(NK93=$NP$85,$NP$87*NN93,0)</f>
        <v>0</v>
      </c>
      <c r="NQ93" s="290">
        <f t="shared" ref="NQ93:NQ122" si="841">IF(NK93=$NQ$85,$NQ$87*NN93,0)</f>
        <v>0</v>
      </c>
      <c r="NR93" s="290">
        <f t="shared" ref="NR93:NR122" si="842">IF(NK93=$NR$85,$NR$87*NN93,0)</f>
        <v>0</v>
      </c>
      <c r="NS93" s="290">
        <f t="shared" ref="NS93:NS122" si="843">IF(NK93=$NS$85,$NS$87*NN93,0)</f>
        <v>0</v>
      </c>
      <c r="NT93" s="290">
        <f t="shared" ref="NT93:NT122" si="844">IF(NK93=$NT$85,$NT$87*NN93,0)</f>
        <v>0</v>
      </c>
      <c r="NU93" s="290">
        <f t="shared" ref="NU93:NU122" si="845">IF(NK93=$NU$85,$NU$87*NN93,0)</f>
        <v>0</v>
      </c>
      <c r="NV93" s="290">
        <f t="shared" ref="NV93:NV122" si="846">IF(NK93=$NV$85,$NV$87*NN93,0)</f>
        <v>0</v>
      </c>
      <c r="NW93" s="290">
        <f t="shared" ref="NW93:NW122" si="847">IF(NK93=$NW$85,$NW$87*NN93,0)</f>
        <v>0</v>
      </c>
      <c r="NX93" s="290">
        <f t="shared" ref="NX93:NX122" si="848">$NX$87*NN93</f>
        <v>0</v>
      </c>
      <c r="NY93" s="290">
        <f t="shared" ref="NY93:NY122" si="849">$NY$87*NN93</f>
        <v>0</v>
      </c>
      <c r="NZ93" s="290">
        <f t="shared" ref="NZ93:NZ122" si="850">$NZ$87*NN93</f>
        <v>0</v>
      </c>
      <c r="OA93" s="290">
        <f t="shared" ref="OA93:OA122" si="851">$OA$87*NN93</f>
        <v>0</v>
      </c>
      <c r="OB93" s="290">
        <f t="shared" ref="OB93:OB122" si="852">$OB$87*NN93</f>
        <v>0</v>
      </c>
      <c r="OC93" s="290">
        <f t="shared" ref="OC93:OC122" si="853">$OC$87*NN93</f>
        <v>0</v>
      </c>
      <c r="OD93" s="290">
        <f t="shared" ref="OD93:OD122" si="854">$OD$87*NN93</f>
        <v>0</v>
      </c>
      <c r="OE93" s="290">
        <f t="shared" ref="OE93:OE122" si="855">$OE$87*NN93</f>
        <v>0</v>
      </c>
      <c r="OF93" s="290">
        <f t="shared" ref="OF93:OF122" si="856">$OF$87*NN93</f>
        <v>0</v>
      </c>
      <c r="OG93" s="291">
        <f t="shared" ref="OG93:OG122" si="857">$OG$87*NN93</f>
        <v>0</v>
      </c>
      <c r="OH93" s="291">
        <f t="shared" ref="OH93:OH122" si="858">$OH$87*NN93</f>
        <v>0</v>
      </c>
      <c r="OI93" s="291">
        <f t="shared" ref="OI93:OI122" si="859">$OI$87*NN93</f>
        <v>0</v>
      </c>
      <c r="OJ93" s="292">
        <f t="shared" ref="OJ93:OJ122" si="860">$OJ$87*NN93</f>
        <v>0</v>
      </c>
    </row>
    <row r="94" spans="53:400" ht="29.25" customHeight="1" x14ac:dyDescent="0.3">
      <c r="BA94" s="999">
        <v>3</v>
      </c>
      <c r="BB94" s="286">
        <f t="shared" ref="BB94:BB122" si="861">BB93+1</f>
        <v>43924</v>
      </c>
      <c r="BC94" s="287">
        <f t="shared" si="585"/>
        <v>43924</v>
      </c>
      <c r="BD94" s="288">
        <f>'दैनिक माहिती'!M11</f>
        <v>0</v>
      </c>
      <c r="BE94" s="289">
        <f>'दैनिक माहिती'!J11</f>
        <v>0</v>
      </c>
      <c r="BF94" s="289">
        <f>'दैनिक माहिती'!K11</f>
        <v>0</v>
      </c>
      <c r="BG94" s="289">
        <f>'दैनिक माहिती'!L11</f>
        <v>0</v>
      </c>
      <c r="BH94" s="290">
        <f t="shared" si="597"/>
        <v>0</v>
      </c>
      <c r="BI94" s="290">
        <f t="shared" si="598"/>
        <v>0</v>
      </c>
      <c r="BJ94" s="290">
        <f t="shared" si="599"/>
        <v>0</v>
      </c>
      <c r="BK94" s="290">
        <f t="shared" si="600"/>
        <v>0</v>
      </c>
      <c r="BL94" s="290">
        <f t="shared" si="601"/>
        <v>0</v>
      </c>
      <c r="BM94" s="290">
        <f t="shared" si="602"/>
        <v>0</v>
      </c>
      <c r="BN94" s="290">
        <f t="shared" si="603"/>
        <v>0</v>
      </c>
      <c r="BO94" s="290">
        <f t="shared" si="604"/>
        <v>0</v>
      </c>
      <c r="BP94" s="290">
        <f t="shared" si="605"/>
        <v>0</v>
      </c>
      <c r="BQ94" s="290">
        <f t="shared" si="606"/>
        <v>0</v>
      </c>
      <c r="BR94" s="290">
        <f t="shared" si="607"/>
        <v>0</v>
      </c>
      <c r="BS94" s="290">
        <f t="shared" si="608"/>
        <v>0</v>
      </c>
      <c r="BT94" s="290">
        <f t="shared" si="609"/>
        <v>0</v>
      </c>
      <c r="BU94" s="290">
        <f t="shared" si="610"/>
        <v>0</v>
      </c>
      <c r="BV94" s="290">
        <f t="shared" si="611"/>
        <v>0</v>
      </c>
      <c r="BW94" s="290">
        <f t="shared" si="612"/>
        <v>0</v>
      </c>
      <c r="BX94" s="290">
        <f t="shared" si="613"/>
        <v>0</v>
      </c>
      <c r="BY94" s="290">
        <f t="shared" si="614"/>
        <v>0</v>
      </c>
      <c r="BZ94" s="291">
        <f t="shared" si="615"/>
        <v>0</v>
      </c>
      <c r="CA94" s="291">
        <f t="shared" si="616"/>
        <v>0</v>
      </c>
      <c r="CB94" s="291">
        <f t="shared" si="617"/>
        <v>0</v>
      </c>
      <c r="CC94" s="292">
        <f t="shared" si="618"/>
        <v>0</v>
      </c>
      <c r="CD94" s="999">
        <v>3</v>
      </c>
      <c r="CE94" s="286">
        <f t="shared" ref="CE94:CE122" si="862">CE93+1</f>
        <v>43954</v>
      </c>
      <c r="CF94" s="287">
        <f t="shared" si="586"/>
        <v>43954</v>
      </c>
      <c r="CG94" s="288">
        <f>'दैनिक माहिती'!M42</f>
        <v>0</v>
      </c>
      <c r="CH94" s="289">
        <f>'दैनिक माहिती'!J42</f>
        <v>0</v>
      </c>
      <c r="CI94" s="289">
        <f>'दैनिक माहिती'!K42</f>
        <v>0</v>
      </c>
      <c r="CJ94" s="289">
        <f>'दैनिक माहिती'!L42</f>
        <v>0</v>
      </c>
      <c r="CK94" s="290">
        <f t="shared" si="619"/>
        <v>0</v>
      </c>
      <c r="CL94" s="290">
        <f t="shared" si="620"/>
        <v>0</v>
      </c>
      <c r="CM94" s="290">
        <f t="shared" si="621"/>
        <v>0</v>
      </c>
      <c r="CN94" s="290">
        <f t="shared" si="622"/>
        <v>0</v>
      </c>
      <c r="CO94" s="290">
        <f t="shared" si="623"/>
        <v>0</v>
      </c>
      <c r="CP94" s="290">
        <f t="shared" si="624"/>
        <v>0</v>
      </c>
      <c r="CQ94" s="290">
        <f t="shared" si="625"/>
        <v>0</v>
      </c>
      <c r="CR94" s="290">
        <f t="shared" si="626"/>
        <v>0</v>
      </c>
      <c r="CS94" s="290">
        <f t="shared" si="627"/>
        <v>0</v>
      </c>
      <c r="CT94" s="290">
        <f t="shared" si="628"/>
        <v>0</v>
      </c>
      <c r="CU94" s="290">
        <f t="shared" si="629"/>
        <v>0</v>
      </c>
      <c r="CV94" s="290">
        <f t="shared" si="630"/>
        <v>0</v>
      </c>
      <c r="CW94" s="290">
        <f t="shared" si="631"/>
        <v>0</v>
      </c>
      <c r="CX94" s="290">
        <f t="shared" si="632"/>
        <v>0</v>
      </c>
      <c r="CY94" s="290">
        <f t="shared" si="633"/>
        <v>0</v>
      </c>
      <c r="CZ94" s="290">
        <f t="shared" si="634"/>
        <v>0</v>
      </c>
      <c r="DA94" s="290">
        <f t="shared" si="635"/>
        <v>0</v>
      </c>
      <c r="DB94" s="290">
        <f t="shared" si="636"/>
        <v>0</v>
      </c>
      <c r="DC94" s="291">
        <f t="shared" si="637"/>
        <v>0</v>
      </c>
      <c r="DD94" s="291">
        <f t="shared" si="638"/>
        <v>0</v>
      </c>
      <c r="DE94" s="291">
        <f t="shared" si="639"/>
        <v>0</v>
      </c>
      <c r="DF94" s="292">
        <f t="shared" si="640"/>
        <v>0</v>
      </c>
      <c r="DG94" s="999">
        <v>3</v>
      </c>
      <c r="DH94" s="286">
        <f t="shared" ref="DH94:DH122" si="863">DH93+1</f>
        <v>43985</v>
      </c>
      <c r="DI94" s="287">
        <f t="shared" si="587"/>
        <v>43985</v>
      </c>
      <c r="DJ94" s="288">
        <f>'दैनिक माहिती'!M74</f>
        <v>0</v>
      </c>
      <c r="DK94" s="289">
        <f>'दैनिक माहिती'!J74</f>
        <v>0</v>
      </c>
      <c r="DL94" s="289">
        <f>'दैनिक माहिती'!K74</f>
        <v>0</v>
      </c>
      <c r="DM94" s="289">
        <f>'दैनिक माहिती'!L74</f>
        <v>0</v>
      </c>
      <c r="DN94" s="290">
        <f t="shared" si="641"/>
        <v>0</v>
      </c>
      <c r="DO94" s="290">
        <f t="shared" si="642"/>
        <v>0</v>
      </c>
      <c r="DP94" s="290">
        <f t="shared" si="643"/>
        <v>0</v>
      </c>
      <c r="DQ94" s="290">
        <f t="shared" si="644"/>
        <v>0</v>
      </c>
      <c r="DR94" s="290">
        <f t="shared" si="645"/>
        <v>0</v>
      </c>
      <c r="DS94" s="290">
        <f t="shared" si="646"/>
        <v>0</v>
      </c>
      <c r="DT94" s="290">
        <f t="shared" si="647"/>
        <v>0</v>
      </c>
      <c r="DU94" s="290">
        <f t="shared" si="648"/>
        <v>0</v>
      </c>
      <c r="DV94" s="290">
        <f t="shared" si="649"/>
        <v>0</v>
      </c>
      <c r="DW94" s="290">
        <f t="shared" si="650"/>
        <v>0</v>
      </c>
      <c r="DX94" s="290">
        <f t="shared" si="651"/>
        <v>0</v>
      </c>
      <c r="DY94" s="290">
        <f t="shared" si="652"/>
        <v>0</v>
      </c>
      <c r="DZ94" s="290">
        <f t="shared" si="653"/>
        <v>0</v>
      </c>
      <c r="EA94" s="290">
        <f t="shared" si="654"/>
        <v>0</v>
      </c>
      <c r="EB94" s="290">
        <f t="shared" si="655"/>
        <v>0</v>
      </c>
      <c r="EC94" s="290">
        <f t="shared" si="656"/>
        <v>0</v>
      </c>
      <c r="ED94" s="290">
        <f t="shared" si="657"/>
        <v>0</v>
      </c>
      <c r="EE94" s="290">
        <f t="shared" si="658"/>
        <v>0</v>
      </c>
      <c r="EF94" s="291">
        <f t="shared" si="659"/>
        <v>0</v>
      </c>
      <c r="EG94" s="291">
        <f t="shared" si="660"/>
        <v>0</v>
      </c>
      <c r="EH94" s="291">
        <f t="shared" si="661"/>
        <v>0</v>
      </c>
      <c r="EI94" s="292">
        <f t="shared" si="662"/>
        <v>0</v>
      </c>
      <c r="EJ94" s="999">
        <v>3</v>
      </c>
      <c r="EK94" s="286">
        <f t="shared" ref="EK94:EK122" si="864">EK93+1</f>
        <v>44015</v>
      </c>
      <c r="EL94" s="287">
        <f t="shared" si="588"/>
        <v>44015</v>
      </c>
      <c r="EM94" s="288">
        <f>'दैनिक माहिती'!M105</f>
        <v>0</v>
      </c>
      <c r="EN94" s="289">
        <f>'दैनिक माहिती'!J105</f>
        <v>0</v>
      </c>
      <c r="EO94" s="289">
        <f>'दैनिक माहिती'!K105</f>
        <v>0</v>
      </c>
      <c r="EP94" s="289">
        <f>'दैनिक माहिती'!L105</f>
        <v>0</v>
      </c>
      <c r="EQ94" s="290">
        <f t="shared" si="663"/>
        <v>0</v>
      </c>
      <c r="ER94" s="290">
        <f t="shared" si="664"/>
        <v>0</v>
      </c>
      <c r="ES94" s="290">
        <f t="shared" si="665"/>
        <v>0</v>
      </c>
      <c r="ET94" s="290">
        <f t="shared" si="666"/>
        <v>0</v>
      </c>
      <c r="EU94" s="290">
        <f t="shared" si="667"/>
        <v>0</v>
      </c>
      <c r="EV94" s="290">
        <f t="shared" si="668"/>
        <v>0</v>
      </c>
      <c r="EW94" s="290">
        <f t="shared" si="669"/>
        <v>0</v>
      </c>
      <c r="EX94" s="290">
        <f t="shared" si="670"/>
        <v>0</v>
      </c>
      <c r="EY94" s="290">
        <f t="shared" si="671"/>
        <v>0</v>
      </c>
      <c r="EZ94" s="290">
        <f t="shared" si="672"/>
        <v>0</v>
      </c>
      <c r="FA94" s="290">
        <f t="shared" si="673"/>
        <v>0</v>
      </c>
      <c r="FB94" s="290">
        <f t="shared" si="674"/>
        <v>0</v>
      </c>
      <c r="FC94" s="290">
        <f t="shared" si="675"/>
        <v>0</v>
      </c>
      <c r="FD94" s="290">
        <f t="shared" si="676"/>
        <v>0</v>
      </c>
      <c r="FE94" s="290">
        <f t="shared" si="677"/>
        <v>0</v>
      </c>
      <c r="FF94" s="290">
        <f t="shared" si="678"/>
        <v>0</v>
      </c>
      <c r="FG94" s="290">
        <f t="shared" si="679"/>
        <v>0</v>
      </c>
      <c r="FH94" s="290">
        <f t="shared" si="680"/>
        <v>0</v>
      </c>
      <c r="FI94" s="291">
        <f t="shared" si="681"/>
        <v>0</v>
      </c>
      <c r="FJ94" s="291">
        <f t="shared" si="682"/>
        <v>0</v>
      </c>
      <c r="FK94" s="291">
        <f t="shared" si="683"/>
        <v>0</v>
      </c>
      <c r="FL94" s="292">
        <f t="shared" si="684"/>
        <v>0</v>
      </c>
      <c r="FM94" s="999">
        <v>3</v>
      </c>
      <c r="FN94" s="286">
        <f t="shared" ref="FN94:FN122" si="865">FN93+1</f>
        <v>44046</v>
      </c>
      <c r="FO94" s="287">
        <f t="shared" si="589"/>
        <v>44046</v>
      </c>
      <c r="FP94" s="288">
        <f>'दैनिक माहिती'!M137</f>
        <v>0</v>
      </c>
      <c r="FQ94" s="289">
        <f>'दैनिक माहिती'!J137</f>
        <v>0</v>
      </c>
      <c r="FR94" s="289">
        <f>'दैनिक माहिती'!K137</f>
        <v>0</v>
      </c>
      <c r="FS94" s="289">
        <f>'दैनिक माहिती'!L137</f>
        <v>0</v>
      </c>
      <c r="FT94" s="290">
        <f t="shared" si="685"/>
        <v>0</v>
      </c>
      <c r="FU94" s="290">
        <f t="shared" si="686"/>
        <v>0</v>
      </c>
      <c r="FV94" s="290">
        <f t="shared" si="687"/>
        <v>0</v>
      </c>
      <c r="FW94" s="290">
        <f t="shared" si="688"/>
        <v>0</v>
      </c>
      <c r="FX94" s="290">
        <f t="shared" si="689"/>
        <v>0</v>
      </c>
      <c r="FY94" s="290">
        <f t="shared" si="690"/>
        <v>0</v>
      </c>
      <c r="FZ94" s="290">
        <f t="shared" si="691"/>
        <v>0</v>
      </c>
      <c r="GA94" s="290">
        <f t="shared" si="692"/>
        <v>0</v>
      </c>
      <c r="GB94" s="290">
        <f t="shared" si="693"/>
        <v>0</v>
      </c>
      <c r="GC94" s="290">
        <f t="shared" si="694"/>
        <v>0</v>
      </c>
      <c r="GD94" s="290">
        <f t="shared" si="695"/>
        <v>0</v>
      </c>
      <c r="GE94" s="290">
        <f t="shared" si="696"/>
        <v>0</v>
      </c>
      <c r="GF94" s="290">
        <f t="shared" si="697"/>
        <v>0</v>
      </c>
      <c r="GG94" s="290">
        <f t="shared" si="698"/>
        <v>0</v>
      </c>
      <c r="GH94" s="290">
        <f t="shared" si="699"/>
        <v>0</v>
      </c>
      <c r="GI94" s="290">
        <f t="shared" si="700"/>
        <v>0</v>
      </c>
      <c r="GJ94" s="290">
        <f t="shared" si="701"/>
        <v>0</v>
      </c>
      <c r="GK94" s="290">
        <f t="shared" si="702"/>
        <v>0</v>
      </c>
      <c r="GL94" s="291">
        <f t="shared" si="703"/>
        <v>0</v>
      </c>
      <c r="GM94" s="291">
        <f t="shared" si="704"/>
        <v>0</v>
      </c>
      <c r="GN94" s="291">
        <f t="shared" si="705"/>
        <v>0</v>
      </c>
      <c r="GO94" s="292">
        <f t="shared" si="706"/>
        <v>0</v>
      </c>
      <c r="GP94" s="999">
        <v>3</v>
      </c>
      <c r="GQ94" s="286">
        <f t="shared" ref="GQ94:GQ122" si="866">GQ93+1</f>
        <v>44077</v>
      </c>
      <c r="GR94" s="287">
        <f t="shared" si="590"/>
        <v>44077</v>
      </c>
      <c r="GS94" s="288">
        <f>'दैनिक माहिती'!M169</f>
        <v>0</v>
      </c>
      <c r="GT94" s="289">
        <f>'दैनिक माहिती'!J169</f>
        <v>0</v>
      </c>
      <c r="GU94" s="289">
        <f>'दैनिक माहिती'!K169</f>
        <v>0</v>
      </c>
      <c r="GV94" s="289">
        <f>'दैनिक माहिती'!L169</f>
        <v>0</v>
      </c>
      <c r="GW94" s="290">
        <f t="shared" si="707"/>
        <v>0</v>
      </c>
      <c r="GX94" s="290">
        <f t="shared" si="708"/>
        <v>0</v>
      </c>
      <c r="GY94" s="290">
        <f t="shared" si="709"/>
        <v>0</v>
      </c>
      <c r="GZ94" s="290">
        <f t="shared" si="710"/>
        <v>0</v>
      </c>
      <c r="HA94" s="290">
        <f t="shared" si="711"/>
        <v>0</v>
      </c>
      <c r="HB94" s="290">
        <f t="shared" si="712"/>
        <v>0</v>
      </c>
      <c r="HC94" s="290">
        <f t="shared" si="713"/>
        <v>0</v>
      </c>
      <c r="HD94" s="290">
        <f t="shared" si="714"/>
        <v>0</v>
      </c>
      <c r="HE94" s="290">
        <f t="shared" si="715"/>
        <v>0</v>
      </c>
      <c r="HF94" s="290">
        <f t="shared" si="716"/>
        <v>0</v>
      </c>
      <c r="HG94" s="290">
        <f t="shared" si="717"/>
        <v>0</v>
      </c>
      <c r="HH94" s="290">
        <f t="shared" si="718"/>
        <v>0</v>
      </c>
      <c r="HI94" s="290">
        <f t="shared" si="719"/>
        <v>0</v>
      </c>
      <c r="HJ94" s="290">
        <f t="shared" si="720"/>
        <v>0</v>
      </c>
      <c r="HK94" s="290">
        <f t="shared" si="721"/>
        <v>0</v>
      </c>
      <c r="HL94" s="290">
        <f t="shared" si="722"/>
        <v>0</v>
      </c>
      <c r="HM94" s="290">
        <f t="shared" si="723"/>
        <v>0</v>
      </c>
      <c r="HN94" s="290">
        <f t="shared" si="724"/>
        <v>0</v>
      </c>
      <c r="HO94" s="291">
        <f t="shared" si="725"/>
        <v>0</v>
      </c>
      <c r="HP94" s="291">
        <f t="shared" si="726"/>
        <v>0</v>
      </c>
      <c r="HQ94" s="291">
        <f t="shared" si="727"/>
        <v>0</v>
      </c>
      <c r="HR94" s="292">
        <f t="shared" si="728"/>
        <v>0</v>
      </c>
      <c r="HS94" s="999">
        <v>3</v>
      </c>
      <c r="HT94" s="286">
        <f t="shared" ref="HT94:HT122" si="867">HT93+1</f>
        <v>44107</v>
      </c>
      <c r="HU94" s="287">
        <f t="shared" si="591"/>
        <v>44107</v>
      </c>
      <c r="HV94" s="288">
        <f>'दैनिक माहिती'!M200</f>
        <v>0</v>
      </c>
      <c r="HW94" s="289">
        <f>'दैनिक माहिती'!J200</f>
        <v>0</v>
      </c>
      <c r="HX94" s="289">
        <f>'दैनिक माहिती'!K200</f>
        <v>0</v>
      </c>
      <c r="HY94" s="289">
        <f>'दैनिक माहिती'!L200</f>
        <v>0</v>
      </c>
      <c r="HZ94" s="290">
        <f t="shared" si="729"/>
        <v>0</v>
      </c>
      <c r="IA94" s="290">
        <f t="shared" si="730"/>
        <v>0</v>
      </c>
      <c r="IB94" s="290">
        <f t="shared" si="731"/>
        <v>0</v>
      </c>
      <c r="IC94" s="290">
        <f t="shared" si="732"/>
        <v>0</v>
      </c>
      <c r="ID94" s="290">
        <f t="shared" si="733"/>
        <v>0</v>
      </c>
      <c r="IE94" s="290">
        <f t="shared" si="734"/>
        <v>0</v>
      </c>
      <c r="IF94" s="290">
        <f t="shared" si="735"/>
        <v>0</v>
      </c>
      <c r="IG94" s="290">
        <f t="shared" si="736"/>
        <v>0</v>
      </c>
      <c r="IH94" s="290">
        <f t="shared" si="737"/>
        <v>0</v>
      </c>
      <c r="II94" s="290">
        <f t="shared" si="738"/>
        <v>0</v>
      </c>
      <c r="IJ94" s="290">
        <f t="shared" si="739"/>
        <v>0</v>
      </c>
      <c r="IK94" s="290">
        <f t="shared" si="740"/>
        <v>0</v>
      </c>
      <c r="IL94" s="290">
        <f t="shared" si="741"/>
        <v>0</v>
      </c>
      <c r="IM94" s="290">
        <f t="shared" si="742"/>
        <v>0</v>
      </c>
      <c r="IN94" s="290">
        <f t="shared" si="743"/>
        <v>0</v>
      </c>
      <c r="IO94" s="290">
        <f t="shared" si="744"/>
        <v>0</v>
      </c>
      <c r="IP94" s="290">
        <f t="shared" si="745"/>
        <v>0</v>
      </c>
      <c r="IQ94" s="290">
        <f t="shared" si="746"/>
        <v>0</v>
      </c>
      <c r="IR94" s="291">
        <f t="shared" si="747"/>
        <v>0</v>
      </c>
      <c r="IS94" s="291">
        <f t="shared" si="748"/>
        <v>0</v>
      </c>
      <c r="IT94" s="291">
        <f t="shared" si="749"/>
        <v>0</v>
      </c>
      <c r="IU94" s="292">
        <f t="shared" si="750"/>
        <v>0</v>
      </c>
      <c r="IV94" s="999">
        <v>3</v>
      </c>
      <c r="IW94" s="286">
        <f t="shared" ref="IW94:IW122" si="868">IW93+1</f>
        <v>44138</v>
      </c>
      <c r="IX94" s="287">
        <f t="shared" si="592"/>
        <v>44138</v>
      </c>
      <c r="IY94" s="288">
        <f>'दैनिक माहिती'!M232</f>
        <v>0</v>
      </c>
      <c r="IZ94" s="289">
        <f>'दैनिक माहिती'!J232</f>
        <v>0</v>
      </c>
      <c r="JA94" s="289">
        <f>'दैनिक माहिती'!K232</f>
        <v>0</v>
      </c>
      <c r="JB94" s="289">
        <f>'दैनिक माहिती'!L232</f>
        <v>0</v>
      </c>
      <c r="JC94" s="290">
        <f t="shared" si="751"/>
        <v>0</v>
      </c>
      <c r="JD94" s="290">
        <f t="shared" si="752"/>
        <v>0</v>
      </c>
      <c r="JE94" s="290">
        <f t="shared" si="753"/>
        <v>0</v>
      </c>
      <c r="JF94" s="290">
        <f t="shared" si="754"/>
        <v>0</v>
      </c>
      <c r="JG94" s="290">
        <f t="shared" si="755"/>
        <v>0</v>
      </c>
      <c r="JH94" s="290">
        <f t="shared" si="756"/>
        <v>0</v>
      </c>
      <c r="JI94" s="290">
        <f t="shared" si="757"/>
        <v>0</v>
      </c>
      <c r="JJ94" s="290">
        <f t="shared" si="758"/>
        <v>0</v>
      </c>
      <c r="JK94" s="290">
        <f t="shared" si="759"/>
        <v>0</v>
      </c>
      <c r="JL94" s="290">
        <f t="shared" si="760"/>
        <v>0</v>
      </c>
      <c r="JM94" s="290">
        <f t="shared" si="761"/>
        <v>0</v>
      </c>
      <c r="JN94" s="290">
        <f t="shared" si="762"/>
        <v>0</v>
      </c>
      <c r="JO94" s="290">
        <f t="shared" si="763"/>
        <v>0</v>
      </c>
      <c r="JP94" s="290">
        <f t="shared" si="764"/>
        <v>0</v>
      </c>
      <c r="JQ94" s="290">
        <f t="shared" si="765"/>
        <v>0</v>
      </c>
      <c r="JR94" s="290">
        <f t="shared" si="766"/>
        <v>0</v>
      </c>
      <c r="JS94" s="290">
        <f t="shared" si="767"/>
        <v>0</v>
      </c>
      <c r="JT94" s="290">
        <f t="shared" si="768"/>
        <v>0</v>
      </c>
      <c r="JU94" s="291">
        <f t="shared" si="769"/>
        <v>0</v>
      </c>
      <c r="JV94" s="291">
        <f t="shared" si="770"/>
        <v>0</v>
      </c>
      <c r="JW94" s="291">
        <f t="shared" si="771"/>
        <v>0</v>
      </c>
      <c r="JX94" s="292">
        <f t="shared" si="772"/>
        <v>0</v>
      </c>
      <c r="JY94" s="999">
        <v>3</v>
      </c>
      <c r="JZ94" s="286">
        <f t="shared" ref="JZ94:JZ122" si="869">JZ93+1</f>
        <v>44168</v>
      </c>
      <c r="KA94" s="287">
        <f t="shared" si="593"/>
        <v>44168</v>
      </c>
      <c r="KB94" s="288">
        <f>'दैनिक माहिती'!M263</f>
        <v>0</v>
      </c>
      <c r="KC94" s="289">
        <f>'दैनिक माहिती'!J263</f>
        <v>0</v>
      </c>
      <c r="KD94" s="289">
        <f>'दैनिक माहिती'!K263</f>
        <v>0</v>
      </c>
      <c r="KE94" s="289">
        <f>'दैनिक माहिती'!L263</f>
        <v>0</v>
      </c>
      <c r="KF94" s="290">
        <f t="shared" si="773"/>
        <v>0</v>
      </c>
      <c r="KG94" s="290">
        <f t="shared" si="774"/>
        <v>0</v>
      </c>
      <c r="KH94" s="290">
        <f t="shared" si="775"/>
        <v>0</v>
      </c>
      <c r="KI94" s="290">
        <f t="shared" si="776"/>
        <v>0</v>
      </c>
      <c r="KJ94" s="290">
        <f t="shared" si="777"/>
        <v>0</v>
      </c>
      <c r="KK94" s="290">
        <f t="shared" si="778"/>
        <v>0</v>
      </c>
      <c r="KL94" s="290">
        <f t="shared" si="779"/>
        <v>0</v>
      </c>
      <c r="KM94" s="290">
        <f t="shared" si="780"/>
        <v>0</v>
      </c>
      <c r="KN94" s="290">
        <f t="shared" si="781"/>
        <v>0</v>
      </c>
      <c r="KO94" s="290">
        <f t="shared" si="782"/>
        <v>0</v>
      </c>
      <c r="KP94" s="290">
        <f t="shared" si="783"/>
        <v>0</v>
      </c>
      <c r="KQ94" s="290">
        <f t="shared" si="784"/>
        <v>0</v>
      </c>
      <c r="KR94" s="290">
        <f t="shared" si="785"/>
        <v>0</v>
      </c>
      <c r="KS94" s="290">
        <f t="shared" si="786"/>
        <v>0</v>
      </c>
      <c r="KT94" s="290">
        <f t="shared" si="787"/>
        <v>0</v>
      </c>
      <c r="KU94" s="290">
        <f t="shared" si="788"/>
        <v>0</v>
      </c>
      <c r="KV94" s="290">
        <f t="shared" si="789"/>
        <v>0</v>
      </c>
      <c r="KW94" s="290">
        <f t="shared" si="790"/>
        <v>0</v>
      </c>
      <c r="KX94" s="291">
        <f t="shared" si="791"/>
        <v>0</v>
      </c>
      <c r="KY94" s="291">
        <f t="shared" si="792"/>
        <v>0</v>
      </c>
      <c r="KZ94" s="291">
        <f t="shared" si="793"/>
        <v>0</v>
      </c>
      <c r="LA94" s="292">
        <f t="shared" si="794"/>
        <v>0</v>
      </c>
      <c r="LB94" s="999">
        <v>3</v>
      </c>
      <c r="LC94" s="286">
        <f t="shared" ref="LC94:LC122" si="870">LC93+1</f>
        <v>44199</v>
      </c>
      <c r="LD94" s="287">
        <f t="shared" si="594"/>
        <v>44199</v>
      </c>
      <c r="LE94" s="288">
        <f>'दैनिक माहिती'!M295</f>
        <v>0</v>
      </c>
      <c r="LF94" s="289">
        <f>'दैनिक माहिती'!J295</f>
        <v>0</v>
      </c>
      <c r="LG94" s="289">
        <f>'दैनिक माहिती'!K295</f>
        <v>0</v>
      </c>
      <c r="LH94" s="289">
        <f>'दैनिक माहिती'!L295</f>
        <v>0</v>
      </c>
      <c r="LI94" s="290">
        <f t="shared" si="795"/>
        <v>0</v>
      </c>
      <c r="LJ94" s="290">
        <f t="shared" si="796"/>
        <v>0</v>
      </c>
      <c r="LK94" s="290">
        <f t="shared" si="797"/>
        <v>0</v>
      </c>
      <c r="LL94" s="290">
        <f t="shared" si="798"/>
        <v>0</v>
      </c>
      <c r="LM94" s="290">
        <f t="shared" si="799"/>
        <v>0</v>
      </c>
      <c r="LN94" s="290">
        <f t="shared" si="800"/>
        <v>0</v>
      </c>
      <c r="LO94" s="290">
        <f t="shared" si="801"/>
        <v>0</v>
      </c>
      <c r="LP94" s="290">
        <f t="shared" si="802"/>
        <v>0</v>
      </c>
      <c r="LQ94" s="290">
        <f t="shared" si="803"/>
        <v>0</v>
      </c>
      <c r="LR94" s="290">
        <f t="shared" si="804"/>
        <v>0</v>
      </c>
      <c r="LS94" s="290">
        <f t="shared" si="805"/>
        <v>0</v>
      </c>
      <c r="LT94" s="290">
        <f t="shared" si="806"/>
        <v>0</v>
      </c>
      <c r="LU94" s="290">
        <f t="shared" si="807"/>
        <v>0</v>
      </c>
      <c r="LV94" s="290">
        <f t="shared" si="808"/>
        <v>0</v>
      </c>
      <c r="LW94" s="290">
        <f t="shared" si="809"/>
        <v>0</v>
      </c>
      <c r="LX94" s="290">
        <f t="shared" si="810"/>
        <v>0</v>
      </c>
      <c r="LY94" s="290">
        <f t="shared" si="811"/>
        <v>0</v>
      </c>
      <c r="LZ94" s="290">
        <f t="shared" si="812"/>
        <v>0</v>
      </c>
      <c r="MA94" s="291">
        <f t="shared" si="813"/>
        <v>0</v>
      </c>
      <c r="MB94" s="291">
        <f t="shared" si="814"/>
        <v>0</v>
      </c>
      <c r="MC94" s="291">
        <f t="shared" si="815"/>
        <v>0</v>
      </c>
      <c r="MD94" s="292">
        <f t="shared" si="816"/>
        <v>0</v>
      </c>
      <c r="ME94" s="999">
        <v>3</v>
      </c>
      <c r="MF94" s="286">
        <f t="shared" ref="MF94:MF122" si="871">MF93+1</f>
        <v>44230</v>
      </c>
      <c r="MG94" s="287">
        <f t="shared" si="595"/>
        <v>44230</v>
      </c>
      <c r="MH94" s="288">
        <f>'दैनिक माहिती'!M327</f>
        <v>0</v>
      </c>
      <c r="MI94" s="289">
        <f>'दैनिक माहिती'!J327</f>
        <v>0</v>
      </c>
      <c r="MJ94" s="289">
        <f>'दैनिक माहिती'!K327</f>
        <v>0</v>
      </c>
      <c r="MK94" s="289">
        <f>'दैनिक माहिती'!L327</f>
        <v>0</v>
      </c>
      <c r="ML94" s="290">
        <f t="shared" si="817"/>
        <v>0</v>
      </c>
      <c r="MM94" s="290">
        <f t="shared" si="818"/>
        <v>0</v>
      </c>
      <c r="MN94" s="290">
        <f t="shared" si="819"/>
        <v>0</v>
      </c>
      <c r="MO94" s="290">
        <f t="shared" si="820"/>
        <v>0</v>
      </c>
      <c r="MP94" s="290">
        <f t="shared" si="821"/>
        <v>0</v>
      </c>
      <c r="MQ94" s="290">
        <f t="shared" si="822"/>
        <v>0</v>
      </c>
      <c r="MR94" s="290">
        <f t="shared" si="823"/>
        <v>0</v>
      </c>
      <c r="MS94" s="290">
        <f t="shared" si="824"/>
        <v>0</v>
      </c>
      <c r="MT94" s="290">
        <f t="shared" si="825"/>
        <v>0</v>
      </c>
      <c r="MU94" s="290">
        <f t="shared" si="826"/>
        <v>0</v>
      </c>
      <c r="MV94" s="290">
        <f t="shared" si="827"/>
        <v>0</v>
      </c>
      <c r="MW94" s="290">
        <f t="shared" si="828"/>
        <v>0</v>
      </c>
      <c r="MX94" s="290">
        <f t="shared" si="829"/>
        <v>0</v>
      </c>
      <c r="MY94" s="290">
        <f t="shared" si="830"/>
        <v>0</v>
      </c>
      <c r="MZ94" s="290">
        <f t="shared" si="831"/>
        <v>0</v>
      </c>
      <c r="NA94" s="290">
        <f t="shared" si="832"/>
        <v>0</v>
      </c>
      <c r="NB94" s="290">
        <f t="shared" si="833"/>
        <v>0</v>
      </c>
      <c r="NC94" s="290">
        <f t="shared" si="834"/>
        <v>0</v>
      </c>
      <c r="ND94" s="291">
        <f t="shared" si="835"/>
        <v>0</v>
      </c>
      <c r="NE94" s="291">
        <f t="shared" si="836"/>
        <v>0</v>
      </c>
      <c r="NF94" s="291">
        <f t="shared" si="837"/>
        <v>0</v>
      </c>
      <c r="NG94" s="292">
        <f t="shared" si="838"/>
        <v>0</v>
      </c>
      <c r="NH94" s="999">
        <v>3</v>
      </c>
      <c r="NI94" s="286">
        <f t="shared" ref="NI94:NI122" si="872">NI93+1</f>
        <v>44258</v>
      </c>
      <c r="NJ94" s="287">
        <f t="shared" si="596"/>
        <v>44258</v>
      </c>
      <c r="NK94" s="288">
        <f>'दैनिक माहिती'!M357</f>
        <v>0</v>
      </c>
      <c r="NL94" s="289">
        <f>'दैनिक माहिती'!J357</f>
        <v>0</v>
      </c>
      <c r="NM94" s="289">
        <f>'दैनिक माहिती'!K357</f>
        <v>0</v>
      </c>
      <c r="NN94" s="289">
        <f>'दैनिक माहिती'!L357</f>
        <v>0</v>
      </c>
      <c r="NO94" s="290">
        <f t="shared" si="839"/>
        <v>0</v>
      </c>
      <c r="NP94" s="290">
        <f t="shared" si="840"/>
        <v>0</v>
      </c>
      <c r="NQ94" s="290">
        <f t="shared" si="841"/>
        <v>0</v>
      </c>
      <c r="NR94" s="290">
        <f t="shared" si="842"/>
        <v>0</v>
      </c>
      <c r="NS94" s="290">
        <f t="shared" si="843"/>
        <v>0</v>
      </c>
      <c r="NT94" s="290">
        <f t="shared" si="844"/>
        <v>0</v>
      </c>
      <c r="NU94" s="290">
        <f t="shared" si="845"/>
        <v>0</v>
      </c>
      <c r="NV94" s="290">
        <f t="shared" si="846"/>
        <v>0</v>
      </c>
      <c r="NW94" s="290">
        <f t="shared" si="847"/>
        <v>0</v>
      </c>
      <c r="NX94" s="290">
        <f t="shared" si="848"/>
        <v>0</v>
      </c>
      <c r="NY94" s="290">
        <f t="shared" si="849"/>
        <v>0</v>
      </c>
      <c r="NZ94" s="290">
        <f t="shared" si="850"/>
        <v>0</v>
      </c>
      <c r="OA94" s="290">
        <f t="shared" si="851"/>
        <v>0</v>
      </c>
      <c r="OB94" s="290">
        <f t="shared" si="852"/>
        <v>0</v>
      </c>
      <c r="OC94" s="290">
        <f t="shared" si="853"/>
        <v>0</v>
      </c>
      <c r="OD94" s="290">
        <f t="shared" si="854"/>
        <v>0</v>
      </c>
      <c r="OE94" s="290">
        <f t="shared" si="855"/>
        <v>0</v>
      </c>
      <c r="OF94" s="290">
        <f t="shared" si="856"/>
        <v>0</v>
      </c>
      <c r="OG94" s="291">
        <f t="shared" si="857"/>
        <v>0</v>
      </c>
      <c r="OH94" s="291">
        <f t="shared" si="858"/>
        <v>0</v>
      </c>
      <c r="OI94" s="291">
        <f t="shared" si="859"/>
        <v>0</v>
      </c>
      <c r="OJ94" s="292">
        <f t="shared" si="860"/>
        <v>0</v>
      </c>
    </row>
    <row r="95" spans="53:400" ht="29.25" customHeight="1" x14ac:dyDescent="0.3">
      <c r="BA95" s="999">
        <v>4</v>
      </c>
      <c r="BB95" s="286">
        <f t="shared" si="861"/>
        <v>43925</v>
      </c>
      <c r="BC95" s="293">
        <f t="shared" si="585"/>
        <v>43925</v>
      </c>
      <c r="BD95" s="288">
        <f>'दैनिक माहिती'!M12</f>
        <v>0</v>
      </c>
      <c r="BE95" s="289">
        <f>'दैनिक माहिती'!J12</f>
        <v>0</v>
      </c>
      <c r="BF95" s="289">
        <f>'दैनिक माहिती'!K12</f>
        <v>0</v>
      </c>
      <c r="BG95" s="289">
        <f>'दैनिक माहिती'!L12</f>
        <v>0</v>
      </c>
      <c r="BH95" s="290">
        <f t="shared" si="597"/>
        <v>0</v>
      </c>
      <c r="BI95" s="290">
        <f t="shared" si="598"/>
        <v>0</v>
      </c>
      <c r="BJ95" s="290">
        <f t="shared" si="599"/>
        <v>0</v>
      </c>
      <c r="BK95" s="290">
        <f t="shared" si="600"/>
        <v>0</v>
      </c>
      <c r="BL95" s="290">
        <f t="shared" si="601"/>
        <v>0</v>
      </c>
      <c r="BM95" s="290">
        <f t="shared" si="602"/>
        <v>0</v>
      </c>
      <c r="BN95" s="290">
        <f t="shared" si="603"/>
        <v>0</v>
      </c>
      <c r="BO95" s="290">
        <f t="shared" si="604"/>
        <v>0</v>
      </c>
      <c r="BP95" s="290">
        <f t="shared" si="605"/>
        <v>0</v>
      </c>
      <c r="BQ95" s="290">
        <f t="shared" si="606"/>
        <v>0</v>
      </c>
      <c r="BR95" s="290">
        <f t="shared" si="607"/>
        <v>0</v>
      </c>
      <c r="BS95" s="290">
        <f t="shared" si="608"/>
        <v>0</v>
      </c>
      <c r="BT95" s="290">
        <f t="shared" si="609"/>
        <v>0</v>
      </c>
      <c r="BU95" s="290">
        <f t="shared" si="610"/>
        <v>0</v>
      </c>
      <c r="BV95" s="290">
        <f t="shared" si="611"/>
        <v>0</v>
      </c>
      <c r="BW95" s="290">
        <f t="shared" si="612"/>
        <v>0</v>
      </c>
      <c r="BX95" s="290">
        <f t="shared" si="613"/>
        <v>0</v>
      </c>
      <c r="BY95" s="290">
        <f t="shared" si="614"/>
        <v>0</v>
      </c>
      <c r="BZ95" s="291">
        <f t="shared" si="615"/>
        <v>0</v>
      </c>
      <c r="CA95" s="291">
        <f t="shared" si="616"/>
        <v>0</v>
      </c>
      <c r="CB95" s="291">
        <f t="shared" si="617"/>
        <v>0</v>
      </c>
      <c r="CC95" s="292">
        <f t="shared" si="618"/>
        <v>0</v>
      </c>
      <c r="CD95" s="999">
        <v>4</v>
      </c>
      <c r="CE95" s="286">
        <f t="shared" si="862"/>
        <v>43955</v>
      </c>
      <c r="CF95" s="293">
        <f t="shared" si="586"/>
        <v>43955</v>
      </c>
      <c r="CG95" s="288">
        <f>'दैनिक माहिती'!M43</f>
        <v>0</v>
      </c>
      <c r="CH95" s="289">
        <f>'दैनिक माहिती'!J43</f>
        <v>0</v>
      </c>
      <c r="CI95" s="289">
        <f>'दैनिक माहिती'!K43</f>
        <v>0</v>
      </c>
      <c r="CJ95" s="289">
        <f>'दैनिक माहिती'!L43</f>
        <v>0</v>
      </c>
      <c r="CK95" s="290">
        <f t="shared" si="619"/>
        <v>0</v>
      </c>
      <c r="CL95" s="290">
        <f t="shared" si="620"/>
        <v>0</v>
      </c>
      <c r="CM95" s="290">
        <f t="shared" si="621"/>
        <v>0</v>
      </c>
      <c r="CN95" s="290">
        <f t="shared" si="622"/>
        <v>0</v>
      </c>
      <c r="CO95" s="290">
        <f t="shared" si="623"/>
        <v>0</v>
      </c>
      <c r="CP95" s="290">
        <f t="shared" si="624"/>
        <v>0</v>
      </c>
      <c r="CQ95" s="290">
        <f t="shared" si="625"/>
        <v>0</v>
      </c>
      <c r="CR95" s="290">
        <f t="shared" si="626"/>
        <v>0</v>
      </c>
      <c r="CS95" s="290">
        <f t="shared" si="627"/>
        <v>0</v>
      </c>
      <c r="CT95" s="290">
        <f t="shared" si="628"/>
        <v>0</v>
      </c>
      <c r="CU95" s="290">
        <f t="shared" si="629"/>
        <v>0</v>
      </c>
      <c r="CV95" s="290">
        <f t="shared" si="630"/>
        <v>0</v>
      </c>
      <c r="CW95" s="290">
        <f t="shared" si="631"/>
        <v>0</v>
      </c>
      <c r="CX95" s="290">
        <f t="shared" si="632"/>
        <v>0</v>
      </c>
      <c r="CY95" s="290">
        <f t="shared" si="633"/>
        <v>0</v>
      </c>
      <c r="CZ95" s="290">
        <f t="shared" si="634"/>
        <v>0</v>
      </c>
      <c r="DA95" s="290">
        <f t="shared" si="635"/>
        <v>0</v>
      </c>
      <c r="DB95" s="290">
        <f t="shared" si="636"/>
        <v>0</v>
      </c>
      <c r="DC95" s="291">
        <f t="shared" si="637"/>
        <v>0</v>
      </c>
      <c r="DD95" s="291">
        <f t="shared" si="638"/>
        <v>0</v>
      </c>
      <c r="DE95" s="291">
        <f t="shared" si="639"/>
        <v>0</v>
      </c>
      <c r="DF95" s="292">
        <f t="shared" si="640"/>
        <v>0</v>
      </c>
      <c r="DG95" s="999">
        <v>4</v>
      </c>
      <c r="DH95" s="286">
        <f t="shared" si="863"/>
        <v>43986</v>
      </c>
      <c r="DI95" s="293">
        <f t="shared" si="587"/>
        <v>43986</v>
      </c>
      <c r="DJ95" s="288">
        <f>'दैनिक माहिती'!M75</f>
        <v>0</v>
      </c>
      <c r="DK95" s="289">
        <f>'दैनिक माहिती'!J75</f>
        <v>0</v>
      </c>
      <c r="DL95" s="289">
        <f>'दैनिक माहिती'!K75</f>
        <v>0</v>
      </c>
      <c r="DM95" s="289">
        <f>'दैनिक माहिती'!L75</f>
        <v>0</v>
      </c>
      <c r="DN95" s="290">
        <f t="shared" si="641"/>
        <v>0</v>
      </c>
      <c r="DO95" s="290">
        <f t="shared" si="642"/>
        <v>0</v>
      </c>
      <c r="DP95" s="290">
        <f t="shared" si="643"/>
        <v>0</v>
      </c>
      <c r="DQ95" s="290">
        <f t="shared" si="644"/>
        <v>0</v>
      </c>
      <c r="DR95" s="290">
        <f t="shared" si="645"/>
        <v>0</v>
      </c>
      <c r="DS95" s="290">
        <f t="shared" si="646"/>
        <v>0</v>
      </c>
      <c r="DT95" s="290">
        <f t="shared" si="647"/>
        <v>0</v>
      </c>
      <c r="DU95" s="290">
        <f t="shared" si="648"/>
        <v>0</v>
      </c>
      <c r="DV95" s="290">
        <f t="shared" si="649"/>
        <v>0</v>
      </c>
      <c r="DW95" s="290">
        <f t="shared" si="650"/>
        <v>0</v>
      </c>
      <c r="DX95" s="290">
        <f t="shared" si="651"/>
        <v>0</v>
      </c>
      <c r="DY95" s="290">
        <f t="shared" si="652"/>
        <v>0</v>
      </c>
      <c r="DZ95" s="290">
        <f t="shared" si="653"/>
        <v>0</v>
      </c>
      <c r="EA95" s="290">
        <f t="shared" si="654"/>
        <v>0</v>
      </c>
      <c r="EB95" s="290">
        <f t="shared" si="655"/>
        <v>0</v>
      </c>
      <c r="EC95" s="290">
        <f t="shared" si="656"/>
        <v>0</v>
      </c>
      <c r="ED95" s="290">
        <f t="shared" si="657"/>
        <v>0</v>
      </c>
      <c r="EE95" s="290">
        <f t="shared" si="658"/>
        <v>0</v>
      </c>
      <c r="EF95" s="291">
        <f t="shared" si="659"/>
        <v>0</v>
      </c>
      <c r="EG95" s="291">
        <f t="shared" si="660"/>
        <v>0</v>
      </c>
      <c r="EH95" s="291">
        <f t="shared" si="661"/>
        <v>0</v>
      </c>
      <c r="EI95" s="292">
        <f t="shared" si="662"/>
        <v>0</v>
      </c>
      <c r="EJ95" s="999">
        <v>4</v>
      </c>
      <c r="EK95" s="286">
        <f t="shared" si="864"/>
        <v>44016</v>
      </c>
      <c r="EL95" s="293">
        <f t="shared" si="588"/>
        <v>44016</v>
      </c>
      <c r="EM95" s="288">
        <f>'दैनिक माहिती'!M106</f>
        <v>0</v>
      </c>
      <c r="EN95" s="289">
        <f>'दैनिक माहिती'!J106</f>
        <v>0</v>
      </c>
      <c r="EO95" s="289">
        <f>'दैनिक माहिती'!K106</f>
        <v>0</v>
      </c>
      <c r="EP95" s="289">
        <f>'दैनिक माहिती'!L106</f>
        <v>0</v>
      </c>
      <c r="EQ95" s="290">
        <f t="shared" si="663"/>
        <v>0</v>
      </c>
      <c r="ER95" s="290">
        <f t="shared" si="664"/>
        <v>0</v>
      </c>
      <c r="ES95" s="290">
        <f t="shared" si="665"/>
        <v>0</v>
      </c>
      <c r="ET95" s="290">
        <f t="shared" si="666"/>
        <v>0</v>
      </c>
      <c r="EU95" s="290">
        <f t="shared" si="667"/>
        <v>0</v>
      </c>
      <c r="EV95" s="290">
        <f t="shared" si="668"/>
        <v>0</v>
      </c>
      <c r="EW95" s="290">
        <f t="shared" si="669"/>
        <v>0</v>
      </c>
      <c r="EX95" s="290">
        <f t="shared" si="670"/>
        <v>0</v>
      </c>
      <c r="EY95" s="290">
        <f t="shared" si="671"/>
        <v>0</v>
      </c>
      <c r="EZ95" s="290">
        <f t="shared" si="672"/>
        <v>0</v>
      </c>
      <c r="FA95" s="290">
        <f t="shared" si="673"/>
        <v>0</v>
      </c>
      <c r="FB95" s="290">
        <f t="shared" si="674"/>
        <v>0</v>
      </c>
      <c r="FC95" s="290">
        <f t="shared" si="675"/>
        <v>0</v>
      </c>
      <c r="FD95" s="290">
        <f t="shared" si="676"/>
        <v>0</v>
      </c>
      <c r="FE95" s="290">
        <f t="shared" si="677"/>
        <v>0</v>
      </c>
      <c r="FF95" s="290">
        <f t="shared" si="678"/>
        <v>0</v>
      </c>
      <c r="FG95" s="290">
        <f t="shared" si="679"/>
        <v>0</v>
      </c>
      <c r="FH95" s="290">
        <f t="shared" si="680"/>
        <v>0</v>
      </c>
      <c r="FI95" s="291">
        <f t="shared" si="681"/>
        <v>0</v>
      </c>
      <c r="FJ95" s="291">
        <f t="shared" si="682"/>
        <v>0</v>
      </c>
      <c r="FK95" s="291">
        <f t="shared" si="683"/>
        <v>0</v>
      </c>
      <c r="FL95" s="292">
        <f t="shared" si="684"/>
        <v>0</v>
      </c>
      <c r="FM95" s="999">
        <v>4</v>
      </c>
      <c r="FN95" s="286">
        <f t="shared" si="865"/>
        <v>44047</v>
      </c>
      <c r="FO95" s="293">
        <f t="shared" si="589"/>
        <v>44047</v>
      </c>
      <c r="FP95" s="288">
        <f>'दैनिक माहिती'!M138</f>
        <v>0</v>
      </c>
      <c r="FQ95" s="289">
        <f>'दैनिक माहिती'!J138</f>
        <v>0</v>
      </c>
      <c r="FR95" s="289">
        <f>'दैनिक माहिती'!K138</f>
        <v>0</v>
      </c>
      <c r="FS95" s="289">
        <f>'दैनिक माहिती'!L138</f>
        <v>0</v>
      </c>
      <c r="FT95" s="290">
        <f t="shared" si="685"/>
        <v>0</v>
      </c>
      <c r="FU95" s="290">
        <f t="shared" si="686"/>
        <v>0</v>
      </c>
      <c r="FV95" s="290">
        <f t="shared" si="687"/>
        <v>0</v>
      </c>
      <c r="FW95" s="290">
        <f t="shared" si="688"/>
        <v>0</v>
      </c>
      <c r="FX95" s="290">
        <f t="shared" si="689"/>
        <v>0</v>
      </c>
      <c r="FY95" s="290">
        <f t="shared" si="690"/>
        <v>0</v>
      </c>
      <c r="FZ95" s="290">
        <f t="shared" si="691"/>
        <v>0</v>
      </c>
      <c r="GA95" s="290">
        <f t="shared" si="692"/>
        <v>0</v>
      </c>
      <c r="GB95" s="290">
        <f t="shared" si="693"/>
        <v>0</v>
      </c>
      <c r="GC95" s="290">
        <f t="shared" si="694"/>
        <v>0</v>
      </c>
      <c r="GD95" s="290">
        <f t="shared" si="695"/>
        <v>0</v>
      </c>
      <c r="GE95" s="290">
        <f t="shared" si="696"/>
        <v>0</v>
      </c>
      <c r="GF95" s="290">
        <f t="shared" si="697"/>
        <v>0</v>
      </c>
      <c r="GG95" s="290">
        <f t="shared" si="698"/>
        <v>0</v>
      </c>
      <c r="GH95" s="290">
        <f t="shared" si="699"/>
        <v>0</v>
      </c>
      <c r="GI95" s="290">
        <f t="shared" si="700"/>
        <v>0</v>
      </c>
      <c r="GJ95" s="290">
        <f t="shared" si="701"/>
        <v>0</v>
      </c>
      <c r="GK95" s="290">
        <f t="shared" si="702"/>
        <v>0</v>
      </c>
      <c r="GL95" s="291">
        <f t="shared" si="703"/>
        <v>0</v>
      </c>
      <c r="GM95" s="291">
        <f t="shared" si="704"/>
        <v>0</v>
      </c>
      <c r="GN95" s="291">
        <f t="shared" si="705"/>
        <v>0</v>
      </c>
      <c r="GO95" s="292">
        <f t="shared" si="706"/>
        <v>0</v>
      </c>
      <c r="GP95" s="999">
        <v>4</v>
      </c>
      <c r="GQ95" s="286">
        <f t="shared" si="866"/>
        <v>44078</v>
      </c>
      <c r="GR95" s="293">
        <f t="shared" si="590"/>
        <v>44078</v>
      </c>
      <c r="GS95" s="288">
        <f>'दैनिक माहिती'!M170</f>
        <v>0</v>
      </c>
      <c r="GT95" s="289">
        <f>'दैनिक माहिती'!J170</f>
        <v>0</v>
      </c>
      <c r="GU95" s="289">
        <f>'दैनिक माहिती'!K170</f>
        <v>0</v>
      </c>
      <c r="GV95" s="289">
        <f>'दैनिक माहिती'!L170</f>
        <v>0</v>
      </c>
      <c r="GW95" s="290">
        <f t="shared" si="707"/>
        <v>0</v>
      </c>
      <c r="GX95" s="290">
        <f t="shared" si="708"/>
        <v>0</v>
      </c>
      <c r="GY95" s="290">
        <f t="shared" si="709"/>
        <v>0</v>
      </c>
      <c r="GZ95" s="290">
        <f t="shared" si="710"/>
        <v>0</v>
      </c>
      <c r="HA95" s="290">
        <f t="shared" si="711"/>
        <v>0</v>
      </c>
      <c r="HB95" s="290">
        <f t="shared" si="712"/>
        <v>0</v>
      </c>
      <c r="HC95" s="290">
        <f t="shared" si="713"/>
        <v>0</v>
      </c>
      <c r="HD95" s="290">
        <f t="shared" si="714"/>
        <v>0</v>
      </c>
      <c r="HE95" s="290">
        <f t="shared" si="715"/>
        <v>0</v>
      </c>
      <c r="HF95" s="290">
        <f t="shared" si="716"/>
        <v>0</v>
      </c>
      <c r="HG95" s="290">
        <f t="shared" si="717"/>
        <v>0</v>
      </c>
      <c r="HH95" s="290">
        <f t="shared" si="718"/>
        <v>0</v>
      </c>
      <c r="HI95" s="290">
        <f t="shared" si="719"/>
        <v>0</v>
      </c>
      <c r="HJ95" s="290">
        <f t="shared" si="720"/>
        <v>0</v>
      </c>
      <c r="HK95" s="290">
        <f t="shared" si="721"/>
        <v>0</v>
      </c>
      <c r="HL95" s="290">
        <f t="shared" si="722"/>
        <v>0</v>
      </c>
      <c r="HM95" s="290">
        <f t="shared" si="723"/>
        <v>0</v>
      </c>
      <c r="HN95" s="290">
        <f t="shared" si="724"/>
        <v>0</v>
      </c>
      <c r="HO95" s="291">
        <f t="shared" si="725"/>
        <v>0</v>
      </c>
      <c r="HP95" s="291">
        <f t="shared" si="726"/>
        <v>0</v>
      </c>
      <c r="HQ95" s="291">
        <f t="shared" si="727"/>
        <v>0</v>
      </c>
      <c r="HR95" s="292">
        <f t="shared" si="728"/>
        <v>0</v>
      </c>
      <c r="HS95" s="999">
        <v>4</v>
      </c>
      <c r="HT95" s="286">
        <f t="shared" si="867"/>
        <v>44108</v>
      </c>
      <c r="HU95" s="293">
        <f t="shared" si="591"/>
        <v>44108</v>
      </c>
      <c r="HV95" s="288">
        <f>'दैनिक माहिती'!M201</f>
        <v>0</v>
      </c>
      <c r="HW95" s="289">
        <f>'दैनिक माहिती'!J201</f>
        <v>0</v>
      </c>
      <c r="HX95" s="289">
        <f>'दैनिक माहिती'!K201</f>
        <v>0</v>
      </c>
      <c r="HY95" s="289">
        <f>'दैनिक माहिती'!L201</f>
        <v>0</v>
      </c>
      <c r="HZ95" s="290">
        <f t="shared" si="729"/>
        <v>0</v>
      </c>
      <c r="IA95" s="290">
        <f t="shared" si="730"/>
        <v>0</v>
      </c>
      <c r="IB95" s="290">
        <f t="shared" si="731"/>
        <v>0</v>
      </c>
      <c r="IC95" s="290">
        <f t="shared" si="732"/>
        <v>0</v>
      </c>
      <c r="ID95" s="290">
        <f t="shared" si="733"/>
        <v>0</v>
      </c>
      <c r="IE95" s="290">
        <f t="shared" si="734"/>
        <v>0</v>
      </c>
      <c r="IF95" s="290">
        <f t="shared" si="735"/>
        <v>0</v>
      </c>
      <c r="IG95" s="290">
        <f t="shared" si="736"/>
        <v>0</v>
      </c>
      <c r="IH95" s="290">
        <f t="shared" si="737"/>
        <v>0</v>
      </c>
      <c r="II95" s="290">
        <f t="shared" si="738"/>
        <v>0</v>
      </c>
      <c r="IJ95" s="290">
        <f t="shared" si="739"/>
        <v>0</v>
      </c>
      <c r="IK95" s="290">
        <f t="shared" si="740"/>
        <v>0</v>
      </c>
      <c r="IL95" s="290">
        <f t="shared" si="741"/>
        <v>0</v>
      </c>
      <c r="IM95" s="290">
        <f t="shared" si="742"/>
        <v>0</v>
      </c>
      <c r="IN95" s="290">
        <f t="shared" si="743"/>
        <v>0</v>
      </c>
      <c r="IO95" s="290">
        <f t="shared" si="744"/>
        <v>0</v>
      </c>
      <c r="IP95" s="290">
        <f t="shared" si="745"/>
        <v>0</v>
      </c>
      <c r="IQ95" s="290">
        <f t="shared" si="746"/>
        <v>0</v>
      </c>
      <c r="IR95" s="291">
        <f t="shared" si="747"/>
        <v>0</v>
      </c>
      <c r="IS95" s="291">
        <f t="shared" si="748"/>
        <v>0</v>
      </c>
      <c r="IT95" s="291">
        <f t="shared" si="749"/>
        <v>0</v>
      </c>
      <c r="IU95" s="292">
        <f t="shared" si="750"/>
        <v>0</v>
      </c>
      <c r="IV95" s="999">
        <v>4</v>
      </c>
      <c r="IW95" s="286">
        <f t="shared" si="868"/>
        <v>44139</v>
      </c>
      <c r="IX95" s="293">
        <f t="shared" si="592"/>
        <v>44139</v>
      </c>
      <c r="IY95" s="288">
        <f>'दैनिक माहिती'!M233</f>
        <v>0</v>
      </c>
      <c r="IZ95" s="289">
        <f>'दैनिक माहिती'!J233</f>
        <v>0</v>
      </c>
      <c r="JA95" s="289">
        <f>'दैनिक माहिती'!K233</f>
        <v>0</v>
      </c>
      <c r="JB95" s="289">
        <f>'दैनिक माहिती'!L233</f>
        <v>0</v>
      </c>
      <c r="JC95" s="290">
        <f t="shared" si="751"/>
        <v>0</v>
      </c>
      <c r="JD95" s="290">
        <f t="shared" si="752"/>
        <v>0</v>
      </c>
      <c r="JE95" s="290">
        <f t="shared" si="753"/>
        <v>0</v>
      </c>
      <c r="JF95" s="290">
        <f t="shared" si="754"/>
        <v>0</v>
      </c>
      <c r="JG95" s="290">
        <f t="shared" si="755"/>
        <v>0</v>
      </c>
      <c r="JH95" s="290">
        <f t="shared" si="756"/>
        <v>0</v>
      </c>
      <c r="JI95" s="290">
        <f t="shared" si="757"/>
        <v>0</v>
      </c>
      <c r="JJ95" s="290">
        <f t="shared" si="758"/>
        <v>0</v>
      </c>
      <c r="JK95" s="290">
        <f t="shared" si="759"/>
        <v>0</v>
      </c>
      <c r="JL95" s="290">
        <f t="shared" si="760"/>
        <v>0</v>
      </c>
      <c r="JM95" s="290">
        <f t="shared" si="761"/>
        <v>0</v>
      </c>
      <c r="JN95" s="290">
        <f t="shared" si="762"/>
        <v>0</v>
      </c>
      <c r="JO95" s="290">
        <f t="shared" si="763"/>
        <v>0</v>
      </c>
      <c r="JP95" s="290">
        <f t="shared" si="764"/>
        <v>0</v>
      </c>
      <c r="JQ95" s="290">
        <f t="shared" si="765"/>
        <v>0</v>
      </c>
      <c r="JR95" s="290">
        <f t="shared" si="766"/>
        <v>0</v>
      </c>
      <c r="JS95" s="290">
        <f t="shared" si="767"/>
        <v>0</v>
      </c>
      <c r="JT95" s="290">
        <f t="shared" si="768"/>
        <v>0</v>
      </c>
      <c r="JU95" s="291">
        <f t="shared" si="769"/>
        <v>0</v>
      </c>
      <c r="JV95" s="291">
        <f t="shared" si="770"/>
        <v>0</v>
      </c>
      <c r="JW95" s="291">
        <f t="shared" si="771"/>
        <v>0</v>
      </c>
      <c r="JX95" s="292">
        <f t="shared" si="772"/>
        <v>0</v>
      </c>
      <c r="JY95" s="999">
        <v>4</v>
      </c>
      <c r="JZ95" s="286">
        <f t="shared" si="869"/>
        <v>44169</v>
      </c>
      <c r="KA95" s="293">
        <f t="shared" si="593"/>
        <v>44169</v>
      </c>
      <c r="KB95" s="288">
        <f>'दैनिक माहिती'!M264</f>
        <v>0</v>
      </c>
      <c r="KC95" s="289">
        <f>'दैनिक माहिती'!J264</f>
        <v>0</v>
      </c>
      <c r="KD95" s="289">
        <f>'दैनिक माहिती'!K264</f>
        <v>0</v>
      </c>
      <c r="KE95" s="289">
        <f>'दैनिक माहिती'!L264</f>
        <v>0</v>
      </c>
      <c r="KF95" s="290">
        <f t="shared" si="773"/>
        <v>0</v>
      </c>
      <c r="KG95" s="290">
        <f t="shared" si="774"/>
        <v>0</v>
      </c>
      <c r="KH95" s="290">
        <f t="shared" si="775"/>
        <v>0</v>
      </c>
      <c r="KI95" s="290">
        <f t="shared" si="776"/>
        <v>0</v>
      </c>
      <c r="KJ95" s="290">
        <f t="shared" si="777"/>
        <v>0</v>
      </c>
      <c r="KK95" s="290">
        <f t="shared" si="778"/>
        <v>0</v>
      </c>
      <c r="KL95" s="290">
        <f t="shared" si="779"/>
        <v>0</v>
      </c>
      <c r="KM95" s="290">
        <f t="shared" si="780"/>
        <v>0</v>
      </c>
      <c r="KN95" s="290">
        <f t="shared" si="781"/>
        <v>0</v>
      </c>
      <c r="KO95" s="290">
        <f t="shared" si="782"/>
        <v>0</v>
      </c>
      <c r="KP95" s="290">
        <f t="shared" si="783"/>
        <v>0</v>
      </c>
      <c r="KQ95" s="290">
        <f t="shared" si="784"/>
        <v>0</v>
      </c>
      <c r="KR95" s="290">
        <f t="shared" si="785"/>
        <v>0</v>
      </c>
      <c r="KS95" s="290">
        <f t="shared" si="786"/>
        <v>0</v>
      </c>
      <c r="KT95" s="290">
        <f t="shared" si="787"/>
        <v>0</v>
      </c>
      <c r="KU95" s="290">
        <f t="shared" si="788"/>
        <v>0</v>
      </c>
      <c r="KV95" s="290">
        <f t="shared" si="789"/>
        <v>0</v>
      </c>
      <c r="KW95" s="290">
        <f t="shared" si="790"/>
        <v>0</v>
      </c>
      <c r="KX95" s="291">
        <f t="shared" si="791"/>
        <v>0</v>
      </c>
      <c r="KY95" s="291">
        <f t="shared" si="792"/>
        <v>0</v>
      </c>
      <c r="KZ95" s="291">
        <f t="shared" si="793"/>
        <v>0</v>
      </c>
      <c r="LA95" s="292">
        <f t="shared" si="794"/>
        <v>0</v>
      </c>
      <c r="LB95" s="999">
        <v>4</v>
      </c>
      <c r="LC95" s="286">
        <f t="shared" si="870"/>
        <v>44200</v>
      </c>
      <c r="LD95" s="293">
        <f t="shared" si="594"/>
        <v>44200</v>
      </c>
      <c r="LE95" s="288">
        <f>'दैनिक माहिती'!M296</f>
        <v>0</v>
      </c>
      <c r="LF95" s="289">
        <f>'दैनिक माहिती'!J296</f>
        <v>0</v>
      </c>
      <c r="LG95" s="289">
        <f>'दैनिक माहिती'!K296</f>
        <v>0</v>
      </c>
      <c r="LH95" s="289">
        <f>'दैनिक माहिती'!L296</f>
        <v>0</v>
      </c>
      <c r="LI95" s="290">
        <f t="shared" si="795"/>
        <v>0</v>
      </c>
      <c r="LJ95" s="290">
        <f t="shared" si="796"/>
        <v>0</v>
      </c>
      <c r="LK95" s="290">
        <f t="shared" si="797"/>
        <v>0</v>
      </c>
      <c r="LL95" s="290">
        <f t="shared" si="798"/>
        <v>0</v>
      </c>
      <c r="LM95" s="290">
        <f t="shared" si="799"/>
        <v>0</v>
      </c>
      <c r="LN95" s="290">
        <f t="shared" si="800"/>
        <v>0</v>
      </c>
      <c r="LO95" s="290">
        <f t="shared" si="801"/>
        <v>0</v>
      </c>
      <c r="LP95" s="290">
        <f t="shared" si="802"/>
        <v>0</v>
      </c>
      <c r="LQ95" s="290">
        <f t="shared" si="803"/>
        <v>0</v>
      </c>
      <c r="LR95" s="290">
        <f t="shared" si="804"/>
        <v>0</v>
      </c>
      <c r="LS95" s="290">
        <f t="shared" si="805"/>
        <v>0</v>
      </c>
      <c r="LT95" s="290">
        <f t="shared" si="806"/>
        <v>0</v>
      </c>
      <c r="LU95" s="290">
        <f t="shared" si="807"/>
        <v>0</v>
      </c>
      <c r="LV95" s="290">
        <f t="shared" si="808"/>
        <v>0</v>
      </c>
      <c r="LW95" s="290">
        <f t="shared" si="809"/>
        <v>0</v>
      </c>
      <c r="LX95" s="290">
        <f t="shared" si="810"/>
        <v>0</v>
      </c>
      <c r="LY95" s="290">
        <f t="shared" si="811"/>
        <v>0</v>
      </c>
      <c r="LZ95" s="290">
        <f t="shared" si="812"/>
        <v>0</v>
      </c>
      <c r="MA95" s="291">
        <f t="shared" si="813"/>
        <v>0</v>
      </c>
      <c r="MB95" s="291">
        <f t="shared" si="814"/>
        <v>0</v>
      </c>
      <c r="MC95" s="291">
        <f t="shared" si="815"/>
        <v>0</v>
      </c>
      <c r="MD95" s="292">
        <f t="shared" si="816"/>
        <v>0</v>
      </c>
      <c r="ME95" s="999">
        <v>4</v>
      </c>
      <c r="MF95" s="286">
        <f t="shared" si="871"/>
        <v>44231</v>
      </c>
      <c r="MG95" s="293">
        <f t="shared" si="595"/>
        <v>44231</v>
      </c>
      <c r="MH95" s="288">
        <f>'दैनिक माहिती'!M328</f>
        <v>0</v>
      </c>
      <c r="MI95" s="289">
        <f>'दैनिक माहिती'!J328</f>
        <v>0</v>
      </c>
      <c r="MJ95" s="289">
        <f>'दैनिक माहिती'!K328</f>
        <v>0</v>
      </c>
      <c r="MK95" s="289">
        <f>'दैनिक माहिती'!L328</f>
        <v>0</v>
      </c>
      <c r="ML95" s="290">
        <f t="shared" si="817"/>
        <v>0</v>
      </c>
      <c r="MM95" s="290">
        <f t="shared" si="818"/>
        <v>0</v>
      </c>
      <c r="MN95" s="290">
        <f t="shared" si="819"/>
        <v>0</v>
      </c>
      <c r="MO95" s="290">
        <f t="shared" si="820"/>
        <v>0</v>
      </c>
      <c r="MP95" s="290">
        <f t="shared" si="821"/>
        <v>0</v>
      </c>
      <c r="MQ95" s="290">
        <f t="shared" si="822"/>
        <v>0</v>
      </c>
      <c r="MR95" s="290">
        <f t="shared" si="823"/>
        <v>0</v>
      </c>
      <c r="MS95" s="290">
        <f t="shared" si="824"/>
        <v>0</v>
      </c>
      <c r="MT95" s="290">
        <f t="shared" si="825"/>
        <v>0</v>
      </c>
      <c r="MU95" s="290">
        <f t="shared" si="826"/>
        <v>0</v>
      </c>
      <c r="MV95" s="290">
        <f t="shared" si="827"/>
        <v>0</v>
      </c>
      <c r="MW95" s="290">
        <f t="shared" si="828"/>
        <v>0</v>
      </c>
      <c r="MX95" s="290">
        <f t="shared" si="829"/>
        <v>0</v>
      </c>
      <c r="MY95" s="290">
        <f t="shared" si="830"/>
        <v>0</v>
      </c>
      <c r="MZ95" s="290">
        <f t="shared" si="831"/>
        <v>0</v>
      </c>
      <c r="NA95" s="290">
        <f t="shared" si="832"/>
        <v>0</v>
      </c>
      <c r="NB95" s="290">
        <f t="shared" si="833"/>
        <v>0</v>
      </c>
      <c r="NC95" s="290">
        <f t="shared" si="834"/>
        <v>0</v>
      </c>
      <c r="ND95" s="291">
        <f t="shared" si="835"/>
        <v>0</v>
      </c>
      <c r="NE95" s="291">
        <f t="shared" si="836"/>
        <v>0</v>
      </c>
      <c r="NF95" s="291">
        <f t="shared" si="837"/>
        <v>0</v>
      </c>
      <c r="NG95" s="292">
        <f t="shared" si="838"/>
        <v>0</v>
      </c>
      <c r="NH95" s="999">
        <v>4</v>
      </c>
      <c r="NI95" s="286">
        <f t="shared" si="872"/>
        <v>44259</v>
      </c>
      <c r="NJ95" s="293">
        <f t="shared" si="596"/>
        <v>44259</v>
      </c>
      <c r="NK95" s="288">
        <f>'दैनिक माहिती'!M358</f>
        <v>0</v>
      </c>
      <c r="NL95" s="289">
        <f>'दैनिक माहिती'!J358</f>
        <v>0</v>
      </c>
      <c r="NM95" s="289">
        <f>'दैनिक माहिती'!K358</f>
        <v>0</v>
      </c>
      <c r="NN95" s="289">
        <f>'दैनिक माहिती'!L358</f>
        <v>0</v>
      </c>
      <c r="NO95" s="290">
        <f t="shared" si="839"/>
        <v>0</v>
      </c>
      <c r="NP95" s="290">
        <f t="shared" si="840"/>
        <v>0</v>
      </c>
      <c r="NQ95" s="290">
        <f t="shared" si="841"/>
        <v>0</v>
      </c>
      <c r="NR95" s="290">
        <f t="shared" si="842"/>
        <v>0</v>
      </c>
      <c r="NS95" s="290">
        <f t="shared" si="843"/>
        <v>0</v>
      </c>
      <c r="NT95" s="290">
        <f t="shared" si="844"/>
        <v>0</v>
      </c>
      <c r="NU95" s="290">
        <f t="shared" si="845"/>
        <v>0</v>
      </c>
      <c r="NV95" s="290">
        <f t="shared" si="846"/>
        <v>0</v>
      </c>
      <c r="NW95" s="290">
        <f t="shared" si="847"/>
        <v>0</v>
      </c>
      <c r="NX95" s="290">
        <f t="shared" si="848"/>
        <v>0</v>
      </c>
      <c r="NY95" s="290">
        <f t="shared" si="849"/>
        <v>0</v>
      </c>
      <c r="NZ95" s="290">
        <f t="shared" si="850"/>
        <v>0</v>
      </c>
      <c r="OA95" s="290">
        <f t="shared" si="851"/>
        <v>0</v>
      </c>
      <c r="OB95" s="290">
        <f t="shared" si="852"/>
        <v>0</v>
      </c>
      <c r="OC95" s="290">
        <f t="shared" si="853"/>
        <v>0</v>
      </c>
      <c r="OD95" s="290">
        <f t="shared" si="854"/>
        <v>0</v>
      </c>
      <c r="OE95" s="290">
        <f t="shared" si="855"/>
        <v>0</v>
      </c>
      <c r="OF95" s="290">
        <f t="shared" si="856"/>
        <v>0</v>
      </c>
      <c r="OG95" s="291">
        <f t="shared" si="857"/>
        <v>0</v>
      </c>
      <c r="OH95" s="291">
        <f t="shared" si="858"/>
        <v>0</v>
      </c>
      <c r="OI95" s="291">
        <f t="shared" si="859"/>
        <v>0</v>
      </c>
      <c r="OJ95" s="292">
        <f t="shared" si="860"/>
        <v>0</v>
      </c>
    </row>
    <row r="96" spans="53:400" ht="29.25" customHeight="1" x14ac:dyDescent="0.3">
      <c r="BA96" s="999">
        <v>5</v>
      </c>
      <c r="BB96" s="286">
        <f t="shared" si="861"/>
        <v>43926</v>
      </c>
      <c r="BC96" s="287">
        <f t="shared" si="585"/>
        <v>43926</v>
      </c>
      <c r="BD96" s="288">
        <f>'दैनिक माहिती'!M13</f>
        <v>0</v>
      </c>
      <c r="BE96" s="289">
        <f>'दैनिक माहिती'!J13</f>
        <v>0</v>
      </c>
      <c r="BF96" s="289">
        <f>'दैनिक माहिती'!K13</f>
        <v>0</v>
      </c>
      <c r="BG96" s="289">
        <f>'दैनिक माहिती'!L13</f>
        <v>0</v>
      </c>
      <c r="BH96" s="290">
        <f t="shared" si="597"/>
        <v>0</v>
      </c>
      <c r="BI96" s="290">
        <f t="shared" si="598"/>
        <v>0</v>
      </c>
      <c r="BJ96" s="290">
        <f t="shared" si="599"/>
        <v>0</v>
      </c>
      <c r="BK96" s="290">
        <f t="shared" si="600"/>
        <v>0</v>
      </c>
      <c r="BL96" s="290">
        <f t="shared" si="601"/>
        <v>0</v>
      </c>
      <c r="BM96" s="290">
        <f t="shared" si="602"/>
        <v>0</v>
      </c>
      <c r="BN96" s="290">
        <f t="shared" si="603"/>
        <v>0</v>
      </c>
      <c r="BO96" s="290">
        <f t="shared" si="604"/>
        <v>0</v>
      </c>
      <c r="BP96" s="290">
        <f t="shared" si="605"/>
        <v>0</v>
      </c>
      <c r="BQ96" s="290">
        <f t="shared" si="606"/>
        <v>0</v>
      </c>
      <c r="BR96" s="290">
        <f t="shared" si="607"/>
        <v>0</v>
      </c>
      <c r="BS96" s="290">
        <f t="shared" si="608"/>
        <v>0</v>
      </c>
      <c r="BT96" s="290">
        <f t="shared" si="609"/>
        <v>0</v>
      </c>
      <c r="BU96" s="290">
        <f t="shared" si="610"/>
        <v>0</v>
      </c>
      <c r="BV96" s="290">
        <f t="shared" si="611"/>
        <v>0</v>
      </c>
      <c r="BW96" s="290">
        <f t="shared" si="612"/>
        <v>0</v>
      </c>
      <c r="BX96" s="290">
        <f t="shared" si="613"/>
        <v>0</v>
      </c>
      <c r="BY96" s="290">
        <f t="shared" si="614"/>
        <v>0</v>
      </c>
      <c r="BZ96" s="291">
        <f t="shared" si="615"/>
        <v>0</v>
      </c>
      <c r="CA96" s="291">
        <f t="shared" si="616"/>
        <v>0</v>
      </c>
      <c r="CB96" s="291">
        <f t="shared" si="617"/>
        <v>0</v>
      </c>
      <c r="CC96" s="292">
        <f t="shared" si="618"/>
        <v>0</v>
      </c>
      <c r="CD96" s="999">
        <v>5</v>
      </c>
      <c r="CE96" s="286">
        <f t="shared" si="862"/>
        <v>43956</v>
      </c>
      <c r="CF96" s="287">
        <f t="shared" si="586"/>
        <v>43956</v>
      </c>
      <c r="CG96" s="288">
        <f>'दैनिक माहिती'!M44</f>
        <v>0</v>
      </c>
      <c r="CH96" s="289">
        <f>'दैनिक माहिती'!J44</f>
        <v>0</v>
      </c>
      <c r="CI96" s="289">
        <f>'दैनिक माहिती'!K44</f>
        <v>0</v>
      </c>
      <c r="CJ96" s="289">
        <f>'दैनिक माहिती'!L44</f>
        <v>0</v>
      </c>
      <c r="CK96" s="290">
        <f t="shared" si="619"/>
        <v>0</v>
      </c>
      <c r="CL96" s="290">
        <f t="shared" si="620"/>
        <v>0</v>
      </c>
      <c r="CM96" s="290">
        <f t="shared" si="621"/>
        <v>0</v>
      </c>
      <c r="CN96" s="290">
        <f t="shared" si="622"/>
        <v>0</v>
      </c>
      <c r="CO96" s="290">
        <f t="shared" si="623"/>
        <v>0</v>
      </c>
      <c r="CP96" s="290">
        <f t="shared" si="624"/>
        <v>0</v>
      </c>
      <c r="CQ96" s="290">
        <f t="shared" si="625"/>
        <v>0</v>
      </c>
      <c r="CR96" s="290">
        <f t="shared" si="626"/>
        <v>0</v>
      </c>
      <c r="CS96" s="290">
        <f t="shared" si="627"/>
        <v>0</v>
      </c>
      <c r="CT96" s="290">
        <f t="shared" si="628"/>
        <v>0</v>
      </c>
      <c r="CU96" s="290">
        <f t="shared" si="629"/>
        <v>0</v>
      </c>
      <c r="CV96" s="290">
        <f t="shared" si="630"/>
        <v>0</v>
      </c>
      <c r="CW96" s="290">
        <f t="shared" si="631"/>
        <v>0</v>
      </c>
      <c r="CX96" s="290">
        <f t="shared" si="632"/>
        <v>0</v>
      </c>
      <c r="CY96" s="290">
        <f t="shared" si="633"/>
        <v>0</v>
      </c>
      <c r="CZ96" s="290">
        <f t="shared" si="634"/>
        <v>0</v>
      </c>
      <c r="DA96" s="290">
        <f t="shared" si="635"/>
        <v>0</v>
      </c>
      <c r="DB96" s="290">
        <f t="shared" si="636"/>
        <v>0</v>
      </c>
      <c r="DC96" s="291">
        <f t="shared" si="637"/>
        <v>0</v>
      </c>
      <c r="DD96" s="291">
        <f t="shared" si="638"/>
        <v>0</v>
      </c>
      <c r="DE96" s="291">
        <f t="shared" si="639"/>
        <v>0</v>
      </c>
      <c r="DF96" s="292">
        <f t="shared" si="640"/>
        <v>0</v>
      </c>
      <c r="DG96" s="999">
        <v>5</v>
      </c>
      <c r="DH96" s="286">
        <f t="shared" si="863"/>
        <v>43987</v>
      </c>
      <c r="DI96" s="287">
        <f t="shared" si="587"/>
        <v>43987</v>
      </c>
      <c r="DJ96" s="288">
        <f>'दैनिक माहिती'!M76</f>
        <v>0</v>
      </c>
      <c r="DK96" s="289">
        <f>'दैनिक माहिती'!J76</f>
        <v>0</v>
      </c>
      <c r="DL96" s="289">
        <f>'दैनिक माहिती'!K76</f>
        <v>0</v>
      </c>
      <c r="DM96" s="289">
        <f>'दैनिक माहिती'!L76</f>
        <v>0</v>
      </c>
      <c r="DN96" s="290">
        <f t="shared" si="641"/>
        <v>0</v>
      </c>
      <c r="DO96" s="290">
        <f t="shared" si="642"/>
        <v>0</v>
      </c>
      <c r="DP96" s="290">
        <f t="shared" si="643"/>
        <v>0</v>
      </c>
      <c r="DQ96" s="290">
        <f t="shared" si="644"/>
        <v>0</v>
      </c>
      <c r="DR96" s="290">
        <f t="shared" si="645"/>
        <v>0</v>
      </c>
      <c r="DS96" s="290">
        <f t="shared" si="646"/>
        <v>0</v>
      </c>
      <c r="DT96" s="290">
        <f t="shared" si="647"/>
        <v>0</v>
      </c>
      <c r="DU96" s="290">
        <f t="shared" si="648"/>
        <v>0</v>
      </c>
      <c r="DV96" s="290">
        <f t="shared" si="649"/>
        <v>0</v>
      </c>
      <c r="DW96" s="290">
        <f t="shared" si="650"/>
        <v>0</v>
      </c>
      <c r="DX96" s="290">
        <f t="shared" si="651"/>
        <v>0</v>
      </c>
      <c r="DY96" s="290">
        <f t="shared" si="652"/>
        <v>0</v>
      </c>
      <c r="DZ96" s="290">
        <f t="shared" si="653"/>
        <v>0</v>
      </c>
      <c r="EA96" s="290">
        <f t="shared" si="654"/>
        <v>0</v>
      </c>
      <c r="EB96" s="290">
        <f t="shared" si="655"/>
        <v>0</v>
      </c>
      <c r="EC96" s="290">
        <f t="shared" si="656"/>
        <v>0</v>
      </c>
      <c r="ED96" s="290">
        <f t="shared" si="657"/>
        <v>0</v>
      </c>
      <c r="EE96" s="290">
        <f t="shared" si="658"/>
        <v>0</v>
      </c>
      <c r="EF96" s="291">
        <f t="shared" si="659"/>
        <v>0</v>
      </c>
      <c r="EG96" s="291">
        <f t="shared" si="660"/>
        <v>0</v>
      </c>
      <c r="EH96" s="291">
        <f t="shared" si="661"/>
        <v>0</v>
      </c>
      <c r="EI96" s="292">
        <f t="shared" si="662"/>
        <v>0</v>
      </c>
      <c r="EJ96" s="999">
        <v>5</v>
      </c>
      <c r="EK96" s="286">
        <f t="shared" si="864"/>
        <v>44017</v>
      </c>
      <c r="EL96" s="287">
        <f t="shared" si="588"/>
        <v>44017</v>
      </c>
      <c r="EM96" s="288">
        <f>'दैनिक माहिती'!M107</f>
        <v>0</v>
      </c>
      <c r="EN96" s="289">
        <f>'दैनिक माहिती'!J107</f>
        <v>0</v>
      </c>
      <c r="EO96" s="289">
        <f>'दैनिक माहिती'!K107</f>
        <v>0</v>
      </c>
      <c r="EP96" s="289">
        <f>'दैनिक माहिती'!L107</f>
        <v>0</v>
      </c>
      <c r="EQ96" s="290">
        <f t="shared" si="663"/>
        <v>0</v>
      </c>
      <c r="ER96" s="290">
        <f t="shared" si="664"/>
        <v>0</v>
      </c>
      <c r="ES96" s="290">
        <f t="shared" si="665"/>
        <v>0</v>
      </c>
      <c r="ET96" s="290">
        <f t="shared" si="666"/>
        <v>0</v>
      </c>
      <c r="EU96" s="290">
        <f t="shared" si="667"/>
        <v>0</v>
      </c>
      <c r="EV96" s="290">
        <f t="shared" si="668"/>
        <v>0</v>
      </c>
      <c r="EW96" s="290">
        <f t="shared" si="669"/>
        <v>0</v>
      </c>
      <c r="EX96" s="290">
        <f t="shared" si="670"/>
        <v>0</v>
      </c>
      <c r="EY96" s="290">
        <f t="shared" si="671"/>
        <v>0</v>
      </c>
      <c r="EZ96" s="290">
        <f t="shared" si="672"/>
        <v>0</v>
      </c>
      <c r="FA96" s="290">
        <f t="shared" si="673"/>
        <v>0</v>
      </c>
      <c r="FB96" s="290">
        <f t="shared" si="674"/>
        <v>0</v>
      </c>
      <c r="FC96" s="290">
        <f t="shared" si="675"/>
        <v>0</v>
      </c>
      <c r="FD96" s="290">
        <f t="shared" si="676"/>
        <v>0</v>
      </c>
      <c r="FE96" s="290">
        <f t="shared" si="677"/>
        <v>0</v>
      </c>
      <c r="FF96" s="290">
        <f t="shared" si="678"/>
        <v>0</v>
      </c>
      <c r="FG96" s="290">
        <f t="shared" si="679"/>
        <v>0</v>
      </c>
      <c r="FH96" s="290">
        <f t="shared" si="680"/>
        <v>0</v>
      </c>
      <c r="FI96" s="291">
        <f t="shared" si="681"/>
        <v>0</v>
      </c>
      <c r="FJ96" s="291">
        <f t="shared" si="682"/>
        <v>0</v>
      </c>
      <c r="FK96" s="291">
        <f t="shared" si="683"/>
        <v>0</v>
      </c>
      <c r="FL96" s="292">
        <f t="shared" si="684"/>
        <v>0</v>
      </c>
      <c r="FM96" s="999">
        <v>5</v>
      </c>
      <c r="FN96" s="286">
        <f t="shared" si="865"/>
        <v>44048</v>
      </c>
      <c r="FO96" s="287">
        <f t="shared" si="589"/>
        <v>44048</v>
      </c>
      <c r="FP96" s="288">
        <f>'दैनिक माहिती'!M139</f>
        <v>0</v>
      </c>
      <c r="FQ96" s="289">
        <f>'दैनिक माहिती'!J139</f>
        <v>0</v>
      </c>
      <c r="FR96" s="289">
        <f>'दैनिक माहिती'!K139</f>
        <v>0</v>
      </c>
      <c r="FS96" s="289">
        <f>'दैनिक माहिती'!L139</f>
        <v>0</v>
      </c>
      <c r="FT96" s="290">
        <f t="shared" si="685"/>
        <v>0</v>
      </c>
      <c r="FU96" s="290">
        <f t="shared" si="686"/>
        <v>0</v>
      </c>
      <c r="FV96" s="290">
        <f t="shared" si="687"/>
        <v>0</v>
      </c>
      <c r="FW96" s="290">
        <f t="shared" si="688"/>
        <v>0</v>
      </c>
      <c r="FX96" s="290">
        <f t="shared" si="689"/>
        <v>0</v>
      </c>
      <c r="FY96" s="290">
        <f t="shared" si="690"/>
        <v>0</v>
      </c>
      <c r="FZ96" s="290">
        <f t="shared" si="691"/>
        <v>0</v>
      </c>
      <c r="GA96" s="290">
        <f t="shared" si="692"/>
        <v>0</v>
      </c>
      <c r="GB96" s="290">
        <f t="shared" si="693"/>
        <v>0</v>
      </c>
      <c r="GC96" s="290">
        <f t="shared" si="694"/>
        <v>0</v>
      </c>
      <c r="GD96" s="290">
        <f t="shared" si="695"/>
        <v>0</v>
      </c>
      <c r="GE96" s="290">
        <f t="shared" si="696"/>
        <v>0</v>
      </c>
      <c r="GF96" s="290">
        <f t="shared" si="697"/>
        <v>0</v>
      </c>
      <c r="GG96" s="290">
        <f t="shared" si="698"/>
        <v>0</v>
      </c>
      <c r="GH96" s="290">
        <f t="shared" si="699"/>
        <v>0</v>
      </c>
      <c r="GI96" s="290">
        <f t="shared" si="700"/>
        <v>0</v>
      </c>
      <c r="GJ96" s="290">
        <f t="shared" si="701"/>
        <v>0</v>
      </c>
      <c r="GK96" s="290">
        <f t="shared" si="702"/>
        <v>0</v>
      </c>
      <c r="GL96" s="291">
        <f t="shared" si="703"/>
        <v>0</v>
      </c>
      <c r="GM96" s="291">
        <f t="shared" si="704"/>
        <v>0</v>
      </c>
      <c r="GN96" s="291">
        <f t="shared" si="705"/>
        <v>0</v>
      </c>
      <c r="GO96" s="292">
        <f t="shared" si="706"/>
        <v>0</v>
      </c>
      <c r="GP96" s="999">
        <v>5</v>
      </c>
      <c r="GQ96" s="286">
        <f t="shared" si="866"/>
        <v>44079</v>
      </c>
      <c r="GR96" s="287">
        <f t="shared" si="590"/>
        <v>44079</v>
      </c>
      <c r="GS96" s="288">
        <f>'दैनिक माहिती'!M171</f>
        <v>0</v>
      </c>
      <c r="GT96" s="289">
        <f>'दैनिक माहिती'!J171</f>
        <v>0</v>
      </c>
      <c r="GU96" s="289">
        <f>'दैनिक माहिती'!K171</f>
        <v>0</v>
      </c>
      <c r="GV96" s="289">
        <f>'दैनिक माहिती'!L171</f>
        <v>0</v>
      </c>
      <c r="GW96" s="290">
        <f t="shared" si="707"/>
        <v>0</v>
      </c>
      <c r="GX96" s="290">
        <f t="shared" si="708"/>
        <v>0</v>
      </c>
      <c r="GY96" s="290">
        <f t="shared" si="709"/>
        <v>0</v>
      </c>
      <c r="GZ96" s="290">
        <f t="shared" si="710"/>
        <v>0</v>
      </c>
      <c r="HA96" s="290">
        <f t="shared" si="711"/>
        <v>0</v>
      </c>
      <c r="HB96" s="290">
        <f t="shared" si="712"/>
        <v>0</v>
      </c>
      <c r="HC96" s="290">
        <f t="shared" si="713"/>
        <v>0</v>
      </c>
      <c r="HD96" s="290">
        <f t="shared" si="714"/>
        <v>0</v>
      </c>
      <c r="HE96" s="290">
        <f t="shared" si="715"/>
        <v>0</v>
      </c>
      <c r="HF96" s="290">
        <f t="shared" si="716"/>
        <v>0</v>
      </c>
      <c r="HG96" s="290">
        <f t="shared" si="717"/>
        <v>0</v>
      </c>
      <c r="HH96" s="290">
        <f t="shared" si="718"/>
        <v>0</v>
      </c>
      <c r="HI96" s="290">
        <f t="shared" si="719"/>
        <v>0</v>
      </c>
      <c r="HJ96" s="290">
        <f t="shared" si="720"/>
        <v>0</v>
      </c>
      <c r="HK96" s="290">
        <f t="shared" si="721"/>
        <v>0</v>
      </c>
      <c r="HL96" s="290">
        <f t="shared" si="722"/>
        <v>0</v>
      </c>
      <c r="HM96" s="290">
        <f t="shared" si="723"/>
        <v>0</v>
      </c>
      <c r="HN96" s="290">
        <f t="shared" si="724"/>
        <v>0</v>
      </c>
      <c r="HO96" s="291">
        <f t="shared" si="725"/>
        <v>0</v>
      </c>
      <c r="HP96" s="291">
        <f t="shared" si="726"/>
        <v>0</v>
      </c>
      <c r="HQ96" s="291">
        <f t="shared" si="727"/>
        <v>0</v>
      </c>
      <c r="HR96" s="292">
        <f t="shared" si="728"/>
        <v>0</v>
      </c>
      <c r="HS96" s="999">
        <v>5</v>
      </c>
      <c r="HT96" s="286">
        <f t="shared" si="867"/>
        <v>44109</v>
      </c>
      <c r="HU96" s="287">
        <f t="shared" si="591"/>
        <v>44109</v>
      </c>
      <c r="HV96" s="288">
        <f>'दैनिक माहिती'!M202</f>
        <v>0</v>
      </c>
      <c r="HW96" s="289">
        <f>'दैनिक माहिती'!J202</f>
        <v>0</v>
      </c>
      <c r="HX96" s="289">
        <f>'दैनिक माहिती'!K202</f>
        <v>0</v>
      </c>
      <c r="HY96" s="289">
        <f>'दैनिक माहिती'!L202</f>
        <v>0</v>
      </c>
      <c r="HZ96" s="290">
        <f t="shared" si="729"/>
        <v>0</v>
      </c>
      <c r="IA96" s="290">
        <f t="shared" si="730"/>
        <v>0</v>
      </c>
      <c r="IB96" s="290">
        <f t="shared" si="731"/>
        <v>0</v>
      </c>
      <c r="IC96" s="290">
        <f t="shared" si="732"/>
        <v>0</v>
      </c>
      <c r="ID96" s="290">
        <f t="shared" si="733"/>
        <v>0</v>
      </c>
      <c r="IE96" s="290">
        <f t="shared" si="734"/>
        <v>0</v>
      </c>
      <c r="IF96" s="290">
        <f t="shared" si="735"/>
        <v>0</v>
      </c>
      <c r="IG96" s="290">
        <f t="shared" si="736"/>
        <v>0</v>
      </c>
      <c r="IH96" s="290">
        <f t="shared" si="737"/>
        <v>0</v>
      </c>
      <c r="II96" s="290">
        <f t="shared" si="738"/>
        <v>0</v>
      </c>
      <c r="IJ96" s="290">
        <f t="shared" si="739"/>
        <v>0</v>
      </c>
      <c r="IK96" s="290">
        <f t="shared" si="740"/>
        <v>0</v>
      </c>
      <c r="IL96" s="290">
        <f t="shared" si="741"/>
        <v>0</v>
      </c>
      <c r="IM96" s="290">
        <f t="shared" si="742"/>
        <v>0</v>
      </c>
      <c r="IN96" s="290">
        <f t="shared" si="743"/>
        <v>0</v>
      </c>
      <c r="IO96" s="290">
        <f t="shared" si="744"/>
        <v>0</v>
      </c>
      <c r="IP96" s="290">
        <f t="shared" si="745"/>
        <v>0</v>
      </c>
      <c r="IQ96" s="290">
        <f t="shared" si="746"/>
        <v>0</v>
      </c>
      <c r="IR96" s="291">
        <f t="shared" si="747"/>
        <v>0</v>
      </c>
      <c r="IS96" s="291">
        <f t="shared" si="748"/>
        <v>0</v>
      </c>
      <c r="IT96" s="291">
        <f t="shared" si="749"/>
        <v>0</v>
      </c>
      <c r="IU96" s="292">
        <f t="shared" si="750"/>
        <v>0</v>
      </c>
      <c r="IV96" s="999">
        <v>5</v>
      </c>
      <c r="IW96" s="286">
        <f t="shared" si="868"/>
        <v>44140</v>
      </c>
      <c r="IX96" s="287">
        <f t="shared" si="592"/>
        <v>44140</v>
      </c>
      <c r="IY96" s="288">
        <f>'दैनिक माहिती'!M234</f>
        <v>0</v>
      </c>
      <c r="IZ96" s="289">
        <f>'दैनिक माहिती'!J234</f>
        <v>0</v>
      </c>
      <c r="JA96" s="289">
        <f>'दैनिक माहिती'!K234</f>
        <v>0</v>
      </c>
      <c r="JB96" s="289">
        <f>'दैनिक माहिती'!L234</f>
        <v>0</v>
      </c>
      <c r="JC96" s="290">
        <f t="shared" si="751"/>
        <v>0</v>
      </c>
      <c r="JD96" s="290">
        <f t="shared" si="752"/>
        <v>0</v>
      </c>
      <c r="JE96" s="290">
        <f t="shared" si="753"/>
        <v>0</v>
      </c>
      <c r="JF96" s="290">
        <f t="shared" si="754"/>
        <v>0</v>
      </c>
      <c r="JG96" s="290">
        <f t="shared" si="755"/>
        <v>0</v>
      </c>
      <c r="JH96" s="290">
        <f t="shared" si="756"/>
        <v>0</v>
      </c>
      <c r="JI96" s="290">
        <f t="shared" si="757"/>
        <v>0</v>
      </c>
      <c r="JJ96" s="290">
        <f t="shared" si="758"/>
        <v>0</v>
      </c>
      <c r="JK96" s="290">
        <f t="shared" si="759"/>
        <v>0</v>
      </c>
      <c r="JL96" s="290">
        <f t="shared" si="760"/>
        <v>0</v>
      </c>
      <c r="JM96" s="290">
        <f t="shared" si="761"/>
        <v>0</v>
      </c>
      <c r="JN96" s="290">
        <f t="shared" si="762"/>
        <v>0</v>
      </c>
      <c r="JO96" s="290">
        <f t="shared" si="763"/>
        <v>0</v>
      </c>
      <c r="JP96" s="290">
        <f t="shared" si="764"/>
        <v>0</v>
      </c>
      <c r="JQ96" s="290">
        <f t="shared" si="765"/>
        <v>0</v>
      </c>
      <c r="JR96" s="290">
        <f t="shared" si="766"/>
        <v>0</v>
      </c>
      <c r="JS96" s="290">
        <f t="shared" si="767"/>
        <v>0</v>
      </c>
      <c r="JT96" s="290">
        <f t="shared" si="768"/>
        <v>0</v>
      </c>
      <c r="JU96" s="291">
        <f t="shared" si="769"/>
        <v>0</v>
      </c>
      <c r="JV96" s="291">
        <f t="shared" si="770"/>
        <v>0</v>
      </c>
      <c r="JW96" s="291">
        <f t="shared" si="771"/>
        <v>0</v>
      </c>
      <c r="JX96" s="292">
        <f t="shared" si="772"/>
        <v>0</v>
      </c>
      <c r="JY96" s="999">
        <v>5</v>
      </c>
      <c r="JZ96" s="286">
        <f t="shared" si="869"/>
        <v>44170</v>
      </c>
      <c r="KA96" s="287">
        <f t="shared" si="593"/>
        <v>44170</v>
      </c>
      <c r="KB96" s="288">
        <f>'दैनिक माहिती'!M265</f>
        <v>0</v>
      </c>
      <c r="KC96" s="289">
        <f>'दैनिक माहिती'!J265</f>
        <v>0</v>
      </c>
      <c r="KD96" s="289">
        <f>'दैनिक माहिती'!K265</f>
        <v>0</v>
      </c>
      <c r="KE96" s="289">
        <f>'दैनिक माहिती'!L265</f>
        <v>0</v>
      </c>
      <c r="KF96" s="290">
        <f t="shared" si="773"/>
        <v>0</v>
      </c>
      <c r="KG96" s="290">
        <f t="shared" si="774"/>
        <v>0</v>
      </c>
      <c r="KH96" s="290">
        <f t="shared" si="775"/>
        <v>0</v>
      </c>
      <c r="KI96" s="290">
        <f t="shared" si="776"/>
        <v>0</v>
      </c>
      <c r="KJ96" s="290">
        <f t="shared" si="777"/>
        <v>0</v>
      </c>
      <c r="KK96" s="290">
        <f t="shared" si="778"/>
        <v>0</v>
      </c>
      <c r="KL96" s="290">
        <f t="shared" si="779"/>
        <v>0</v>
      </c>
      <c r="KM96" s="290">
        <f t="shared" si="780"/>
        <v>0</v>
      </c>
      <c r="KN96" s="290">
        <f t="shared" si="781"/>
        <v>0</v>
      </c>
      <c r="KO96" s="290">
        <f t="shared" si="782"/>
        <v>0</v>
      </c>
      <c r="KP96" s="290">
        <f t="shared" si="783"/>
        <v>0</v>
      </c>
      <c r="KQ96" s="290">
        <f t="shared" si="784"/>
        <v>0</v>
      </c>
      <c r="KR96" s="290">
        <f t="shared" si="785"/>
        <v>0</v>
      </c>
      <c r="KS96" s="290">
        <f t="shared" si="786"/>
        <v>0</v>
      </c>
      <c r="KT96" s="290">
        <f t="shared" si="787"/>
        <v>0</v>
      </c>
      <c r="KU96" s="290">
        <f t="shared" si="788"/>
        <v>0</v>
      </c>
      <c r="KV96" s="290">
        <f t="shared" si="789"/>
        <v>0</v>
      </c>
      <c r="KW96" s="290">
        <f t="shared" si="790"/>
        <v>0</v>
      </c>
      <c r="KX96" s="291">
        <f t="shared" si="791"/>
        <v>0</v>
      </c>
      <c r="KY96" s="291">
        <f t="shared" si="792"/>
        <v>0</v>
      </c>
      <c r="KZ96" s="291">
        <f t="shared" si="793"/>
        <v>0</v>
      </c>
      <c r="LA96" s="292">
        <f t="shared" si="794"/>
        <v>0</v>
      </c>
      <c r="LB96" s="999">
        <v>5</v>
      </c>
      <c r="LC96" s="286">
        <f t="shared" si="870"/>
        <v>44201</v>
      </c>
      <c r="LD96" s="287">
        <f t="shared" si="594"/>
        <v>44201</v>
      </c>
      <c r="LE96" s="288">
        <f>'दैनिक माहिती'!M297</f>
        <v>0</v>
      </c>
      <c r="LF96" s="289">
        <f>'दैनिक माहिती'!J297</f>
        <v>0</v>
      </c>
      <c r="LG96" s="289">
        <f>'दैनिक माहिती'!K297</f>
        <v>0</v>
      </c>
      <c r="LH96" s="289">
        <f>'दैनिक माहिती'!L297</f>
        <v>0</v>
      </c>
      <c r="LI96" s="290">
        <f t="shared" si="795"/>
        <v>0</v>
      </c>
      <c r="LJ96" s="290">
        <f t="shared" si="796"/>
        <v>0</v>
      </c>
      <c r="LK96" s="290">
        <f t="shared" si="797"/>
        <v>0</v>
      </c>
      <c r="LL96" s="290">
        <f t="shared" si="798"/>
        <v>0</v>
      </c>
      <c r="LM96" s="290">
        <f t="shared" si="799"/>
        <v>0</v>
      </c>
      <c r="LN96" s="290">
        <f t="shared" si="800"/>
        <v>0</v>
      </c>
      <c r="LO96" s="290">
        <f t="shared" si="801"/>
        <v>0</v>
      </c>
      <c r="LP96" s="290">
        <f t="shared" si="802"/>
        <v>0</v>
      </c>
      <c r="LQ96" s="290">
        <f t="shared" si="803"/>
        <v>0</v>
      </c>
      <c r="LR96" s="290">
        <f t="shared" si="804"/>
        <v>0</v>
      </c>
      <c r="LS96" s="290">
        <f t="shared" si="805"/>
        <v>0</v>
      </c>
      <c r="LT96" s="290">
        <f t="shared" si="806"/>
        <v>0</v>
      </c>
      <c r="LU96" s="290">
        <f t="shared" si="807"/>
        <v>0</v>
      </c>
      <c r="LV96" s="290">
        <f t="shared" si="808"/>
        <v>0</v>
      </c>
      <c r="LW96" s="290">
        <f t="shared" si="809"/>
        <v>0</v>
      </c>
      <c r="LX96" s="290">
        <f t="shared" si="810"/>
        <v>0</v>
      </c>
      <c r="LY96" s="290">
        <f t="shared" si="811"/>
        <v>0</v>
      </c>
      <c r="LZ96" s="290">
        <f t="shared" si="812"/>
        <v>0</v>
      </c>
      <c r="MA96" s="291">
        <f t="shared" si="813"/>
        <v>0</v>
      </c>
      <c r="MB96" s="291">
        <f t="shared" si="814"/>
        <v>0</v>
      </c>
      <c r="MC96" s="291">
        <f t="shared" si="815"/>
        <v>0</v>
      </c>
      <c r="MD96" s="292">
        <f t="shared" si="816"/>
        <v>0</v>
      </c>
      <c r="ME96" s="999">
        <v>5</v>
      </c>
      <c r="MF96" s="286">
        <f t="shared" si="871"/>
        <v>44232</v>
      </c>
      <c r="MG96" s="287">
        <f t="shared" si="595"/>
        <v>44232</v>
      </c>
      <c r="MH96" s="288">
        <f>'दैनिक माहिती'!M329</f>
        <v>0</v>
      </c>
      <c r="MI96" s="289">
        <f>'दैनिक माहिती'!J329</f>
        <v>0</v>
      </c>
      <c r="MJ96" s="289">
        <f>'दैनिक माहिती'!K329</f>
        <v>0</v>
      </c>
      <c r="MK96" s="289">
        <f>'दैनिक माहिती'!L329</f>
        <v>0</v>
      </c>
      <c r="ML96" s="290">
        <f t="shared" si="817"/>
        <v>0</v>
      </c>
      <c r="MM96" s="290">
        <f t="shared" si="818"/>
        <v>0</v>
      </c>
      <c r="MN96" s="290">
        <f t="shared" si="819"/>
        <v>0</v>
      </c>
      <c r="MO96" s="290">
        <f t="shared" si="820"/>
        <v>0</v>
      </c>
      <c r="MP96" s="290">
        <f t="shared" si="821"/>
        <v>0</v>
      </c>
      <c r="MQ96" s="290">
        <f t="shared" si="822"/>
        <v>0</v>
      </c>
      <c r="MR96" s="290">
        <f t="shared" si="823"/>
        <v>0</v>
      </c>
      <c r="MS96" s="290">
        <f t="shared" si="824"/>
        <v>0</v>
      </c>
      <c r="MT96" s="290">
        <f t="shared" si="825"/>
        <v>0</v>
      </c>
      <c r="MU96" s="290">
        <f t="shared" si="826"/>
        <v>0</v>
      </c>
      <c r="MV96" s="290">
        <f t="shared" si="827"/>
        <v>0</v>
      </c>
      <c r="MW96" s="290">
        <f t="shared" si="828"/>
        <v>0</v>
      </c>
      <c r="MX96" s="290">
        <f t="shared" si="829"/>
        <v>0</v>
      </c>
      <c r="MY96" s="290">
        <f t="shared" si="830"/>
        <v>0</v>
      </c>
      <c r="MZ96" s="290">
        <f t="shared" si="831"/>
        <v>0</v>
      </c>
      <c r="NA96" s="290">
        <f t="shared" si="832"/>
        <v>0</v>
      </c>
      <c r="NB96" s="290">
        <f t="shared" si="833"/>
        <v>0</v>
      </c>
      <c r="NC96" s="290">
        <f t="shared" si="834"/>
        <v>0</v>
      </c>
      <c r="ND96" s="291">
        <f t="shared" si="835"/>
        <v>0</v>
      </c>
      <c r="NE96" s="291">
        <f t="shared" si="836"/>
        <v>0</v>
      </c>
      <c r="NF96" s="291">
        <f t="shared" si="837"/>
        <v>0</v>
      </c>
      <c r="NG96" s="292">
        <f t="shared" si="838"/>
        <v>0</v>
      </c>
      <c r="NH96" s="999">
        <v>5</v>
      </c>
      <c r="NI96" s="286">
        <f t="shared" si="872"/>
        <v>44260</v>
      </c>
      <c r="NJ96" s="287">
        <f t="shared" si="596"/>
        <v>44260</v>
      </c>
      <c r="NK96" s="288">
        <f>'दैनिक माहिती'!M359</f>
        <v>0</v>
      </c>
      <c r="NL96" s="289">
        <f>'दैनिक माहिती'!J359</f>
        <v>0</v>
      </c>
      <c r="NM96" s="289">
        <f>'दैनिक माहिती'!K359</f>
        <v>0</v>
      </c>
      <c r="NN96" s="289">
        <f>'दैनिक माहिती'!L359</f>
        <v>0</v>
      </c>
      <c r="NO96" s="290">
        <f t="shared" si="839"/>
        <v>0</v>
      </c>
      <c r="NP96" s="290">
        <f t="shared" si="840"/>
        <v>0</v>
      </c>
      <c r="NQ96" s="290">
        <f t="shared" si="841"/>
        <v>0</v>
      </c>
      <c r="NR96" s="290">
        <f t="shared" si="842"/>
        <v>0</v>
      </c>
      <c r="NS96" s="290">
        <f t="shared" si="843"/>
        <v>0</v>
      </c>
      <c r="NT96" s="290">
        <f t="shared" si="844"/>
        <v>0</v>
      </c>
      <c r="NU96" s="290">
        <f t="shared" si="845"/>
        <v>0</v>
      </c>
      <c r="NV96" s="290">
        <f t="shared" si="846"/>
        <v>0</v>
      </c>
      <c r="NW96" s="290">
        <f t="shared" si="847"/>
        <v>0</v>
      </c>
      <c r="NX96" s="290">
        <f t="shared" si="848"/>
        <v>0</v>
      </c>
      <c r="NY96" s="290">
        <f t="shared" si="849"/>
        <v>0</v>
      </c>
      <c r="NZ96" s="290">
        <f t="shared" si="850"/>
        <v>0</v>
      </c>
      <c r="OA96" s="290">
        <f t="shared" si="851"/>
        <v>0</v>
      </c>
      <c r="OB96" s="290">
        <f t="shared" si="852"/>
        <v>0</v>
      </c>
      <c r="OC96" s="290">
        <f t="shared" si="853"/>
        <v>0</v>
      </c>
      <c r="OD96" s="290">
        <f t="shared" si="854"/>
        <v>0</v>
      </c>
      <c r="OE96" s="290">
        <f t="shared" si="855"/>
        <v>0</v>
      </c>
      <c r="OF96" s="290">
        <f t="shared" si="856"/>
        <v>0</v>
      </c>
      <c r="OG96" s="291">
        <f t="shared" si="857"/>
        <v>0</v>
      </c>
      <c r="OH96" s="291">
        <f t="shared" si="858"/>
        <v>0</v>
      </c>
      <c r="OI96" s="291">
        <f t="shared" si="859"/>
        <v>0</v>
      </c>
      <c r="OJ96" s="292">
        <f t="shared" si="860"/>
        <v>0</v>
      </c>
    </row>
    <row r="97" spans="53:400" ht="29.25" customHeight="1" x14ac:dyDescent="0.3">
      <c r="BA97" s="999">
        <v>6</v>
      </c>
      <c r="BB97" s="286">
        <f t="shared" si="861"/>
        <v>43927</v>
      </c>
      <c r="BC97" s="287">
        <f t="shared" si="585"/>
        <v>43927</v>
      </c>
      <c r="BD97" s="288">
        <f>'दैनिक माहिती'!M14</f>
        <v>0</v>
      </c>
      <c r="BE97" s="289">
        <f>'दैनिक माहिती'!J14</f>
        <v>0</v>
      </c>
      <c r="BF97" s="289">
        <f>'दैनिक माहिती'!K14</f>
        <v>0</v>
      </c>
      <c r="BG97" s="289">
        <f>'दैनिक माहिती'!L14</f>
        <v>0</v>
      </c>
      <c r="BH97" s="290">
        <f t="shared" si="597"/>
        <v>0</v>
      </c>
      <c r="BI97" s="290">
        <f t="shared" si="598"/>
        <v>0</v>
      </c>
      <c r="BJ97" s="290">
        <f t="shared" si="599"/>
        <v>0</v>
      </c>
      <c r="BK97" s="290">
        <f t="shared" si="600"/>
        <v>0</v>
      </c>
      <c r="BL97" s="290">
        <f t="shared" si="601"/>
        <v>0</v>
      </c>
      <c r="BM97" s="290">
        <f t="shared" si="602"/>
        <v>0</v>
      </c>
      <c r="BN97" s="290">
        <f t="shared" si="603"/>
        <v>0</v>
      </c>
      <c r="BO97" s="290">
        <f t="shared" si="604"/>
        <v>0</v>
      </c>
      <c r="BP97" s="290">
        <f t="shared" si="605"/>
        <v>0</v>
      </c>
      <c r="BQ97" s="290">
        <f t="shared" si="606"/>
        <v>0</v>
      </c>
      <c r="BR97" s="290">
        <f t="shared" si="607"/>
        <v>0</v>
      </c>
      <c r="BS97" s="290">
        <f t="shared" si="608"/>
        <v>0</v>
      </c>
      <c r="BT97" s="290">
        <f t="shared" si="609"/>
        <v>0</v>
      </c>
      <c r="BU97" s="290">
        <f t="shared" si="610"/>
        <v>0</v>
      </c>
      <c r="BV97" s="290">
        <f t="shared" si="611"/>
        <v>0</v>
      </c>
      <c r="BW97" s="290">
        <f t="shared" si="612"/>
        <v>0</v>
      </c>
      <c r="BX97" s="290">
        <f t="shared" si="613"/>
        <v>0</v>
      </c>
      <c r="BY97" s="290">
        <f t="shared" si="614"/>
        <v>0</v>
      </c>
      <c r="BZ97" s="291">
        <f t="shared" si="615"/>
        <v>0</v>
      </c>
      <c r="CA97" s="291">
        <f t="shared" si="616"/>
        <v>0</v>
      </c>
      <c r="CB97" s="291">
        <f t="shared" si="617"/>
        <v>0</v>
      </c>
      <c r="CC97" s="292">
        <f t="shared" si="618"/>
        <v>0</v>
      </c>
      <c r="CD97" s="999">
        <v>6</v>
      </c>
      <c r="CE97" s="286">
        <f t="shared" si="862"/>
        <v>43957</v>
      </c>
      <c r="CF97" s="287">
        <f t="shared" si="586"/>
        <v>43957</v>
      </c>
      <c r="CG97" s="288">
        <f>'दैनिक माहिती'!M45</f>
        <v>0</v>
      </c>
      <c r="CH97" s="289">
        <f>'दैनिक माहिती'!J45</f>
        <v>0</v>
      </c>
      <c r="CI97" s="289">
        <f>'दैनिक माहिती'!K45</f>
        <v>0</v>
      </c>
      <c r="CJ97" s="289">
        <f>'दैनिक माहिती'!L45</f>
        <v>0</v>
      </c>
      <c r="CK97" s="290">
        <f t="shared" si="619"/>
        <v>0</v>
      </c>
      <c r="CL97" s="290">
        <f t="shared" si="620"/>
        <v>0</v>
      </c>
      <c r="CM97" s="290">
        <f t="shared" si="621"/>
        <v>0</v>
      </c>
      <c r="CN97" s="290">
        <f t="shared" si="622"/>
        <v>0</v>
      </c>
      <c r="CO97" s="290">
        <f t="shared" si="623"/>
        <v>0</v>
      </c>
      <c r="CP97" s="290">
        <f t="shared" si="624"/>
        <v>0</v>
      </c>
      <c r="CQ97" s="290">
        <f t="shared" si="625"/>
        <v>0</v>
      </c>
      <c r="CR97" s="290">
        <f t="shared" si="626"/>
        <v>0</v>
      </c>
      <c r="CS97" s="290">
        <f t="shared" si="627"/>
        <v>0</v>
      </c>
      <c r="CT97" s="290">
        <f t="shared" si="628"/>
        <v>0</v>
      </c>
      <c r="CU97" s="290">
        <f t="shared" si="629"/>
        <v>0</v>
      </c>
      <c r="CV97" s="290">
        <f t="shared" si="630"/>
        <v>0</v>
      </c>
      <c r="CW97" s="290">
        <f t="shared" si="631"/>
        <v>0</v>
      </c>
      <c r="CX97" s="290">
        <f t="shared" si="632"/>
        <v>0</v>
      </c>
      <c r="CY97" s="290">
        <f t="shared" si="633"/>
        <v>0</v>
      </c>
      <c r="CZ97" s="290">
        <f t="shared" si="634"/>
        <v>0</v>
      </c>
      <c r="DA97" s="290">
        <f t="shared" si="635"/>
        <v>0</v>
      </c>
      <c r="DB97" s="290">
        <f t="shared" si="636"/>
        <v>0</v>
      </c>
      <c r="DC97" s="291">
        <f t="shared" si="637"/>
        <v>0</v>
      </c>
      <c r="DD97" s="291">
        <f t="shared" si="638"/>
        <v>0</v>
      </c>
      <c r="DE97" s="291">
        <f t="shared" si="639"/>
        <v>0</v>
      </c>
      <c r="DF97" s="292">
        <f t="shared" si="640"/>
        <v>0</v>
      </c>
      <c r="DG97" s="999">
        <v>6</v>
      </c>
      <c r="DH97" s="286">
        <f t="shared" si="863"/>
        <v>43988</v>
      </c>
      <c r="DI97" s="287">
        <f t="shared" si="587"/>
        <v>43988</v>
      </c>
      <c r="DJ97" s="288">
        <f>'दैनिक माहिती'!M77</f>
        <v>0</v>
      </c>
      <c r="DK97" s="289">
        <f>'दैनिक माहिती'!J77</f>
        <v>0</v>
      </c>
      <c r="DL97" s="289">
        <f>'दैनिक माहिती'!K77</f>
        <v>0</v>
      </c>
      <c r="DM97" s="289">
        <f>'दैनिक माहिती'!L77</f>
        <v>0</v>
      </c>
      <c r="DN97" s="290">
        <f t="shared" si="641"/>
        <v>0</v>
      </c>
      <c r="DO97" s="290">
        <f t="shared" si="642"/>
        <v>0</v>
      </c>
      <c r="DP97" s="290">
        <f t="shared" si="643"/>
        <v>0</v>
      </c>
      <c r="DQ97" s="290">
        <f t="shared" si="644"/>
        <v>0</v>
      </c>
      <c r="DR97" s="290">
        <f t="shared" si="645"/>
        <v>0</v>
      </c>
      <c r="DS97" s="290">
        <f t="shared" si="646"/>
        <v>0</v>
      </c>
      <c r="DT97" s="290">
        <f t="shared" si="647"/>
        <v>0</v>
      </c>
      <c r="DU97" s="290">
        <f t="shared" si="648"/>
        <v>0</v>
      </c>
      <c r="DV97" s="290">
        <f t="shared" si="649"/>
        <v>0</v>
      </c>
      <c r="DW97" s="290">
        <f t="shared" si="650"/>
        <v>0</v>
      </c>
      <c r="DX97" s="290">
        <f t="shared" si="651"/>
        <v>0</v>
      </c>
      <c r="DY97" s="290">
        <f t="shared" si="652"/>
        <v>0</v>
      </c>
      <c r="DZ97" s="290">
        <f t="shared" si="653"/>
        <v>0</v>
      </c>
      <c r="EA97" s="290">
        <f t="shared" si="654"/>
        <v>0</v>
      </c>
      <c r="EB97" s="290">
        <f t="shared" si="655"/>
        <v>0</v>
      </c>
      <c r="EC97" s="290">
        <f t="shared" si="656"/>
        <v>0</v>
      </c>
      <c r="ED97" s="290">
        <f t="shared" si="657"/>
        <v>0</v>
      </c>
      <c r="EE97" s="290">
        <f t="shared" si="658"/>
        <v>0</v>
      </c>
      <c r="EF97" s="291">
        <f t="shared" si="659"/>
        <v>0</v>
      </c>
      <c r="EG97" s="291">
        <f t="shared" si="660"/>
        <v>0</v>
      </c>
      <c r="EH97" s="291">
        <f t="shared" si="661"/>
        <v>0</v>
      </c>
      <c r="EI97" s="292">
        <f t="shared" si="662"/>
        <v>0</v>
      </c>
      <c r="EJ97" s="999">
        <v>6</v>
      </c>
      <c r="EK97" s="286">
        <f t="shared" si="864"/>
        <v>44018</v>
      </c>
      <c r="EL97" s="287">
        <f t="shared" si="588"/>
        <v>44018</v>
      </c>
      <c r="EM97" s="288">
        <f>'दैनिक माहिती'!M108</f>
        <v>0</v>
      </c>
      <c r="EN97" s="289">
        <f>'दैनिक माहिती'!J108</f>
        <v>0</v>
      </c>
      <c r="EO97" s="289">
        <f>'दैनिक माहिती'!K108</f>
        <v>0</v>
      </c>
      <c r="EP97" s="289">
        <f>'दैनिक माहिती'!L108</f>
        <v>0</v>
      </c>
      <c r="EQ97" s="290">
        <f t="shared" si="663"/>
        <v>0</v>
      </c>
      <c r="ER97" s="290">
        <f t="shared" si="664"/>
        <v>0</v>
      </c>
      <c r="ES97" s="290">
        <f t="shared" si="665"/>
        <v>0</v>
      </c>
      <c r="ET97" s="290">
        <f t="shared" si="666"/>
        <v>0</v>
      </c>
      <c r="EU97" s="290">
        <f t="shared" si="667"/>
        <v>0</v>
      </c>
      <c r="EV97" s="290">
        <f t="shared" si="668"/>
        <v>0</v>
      </c>
      <c r="EW97" s="290">
        <f t="shared" si="669"/>
        <v>0</v>
      </c>
      <c r="EX97" s="290">
        <f t="shared" si="670"/>
        <v>0</v>
      </c>
      <c r="EY97" s="290">
        <f t="shared" si="671"/>
        <v>0</v>
      </c>
      <c r="EZ97" s="290">
        <f t="shared" si="672"/>
        <v>0</v>
      </c>
      <c r="FA97" s="290">
        <f t="shared" si="673"/>
        <v>0</v>
      </c>
      <c r="FB97" s="290">
        <f t="shared" si="674"/>
        <v>0</v>
      </c>
      <c r="FC97" s="290">
        <f t="shared" si="675"/>
        <v>0</v>
      </c>
      <c r="FD97" s="290">
        <f t="shared" si="676"/>
        <v>0</v>
      </c>
      <c r="FE97" s="290">
        <f t="shared" si="677"/>
        <v>0</v>
      </c>
      <c r="FF97" s="290">
        <f t="shared" si="678"/>
        <v>0</v>
      </c>
      <c r="FG97" s="290">
        <f t="shared" si="679"/>
        <v>0</v>
      </c>
      <c r="FH97" s="290">
        <f t="shared" si="680"/>
        <v>0</v>
      </c>
      <c r="FI97" s="291">
        <f t="shared" si="681"/>
        <v>0</v>
      </c>
      <c r="FJ97" s="291">
        <f t="shared" si="682"/>
        <v>0</v>
      </c>
      <c r="FK97" s="291">
        <f t="shared" si="683"/>
        <v>0</v>
      </c>
      <c r="FL97" s="292">
        <f t="shared" si="684"/>
        <v>0</v>
      </c>
      <c r="FM97" s="999">
        <v>6</v>
      </c>
      <c r="FN97" s="286">
        <f t="shared" si="865"/>
        <v>44049</v>
      </c>
      <c r="FO97" s="287">
        <f t="shared" si="589"/>
        <v>44049</v>
      </c>
      <c r="FP97" s="288">
        <f>'दैनिक माहिती'!M140</f>
        <v>0</v>
      </c>
      <c r="FQ97" s="289">
        <f>'दैनिक माहिती'!J140</f>
        <v>0</v>
      </c>
      <c r="FR97" s="289">
        <f>'दैनिक माहिती'!K140</f>
        <v>0</v>
      </c>
      <c r="FS97" s="289">
        <f>'दैनिक माहिती'!L140</f>
        <v>0</v>
      </c>
      <c r="FT97" s="290">
        <f t="shared" si="685"/>
        <v>0</v>
      </c>
      <c r="FU97" s="290">
        <f t="shared" si="686"/>
        <v>0</v>
      </c>
      <c r="FV97" s="290">
        <f t="shared" si="687"/>
        <v>0</v>
      </c>
      <c r="FW97" s="290">
        <f t="shared" si="688"/>
        <v>0</v>
      </c>
      <c r="FX97" s="290">
        <f t="shared" si="689"/>
        <v>0</v>
      </c>
      <c r="FY97" s="290">
        <f t="shared" si="690"/>
        <v>0</v>
      </c>
      <c r="FZ97" s="290">
        <f t="shared" si="691"/>
        <v>0</v>
      </c>
      <c r="GA97" s="290">
        <f t="shared" si="692"/>
        <v>0</v>
      </c>
      <c r="GB97" s="290">
        <f t="shared" si="693"/>
        <v>0</v>
      </c>
      <c r="GC97" s="290">
        <f t="shared" si="694"/>
        <v>0</v>
      </c>
      <c r="GD97" s="290">
        <f t="shared" si="695"/>
        <v>0</v>
      </c>
      <c r="GE97" s="290">
        <f t="shared" si="696"/>
        <v>0</v>
      </c>
      <c r="GF97" s="290">
        <f t="shared" si="697"/>
        <v>0</v>
      </c>
      <c r="GG97" s="290">
        <f t="shared" si="698"/>
        <v>0</v>
      </c>
      <c r="GH97" s="290">
        <f t="shared" si="699"/>
        <v>0</v>
      </c>
      <c r="GI97" s="290">
        <f t="shared" si="700"/>
        <v>0</v>
      </c>
      <c r="GJ97" s="290">
        <f t="shared" si="701"/>
        <v>0</v>
      </c>
      <c r="GK97" s="290">
        <f t="shared" si="702"/>
        <v>0</v>
      </c>
      <c r="GL97" s="291">
        <f t="shared" si="703"/>
        <v>0</v>
      </c>
      <c r="GM97" s="291">
        <f t="shared" si="704"/>
        <v>0</v>
      </c>
      <c r="GN97" s="291">
        <f t="shared" si="705"/>
        <v>0</v>
      </c>
      <c r="GO97" s="292">
        <f t="shared" si="706"/>
        <v>0</v>
      </c>
      <c r="GP97" s="999">
        <v>6</v>
      </c>
      <c r="GQ97" s="286">
        <f t="shared" si="866"/>
        <v>44080</v>
      </c>
      <c r="GR97" s="287">
        <f t="shared" si="590"/>
        <v>44080</v>
      </c>
      <c r="GS97" s="288">
        <f>'दैनिक माहिती'!M172</f>
        <v>0</v>
      </c>
      <c r="GT97" s="289">
        <f>'दैनिक माहिती'!J172</f>
        <v>0</v>
      </c>
      <c r="GU97" s="289">
        <f>'दैनिक माहिती'!K172</f>
        <v>0</v>
      </c>
      <c r="GV97" s="289">
        <f>'दैनिक माहिती'!L172</f>
        <v>0</v>
      </c>
      <c r="GW97" s="290">
        <f t="shared" si="707"/>
        <v>0</v>
      </c>
      <c r="GX97" s="290">
        <f t="shared" si="708"/>
        <v>0</v>
      </c>
      <c r="GY97" s="290">
        <f t="shared" si="709"/>
        <v>0</v>
      </c>
      <c r="GZ97" s="290">
        <f t="shared" si="710"/>
        <v>0</v>
      </c>
      <c r="HA97" s="290">
        <f t="shared" si="711"/>
        <v>0</v>
      </c>
      <c r="HB97" s="290">
        <f t="shared" si="712"/>
        <v>0</v>
      </c>
      <c r="HC97" s="290">
        <f t="shared" si="713"/>
        <v>0</v>
      </c>
      <c r="HD97" s="290">
        <f t="shared" si="714"/>
        <v>0</v>
      </c>
      <c r="HE97" s="290">
        <f t="shared" si="715"/>
        <v>0</v>
      </c>
      <c r="HF97" s="290">
        <f t="shared" si="716"/>
        <v>0</v>
      </c>
      <c r="HG97" s="290">
        <f t="shared" si="717"/>
        <v>0</v>
      </c>
      <c r="HH97" s="290">
        <f t="shared" si="718"/>
        <v>0</v>
      </c>
      <c r="HI97" s="290">
        <f t="shared" si="719"/>
        <v>0</v>
      </c>
      <c r="HJ97" s="290">
        <f t="shared" si="720"/>
        <v>0</v>
      </c>
      <c r="HK97" s="290">
        <f t="shared" si="721"/>
        <v>0</v>
      </c>
      <c r="HL97" s="290">
        <f t="shared" si="722"/>
        <v>0</v>
      </c>
      <c r="HM97" s="290">
        <f t="shared" si="723"/>
        <v>0</v>
      </c>
      <c r="HN97" s="290">
        <f t="shared" si="724"/>
        <v>0</v>
      </c>
      <c r="HO97" s="291">
        <f t="shared" si="725"/>
        <v>0</v>
      </c>
      <c r="HP97" s="291">
        <f t="shared" si="726"/>
        <v>0</v>
      </c>
      <c r="HQ97" s="291">
        <f t="shared" si="727"/>
        <v>0</v>
      </c>
      <c r="HR97" s="292">
        <f t="shared" si="728"/>
        <v>0</v>
      </c>
      <c r="HS97" s="999">
        <v>6</v>
      </c>
      <c r="HT97" s="286">
        <f t="shared" si="867"/>
        <v>44110</v>
      </c>
      <c r="HU97" s="287">
        <f t="shared" si="591"/>
        <v>44110</v>
      </c>
      <c r="HV97" s="288">
        <f>'दैनिक माहिती'!M203</f>
        <v>0</v>
      </c>
      <c r="HW97" s="289">
        <f>'दैनिक माहिती'!J203</f>
        <v>0</v>
      </c>
      <c r="HX97" s="289">
        <f>'दैनिक माहिती'!K203</f>
        <v>0</v>
      </c>
      <c r="HY97" s="289">
        <f>'दैनिक माहिती'!L203</f>
        <v>0</v>
      </c>
      <c r="HZ97" s="290">
        <f t="shared" si="729"/>
        <v>0</v>
      </c>
      <c r="IA97" s="290">
        <f t="shared" si="730"/>
        <v>0</v>
      </c>
      <c r="IB97" s="290">
        <f t="shared" si="731"/>
        <v>0</v>
      </c>
      <c r="IC97" s="290">
        <f t="shared" si="732"/>
        <v>0</v>
      </c>
      <c r="ID97" s="290">
        <f t="shared" si="733"/>
        <v>0</v>
      </c>
      <c r="IE97" s="290">
        <f t="shared" si="734"/>
        <v>0</v>
      </c>
      <c r="IF97" s="290">
        <f t="shared" si="735"/>
        <v>0</v>
      </c>
      <c r="IG97" s="290">
        <f t="shared" si="736"/>
        <v>0</v>
      </c>
      <c r="IH97" s="290">
        <f t="shared" si="737"/>
        <v>0</v>
      </c>
      <c r="II97" s="290">
        <f t="shared" si="738"/>
        <v>0</v>
      </c>
      <c r="IJ97" s="290">
        <f t="shared" si="739"/>
        <v>0</v>
      </c>
      <c r="IK97" s="290">
        <f t="shared" si="740"/>
        <v>0</v>
      </c>
      <c r="IL97" s="290">
        <f t="shared" si="741"/>
        <v>0</v>
      </c>
      <c r="IM97" s="290">
        <f t="shared" si="742"/>
        <v>0</v>
      </c>
      <c r="IN97" s="290">
        <f t="shared" si="743"/>
        <v>0</v>
      </c>
      <c r="IO97" s="290">
        <f t="shared" si="744"/>
        <v>0</v>
      </c>
      <c r="IP97" s="290">
        <f t="shared" si="745"/>
        <v>0</v>
      </c>
      <c r="IQ97" s="290">
        <f t="shared" si="746"/>
        <v>0</v>
      </c>
      <c r="IR97" s="291">
        <f t="shared" si="747"/>
        <v>0</v>
      </c>
      <c r="IS97" s="291">
        <f t="shared" si="748"/>
        <v>0</v>
      </c>
      <c r="IT97" s="291">
        <f t="shared" si="749"/>
        <v>0</v>
      </c>
      <c r="IU97" s="292">
        <f t="shared" si="750"/>
        <v>0</v>
      </c>
      <c r="IV97" s="999">
        <v>6</v>
      </c>
      <c r="IW97" s="286">
        <f t="shared" si="868"/>
        <v>44141</v>
      </c>
      <c r="IX97" s="287">
        <f t="shared" si="592"/>
        <v>44141</v>
      </c>
      <c r="IY97" s="288">
        <f>'दैनिक माहिती'!M235</f>
        <v>0</v>
      </c>
      <c r="IZ97" s="289">
        <f>'दैनिक माहिती'!J235</f>
        <v>0</v>
      </c>
      <c r="JA97" s="289">
        <f>'दैनिक माहिती'!K235</f>
        <v>0</v>
      </c>
      <c r="JB97" s="289">
        <f>'दैनिक माहिती'!L235</f>
        <v>0</v>
      </c>
      <c r="JC97" s="290">
        <f t="shared" si="751"/>
        <v>0</v>
      </c>
      <c r="JD97" s="290">
        <f t="shared" si="752"/>
        <v>0</v>
      </c>
      <c r="JE97" s="290">
        <f t="shared" si="753"/>
        <v>0</v>
      </c>
      <c r="JF97" s="290">
        <f t="shared" si="754"/>
        <v>0</v>
      </c>
      <c r="JG97" s="290">
        <f t="shared" si="755"/>
        <v>0</v>
      </c>
      <c r="JH97" s="290">
        <f t="shared" si="756"/>
        <v>0</v>
      </c>
      <c r="JI97" s="290">
        <f t="shared" si="757"/>
        <v>0</v>
      </c>
      <c r="JJ97" s="290">
        <f t="shared" si="758"/>
        <v>0</v>
      </c>
      <c r="JK97" s="290">
        <f t="shared" si="759"/>
        <v>0</v>
      </c>
      <c r="JL97" s="290">
        <f t="shared" si="760"/>
        <v>0</v>
      </c>
      <c r="JM97" s="290">
        <f t="shared" si="761"/>
        <v>0</v>
      </c>
      <c r="JN97" s="290">
        <f t="shared" si="762"/>
        <v>0</v>
      </c>
      <c r="JO97" s="290">
        <f t="shared" si="763"/>
        <v>0</v>
      </c>
      <c r="JP97" s="290">
        <f t="shared" si="764"/>
        <v>0</v>
      </c>
      <c r="JQ97" s="290">
        <f t="shared" si="765"/>
        <v>0</v>
      </c>
      <c r="JR97" s="290">
        <f t="shared" si="766"/>
        <v>0</v>
      </c>
      <c r="JS97" s="290">
        <f t="shared" si="767"/>
        <v>0</v>
      </c>
      <c r="JT97" s="290">
        <f t="shared" si="768"/>
        <v>0</v>
      </c>
      <c r="JU97" s="291">
        <f t="shared" si="769"/>
        <v>0</v>
      </c>
      <c r="JV97" s="291">
        <f t="shared" si="770"/>
        <v>0</v>
      </c>
      <c r="JW97" s="291">
        <f t="shared" si="771"/>
        <v>0</v>
      </c>
      <c r="JX97" s="292">
        <f t="shared" si="772"/>
        <v>0</v>
      </c>
      <c r="JY97" s="999">
        <v>6</v>
      </c>
      <c r="JZ97" s="286">
        <f t="shared" si="869"/>
        <v>44171</v>
      </c>
      <c r="KA97" s="287">
        <f t="shared" si="593"/>
        <v>44171</v>
      </c>
      <c r="KB97" s="288">
        <f>'दैनिक माहिती'!M266</f>
        <v>0</v>
      </c>
      <c r="KC97" s="289">
        <f>'दैनिक माहिती'!J266</f>
        <v>0</v>
      </c>
      <c r="KD97" s="289">
        <f>'दैनिक माहिती'!K266</f>
        <v>0</v>
      </c>
      <c r="KE97" s="289">
        <f>'दैनिक माहिती'!L266</f>
        <v>0</v>
      </c>
      <c r="KF97" s="290">
        <f t="shared" si="773"/>
        <v>0</v>
      </c>
      <c r="KG97" s="290">
        <f t="shared" si="774"/>
        <v>0</v>
      </c>
      <c r="KH97" s="290">
        <f t="shared" si="775"/>
        <v>0</v>
      </c>
      <c r="KI97" s="290">
        <f t="shared" si="776"/>
        <v>0</v>
      </c>
      <c r="KJ97" s="290">
        <f t="shared" si="777"/>
        <v>0</v>
      </c>
      <c r="KK97" s="290">
        <f t="shared" si="778"/>
        <v>0</v>
      </c>
      <c r="KL97" s="290">
        <f t="shared" si="779"/>
        <v>0</v>
      </c>
      <c r="KM97" s="290">
        <f t="shared" si="780"/>
        <v>0</v>
      </c>
      <c r="KN97" s="290">
        <f t="shared" si="781"/>
        <v>0</v>
      </c>
      <c r="KO97" s="290">
        <f t="shared" si="782"/>
        <v>0</v>
      </c>
      <c r="KP97" s="290">
        <f t="shared" si="783"/>
        <v>0</v>
      </c>
      <c r="KQ97" s="290">
        <f t="shared" si="784"/>
        <v>0</v>
      </c>
      <c r="KR97" s="290">
        <f t="shared" si="785"/>
        <v>0</v>
      </c>
      <c r="KS97" s="290">
        <f t="shared" si="786"/>
        <v>0</v>
      </c>
      <c r="KT97" s="290">
        <f t="shared" si="787"/>
        <v>0</v>
      </c>
      <c r="KU97" s="290">
        <f t="shared" si="788"/>
        <v>0</v>
      </c>
      <c r="KV97" s="290">
        <f t="shared" si="789"/>
        <v>0</v>
      </c>
      <c r="KW97" s="290">
        <f t="shared" si="790"/>
        <v>0</v>
      </c>
      <c r="KX97" s="291">
        <f t="shared" si="791"/>
        <v>0</v>
      </c>
      <c r="KY97" s="291">
        <f t="shared" si="792"/>
        <v>0</v>
      </c>
      <c r="KZ97" s="291">
        <f t="shared" si="793"/>
        <v>0</v>
      </c>
      <c r="LA97" s="292">
        <f t="shared" si="794"/>
        <v>0</v>
      </c>
      <c r="LB97" s="999">
        <v>6</v>
      </c>
      <c r="LC97" s="286">
        <f t="shared" si="870"/>
        <v>44202</v>
      </c>
      <c r="LD97" s="287">
        <f t="shared" si="594"/>
        <v>44202</v>
      </c>
      <c r="LE97" s="288">
        <f>'दैनिक माहिती'!M298</f>
        <v>0</v>
      </c>
      <c r="LF97" s="289">
        <f>'दैनिक माहिती'!J298</f>
        <v>0</v>
      </c>
      <c r="LG97" s="289">
        <f>'दैनिक माहिती'!K298</f>
        <v>0</v>
      </c>
      <c r="LH97" s="289">
        <f>'दैनिक माहिती'!L298</f>
        <v>0</v>
      </c>
      <c r="LI97" s="290">
        <f t="shared" si="795"/>
        <v>0</v>
      </c>
      <c r="LJ97" s="290">
        <f t="shared" si="796"/>
        <v>0</v>
      </c>
      <c r="LK97" s="290">
        <f t="shared" si="797"/>
        <v>0</v>
      </c>
      <c r="LL97" s="290">
        <f t="shared" si="798"/>
        <v>0</v>
      </c>
      <c r="LM97" s="290">
        <f t="shared" si="799"/>
        <v>0</v>
      </c>
      <c r="LN97" s="290">
        <f t="shared" si="800"/>
        <v>0</v>
      </c>
      <c r="LO97" s="290">
        <f t="shared" si="801"/>
        <v>0</v>
      </c>
      <c r="LP97" s="290">
        <f t="shared" si="802"/>
        <v>0</v>
      </c>
      <c r="LQ97" s="290">
        <f t="shared" si="803"/>
        <v>0</v>
      </c>
      <c r="LR97" s="290">
        <f t="shared" si="804"/>
        <v>0</v>
      </c>
      <c r="LS97" s="290">
        <f t="shared" si="805"/>
        <v>0</v>
      </c>
      <c r="LT97" s="290">
        <f t="shared" si="806"/>
        <v>0</v>
      </c>
      <c r="LU97" s="290">
        <f t="shared" si="807"/>
        <v>0</v>
      </c>
      <c r="LV97" s="290">
        <f t="shared" si="808"/>
        <v>0</v>
      </c>
      <c r="LW97" s="290">
        <f t="shared" si="809"/>
        <v>0</v>
      </c>
      <c r="LX97" s="290">
        <f t="shared" si="810"/>
        <v>0</v>
      </c>
      <c r="LY97" s="290">
        <f t="shared" si="811"/>
        <v>0</v>
      </c>
      <c r="LZ97" s="290">
        <f t="shared" si="812"/>
        <v>0</v>
      </c>
      <c r="MA97" s="291">
        <f t="shared" si="813"/>
        <v>0</v>
      </c>
      <c r="MB97" s="291">
        <f t="shared" si="814"/>
        <v>0</v>
      </c>
      <c r="MC97" s="291">
        <f t="shared" si="815"/>
        <v>0</v>
      </c>
      <c r="MD97" s="292">
        <f t="shared" si="816"/>
        <v>0</v>
      </c>
      <c r="ME97" s="999">
        <v>6</v>
      </c>
      <c r="MF97" s="286">
        <f t="shared" si="871"/>
        <v>44233</v>
      </c>
      <c r="MG97" s="287">
        <f t="shared" si="595"/>
        <v>44233</v>
      </c>
      <c r="MH97" s="288">
        <f>'दैनिक माहिती'!M330</f>
        <v>0</v>
      </c>
      <c r="MI97" s="289">
        <f>'दैनिक माहिती'!J330</f>
        <v>0</v>
      </c>
      <c r="MJ97" s="289">
        <f>'दैनिक माहिती'!K330</f>
        <v>0</v>
      </c>
      <c r="MK97" s="289">
        <f>'दैनिक माहिती'!L330</f>
        <v>0</v>
      </c>
      <c r="ML97" s="290">
        <f t="shared" si="817"/>
        <v>0</v>
      </c>
      <c r="MM97" s="290">
        <f t="shared" si="818"/>
        <v>0</v>
      </c>
      <c r="MN97" s="290">
        <f t="shared" si="819"/>
        <v>0</v>
      </c>
      <c r="MO97" s="290">
        <f t="shared" si="820"/>
        <v>0</v>
      </c>
      <c r="MP97" s="290">
        <f t="shared" si="821"/>
        <v>0</v>
      </c>
      <c r="MQ97" s="290">
        <f t="shared" si="822"/>
        <v>0</v>
      </c>
      <c r="MR97" s="290">
        <f t="shared" si="823"/>
        <v>0</v>
      </c>
      <c r="MS97" s="290">
        <f t="shared" si="824"/>
        <v>0</v>
      </c>
      <c r="MT97" s="290">
        <f t="shared" si="825"/>
        <v>0</v>
      </c>
      <c r="MU97" s="290">
        <f t="shared" si="826"/>
        <v>0</v>
      </c>
      <c r="MV97" s="290">
        <f t="shared" si="827"/>
        <v>0</v>
      </c>
      <c r="MW97" s="290">
        <f t="shared" si="828"/>
        <v>0</v>
      </c>
      <c r="MX97" s="290">
        <f t="shared" si="829"/>
        <v>0</v>
      </c>
      <c r="MY97" s="290">
        <f t="shared" si="830"/>
        <v>0</v>
      </c>
      <c r="MZ97" s="290">
        <f t="shared" si="831"/>
        <v>0</v>
      </c>
      <c r="NA97" s="290">
        <f t="shared" si="832"/>
        <v>0</v>
      </c>
      <c r="NB97" s="290">
        <f t="shared" si="833"/>
        <v>0</v>
      </c>
      <c r="NC97" s="290">
        <f t="shared" si="834"/>
        <v>0</v>
      </c>
      <c r="ND97" s="291">
        <f t="shared" si="835"/>
        <v>0</v>
      </c>
      <c r="NE97" s="291">
        <f t="shared" si="836"/>
        <v>0</v>
      </c>
      <c r="NF97" s="291">
        <f t="shared" si="837"/>
        <v>0</v>
      </c>
      <c r="NG97" s="292">
        <f t="shared" si="838"/>
        <v>0</v>
      </c>
      <c r="NH97" s="999">
        <v>6</v>
      </c>
      <c r="NI97" s="286">
        <f t="shared" si="872"/>
        <v>44261</v>
      </c>
      <c r="NJ97" s="287">
        <f t="shared" si="596"/>
        <v>44261</v>
      </c>
      <c r="NK97" s="288">
        <f>'दैनिक माहिती'!M360</f>
        <v>0</v>
      </c>
      <c r="NL97" s="289">
        <f>'दैनिक माहिती'!J360</f>
        <v>0</v>
      </c>
      <c r="NM97" s="289">
        <f>'दैनिक माहिती'!K360</f>
        <v>0</v>
      </c>
      <c r="NN97" s="289">
        <f>'दैनिक माहिती'!L360</f>
        <v>0</v>
      </c>
      <c r="NO97" s="290">
        <f t="shared" si="839"/>
        <v>0</v>
      </c>
      <c r="NP97" s="290">
        <f t="shared" si="840"/>
        <v>0</v>
      </c>
      <c r="NQ97" s="290">
        <f t="shared" si="841"/>
        <v>0</v>
      </c>
      <c r="NR97" s="290">
        <f t="shared" si="842"/>
        <v>0</v>
      </c>
      <c r="NS97" s="290">
        <f t="shared" si="843"/>
        <v>0</v>
      </c>
      <c r="NT97" s="290">
        <f t="shared" si="844"/>
        <v>0</v>
      </c>
      <c r="NU97" s="290">
        <f t="shared" si="845"/>
        <v>0</v>
      </c>
      <c r="NV97" s="290">
        <f t="shared" si="846"/>
        <v>0</v>
      </c>
      <c r="NW97" s="290">
        <f t="shared" si="847"/>
        <v>0</v>
      </c>
      <c r="NX97" s="290">
        <f t="shared" si="848"/>
        <v>0</v>
      </c>
      <c r="NY97" s="290">
        <f t="shared" si="849"/>
        <v>0</v>
      </c>
      <c r="NZ97" s="290">
        <f t="shared" si="850"/>
        <v>0</v>
      </c>
      <c r="OA97" s="290">
        <f t="shared" si="851"/>
        <v>0</v>
      </c>
      <c r="OB97" s="290">
        <f t="shared" si="852"/>
        <v>0</v>
      </c>
      <c r="OC97" s="290">
        <f t="shared" si="853"/>
        <v>0</v>
      </c>
      <c r="OD97" s="290">
        <f t="shared" si="854"/>
        <v>0</v>
      </c>
      <c r="OE97" s="290">
        <f t="shared" si="855"/>
        <v>0</v>
      </c>
      <c r="OF97" s="290">
        <f t="shared" si="856"/>
        <v>0</v>
      </c>
      <c r="OG97" s="291">
        <f t="shared" si="857"/>
        <v>0</v>
      </c>
      <c r="OH97" s="291">
        <f t="shared" si="858"/>
        <v>0</v>
      </c>
      <c r="OI97" s="291">
        <f t="shared" si="859"/>
        <v>0</v>
      </c>
      <c r="OJ97" s="292">
        <f t="shared" si="860"/>
        <v>0</v>
      </c>
    </row>
    <row r="98" spans="53:400" ht="29.25" customHeight="1" x14ac:dyDescent="0.3">
      <c r="BA98" s="999">
        <v>7</v>
      </c>
      <c r="BB98" s="286">
        <f t="shared" si="861"/>
        <v>43928</v>
      </c>
      <c r="BC98" s="293">
        <f t="shared" si="585"/>
        <v>43928</v>
      </c>
      <c r="BD98" s="288">
        <f>'दैनिक माहिती'!M15</f>
        <v>0</v>
      </c>
      <c r="BE98" s="289">
        <f>'दैनिक माहिती'!J15</f>
        <v>0</v>
      </c>
      <c r="BF98" s="289">
        <f>'दैनिक माहिती'!K15</f>
        <v>0</v>
      </c>
      <c r="BG98" s="289">
        <f>'दैनिक माहिती'!L15</f>
        <v>0</v>
      </c>
      <c r="BH98" s="290">
        <f t="shared" si="597"/>
        <v>0</v>
      </c>
      <c r="BI98" s="290">
        <f t="shared" si="598"/>
        <v>0</v>
      </c>
      <c r="BJ98" s="290">
        <f t="shared" si="599"/>
        <v>0</v>
      </c>
      <c r="BK98" s="290">
        <f t="shared" si="600"/>
        <v>0</v>
      </c>
      <c r="BL98" s="290">
        <f t="shared" si="601"/>
        <v>0</v>
      </c>
      <c r="BM98" s="290">
        <f t="shared" si="602"/>
        <v>0</v>
      </c>
      <c r="BN98" s="290">
        <f t="shared" si="603"/>
        <v>0</v>
      </c>
      <c r="BO98" s="290">
        <f t="shared" si="604"/>
        <v>0</v>
      </c>
      <c r="BP98" s="290">
        <f t="shared" si="605"/>
        <v>0</v>
      </c>
      <c r="BQ98" s="290">
        <f t="shared" si="606"/>
        <v>0</v>
      </c>
      <c r="BR98" s="290">
        <f t="shared" si="607"/>
        <v>0</v>
      </c>
      <c r="BS98" s="290">
        <f t="shared" si="608"/>
        <v>0</v>
      </c>
      <c r="BT98" s="290">
        <f t="shared" si="609"/>
        <v>0</v>
      </c>
      <c r="BU98" s="290">
        <f t="shared" si="610"/>
        <v>0</v>
      </c>
      <c r="BV98" s="290">
        <f t="shared" si="611"/>
        <v>0</v>
      </c>
      <c r="BW98" s="290">
        <f t="shared" si="612"/>
        <v>0</v>
      </c>
      <c r="BX98" s="290">
        <f t="shared" si="613"/>
        <v>0</v>
      </c>
      <c r="BY98" s="290">
        <f t="shared" si="614"/>
        <v>0</v>
      </c>
      <c r="BZ98" s="291">
        <f t="shared" si="615"/>
        <v>0</v>
      </c>
      <c r="CA98" s="291">
        <f t="shared" si="616"/>
        <v>0</v>
      </c>
      <c r="CB98" s="291">
        <f t="shared" si="617"/>
        <v>0</v>
      </c>
      <c r="CC98" s="292">
        <f t="shared" si="618"/>
        <v>0</v>
      </c>
      <c r="CD98" s="999">
        <v>7</v>
      </c>
      <c r="CE98" s="286">
        <f t="shared" si="862"/>
        <v>43958</v>
      </c>
      <c r="CF98" s="293">
        <f t="shared" si="586"/>
        <v>43958</v>
      </c>
      <c r="CG98" s="288">
        <f>'दैनिक माहिती'!M46</f>
        <v>0</v>
      </c>
      <c r="CH98" s="289">
        <f>'दैनिक माहिती'!J46</f>
        <v>0</v>
      </c>
      <c r="CI98" s="289">
        <f>'दैनिक माहिती'!K46</f>
        <v>0</v>
      </c>
      <c r="CJ98" s="289">
        <f>'दैनिक माहिती'!L46</f>
        <v>0</v>
      </c>
      <c r="CK98" s="290">
        <f t="shared" si="619"/>
        <v>0</v>
      </c>
      <c r="CL98" s="290">
        <f t="shared" si="620"/>
        <v>0</v>
      </c>
      <c r="CM98" s="290">
        <f t="shared" si="621"/>
        <v>0</v>
      </c>
      <c r="CN98" s="290">
        <f t="shared" si="622"/>
        <v>0</v>
      </c>
      <c r="CO98" s="290">
        <f t="shared" si="623"/>
        <v>0</v>
      </c>
      <c r="CP98" s="290">
        <f t="shared" si="624"/>
        <v>0</v>
      </c>
      <c r="CQ98" s="290">
        <f t="shared" si="625"/>
        <v>0</v>
      </c>
      <c r="CR98" s="290">
        <f t="shared" si="626"/>
        <v>0</v>
      </c>
      <c r="CS98" s="290">
        <f t="shared" si="627"/>
        <v>0</v>
      </c>
      <c r="CT98" s="290">
        <f t="shared" si="628"/>
        <v>0</v>
      </c>
      <c r="CU98" s="290">
        <f t="shared" si="629"/>
        <v>0</v>
      </c>
      <c r="CV98" s="290">
        <f t="shared" si="630"/>
        <v>0</v>
      </c>
      <c r="CW98" s="290">
        <f t="shared" si="631"/>
        <v>0</v>
      </c>
      <c r="CX98" s="290">
        <f t="shared" si="632"/>
        <v>0</v>
      </c>
      <c r="CY98" s="290">
        <f t="shared" si="633"/>
        <v>0</v>
      </c>
      <c r="CZ98" s="290">
        <f t="shared" si="634"/>
        <v>0</v>
      </c>
      <c r="DA98" s="290">
        <f t="shared" si="635"/>
        <v>0</v>
      </c>
      <c r="DB98" s="290">
        <f t="shared" si="636"/>
        <v>0</v>
      </c>
      <c r="DC98" s="291">
        <f t="shared" si="637"/>
        <v>0</v>
      </c>
      <c r="DD98" s="291">
        <f t="shared" si="638"/>
        <v>0</v>
      </c>
      <c r="DE98" s="291">
        <f t="shared" si="639"/>
        <v>0</v>
      </c>
      <c r="DF98" s="292">
        <f t="shared" si="640"/>
        <v>0</v>
      </c>
      <c r="DG98" s="999">
        <v>7</v>
      </c>
      <c r="DH98" s="286">
        <f t="shared" si="863"/>
        <v>43989</v>
      </c>
      <c r="DI98" s="293">
        <f t="shared" si="587"/>
        <v>43989</v>
      </c>
      <c r="DJ98" s="288">
        <f>'दैनिक माहिती'!M78</f>
        <v>0</v>
      </c>
      <c r="DK98" s="289">
        <f>'दैनिक माहिती'!J78</f>
        <v>0</v>
      </c>
      <c r="DL98" s="289">
        <f>'दैनिक माहिती'!K78</f>
        <v>0</v>
      </c>
      <c r="DM98" s="289">
        <f>'दैनिक माहिती'!L78</f>
        <v>0</v>
      </c>
      <c r="DN98" s="290">
        <f t="shared" si="641"/>
        <v>0</v>
      </c>
      <c r="DO98" s="290">
        <f t="shared" si="642"/>
        <v>0</v>
      </c>
      <c r="DP98" s="290">
        <f t="shared" si="643"/>
        <v>0</v>
      </c>
      <c r="DQ98" s="290">
        <f t="shared" si="644"/>
        <v>0</v>
      </c>
      <c r="DR98" s="290">
        <f t="shared" si="645"/>
        <v>0</v>
      </c>
      <c r="DS98" s="290">
        <f t="shared" si="646"/>
        <v>0</v>
      </c>
      <c r="DT98" s="290">
        <f t="shared" si="647"/>
        <v>0</v>
      </c>
      <c r="DU98" s="290">
        <f t="shared" si="648"/>
        <v>0</v>
      </c>
      <c r="DV98" s="290">
        <f t="shared" si="649"/>
        <v>0</v>
      </c>
      <c r="DW98" s="290">
        <f t="shared" si="650"/>
        <v>0</v>
      </c>
      <c r="DX98" s="290">
        <f t="shared" si="651"/>
        <v>0</v>
      </c>
      <c r="DY98" s="290">
        <f t="shared" si="652"/>
        <v>0</v>
      </c>
      <c r="DZ98" s="290">
        <f t="shared" si="653"/>
        <v>0</v>
      </c>
      <c r="EA98" s="290">
        <f t="shared" si="654"/>
        <v>0</v>
      </c>
      <c r="EB98" s="290">
        <f t="shared" si="655"/>
        <v>0</v>
      </c>
      <c r="EC98" s="290">
        <f t="shared" si="656"/>
        <v>0</v>
      </c>
      <c r="ED98" s="290">
        <f t="shared" si="657"/>
        <v>0</v>
      </c>
      <c r="EE98" s="290">
        <f t="shared" si="658"/>
        <v>0</v>
      </c>
      <c r="EF98" s="291">
        <f t="shared" si="659"/>
        <v>0</v>
      </c>
      <c r="EG98" s="291">
        <f t="shared" si="660"/>
        <v>0</v>
      </c>
      <c r="EH98" s="291">
        <f t="shared" si="661"/>
        <v>0</v>
      </c>
      <c r="EI98" s="292">
        <f t="shared" si="662"/>
        <v>0</v>
      </c>
      <c r="EJ98" s="999">
        <v>7</v>
      </c>
      <c r="EK98" s="286">
        <f t="shared" si="864"/>
        <v>44019</v>
      </c>
      <c r="EL98" s="293">
        <f t="shared" si="588"/>
        <v>44019</v>
      </c>
      <c r="EM98" s="288">
        <f>'दैनिक माहिती'!M109</f>
        <v>0</v>
      </c>
      <c r="EN98" s="289">
        <f>'दैनिक माहिती'!J109</f>
        <v>0</v>
      </c>
      <c r="EO98" s="289">
        <f>'दैनिक माहिती'!K109</f>
        <v>0</v>
      </c>
      <c r="EP98" s="289">
        <f>'दैनिक माहिती'!L109</f>
        <v>0</v>
      </c>
      <c r="EQ98" s="290">
        <f t="shared" si="663"/>
        <v>0</v>
      </c>
      <c r="ER98" s="290">
        <f t="shared" si="664"/>
        <v>0</v>
      </c>
      <c r="ES98" s="290">
        <f t="shared" si="665"/>
        <v>0</v>
      </c>
      <c r="ET98" s="290">
        <f t="shared" si="666"/>
        <v>0</v>
      </c>
      <c r="EU98" s="290">
        <f t="shared" si="667"/>
        <v>0</v>
      </c>
      <c r="EV98" s="290">
        <f t="shared" si="668"/>
        <v>0</v>
      </c>
      <c r="EW98" s="290">
        <f t="shared" si="669"/>
        <v>0</v>
      </c>
      <c r="EX98" s="290">
        <f t="shared" si="670"/>
        <v>0</v>
      </c>
      <c r="EY98" s="290">
        <f t="shared" si="671"/>
        <v>0</v>
      </c>
      <c r="EZ98" s="290">
        <f t="shared" si="672"/>
        <v>0</v>
      </c>
      <c r="FA98" s="290">
        <f t="shared" si="673"/>
        <v>0</v>
      </c>
      <c r="FB98" s="290">
        <f t="shared" si="674"/>
        <v>0</v>
      </c>
      <c r="FC98" s="290">
        <f t="shared" si="675"/>
        <v>0</v>
      </c>
      <c r="FD98" s="290">
        <f t="shared" si="676"/>
        <v>0</v>
      </c>
      <c r="FE98" s="290">
        <f t="shared" si="677"/>
        <v>0</v>
      </c>
      <c r="FF98" s="290">
        <f t="shared" si="678"/>
        <v>0</v>
      </c>
      <c r="FG98" s="290">
        <f t="shared" si="679"/>
        <v>0</v>
      </c>
      <c r="FH98" s="290">
        <f t="shared" si="680"/>
        <v>0</v>
      </c>
      <c r="FI98" s="291">
        <f t="shared" si="681"/>
        <v>0</v>
      </c>
      <c r="FJ98" s="291">
        <f t="shared" si="682"/>
        <v>0</v>
      </c>
      <c r="FK98" s="291">
        <f t="shared" si="683"/>
        <v>0</v>
      </c>
      <c r="FL98" s="292">
        <f t="shared" si="684"/>
        <v>0</v>
      </c>
      <c r="FM98" s="999">
        <v>7</v>
      </c>
      <c r="FN98" s="286">
        <f t="shared" si="865"/>
        <v>44050</v>
      </c>
      <c r="FO98" s="293">
        <f t="shared" si="589"/>
        <v>44050</v>
      </c>
      <c r="FP98" s="288">
        <f>'दैनिक माहिती'!M141</f>
        <v>0</v>
      </c>
      <c r="FQ98" s="289">
        <f>'दैनिक माहिती'!J141</f>
        <v>0</v>
      </c>
      <c r="FR98" s="289">
        <f>'दैनिक माहिती'!K141</f>
        <v>0</v>
      </c>
      <c r="FS98" s="289">
        <f>'दैनिक माहिती'!L141</f>
        <v>0</v>
      </c>
      <c r="FT98" s="290">
        <f t="shared" si="685"/>
        <v>0</v>
      </c>
      <c r="FU98" s="290">
        <f t="shared" si="686"/>
        <v>0</v>
      </c>
      <c r="FV98" s="290">
        <f t="shared" si="687"/>
        <v>0</v>
      </c>
      <c r="FW98" s="290">
        <f t="shared" si="688"/>
        <v>0</v>
      </c>
      <c r="FX98" s="290">
        <f t="shared" si="689"/>
        <v>0</v>
      </c>
      <c r="FY98" s="290">
        <f t="shared" si="690"/>
        <v>0</v>
      </c>
      <c r="FZ98" s="290">
        <f t="shared" si="691"/>
        <v>0</v>
      </c>
      <c r="GA98" s="290">
        <f t="shared" si="692"/>
        <v>0</v>
      </c>
      <c r="GB98" s="290">
        <f t="shared" si="693"/>
        <v>0</v>
      </c>
      <c r="GC98" s="290">
        <f t="shared" si="694"/>
        <v>0</v>
      </c>
      <c r="GD98" s="290">
        <f t="shared" si="695"/>
        <v>0</v>
      </c>
      <c r="GE98" s="290">
        <f t="shared" si="696"/>
        <v>0</v>
      </c>
      <c r="GF98" s="290">
        <f t="shared" si="697"/>
        <v>0</v>
      </c>
      <c r="GG98" s="290">
        <f t="shared" si="698"/>
        <v>0</v>
      </c>
      <c r="GH98" s="290">
        <f t="shared" si="699"/>
        <v>0</v>
      </c>
      <c r="GI98" s="290">
        <f t="shared" si="700"/>
        <v>0</v>
      </c>
      <c r="GJ98" s="290">
        <f t="shared" si="701"/>
        <v>0</v>
      </c>
      <c r="GK98" s="290">
        <f t="shared" si="702"/>
        <v>0</v>
      </c>
      <c r="GL98" s="291">
        <f t="shared" si="703"/>
        <v>0</v>
      </c>
      <c r="GM98" s="291">
        <f t="shared" si="704"/>
        <v>0</v>
      </c>
      <c r="GN98" s="291">
        <f t="shared" si="705"/>
        <v>0</v>
      </c>
      <c r="GO98" s="292">
        <f t="shared" si="706"/>
        <v>0</v>
      </c>
      <c r="GP98" s="999">
        <v>7</v>
      </c>
      <c r="GQ98" s="286">
        <f t="shared" si="866"/>
        <v>44081</v>
      </c>
      <c r="GR98" s="293">
        <f t="shared" si="590"/>
        <v>44081</v>
      </c>
      <c r="GS98" s="288">
        <f>'दैनिक माहिती'!M173</f>
        <v>0</v>
      </c>
      <c r="GT98" s="289">
        <f>'दैनिक माहिती'!J173</f>
        <v>0</v>
      </c>
      <c r="GU98" s="289">
        <f>'दैनिक माहिती'!K173</f>
        <v>0</v>
      </c>
      <c r="GV98" s="289">
        <f>'दैनिक माहिती'!L173</f>
        <v>0</v>
      </c>
      <c r="GW98" s="290">
        <f t="shared" si="707"/>
        <v>0</v>
      </c>
      <c r="GX98" s="290">
        <f t="shared" si="708"/>
        <v>0</v>
      </c>
      <c r="GY98" s="290">
        <f t="shared" si="709"/>
        <v>0</v>
      </c>
      <c r="GZ98" s="290">
        <f t="shared" si="710"/>
        <v>0</v>
      </c>
      <c r="HA98" s="290">
        <f t="shared" si="711"/>
        <v>0</v>
      </c>
      <c r="HB98" s="290">
        <f t="shared" si="712"/>
        <v>0</v>
      </c>
      <c r="HC98" s="290">
        <f t="shared" si="713"/>
        <v>0</v>
      </c>
      <c r="HD98" s="290">
        <f t="shared" si="714"/>
        <v>0</v>
      </c>
      <c r="HE98" s="290">
        <f t="shared" si="715"/>
        <v>0</v>
      </c>
      <c r="HF98" s="290">
        <f t="shared" si="716"/>
        <v>0</v>
      </c>
      <c r="HG98" s="290">
        <f t="shared" si="717"/>
        <v>0</v>
      </c>
      <c r="HH98" s="290">
        <f t="shared" si="718"/>
        <v>0</v>
      </c>
      <c r="HI98" s="290">
        <f t="shared" si="719"/>
        <v>0</v>
      </c>
      <c r="HJ98" s="290">
        <f t="shared" si="720"/>
        <v>0</v>
      </c>
      <c r="HK98" s="290">
        <f t="shared" si="721"/>
        <v>0</v>
      </c>
      <c r="HL98" s="290">
        <f t="shared" si="722"/>
        <v>0</v>
      </c>
      <c r="HM98" s="290">
        <f t="shared" si="723"/>
        <v>0</v>
      </c>
      <c r="HN98" s="290">
        <f t="shared" si="724"/>
        <v>0</v>
      </c>
      <c r="HO98" s="291">
        <f t="shared" si="725"/>
        <v>0</v>
      </c>
      <c r="HP98" s="291">
        <f t="shared" si="726"/>
        <v>0</v>
      </c>
      <c r="HQ98" s="291">
        <f t="shared" si="727"/>
        <v>0</v>
      </c>
      <c r="HR98" s="292">
        <f t="shared" si="728"/>
        <v>0</v>
      </c>
      <c r="HS98" s="999">
        <v>7</v>
      </c>
      <c r="HT98" s="286">
        <f t="shared" si="867"/>
        <v>44111</v>
      </c>
      <c r="HU98" s="293">
        <f t="shared" si="591"/>
        <v>44111</v>
      </c>
      <c r="HV98" s="288">
        <f>'दैनिक माहिती'!M204</f>
        <v>0</v>
      </c>
      <c r="HW98" s="289">
        <f>'दैनिक माहिती'!J204</f>
        <v>0</v>
      </c>
      <c r="HX98" s="289">
        <f>'दैनिक माहिती'!K204</f>
        <v>0</v>
      </c>
      <c r="HY98" s="289">
        <f>'दैनिक माहिती'!L204</f>
        <v>0</v>
      </c>
      <c r="HZ98" s="290">
        <f t="shared" si="729"/>
        <v>0</v>
      </c>
      <c r="IA98" s="290">
        <f t="shared" si="730"/>
        <v>0</v>
      </c>
      <c r="IB98" s="290">
        <f t="shared" si="731"/>
        <v>0</v>
      </c>
      <c r="IC98" s="290">
        <f t="shared" si="732"/>
        <v>0</v>
      </c>
      <c r="ID98" s="290">
        <f t="shared" si="733"/>
        <v>0</v>
      </c>
      <c r="IE98" s="290">
        <f t="shared" si="734"/>
        <v>0</v>
      </c>
      <c r="IF98" s="290">
        <f t="shared" si="735"/>
        <v>0</v>
      </c>
      <c r="IG98" s="290">
        <f t="shared" si="736"/>
        <v>0</v>
      </c>
      <c r="IH98" s="290">
        <f t="shared" si="737"/>
        <v>0</v>
      </c>
      <c r="II98" s="290">
        <f t="shared" si="738"/>
        <v>0</v>
      </c>
      <c r="IJ98" s="290">
        <f t="shared" si="739"/>
        <v>0</v>
      </c>
      <c r="IK98" s="290">
        <f t="shared" si="740"/>
        <v>0</v>
      </c>
      <c r="IL98" s="290">
        <f t="shared" si="741"/>
        <v>0</v>
      </c>
      <c r="IM98" s="290">
        <f t="shared" si="742"/>
        <v>0</v>
      </c>
      <c r="IN98" s="290">
        <f t="shared" si="743"/>
        <v>0</v>
      </c>
      <c r="IO98" s="290">
        <f t="shared" si="744"/>
        <v>0</v>
      </c>
      <c r="IP98" s="290">
        <f t="shared" si="745"/>
        <v>0</v>
      </c>
      <c r="IQ98" s="290">
        <f t="shared" si="746"/>
        <v>0</v>
      </c>
      <c r="IR98" s="291">
        <f t="shared" si="747"/>
        <v>0</v>
      </c>
      <c r="IS98" s="291">
        <f t="shared" si="748"/>
        <v>0</v>
      </c>
      <c r="IT98" s="291">
        <f t="shared" si="749"/>
        <v>0</v>
      </c>
      <c r="IU98" s="292">
        <f t="shared" si="750"/>
        <v>0</v>
      </c>
      <c r="IV98" s="999">
        <v>7</v>
      </c>
      <c r="IW98" s="286">
        <f t="shared" si="868"/>
        <v>44142</v>
      </c>
      <c r="IX98" s="293">
        <f t="shared" si="592"/>
        <v>44142</v>
      </c>
      <c r="IY98" s="288">
        <f>'दैनिक माहिती'!M236</f>
        <v>0</v>
      </c>
      <c r="IZ98" s="289">
        <f>'दैनिक माहिती'!J236</f>
        <v>0</v>
      </c>
      <c r="JA98" s="289">
        <f>'दैनिक माहिती'!K236</f>
        <v>0</v>
      </c>
      <c r="JB98" s="289">
        <f>'दैनिक माहिती'!L236</f>
        <v>0</v>
      </c>
      <c r="JC98" s="290">
        <f t="shared" si="751"/>
        <v>0</v>
      </c>
      <c r="JD98" s="290">
        <f t="shared" si="752"/>
        <v>0</v>
      </c>
      <c r="JE98" s="290">
        <f t="shared" si="753"/>
        <v>0</v>
      </c>
      <c r="JF98" s="290">
        <f t="shared" si="754"/>
        <v>0</v>
      </c>
      <c r="JG98" s="290">
        <f t="shared" si="755"/>
        <v>0</v>
      </c>
      <c r="JH98" s="290">
        <f t="shared" si="756"/>
        <v>0</v>
      </c>
      <c r="JI98" s="290">
        <f t="shared" si="757"/>
        <v>0</v>
      </c>
      <c r="JJ98" s="290">
        <f t="shared" si="758"/>
        <v>0</v>
      </c>
      <c r="JK98" s="290">
        <f t="shared" si="759"/>
        <v>0</v>
      </c>
      <c r="JL98" s="290">
        <f t="shared" si="760"/>
        <v>0</v>
      </c>
      <c r="JM98" s="290">
        <f t="shared" si="761"/>
        <v>0</v>
      </c>
      <c r="JN98" s="290">
        <f t="shared" si="762"/>
        <v>0</v>
      </c>
      <c r="JO98" s="290">
        <f t="shared" si="763"/>
        <v>0</v>
      </c>
      <c r="JP98" s="290">
        <f t="shared" si="764"/>
        <v>0</v>
      </c>
      <c r="JQ98" s="290">
        <f t="shared" si="765"/>
        <v>0</v>
      </c>
      <c r="JR98" s="290">
        <f t="shared" si="766"/>
        <v>0</v>
      </c>
      <c r="JS98" s="290">
        <f t="shared" si="767"/>
        <v>0</v>
      </c>
      <c r="JT98" s="290">
        <f t="shared" si="768"/>
        <v>0</v>
      </c>
      <c r="JU98" s="291">
        <f t="shared" si="769"/>
        <v>0</v>
      </c>
      <c r="JV98" s="291">
        <f t="shared" si="770"/>
        <v>0</v>
      </c>
      <c r="JW98" s="291">
        <f t="shared" si="771"/>
        <v>0</v>
      </c>
      <c r="JX98" s="292">
        <f t="shared" si="772"/>
        <v>0</v>
      </c>
      <c r="JY98" s="999">
        <v>7</v>
      </c>
      <c r="JZ98" s="286">
        <f t="shared" si="869"/>
        <v>44172</v>
      </c>
      <c r="KA98" s="293">
        <f t="shared" si="593"/>
        <v>44172</v>
      </c>
      <c r="KB98" s="288">
        <f>'दैनिक माहिती'!M267</f>
        <v>0</v>
      </c>
      <c r="KC98" s="289">
        <f>'दैनिक माहिती'!J267</f>
        <v>0</v>
      </c>
      <c r="KD98" s="289">
        <f>'दैनिक माहिती'!K267</f>
        <v>0</v>
      </c>
      <c r="KE98" s="289">
        <f>'दैनिक माहिती'!L267</f>
        <v>0</v>
      </c>
      <c r="KF98" s="290">
        <f t="shared" si="773"/>
        <v>0</v>
      </c>
      <c r="KG98" s="290">
        <f t="shared" si="774"/>
        <v>0</v>
      </c>
      <c r="KH98" s="290">
        <f t="shared" si="775"/>
        <v>0</v>
      </c>
      <c r="KI98" s="290">
        <f t="shared" si="776"/>
        <v>0</v>
      </c>
      <c r="KJ98" s="290">
        <f t="shared" si="777"/>
        <v>0</v>
      </c>
      <c r="KK98" s="290">
        <f t="shared" si="778"/>
        <v>0</v>
      </c>
      <c r="KL98" s="290">
        <f t="shared" si="779"/>
        <v>0</v>
      </c>
      <c r="KM98" s="290">
        <f t="shared" si="780"/>
        <v>0</v>
      </c>
      <c r="KN98" s="290">
        <f t="shared" si="781"/>
        <v>0</v>
      </c>
      <c r="KO98" s="290">
        <f t="shared" si="782"/>
        <v>0</v>
      </c>
      <c r="KP98" s="290">
        <f t="shared" si="783"/>
        <v>0</v>
      </c>
      <c r="KQ98" s="290">
        <f t="shared" si="784"/>
        <v>0</v>
      </c>
      <c r="KR98" s="290">
        <f t="shared" si="785"/>
        <v>0</v>
      </c>
      <c r="KS98" s="290">
        <f t="shared" si="786"/>
        <v>0</v>
      </c>
      <c r="KT98" s="290">
        <f t="shared" si="787"/>
        <v>0</v>
      </c>
      <c r="KU98" s="290">
        <f t="shared" si="788"/>
        <v>0</v>
      </c>
      <c r="KV98" s="290">
        <f t="shared" si="789"/>
        <v>0</v>
      </c>
      <c r="KW98" s="290">
        <f t="shared" si="790"/>
        <v>0</v>
      </c>
      <c r="KX98" s="291">
        <f t="shared" si="791"/>
        <v>0</v>
      </c>
      <c r="KY98" s="291">
        <f t="shared" si="792"/>
        <v>0</v>
      </c>
      <c r="KZ98" s="291">
        <f t="shared" si="793"/>
        <v>0</v>
      </c>
      <c r="LA98" s="292">
        <f t="shared" si="794"/>
        <v>0</v>
      </c>
      <c r="LB98" s="999">
        <v>7</v>
      </c>
      <c r="LC98" s="286">
        <f t="shared" si="870"/>
        <v>44203</v>
      </c>
      <c r="LD98" s="293">
        <f t="shared" si="594"/>
        <v>44203</v>
      </c>
      <c r="LE98" s="288">
        <f>'दैनिक माहिती'!M299</f>
        <v>0</v>
      </c>
      <c r="LF98" s="289">
        <f>'दैनिक माहिती'!J299</f>
        <v>0</v>
      </c>
      <c r="LG98" s="289">
        <f>'दैनिक माहिती'!K299</f>
        <v>0</v>
      </c>
      <c r="LH98" s="289">
        <f>'दैनिक माहिती'!L299</f>
        <v>0</v>
      </c>
      <c r="LI98" s="290">
        <f t="shared" si="795"/>
        <v>0</v>
      </c>
      <c r="LJ98" s="290">
        <f t="shared" si="796"/>
        <v>0</v>
      </c>
      <c r="LK98" s="290">
        <f t="shared" si="797"/>
        <v>0</v>
      </c>
      <c r="LL98" s="290">
        <f t="shared" si="798"/>
        <v>0</v>
      </c>
      <c r="LM98" s="290">
        <f t="shared" si="799"/>
        <v>0</v>
      </c>
      <c r="LN98" s="290">
        <f t="shared" si="800"/>
        <v>0</v>
      </c>
      <c r="LO98" s="290">
        <f t="shared" si="801"/>
        <v>0</v>
      </c>
      <c r="LP98" s="290">
        <f t="shared" si="802"/>
        <v>0</v>
      </c>
      <c r="LQ98" s="290">
        <f t="shared" si="803"/>
        <v>0</v>
      </c>
      <c r="LR98" s="290">
        <f t="shared" si="804"/>
        <v>0</v>
      </c>
      <c r="LS98" s="290">
        <f t="shared" si="805"/>
        <v>0</v>
      </c>
      <c r="LT98" s="290">
        <f t="shared" si="806"/>
        <v>0</v>
      </c>
      <c r="LU98" s="290">
        <f t="shared" si="807"/>
        <v>0</v>
      </c>
      <c r="LV98" s="290">
        <f t="shared" si="808"/>
        <v>0</v>
      </c>
      <c r="LW98" s="290">
        <f t="shared" si="809"/>
        <v>0</v>
      </c>
      <c r="LX98" s="290">
        <f t="shared" si="810"/>
        <v>0</v>
      </c>
      <c r="LY98" s="290">
        <f t="shared" si="811"/>
        <v>0</v>
      </c>
      <c r="LZ98" s="290">
        <f t="shared" si="812"/>
        <v>0</v>
      </c>
      <c r="MA98" s="291">
        <f t="shared" si="813"/>
        <v>0</v>
      </c>
      <c r="MB98" s="291">
        <f t="shared" si="814"/>
        <v>0</v>
      </c>
      <c r="MC98" s="291">
        <f t="shared" si="815"/>
        <v>0</v>
      </c>
      <c r="MD98" s="292">
        <f t="shared" si="816"/>
        <v>0</v>
      </c>
      <c r="ME98" s="999">
        <v>7</v>
      </c>
      <c r="MF98" s="286">
        <f t="shared" si="871"/>
        <v>44234</v>
      </c>
      <c r="MG98" s="293">
        <f t="shared" si="595"/>
        <v>44234</v>
      </c>
      <c r="MH98" s="288">
        <f>'दैनिक माहिती'!M331</f>
        <v>0</v>
      </c>
      <c r="MI98" s="289">
        <f>'दैनिक माहिती'!J331</f>
        <v>0</v>
      </c>
      <c r="MJ98" s="289">
        <f>'दैनिक माहिती'!K331</f>
        <v>0</v>
      </c>
      <c r="MK98" s="289">
        <f>'दैनिक माहिती'!L331</f>
        <v>0</v>
      </c>
      <c r="ML98" s="290">
        <f t="shared" si="817"/>
        <v>0</v>
      </c>
      <c r="MM98" s="290">
        <f t="shared" si="818"/>
        <v>0</v>
      </c>
      <c r="MN98" s="290">
        <f t="shared" si="819"/>
        <v>0</v>
      </c>
      <c r="MO98" s="290">
        <f t="shared" si="820"/>
        <v>0</v>
      </c>
      <c r="MP98" s="290">
        <f t="shared" si="821"/>
        <v>0</v>
      </c>
      <c r="MQ98" s="290">
        <f t="shared" si="822"/>
        <v>0</v>
      </c>
      <c r="MR98" s="290">
        <f t="shared" si="823"/>
        <v>0</v>
      </c>
      <c r="MS98" s="290">
        <f t="shared" si="824"/>
        <v>0</v>
      </c>
      <c r="MT98" s="290">
        <f t="shared" si="825"/>
        <v>0</v>
      </c>
      <c r="MU98" s="290">
        <f t="shared" si="826"/>
        <v>0</v>
      </c>
      <c r="MV98" s="290">
        <f t="shared" si="827"/>
        <v>0</v>
      </c>
      <c r="MW98" s="290">
        <f t="shared" si="828"/>
        <v>0</v>
      </c>
      <c r="MX98" s="290">
        <f t="shared" si="829"/>
        <v>0</v>
      </c>
      <c r="MY98" s="290">
        <f t="shared" si="830"/>
        <v>0</v>
      </c>
      <c r="MZ98" s="290">
        <f t="shared" si="831"/>
        <v>0</v>
      </c>
      <c r="NA98" s="290">
        <f t="shared" si="832"/>
        <v>0</v>
      </c>
      <c r="NB98" s="290">
        <f t="shared" si="833"/>
        <v>0</v>
      </c>
      <c r="NC98" s="290">
        <f t="shared" si="834"/>
        <v>0</v>
      </c>
      <c r="ND98" s="291">
        <f t="shared" si="835"/>
        <v>0</v>
      </c>
      <c r="NE98" s="291">
        <f t="shared" si="836"/>
        <v>0</v>
      </c>
      <c r="NF98" s="291">
        <f t="shared" si="837"/>
        <v>0</v>
      </c>
      <c r="NG98" s="292">
        <f t="shared" si="838"/>
        <v>0</v>
      </c>
      <c r="NH98" s="999">
        <v>7</v>
      </c>
      <c r="NI98" s="286">
        <f t="shared" si="872"/>
        <v>44262</v>
      </c>
      <c r="NJ98" s="293">
        <f t="shared" si="596"/>
        <v>44262</v>
      </c>
      <c r="NK98" s="288">
        <f>'दैनिक माहिती'!M361</f>
        <v>0</v>
      </c>
      <c r="NL98" s="289">
        <f>'दैनिक माहिती'!J361</f>
        <v>0</v>
      </c>
      <c r="NM98" s="289">
        <f>'दैनिक माहिती'!K361</f>
        <v>0</v>
      </c>
      <c r="NN98" s="289">
        <f>'दैनिक माहिती'!L361</f>
        <v>0</v>
      </c>
      <c r="NO98" s="290">
        <f t="shared" si="839"/>
        <v>0</v>
      </c>
      <c r="NP98" s="290">
        <f t="shared" si="840"/>
        <v>0</v>
      </c>
      <c r="NQ98" s="290">
        <f t="shared" si="841"/>
        <v>0</v>
      </c>
      <c r="NR98" s="290">
        <f t="shared" si="842"/>
        <v>0</v>
      </c>
      <c r="NS98" s="290">
        <f t="shared" si="843"/>
        <v>0</v>
      </c>
      <c r="NT98" s="290">
        <f t="shared" si="844"/>
        <v>0</v>
      </c>
      <c r="NU98" s="290">
        <f t="shared" si="845"/>
        <v>0</v>
      </c>
      <c r="NV98" s="290">
        <f t="shared" si="846"/>
        <v>0</v>
      </c>
      <c r="NW98" s="290">
        <f t="shared" si="847"/>
        <v>0</v>
      </c>
      <c r="NX98" s="290">
        <f t="shared" si="848"/>
        <v>0</v>
      </c>
      <c r="NY98" s="290">
        <f t="shared" si="849"/>
        <v>0</v>
      </c>
      <c r="NZ98" s="290">
        <f t="shared" si="850"/>
        <v>0</v>
      </c>
      <c r="OA98" s="290">
        <f t="shared" si="851"/>
        <v>0</v>
      </c>
      <c r="OB98" s="290">
        <f t="shared" si="852"/>
        <v>0</v>
      </c>
      <c r="OC98" s="290">
        <f t="shared" si="853"/>
        <v>0</v>
      </c>
      <c r="OD98" s="290">
        <f t="shared" si="854"/>
        <v>0</v>
      </c>
      <c r="OE98" s="290">
        <f t="shared" si="855"/>
        <v>0</v>
      </c>
      <c r="OF98" s="290">
        <f t="shared" si="856"/>
        <v>0</v>
      </c>
      <c r="OG98" s="291">
        <f t="shared" si="857"/>
        <v>0</v>
      </c>
      <c r="OH98" s="291">
        <f t="shared" si="858"/>
        <v>0</v>
      </c>
      <c r="OI98" s="291">
        <f t="shared" si="859"/>
        <v>0</v>
      </c>
      <c r="OJ98" s="292">
        <f t="shared" si="860"/>
        <v>0</v>
      </c>
    </row>
    <row r="99" spans="53:400" ht="29.25" customHeight="1" x14ac:dyDescent="0.3">
      <c r="BA99" s="999">
        <v>8</v>
      </c>
      <c r="BB99" s="286">
        <f t="shared" si="861"/>
        <v>43929</v>
      </c>
      <c r="BC99" s="287">
        <f t="shared" si="585"/>
        <v>43929</v>
      </c>
      <c r="BD99" s="288">
        <f>'दैनिक माहिती'!M16</f>
        <v>0</v>
      </c>
      <c r="BE99" s="289">
        <f>'दैनिक माहिती'!J16</f>
        <v>0</v>
      </c>
      <c r="BF99" s="289">
        <f>'दैनिक माहिती'!K16</f>
        <v>0</v>
      </c>
      <c r="BG99" s="289">
        <f>'दैनिक माहिती'!L16</f>
        <v>0</v>
      </c>
      <c r="BH99" s="290">
        <f t="shared" si="597"/>
        <v>0</v>
      </c>
      <c r="BI99" s="290">
        <f t="shared" si="598"/>
        <v>0</v>
      </c>
      <c r="BJ99" s="290">
        <f t="shared" si="599"/>
        <v>0</v>
      </c>
      <c r="BK99" s="290">
        <f t="shared" si="600"/>
        <v>0</v>
      </c>
      <c r="BL99" s="290">
        <f t="shared" si="601"/>
        <v>0</v>
      </c>
      <c r="BM99" s="290">
        <f t="shared" si="602"/>
        <v>0</v>
      </c>
      <c r="BN99" s="290">
        <f t="shared" si="603"/>
        <v>0</v>
      </c>
      <c r="BO99" s="290">
        <f t="shared" si="604"/>
        <v>0</v>
      </c>
      <c r="BP99" s="290">
        <f t="shared" si="605"/>
        <v>0</v>
      </c>
      <c r="BQ99" s="290">
        <f t="shared" si="606"/>
        <v>0</v>
      </c>
      <c r="BR99" s="290">
        <f t="shared" si="607"/>
        <v>0</v>
      </c>
      <c r="BS99" s="290">
        <f t="shared" si="608"/>
        <v>0</v>
      </c>
      <c r="BT99" s="290">
        <f t="shared" si="609"/>
        <v>0</v>
      </c>
      <c r="BU99" s="290">
        <f t="shared" si="610"/>
        <v>0</v>
      </c>
      <c r="BV99" s="290">
        <f t="shared" si="611"/>
        <v>0</v>
      </c>
      <c r="BW99" s="290">
        <f t="shared" si="612"/>
        <v>0</v>
      </c>
      <c r="BX99" s="290">
        <f t="shared" si="613"/>
        <v>0</v>
      </c>
      <c r="BY99" s="290">
        <f t="shared" si="614"/>
        <v>0</v>
      </c>
      <c r="BZ99" s="291">
        <f t="shared" si="615"/>
        <v>0</v>
      </c>
      <c r="CA99" s="291">
        <f t="shared" si="616"/>
        <v>0</v>
      </c>
      <c r="CB99" s="291">
        <f t="shared" si="617"/>
        <v>0</v>
      </c>
      <c r="CC99" s="292">
        <f t="shared" si="618"/>
        <v>0</v>
      </c>
      <c r="CD99" s="999">
        <v>8</v>
      </c>
      <c r="CE99" s="286">
        <f t="shared" si="862"/>
        <v>43959</v>
      </c>
      <c r="CF99" s="287">
        <f t="shared" si="586"/>
        <v>43959</v>
      </c>
      <c r="CG99" s="288">
        <f>'दैनिक माहिती'!M47</f>
        <v>0</v>
      </c>
      <c r="CH99" s="289">
        <f>'दैनिक माहिती'!J47</f>
        <v>0</v>
      </c>
      <c r="CI99" s="289">
        <f>'दैनिक माहिती'!K47</f>
        <v>0</v>
      </c>
      <c r="CJ99" s="289">
        <f>'दैनिक माहिती'!L47</f>
        <v>0</v>
      </c>
      <c r="CK99" s="290">
        <f t="shared" si="619"/>
        <v>0</v>
      </c>
      <c r="CL99" s="290">
        <f t="shared" si="620"/>
        <v>0</v>
      </c>
      <c r="CM99" s="290">
        <f t="shared" si="621"/>
        <v>0</v>
      </c>
      <c r="CN99" s="290">
        <f t="shared" si="622"/>
        <v>0</v>
      </c>
      <c r="CO99" s="290">
        <f t="shared" si="623"/>
        <v>0</v>
      </c>
      <c r="CP99" s="290">
        <f t="shared" si="624"/>
        <v>0</v>
      </c>
      <c r="CQ99" s="290">
        <f t="shared" si="625"/>
        <v>0</v>
      </c>
      <c r="CR99" s="290">
        <f t="shared" si="626"/>
        <v>0</v>
      </c>
      <c r="CS99" s="290">
        <f t="shared" si="627"/>
        <v>0</v>
      </c>
      <c r="CT99" s="290">
        <f t="shared" si="628"/>
        <v>0</v>
      </c>
      <c r="CU99" s="290">
        <f t="shared" si="629"/>
        <v>0</v>
      </c>
      <c r="CV99" s="290">
        <f t="shared" si="630"/>
        <v>0</v>
      </c>
      <c r="CW99" s="290">
        <f t="shared" si="631"/>
        <v>0</v>
      </c>
      <c r="CX99" s="290">
        <f t="shared" si="632"/>
        <v>0</v>
      </c>
      <c r="CY99" s="290">
        <f t="shared" si="633"/>
        <v>0</v>
      </c>
      <c r="CZ99" s="290">
        <f t="shared" si="634"/>
        <v>0</v>
      </c>
      <c r="DA99" s="290">
        <f t="shared" si="635"/>
        <v>0</v>
      </c>
      <c r="DB99" s="290">
        <f t="shared" si="636"/>
        <v>0</v>
      </c>
      <c r="DC99" s="291">
        <f t="shared" si="637"/>
        <v>0</v>
      </c>
      <c r="DD99" s="291">
        <f t="shared" si="638"/>
        <v>0</v>
      </c>
      <c r="DE99" s="291">
        <f t="shared" si="639"/>
        <v>0</v>
      </c>
      <c r="DF99" s="292">
        <f t="shared" si="640"/>
        <v>0</v>
      </c>
      <c r="DG99" s="999">
        <v>8</v>
      </c>
      <c r="DH99" s="286">
        <f t="shared" si="863"/>
        <v>43990</v>
      </c>
      <c r="DI99" s="287">
        <f t="shared" si="587"/>
        <v>43990</v>
      </c>
      <c r="DJ99" s="288">
        <f>'दैनिक माहिती'!M79</f>
        <v>0</v>
      </c>
      <c r="DK99" s="289">
        <f>'दैनिक माहिती'!J79</f>
        <v>0</v>
      </c>
      <c r="DL99" s="289">
        <f>'दैनिक माहिती'!K79</f>
        <v>0</v>
      </c>
      <c r="DM99" s="289">
        <f>'दैनिक माहिती'!L79</f>
        <v>0</v>
      </c>
      <c r="DN99" s="290">
        <f t="shared" si="641"/>
        <v>0</v>
      </c>
      <c r="DO99" s="290">
        <f t="shared" si="642"/>
        <v>0</v>
      </c>
      <c r="DP99" s="290">
        <f t="shared" si="643"/>
        <v>0</v>
      </c>
      <c r="DQ99" s="290">
        <f t="shared" si="644"/>
        <v>0</v>
      </c>
      <c r="DR99" s="290">
        <f t="shared" si="645"/>
        <v>0</v>
      </c>
      <c r="DS99" s="290">
        <f t="shared" si="646"/>
        <v>0</v>
      </c>
      <c r="DT99" s="290">
        <f t="shared" si="647"/>
        <v>0</v>
      </c>
      <c r="DU99" s="290">
        <f t="shared" si="648"/>
        <v>0</v>
      </c>
      <c r="DV99" s="290">
        <f t="shared" si="649"/>
        <v>0</v>
      </c>
      <c r="DW99" s="290">
        <f t="shared" si="650"/>
        <v>0</v>
      </c>
      <c r="DX99" s="290">
        <f t="shared" si="651"/>
        <v>0</v>
      </c>
      <c r="DY99" s="290">
        <f t="shared" si="652"/>
        <v>0</v>
      </c>
      <c r="DZ99" s="290">
        <f t="shared" si="653"/>
        <v>0</v>
      </c>
      <c r="EA99" s="290">
        <f t="shared" si="654"/>
        <v>0</v>
      </c>
      <c r="EB99" s="290">
        <f t="shared" si="655"/>
        <v>0</v>
      </c>
      <c r="EC99" s="290">
        <f t="shared" si="656"/>
        <v>0</v>
      </c>
      <c r="ED99" s="290">
        <f t="shared" si="657"/>
        <v>0</v>
      </c>
      <c r="EE99" s="290">
        <f t="shared" si="658"/>
        <v>0</v>
      </c>
      <c r="EF99" s="291">
        <f t="shared" si="659"/>
        <v>0</v>
      </c>
      <c r="EG99" s="291">
        <f t="shared" si="660"/>
        <v>0</v>
      </c>
      <c r="EH99" s="291">
        <f t="shared" si="661"/>
        <v>0</v>
      </c>
      <c r="EI99" s="292">
        <f t="shared" si="662"/>
        <v>0</v>
      </c>
      <c r="EJ99" s="999">
        <v>8</v>
      </c>
      <c r="EK99" s="286">
        <f t="shared" si="864"/>
        <v>44020</v>
      </c>
      <c r="EL99" s="287">
        <f t="shared" si="588"/>
        <v>44020</v>
      </c>
      <c r="EM99" s="288">
        <f>'दैनिक माहिती'!M110</f>
        <v>0</v>
      </c>
      <c r="EN99" s="289">
        <f>'दैनिक माहिती'!J110</f>
        <v>0</v>
      </c>
      <c r="EO99" s="289">
        <f>'दैनिक माहिती'!K110</f>
        <v>0</v>
      </c>
      <c r="EP99" s="289">
        <f>'दैनिक माहिती'!L110</f>
        <v>0</v>
      </c>
      <c r="EQ99" s="290">
        <f t="shared" si="663"/>
        <v>0</v>
      </c>
      <c r="ER99" s="290">
        <f t="shared" si="664"/>
        <v>0</v>
      </c>
      <c r="ES99" s="290">
        <f t="shared" si="665"/>
        <v>0</v>
      </c>
      <c r="ET99" s="290">
        <f t="shared" si="666"/>
        <v>0</v>
      </c>
      <c r="EU99" s="290">
        <f t="shared" si="667"/>
        <v>0</v>
      </c>
      <c r="EV99" s="290">
        <f t="shared" si="668"/>
        <v>0</v>
      </c>
      <c r="EW99" s="290">
        <f t="shared" si="669"/>
        <v>0</v>
      </c>
      <c r="EX99" s="290">
        <f t="shared" si="670"/>
        <v>0</v>
      </c>
      <c r="EY99" s="290">
        <f t="shared" si="671"/>
        <v>0</v>
      </c>
      <c r="EZ99" s="290">
        <f t="shared" si="672"/>
        <v>0</v>
      </c>
      <c r="FA99" s="290">
        <f t="shared" si="673"/>
        <v>0</v>
      </c>
      <c r="FB99" s="290">
        <f t="shared" si="674"/>
        <v>0</v>
      </c>
      <c r="FC99" s="290">
        <f t="shared" si="675"/>
        <v>0</v>
      </c>
      <c r="FD99" s="290">
        <f t="shared" si="676"/>
        <v>0</v>
      </c>
      <c r="FE99" s="290">
        <f t="shared" si="677"/>
        <v>0</v>
      </c>
      <c r="FF99" s="290">
        <f t="shared" si="678"/>
        <v>0</v>
      </c>
      <c r="FG99" s="290">
        <f t="shared" si="679"/>
        <v>0</v>
      </c>
      <c r="FH99" s="290">
        <f t="shared" si="680"/>
        <v>0</v>
      </c>
      <c r="FI99" s="291">
        <f t="shared" si="681"/>
        <v>0</v>
      </c>
      <c r="FJ99" s="291">
        <f t="shared" si="682"/>
        <v>0</v>
      </c>
      <c r="FK99" s="291">
        <f t="shared" si="683"/>
        <v>0</v>
      </c>
      <c r="FL99" s="292">
        <f t="shared" si="684"/>
        <v>0</v>
      </c>
      <c r="FM99" s="999">
        <v>8</v>
      </c>
      <c r="FN99" s="286">
        <f t="shared" si="865"/>
        <v>44051</v>
      </c>
      <c r="FO99" s="287">
        <f t="shared" si="589"/>
        <v>44051</v>
      </c>
      <c r="FP99" s="288">
        <f>'दैनिक माहिती'!M142</f>
        <v>0</v>
      </c>
      <c r="FQ99" s="289">
        <f>'दैनिक माहिती'!J142</f>
        <v>0</v>
      </c>
      <c r="FR99" s="289">
        <f>'दैनिक माहिती'!K142</f>
        <v>0</v>
      </c>
      <c r="FS99" s="289">
        <f>'दैनिक माहिती'!L142</f>
        <v>0</v>
      </c>
      <c r="FT99" s="290">
        <f t="shared" si="685"/>
        <v>0</v>
      </c>
      <c r="FU99" s="290">
        <f t="shared" si="686"/>
        <v>0</v>
      </c>
      <c r="FV99" s="290">
        <f t="shared" si="687"/>
        <v>0</v>
      </c>
      <c r="FW99" s="290">
        <f t="shared" si="688"/>
        <v>0</v>
      </c>
      <c r="FX99" s="290">
        <f t="shared" si="689"/>
        <v>0</v>
      </c>
      <c r="FY99" s="290">
        <f t="shared" si="690"/>
        <v>0</v>
      </c>
      <c r="FZ99" s="290">
        <f t="shared" si="691"/>
        <v>0</v>
      </c>
      <c r="GA99" s="290">
        <f t="shared" si="692"/>
        <v>0</v>
      </c>
      <c r="GB99" s="290">
        <f t="shared" si="693"/>
        <v>0</v>
      </c>
      <c r="GC99" s="290">
        <f t="shared" si="694"/>
        <v>0</v>
      </c>
      <c r="GD99" s="290">
        <f t="shared" si="695"/>
        <v>0</v>
      </c>
      <c r="GE99" s="290">
        <f t="shared" si="696"/>
        <v>0</v>
      </c>
      <c r="GF99" s="290">
        <f t="shared" si="697"/>
        <v>0</v>
      </c>
      <c r="GG99" s="290">
        <f t="shared" si="698"/>
        <v>0</v>
      </c>
      <c r="GH99" s="290">
        <f t="shared" si="699"/>
        <v>0</v>
      </c>
      <c r="GI99" s="290">
        <f t="shared" si="700"/>
        <v>0</v>
      </c>
      <c r="GJ99" s="290">
        <f t="shared" si="701"/>
        <v>0</v>
      </c>
      <c r="GK99" s="290">
        <f t="shared" si="702"/>
        <v>0</v>
      </c>
      <c r="GL99" s="291">
        <f t="shared" si="703"/>
        <v>0</v>
      </c>
      <c r="GM99" s="291">
        <f t="shared" si="704"/>
        <v>0</v>
      </c>
      <c r="GN99" s="291">
        <f t="shared" si="705"/>
        <v>0</v>
      </c>
      <c r="GO99" s="292">
        <f t="shared" si="706"/>
        <v>0</v>
      </c>
      <c r="GP99" s="999">
        <v>8</v>
      </c>
      <c r="GQ99" s="286">
        <f t="shared" si="866"/>
        <v>44082</v>
      </c>
      <c r="GR99" s="287">
        <f t="shared" si="590"/>
        <v>44082</v>
      </c>
      <c r="GS99" s="288">
        <f>'दैनिक माहिती'!M174</f>
        <v>0</v>
      </c>
      <c r="GT99" s="289">
        <f>'दैनिक माहिती'!J174</f>
        <v>0</v>
      </c>
      <c r="GU99" s="289">
        <f>'दैनिक माहिती'!K174</f>
        <v>0</v>
      </c>
      <c r="GV99" s="289">
        <f>'दैनिक माहिती'!L174</f>
        <v>0</v>
      </c>
      <c r="GW99" s="290">
        <f t="shared" si="707"/>
        <v>0</v>
      </c>
      <c r="GX99" s="290">
        <f t="shared" si="708"/>
        <v>0</v>
      </c>
      <c r="GY99" s="290">
        <f t="shared" si="709"/>
        <v>0</v>
      </c>
      <c r="GZ99" s="290">
        <f t="shared" si="710"/>
        <v>0</v>
      </c>
      <c r="HA99" s="290">
        <f t="shared" si="711"/>
        <v>0</v>
      </c>
      <c r="HB99" s="290">
        <f t="shared" si="712"/>
        <v>0</v>
      </c>
      <c r="HC99" s="290">
        <f t="shared" si="713"/>
        <v>0</v>
      </c>
      <c r="HD99" s="290">
        <f t="shared" si="714"/>
        <v>0</v>
      </c>
      <c r="HE99" s="290">
        <f t="shared" si="715"/>
        <v>0</v>
      </c>
      <c r="HF99" s="290">
        <f t="shared" si="716"/>
        <v>0</v>
      </c>
      <c r="HG99" s="290">
        <f t="shared" si="717"/>
        <v>0</v>
      </c>
      <c r="HH99" s="290">
        <f t="shared" si="718"/>
        <v>0</v>
      </c>
      <c r="HI99" s="290">
        <f t="shared" si="719"/>
        <v>0</v>
      </c>
      <c r="HJ99" s="290">
        <f t="shared" si="720"/>
        <v>0</v>
      </c>
      <c r="HK99" s="290">
        <f t="shared" si="721"/>
        <v>0</v>
      </c>
      <c r="HL99" s="290">
        <f t="shared" si="722"/>
        <v>0</v>
      </c>
      <c r="HM99" s="290">
        <f t="shared" si="723"/>
        <v>0</v>
      </c>
      <c r="HN99" s="290">
        <f t="shared" si="724"/>
        <v>0</v>
      </c>
      <c r="HO99" s="291">
        <f t="shared" si="725"/>
        <v>0</v>
      </c>
      <c r="HP99" s="291">
        <f t="shared" si="726"/>
        <v>0</v>
      </c>
      <c r="HQ99" s="291">
        <f t="shared" si="727"/>
        <v>0</v>
      </c>
      <c r="HR99" s="292">
        <f t="shared" si="728"/>
        <v>0</v>
      </c>
      <c r="HS99" s="999">
        <v>8</v>
      </c>
      <c r="HT99" s="286">
        <f t="shared" si="867"/>
        <v>44112</v>
      </c>
      <c r="HU99" s="287">
        <f t="shared" si="591"/>
        <v>44112</v>
      </c>
      <c r="HV99" s="288">
        <f>'दैनिक माहिती'!M205</f>
        <v>0</v>
      </c>
      <c r="HW99" s="289">
        <f>'दैनिक माहिती'!J205</f>
        <v>0</v>
      </c>
      <c r="HX99" s="289">
        <f>'दैनिक माहिती'!K205</f>
        <v>0</v>
      </c>
      <c r="HY99" s="289">
        <f>'दैनिक माहिती'!L205</f>
        <v>0</v>
      </c>
      <c r="HZ99" s="290">
        <f t="shared" si="729"/>
        <v>0</v>
      </c>
      <c r="IA99" s="290">
        <f t="shared" si="730"/>
        <v>0</v>
      </c>
      <c r="IB99" s="290">
        <f t="shared" si="731"/>
        <v>0</v>
      </c>
      <c r="IC99" s="290">
        <f t="shared" si="732"/>
        <v>0</v>
      </c>
      <c r="ID99" s="290">
        <f t="shared" si="733"/>
        <v>0</v>
      </c>
      <c r="IE99" s="290">
        <f t="shared" si="734"/>
        <v>0</v>
      </c>
      <c r="IF99" s="290">
        <f t="shared" si="735"/>
        <v>0</v>
      </c>
      <c r="IG99" s="290">
        <f t="shared" si="736"/>
        <v>0</v>
      </c>
      <c r="IH99" s="290">
        <f t="shared" si="737"/>
        <v>0</v>
      </c>
      <c r="II99" s="290">
        <f t="shared" si="738"/>
        <v>0</v>
      </c>
      <c r="IJ99" s="290">
        <f t="shared" si="739"/>
        <v>0</v>
      </c>
      <c r="IK99" s="290">
        <f t="shared" si="740"/>
        <v>0</v>
      </c>
      <c r="IL99" s="290">
        <f t="shared" si="741"/>
        <v>0</v>
      </c>
      <c r="IM99" s="290">
        <f t="shared" si="742"/>
        <v>0</v>
      </c>
      <c r="IN99" s="290">
        <f t="shared" si="743"/>
        <v>0</v>
      </c>
      <c r="IO99" s="290">
        <f t="shared" si="744"/>
        <v>0</v>
      </c>
      <c r="IP99" s="290">
        <f t="shared" si="745"/>
        <v>0</v>
      </c>
      <c r="IQ99" s="290">
        <f t="shared" si="746"/>
        <v>0</v>
      </c>
      <c r="IR99" s="291">
        <f t="shared" si="747"/>
        <v>0</v>
      </c>
      <c r="IS99" s="291">
        <f t="shared" si="748"/>
        <v>0</v>
      </c>
      <c r="IT99" s="291">
        <f t="shared" si="749"/>
        <v>0</v>
      </c>
      <c r="IU99" s="292">
        <f t="shared" si="750"/>
        <v>0</v>
      </c>
      <c r="IV99" s="999">
        <v>8</v>
      </c>
      <c r="IW99" s="286">
        <f t="shared" si="868"/>
        <v>44143</v>
      </c>
      <c r="IX99" s="287">
        <f t="shared" si="592"/>
        <v>44143</v>
      </c>
      <c r="IY99" s="288">
        <f>'दैनिक माहिती'!M237</f>
        <v>0</v>
      </c>
      <c r="IZ99" s="289">
        <f>'दैनिक माहिती'!J237</f>
        <v>0</v>
      </c>
      <c r="JA99" s="289">
        <f>'दैनिक माहिती'!K237</f>
        <v>0</v>
      </c>
      <c r="JB99" s="289">
        <f>'दैनिक माहिती'!L237</f>
        <v>0</v>
      </c>
      <c r="JC99" s="290">
        <f t="shared" si="751"/>
        <v>0</v>
      </c>
      <c r="JD99" s="290">
        <f t="shared" si="752"/>
        <v>0</v>
      </c>
      <c r="JE99" s="290">
        <f t="shared" si="753"/>
        <v>0</v>
      </c>
      <c r="JF99" s="290">
        <f t="shared" si="754"/>
        <v>0</v>
      </c>
      <c r="JG99" s="290">
        <f t="shared" si="755"/>
        <v>0</v>
      </c>
      <c r="JH99" s="290">
        <f t="shared" si="756"/>
        <v>0</v>
      </c>
      <c r="JI99" s="290">
        <f t="shared" si="757"/>
        <v>0</v>
      </c>
      <c r="JJ99" s="290">
        <f t="shared" si="758"/>
        <v>0</v>
      </c>
      <c r="JK99" s="290">
        <f t="shared" si="759"/>
        <v>0</v>
      </c>
      <c r="JL99" s="290">
        <f t="shared" si="760"/>
        <v>0</v>
      </c>
      <c r="JM99" s="290">
        <f t="shared" si="761"/>
        <v>0</v>
      </c>
      <c r="JN99" s="290">
        <f t="shared" si="762"/>
        <v>0</v>
      </c>
      <c r="JO99" s="290">
        <f t="shared" si="763"/>
        <v>0</v>
      </c>
      <c r="JP99" s="290">
        <f t="shared" si="764"/>
        <v>0</v>
      </c>
      <c r="JQ99" s="290">
        <f t="shared" si="765"/>
        <v>0</v>
      </c>
      <c r="JR99" s="290">
        <f t="shared" si="766"/>
        <v>0</v>
      </c>
      <c r="JS99" s="290">
        <f t="shared" si="767"/>
        <v>0</v>
      </c>
      <c r="JT99" s="290">
        <f t="shared" si="768"/>
        <v>0</v>
      </c>
      <c r="JU99" s="291">
        <f t="shared" si="769"/>
        <v>0</v>
      </c>
      <c r="JV99" s="291">
        <f t="shared" si="770"/>
        <v>0</v>
      </c>
      <c r="JW99" s="291">
        <f t="shared" si="771"/>
        <v>0</v>
      </c>
      <c r="JX99" s="292">
        <f t="shared" si="772"/>
        <v>0</v>
      </c>
      <c r="JY99" s="999">
        <v>8</v>
      </c>
      <c r="JZ99" s="286">
        <f t="shared" si="869"/>
        <v>44173</v>
      </c>
      <c r="KA99" s="287">
        <f t="shared" si="593"/>
        <v>44173</v>
      </c>
      <c r="KB99" s="288">
        <f>'दैनिक माहिती'!M268</f>
        <v>0</v>
      </c>
      <c r="KC99" s="289">
        <f>'दैनिक माहिती'!J268</f>
        <v>0</v>
      </c>
      <c r="KD99" s="289">
        <f>'दैनिक माहिती'!K268</f>
        <v>0</v>
      </c>
      <c r="KE99" s="289">
        <f>'दैनिक माहिती'!L268</f>
        <v>0</v>
      </c>
      <c r="KF99" s="290">
        <f t="shared" si="773"/>
        <v>0</v>
      </c>
      <c r="KG99" s="290">
        <f t="shared" si="774"/>
        <v>0</v>
      </c>
      <c r="KH99" s="290">
        <f t="shared" si="775"/>
        <v>0</v>
      </c>
      <c r="KI99" s="290">
        <f t="shared" si="776"/>
        <v>0</v>
      </c>
      <c r="KJ99" s="290">
        <f t="shared" si="777"/>
        <v>0</v>
      </c>
      <c r="KK99" s="290">
        <f t="shared" si="778"/>
        <v>0</v>
      </c>
      <c r="KL99" s="290">
        <f t="shared" si="779"/>
        <v>0</v>
      </c>
      <c r="KM99" s="290">
        <f t="shared" si="780"/>
        <v>0</v>
      </c>
      <c r="KN99" s="290">
        <f t="shared" si="781"/>
        <v>0</v>
      </c>
      <c r="KO99" s="290">
        <f t="shared" si="782"/>
        <v>0</v>
      </c>
      <c r="KP99" s="290">
        <f t="shared" si="783"/>
        <v>0</v>
      </c>
      <c r="KQ99" s="290">
        <f t="shared" si="784"/>
        <v>0</v>
      </c>
      <c r="KR99" s="290">
        <f t="shared" si="785"/>
        <v>0</v>
      </c>
      <c r="KS99" s="290">
        <f t="shared" si="786"/>
        <v>0</v>
      </c>
      <c r="KT99" s="290">
        <f t="shared" si="787"/>
        <v>0</v>
      </c>
      <c r="KU99" s="290">
        <f t="shared" si="788"/>
        <v>0</v>
      </c>
      <c r="KV99" s="290">
        <f t="shared" si="789"/>
        <v>0</v>
      </c>
      <c r="KW99" s="290">
        <f t="shared" si="790"/>
        <v>0</v>
      </c>
      <c r="KX99" s="291">
        <f t="shared" si="791"/>
        <v>0</v>
      </c>
      <c r="KY99" s="291">
        <f t="shared" si="792"/>
        <v>0</v>
      </c>
      <c r="KZ99" s="291">
        <f t="shared" si="793"/>
        <v>0</v>
      </c>
      <c r="LA99" s="292">
        <f t="shared" si="794"/>
        <v>0</v>
      </c>
      <c r="LB99" s="999">
        <v>8</v>
      </c>
      <c r="LC99" s="286">
        <f t="shared" si="870"/>
        <v>44204</v>
      </c>
      <c r="LD99" s="287">
        <f t="shared" si="594"/>
        <v>44204</v>
      </c>
      <c r="LE99" s="288">
        <f>'दैनिक माहिती'!M300</f>
        <v>0</v>
      </c>
      <c r="LF99" s="289">
        <f>'दैनिक माहिती'!J300</f>
        <v>0</v>
      </c>
      <c r="LG99" s="289">
        <f>'दैनिक माहिती'!K300</f>
        <v>0</v>
      </c>
      <c r="LH99" s="289">
        <f>'दैनिक माहिती'!L300</f>
        <v>0</v>
      </c>
      <c r="LI99" s="290">
        <f t="shared" si="795"/>
        <v>0</v>
      </c>
      <c r="LJ99" s="290">
        <f t="shared" si="796"/>
        <v>0</v>
      </c>
      <c r="LK99" s="290">
        <f t="shared" si="797"/>
        <v>0</v>
      </c>
      <c r="LL99" s="290">
        <f t="shared" si="798"/>
        <v>0</v>
      </c>
      <c r="LM99" s="290">
        <f t="shared" si="799"/>
        <v>0</v>
      </c>
      <c r="LN99" s="290">
        <f t="shared" si="800"/>
        <v>0</v>
      </c>
      <c r="LO99" s="290">
        <f t="shared" si="801"/>
        <v>0</v>
      </c>
      <c r="LP99" s="290">
        <f t="shared" si="802"/>
        <v>0</v>
      </c>
      <c r="LQ99" s="290">
        <f t="shared" si="803"/>
        <v>0</v>
      </c>
      <c r="LR99" s="290">
        <f t="shared" si="804"/>
        <v>0</v>
      </c>
      <c r="LS99" s="290">
        <f t="shared" si="805"/>
        <v>0</v>
      </c>
      <c r="LT99" s="290">
        <f t="shared" si="806"/>
        <v>0</v>
      </c>
      <c r="LU99" s="290">
        <f t="shared" si="807"/>
        <v>0</v>
      </c>
      <c r="LV99" s="290">
        <f t="shared" si="808"/>
        <v>0</v>
      </c>
      <c r="LW99" s="290">
        <f t="shared" si="809"/>
        <v>0</v>
      </c>
      <c r="LX99" s="290">
        <f t="shared" si="810"/>
        <v>0</v>
      </c>
      <c r="LY99" s="290">
        <f t="shared" si="811"/>
        <v>0</v>
      </c>
      <c r="LZ99" s="290">
        <f t="shared" si="812"/>
        <v>0</v>
      </c>
      <c r="MA99" s="291">
        <f t="shared" si="813"/>
        <v>0</v>
      </c>
      <c r="MB99" s="291">
        <f t="shared" si="814"/>
        <v>0</v>
      </c>
      <c r="MC99" s="291">
        <f t="shared" si="815"/>
        <v>0</v>
      </c>
      <c r="MD99" s="292">
        <f t="shared" si="816"/>
        <v>0</v>
      </c>
      <c r="ME99" s="999">
        <v>8</v>
      </c>
      <c r="MF99" s="286">
        <f t="shared" si="871"/>
        <v>44235</v>
      </c>
      <c r="MG99" s="287">
        <f t="shared" si="595"/>
        <v>44235</v>
      </c>
      <c r="MH99" s="288">
        <f>'दैनिक माहिती'!M332</f>
        <v>0</v>
      </c>
      <c r="MI99" s="289">
        <f>'दैनिक माहिती'!J332</f>
        <v>0</v>
      </c>
      <c r="MJ99" s="289">
        <f>'दैनिक माहिती'!K332</f>
        <v>0</v>
      </c>
      <c r="MK99" s="289">
        <f>'दैनिक माहिती'!L332</f>
        <v>0</v>
      </c>
      <c r="ML99" s="290">
        <f t="shared" si="817"/>
        <v>0</v>
      </c>
      <c r="MM99" s="290">
        <f t="shared" si="818"/>
        <v>0</v>
      </c>
      <c r="MN99" s="290">
        <f t="shared" si="819"/>
        <v>0</v>
      </c>
      <c r="MO99" s="290">
        <f t="shared" si="820"/>
        <v>0</v>
      </c>
      <c r="MP99" s="290">
        <f t="shared" si="821"/>
        <v>0</v>
      </c>
      <c r="MQ99" s="290">
        <f t="shared" si="822"/>
        <v>0</v>
      </c>
      <c r="MR99" s="290">
        <f t="shared" si="823"/>
        <v>0</v>
      </c>
      <c r="MS99" s="290">
        <f t="shared" si="824"/>
        <v>0</v>
      </c>
      <c r="MT99" s="290">
        <f t="shared" si="825"/>
        <v>0</v>
      </c>
      <c r="MU99" s="290">
        <f t="shared" si="826"/>
        <v>0</v>
      </c>
      <c r="MV99" s="290">
        <f t="shared" si="827"/>
        <v>0</v>
      </c>
      <c r="MW99" s="290">
        <f t="shared" si="828"/>
        <v>0</v>
      </c>
      <c r="MX99" s="290">
        <f t="shared" si="829"/>
        <v>0</v>
      </c>
      <c r="MY99" s="290">
        <f t="shared" si="830"/>
        <v>0</v>
      </c>
      <c r="MZ99" s="290">
        <f t="shared" si="831"/>
        <v>0</v>
      </c>
      <c r="NA99" s="290">
        <f t="shared" si="832"/>
        <v>0</v>
      </c>
      <c r="NB99" s="290">
        <f t="shared" si="833"/>
        <v>0</v>
      </c>
      <c r="NC99" s="290">
        <f t="shared" si="834"/>
        <v>0</v>
      </c>
      <c r="ND99" s="291">
        <f t="shared" si="835"/>
        <v>0</v>
      </c>
      <c r="NE99" s="291">
        <f t="shared" si="836"/>
        <v>0</v>
      </c>
      <c r="NF99" s="291">
        <f t="shared" si="837"/>
        <v>0</v>
      </c>
      <c r="NG99" s="292">
        <f t="shared" si="838"/>
        <v>0</v>
      </c>
      <c r="NH99" s="999">
        <v>8</v>
      </c>
      <c r="NI99" s="286">
        <f t="shared" si="872"/>
        <v>44263</v>
      </c>
      <c r="NJ99" s="287">
        <f t="shared" si="596"/>
        <v>44263</v>
      </c>
      <c r="NK99" s="288">
        <f>'दैनिक माहिती'!M362</f>
        <v>0</v>
      </c>
      <c r="NL99" s="289">
        <f>'दैनिक माहिती'!J362</f>
        <v>0</v>
      </c>
      <c r="NM99" s="289">
        <f>'दैनिक माहिती'!K362</f>
        <v>0</v>
      </c>
      <c r="NN99" s="289">
        <f>'दैनिक माहिती'!L362</f>
        <v>0</v>
      </c>
      <c r="NO99" s="290">
        <f t="shared" si="839"/>
        <v>0</v>
      </c>
      <c r="NP99" s="290">
        <f t="shared" si="840"/>
        <v>0</v>
      </c>
      <c r="NQ99" s="290">
        <f t="shared" si="841"/>
        <v>0</v>
      </c>
      <c r="NR99" s="290">
        <f t="shared" si="842"/>
        <v>0</v>
      </c>
      <c r="NS99" s="290">
        <f t="shared" si="843"/>
        <v>0</v>
      </c>
      <c r="NT99" s="290">
        <f t="shared" si="844"/>
        <v>0</v>
      </c>
      <c r="NU99" s="290">
        <f t="shared" si="845"/>
        <v>0</v>
      </c>
      <c r="NV99" s="290">
        <f t="shared" si="846"/>
        <v>0</v>
      </c>
      <c r="NW99" s="290">
        <f t="shared" si="847"/>
        <v>0</v>
      </c>
      <c r="NX99" s="290">
        <f t="shared" si="848"/>
        <v>0</v>
      </c>
      <c r="NY99" s="290">
        <f t="shared" si="849"/>
        <v>0</v>
      </c>
      <c r="NZ99" s="290">
        <f t="shared" si="850"/>
        <v>0</v>
      </c>
      <c r="OA99" s="290">
        <f t="shared" si="851"/>
        <v>0</v>
      </c>
      <c r="OB99" s="290">
        <f t="shared" si="852"/>
        <v>0</v>
      </c>
      <c r="OC99" s="290">
        <f t="shared" si="853"/>
        <v>0</v>
      </c>
      <c r="OD99" s="290">
        <f t="shared" si="854"/>
        <v>0</v>
      </c>
      <c r="OE99" s="290">
        <f t="shared" si="855"/>
        <v>0</v>
      </c>
      <c r="OF99" s="290">
        <f t="shared" si="856"/>
        <v>0</v>
      </c>
      <c r="OG99" s="291">
        <f t="shared" si="857"/>
        <v>0</v>
      </c>
      <c r="OH99" s="291">
        <f t="shared" si="858"/>
        <v>0</v>
      </c>
      <c r="OI99" s="291">
        <f t="shared" si="859"/>
        <v>0</v>
      </c>
      <c r="OJ99" s="292">
        <f t="shared" si="860"/>
        <v>0</v>
      </c>
    </row>
    <row r="100" spans="53:400" ht="29.25" customHeight="1" x14ac:dyDescent="0.3">
      <c r="BA100" s="999">
        <v>9</v>
      </c>
      <c r="BB100" s="286">
        <f t="shared" si="861"/>
        <v>43930</v>
      </c>
      <c r="BC100" s="293">
        <f t="shared" si="585"/>
        <v>43930</v>
      </c>
      <c r="BD100" s="288">
        <f>'दैनिक माहिती'!M17</f>
        <v>0</v>
      </c>
      <c r="BE100" s="289">
        <f>'दैनिक माहिती'!J17</f>
        <v>0</v>
      </c>
      <c r="BF100" s="289">
        <f>'दैनिक माहिती'!K17</f>
        <v>0</v>
      </c>
      <c r="BG100" s="289">
        <f>'दैनिक माहिती'!L17</f>
        <v>0</v>
      </c>
      <c r="BH100" s="290">
        <f t="shared" si="597"/>
        <v>0</v>
      </c>
      <c r="BI100" s="290">
        <f t="shared" si="598"/>
        <v>0</v>
      </c>
      <c r="BJ100" s="290">
        <f t="shared" si="599"/>
        <v>0</v>
      </c>
      <c r="BK100" s="290">
        <f t="shared" si="600"/>
        <v>0</v>
      </c>
      <c r="BL100" s="290">
        <f t="shared" si="601"/>
        <v>0</v>
      </c>
      <c r="BM100" s="290">
        <f t="shared" si="602"/>
        <v>0</v>
      </c>
      <c r="BN100" s="290">
        <f t="shared" si="603"/>
        <v>0</v>
      </c>
      <c r="BO100" s="290">
        <f t="shared" si="604"/>
        <v>0</v>
      </c>
      <c r="BP100" s="290">
        <f t="shared" si="605"/>
        <v>0</v>
      </c>
      <c r="BQ100" s="290">
        <f t="shared" si="606"/>
        <v>0</v>
      </c>
      <c r="BR100" s="290">
        <f t="shared" si="607"/>
        <v>0</v>
      </c>
      <c r="BS100" s="290">
        <f t="shared" si="608"/>
        <v>0</v>
      </c>
      <c r="BT100" s="290">
        <f t="shared" si="609"/>
        <v>0</v>
      </c>
      <c r="BU100" s="290">
        <f t="shared" si="610"/>
        <v>0</v>
      </c>
      <c r="BV100" s="290">
        <f t="shared" si="611"/>
        <v>0</v>
      </c>
      <c r="BW100" s="290">
        <f t="shared" si="612"/>
        <v>0</v>
      </c>
      <c r="BX100" s="290">
        <f t="shared" si="613"/>
        <v>0</v>
      </c>
      <c r="BY100" s="290">
        <f t="shared" si="614"/>
        <v>0</v>
      </c>
      <c r="BZ100" s="291">
        <f t="shared" si="615"/>
        <v>0</v>
      </c>
      <c r="CA100" s="291">
        <f t="shared" si="616"/>
        <v>0</v>
      </c>
      <c r="CB100" s="291">
        <f t="shared" si="617"/>
        <v>0</v>
      </c>
      <c r="CC100" s="292">
        <f t="shared" si="618"/>
        <v>0</v>
      </c>
      <c r="CD100" s="999">
        <v>9</v>
      </c>
      <c r="CE100" s="286">
        <f t="shared" si="862"/>
        <v>43960</v>
      </c>
      <c r="CF100" s="293">
        <f t="shared" si="586"/>
        <v>43960</v>
      </c>
      <c r="CG100" s="288">
        <f>'दैनिक माहिती'!M48</f>
        <v>0</v>
      </c>
      <c r="CH100" s="289">
        <f>'दैनिक माहिती'!J48</f>
        <v>0</v>
      </c>
      <c r="CI100" s="289">
        <f>'दैनिक माहिती'!K48</f>
        <v>0</v>
      </c>
      <c r="CJ100" s="289">
        <f>'दैनिक माहिती'!L48</f>
        <v>0</v>
      </c>
      <c r="CK100" s="290">
        <f t="shared" si="619"/>
        <v>0</v>
      </c>
      <c r="CL100" s="290">
        <f t="shared" si="620"/>
        <v>0</v>
      </c>
      <c r="CM100" s="290">
        <f t="shared" si="621"/>
        <v>0</v>
      </c>
      <c r="CN100" s="290">
        <f t="shared" si="622"/>
        <v>0</v>
      </c>
      <c r="CO100" s="290">
        <f t="shared" si="623"/>
        <v>0</v>
      </c>
      <c r="CP100" s="290">
        <f t="shared" si="624"/>
        <v>0</v>
      </c>
      <c r="CQ100" s="290">
        <f t="shared" si="625"/>
        <v>0</v>
      </c>
      <c r="CR100" s="290">
        <f t="shared" si="626"/>
        <v>0</v>
      </c>
      <c r="CS100" s="290">
        <f t="shared" si="627"/>
        <v>0</v>
      </c>
      <c r="CT100" s="290">
        <f t="shared" si="628"/>
        <v>0</v>
      </c>
      <c r="CU100" s="290">
        <f t="shared" si="629"/>
        <v>0</v>
      </c>
      <c r="CV100" s="290">
        <f t="shared" si="630"/>
        <v>0</v>
      </c>
      <c r="CW100" s="290">
        <f t="shared" si="631"/>
        <v>0</v>
      </c>
      <c r="CX100" s="290">
        <f t="shared" si="632"/>
        <v>0</v>
      </c>
      <c r="CY100" s="290">
        <f t="shared" si="633"/>
        <v>0</v>
      </c>
      <c r="CZ100" s="290">
        <f t="shared" si="634"/>
        <v>0</v>
      </c>
      <c r="DA100" s="290">
        <f t="shared" si="635"/>
        <v>0</v>
      </c>
      <c r="DB100" s="290">
        <f t="shared" si="636"/>
        <v>0</v>
      </c>
      <c r="DC100" s="291">
        <f t="shared" si="637"/>
        <v>0</v>
      </c>
      <c r="DD100" s="291">
        <f t="shared" si="638"/>
        <v>0</v>
      </c>
      <c r="DE100" s="291">
        <f t="shared" si="639"/>
        <v>0</v>
      </c>
      <c r="DF100" s="292">
        <f t="shared" si="640"/>
        <v>0</v>
      </c>
      <c r="DG100" s="999">
        <v>9</v>
      </c>
      <c r="DH100" s="286">
        <f t="shared" si="863"/>
        <v>43991</v>
      </c>
      <c r="DI100" s="293">
        <f t="shared" si="587"/>
        <v>43991</v>
      </c>
      <c r="DJ100" s="288">
        <f>'दैनिक माहिती'!M80</f>
        <v>0</v>
      </c>
      <c r="DK100" s="289">
        <f>'दैनिक माहिती'!J80</f>
        <v>0</v>
      </c>
      <c r="DL100" s="289">
        <f>'दैनिक माहिती'!K80</f>
        <v>0</v>
      </c>
      <c r="DM100" s="289">
        <f>'दैनिक माहिती'!L80</f>
        <v>0</v>
      </c>
      <c r="DN100" s="290">
        <f t="shared" si="641"/>
        <v>0</v>
      </c>
      <c r="DO100" s="290">
        <f t="shared" si="642"/>
        <v>0</v>
      </c>
      <c r="DP100" s="290">
        <f t="shared" si="643"/>
        <v>0</v>
      </c>
      <c r="DQ100" s="290">
        <f t="shared" si="644"/>
        <v>0</v>
      </c>
      <c r="DR100" s="290">
        <f t="shared" si="645"/>
        <v>0</v>
      </c>
      <c r="DS100" s="290">
        <f t="shared" si="646"/>
        <v>0</v>
      </c>
      <c r="DT100" s="290">
        <f t="shared" si="647"/>
        <v>0</v>
      </c>
      <c r="DU100" s="290">
        <f t="shared" si="648"/>
        <v>0</v>
      </c>
      <c r="DV100" s="290">
        <f t="shared" si="649"/>
        <v>0</v>
      </c>
      <c r="DW100" s="290">
        <f t="shared" si="650"/>
        <v>0</v>
      </c>
      <c r="DX100" s="290">
        <f t="shared" si="651"/>
        <v>0</v>
      </c>
      <c r="DY100" s="290">
        <f t="shared" si="652"/>
        <v>0</v>
      </c>
      <c r="DZ100" s="290">
        <f t="shared" si="653"/>
        <v>0</v>
      </c>
      <c r="EA100" s="290">
        <f t="shared" si="654"/>
        <v>0</v>
      </c>
      <c r="EB100" s="290">
        <f t="shared" si="655"/>
        <v>0</v>
      </c>
      <c r="EC100" s="290">
        <f t="shared" si="656"/>
        <v>0</v>
      </c>
      <c r="ED100" s="290">
        <f t="shared" si="657"/>
        <v>0</v>
      </c>
      <c r="EE100" s="290">
        <f t="shared" si="658"/>
        <v>0</v>
      </c>
      <c r="EF100" s="291">
        <f t="shared" si="659"/>
        <v>0</v>
      </c>
      <c r="EG100" s="291">
        <f t="shared" si="660"/>
        <v>0</v>
      </c>
      <c r="EH100" s="291">
        <f t="shared" si="661"/>
        <v>0</v>
      </c>
      <c r="EI100" s="292">
        <f t="shared" si="662"/>
        <v>0</v>
      </c>
      <c r="EJ100" s="999">
        <v>9</v>
      </c>
      <c r="EK100" s="286">
        <f t="shared" si="864"/>
        <v>44021</v>
      </c>
      <c r="EL100" s="293">
        <f t="shared" si="588"/>
        <v>44021</v>
      </c>
      <c r="EM100" s="288">
        <f>'दैनिक माहिती'!M111</f>
        <v>0</v>
      </c>
      <c r="EN100" s="289">
        <f>'दैनिक माहिती'!J111</f>
        <v>0</v>
      </c>
      <c r="EO100" s="289">
        <f>'दैनिक माहिती'!K111</f>
        <v>0</v>
      </c>
      <c r="EP100" s="289">
        <f>'दैनिक माहिती'!L111</f>
        <v>0</v>
      </c>
      <c r="EQ100" s="290">
        <f t="shared" si="663"/>
        <v>0</v>
      </c>
      <c r="ER100" s="290">
        <f t="shared" si="664"/>
        <v>0</v>
      </c>
      <c r="ES100" s="290">
        <f t="shared" si="665"/>
        <v>0</v>
      </c>
      <c r="ET100" s="290">
        <f t="shared" si="666"/>
        <v>0</v>
      </c>
      <c r="EU100" s="290">
        <f t="shared" si="667"/>
        <v>0</v>
      </c>
      <c r="EV100" s="290">
        <f t="shared" si="668"/>
        <v>0</v>
      </c>
      <c r="EW100" s="290">
        <f t="shared" si="669"/>
        <v>0</v>
      </c>
      <c r="EX100" s="290">
        <f t="shared" si="670"/>
        <v>0</v>
      </c>
      <c r="EY100" s="290">
        <f t="shared" si="671"/>
        <v>0</v>
      </c>
      <c r="EZ100" s="290">
        <f t="shared" si="672"/>
        <v>0</v>
      </c>
      <c r="FA100" s="290">
        <f t="shared" si="673"/>
        <v>0</v>
      </c>
      <c r="FB100" s="290">
        <f t="shared" si="674"/>
        <v>0</v>
      </c>
      <c r="FC100" s="290">
        <f t="shared" si="675"/>
        <v>0</v>
      </c>
      <c r="FD100" s="290">
        <f t="shared" si="676"/>
        <v>0</v>
      </c>
      <c r="FE100" s="290">
        <f t="shared" si="677"/>
        <v>0</v>
      </c>
      <c r="FF100" s="290">
        <f t="shared" si="678"/>
        <v>0</v>
      </c>
      <c r="FG100" s="290">
        <f t="shared" si="679"/>
        <v>0</v>
      </c>
      <c r="FH100" s="290">
        <f t="shared" si="680"/>
        <v>0</v>
      </c>
      <c r="FI100" s="291">
        <f t="shared" si="681"/>
        <v>0</v>
      </c>
      <c r="FJ100" s="291">
        <f t="shared" si="682"/>
        <v>0</v>
      </c>
      <c r="FK100" s="291">
        <f t="shared" si="683"/>
        <v>0</v>
      </c>
      <c r="FL100" s="292">
        <f t="shared" si="684"/>
        <v>0</v>
      </c>
      <c r="FM100" s="999">
        <v>9</v>
      </c>
      <c r="FN100" s="286">
        <f t="shared" si="865"/>
        <v>44052</v>
      </c>
      <c r="FO100" s="293">
        <f t="shared" si="589"/>
        <v>44052</v>
      </c>
      <c r="FP100" s="288">
        <f>'दैनिक माहिती'!M143</f>
        <v>0</v>
      </c>
      <c r="FQ100" s="289">
        <f>'दैनिक माहिती'!J143</f>
        <v>0</v>
      </c>
      <c r="FR100" s="289">
        <f>'दैनिक माहिती'!K143</f>
        <v>0</v>
      </c>
      <c r="FS100" s="289">
        <f>'दैनिक माहिती'!L143</f>
        <v>0</v>
      </c>
      <c r="FT100" s="290">
        <f t="shared" si="685"/>
        <v>0</v>
      </c>
      <c r="FU100" s="290">
        <f t="shared" si="686"/>
        <v>0</v>
      </c>
      <c r="FV100" s="290">
        <f t="shared" si="687"/>
        <v>0</v>
      </c>
      <c r="FW100" s="290">
        <f t="shared" si="688"/>
        <v>0</v>
      </c>
      <c r="FX100" s="290">
        <f t="shared" si="689"/>
        <v>0</v>
      </c>
      <c r="FY100" s="290">
        <f t="shared" si="690"/>
        <v>0</v>
      </c>
      <c r="FZ100" s="290">
        <f t="shared" si="691"/>
        <v>0</v>
      </c>
      <c r="GA100" s="290">
        <f t="shared" si="692"/>
        <v>0</v>
      </c>
      <c r="GB100" s="290">
        <f t="shared" si="693"/>
        <v>0</v>
      </c>
      <c r="GC100" s="290">
        <f t="shared" si="694"/>
        <v>0</v>
      </c>
      <c r="GD100" s="290">
        <f t="shared" si="695"/>
        <v>0</v>
      </c>
      <c r="GE100" s="290">
        <f t="shared" si="696"/>
        <v>0</v>
      </c>
      <c r="GF100" s="290">
        <f t="shared" si="697"/>
        <v>0</v>
      </c>
      <c r="GG100" s="290">
        <f t="shared" si="698"/>
        <v>0</v>
      </c>
      <c r="GH100" s="290">
        <f t="shared" si="699"/>
        <v>0</v>
      </c>
      <c r="GI100" s="290">
        <f t="shared" si="700"/>
        <v>0</v>
      </c>
      <c r="GJ100" s="290">
        <f t="shared" si="701"/>
        <v>0</v>
      </c>
      <c r="GK100" s="290">
        <f t="shared" si="702"/>
        <v>0</v>
      </c>
      <c r="GL100" s="291">
        <f t="shared" si="703"/>
        <v>0</v>
      </c>
      <c r="GM100" s="291">
        <f t="shared" si="704"/>
        <v>0</v>
      </c>
      <c r="GN100" s="291">
        <f t="shared" si="705"/>
        <v>0</v>
      </c>
      <c r="GO100" s="292">
        <f t="shared" si="706"/>
        <v>0</v>
      </c>
      <c r="GP100" s="999">
        <v>9</v>
      </c>
      <c r="GQ100" s="286">
        <f t="shared" si="866"/>
        <v>44083</v>
      </c>
      <c r="GR100" s="293">
        <f t="shared" si="590"/>
        <v>44083</v>
      </c>
      <c r="GS100" s="288">
        <f>'दैनिक माहिती'!M175</f>
        <v>0</v>
      </c>
      <c r="GT100" s="289">
        <f>'दैनिक माहिती'!J175</f>
        <v>0</v>
      </c>
      <c r="GU100" s="289">
        <f>'दैनिक माहिती'!K175</f>
        <v>0</v>
      </c>
      <c r="GV100" s="289">
        <f>'दैनिक माहिती'!L175</f>
        <v>0</v>
      </c>
      <c r="GW100" s="290">
        <f t="shared" si="707"/>
        <v>0</v>
      </c>
      <c r="GX100" s="290">
        <f t="shared" si="708"/>
        <v>0</v>
      </c>
      <c r="GY100" s="290">
        <f t="shared" si="709"/>
        <v>0</v>
      </c>
      <c r="GZ100" s="290">
        <f t="shared" si="710"/>
        <v>0</v>
      </c>
      <c r="HA100" s="290">
        <f t="shared" si="711"/>
        <v>0</v>
      </c>
      <c r="HB100" s="290">
        <f t="shared" si="712"/>
        <v>0</v>
      </c>
      <c r="HC100" s="290">
        <f t="shared" si="713"/>
        <v>0</v>
      </c>
      <c r="HD100" s="290">
        <f t="shared" si="714"/>
        <v>0</v>
      </c>
      <c r="HE100" s="290">
        <f t="shared" si="715"/>
        <v>0</v>
      </c>
      <c r="HF100" s="290">
        <f t="shared" si="716"/>
        <v>0</v>
      </c>
      <c r="HG100" s="290">
        <f t="shared" si="717"/>
        <v>0</v>
      </c>
      <c r="HH100" s="290">
        <f t="shared" si="718"/>
        <v>0</v>
      </c>
      <c r="HI100" s="290">
        <f t="shared" si="719"/>
        <v>0</v>
      </c>
      <c r="HJ100" s="290">
        <f t="shared" si="720"/>
        <v>0</v>
      </c>
      <c r="HK100" s="290">
        <f t="shared" si="721"/>
        <v>0</v>
      </c>
      <c r="HL100" s="290">
        <f t="shared" si="722"/>
        <v>0</v>
      </c>
      <c r="HM100" s="290">
        <f t="shared" si="723"/>
        <v>0</v>
      </c>
      <c r="HN100" s="290">
        <f t="shared" si="724"/>
        <v>0</v>
      </c>
      <c r="HO100" s="291">
        <f t="shared" si="725"/>
        <v>0</v>
      </c>
      <c r="HP100" s="291">
        <f t="shared" si="726"/>
        <v>0</v>
      </c>
      <c r="HQ100" s="291">
        <f t="shared" si="727"/>
        <v>0</v>
      </c>
      <c r="HR100" s="292">
        <f t="shared" si="728"/>
        <v>0</v>
      </c>
      <c r="HS100" s="999">
        <v>9</v>
      </c>
      <c r="HT100" s="286">
        <f t="shared" si="867"/>
        <v>44113</v>
      </c>
      <c r="HU100" s="293">
        <f t="shared" si="591"/>
        <v>44113</v>
      </c>
      <c r="HV100" s="288">
        <f>'दैनिक माहिती'!M206</f>
        <v>0</v>
      </c>
      <c r="HW100" s="289">
        <f>'दैनिक माहिती'!J206</f>
        <v>0</v>
      </c>
      <c r="HX100" s="289">
        <f>'दैनिक माहिती'!K206</f>
        <v>0</v>
      </c>
      <c r="HY100" s="289">
        <f>'दैनिक माहिती'!L206</f>
        <v>0</v>
      </c>
      <c r="HZ100" s="290">
        <f t="shared" si="729"/>
        <v>0</v>
      </c>
      <c r="IA100" s="290">
        <f t="shared" si="730"/>
        <v>0</v>
      </c>
      <c r="IB100" s="290">
        <f t="shared" si="731"/>
        <v>0</v>
      </c>
      <c r="IC100" s="290">
        <f t="shared" si="732"/>
        <v>0</v>
      </c>
      <c r="ID100" s="290">
        <f t="shared" si="733"/>
        <v>0</v>
      </c>
      <c r="IE100" s="290">
        <f t="shared" si="734"/>
        <v>0</v>
      </c>
      <c r="IF100" s="290">
        <f t="shared" si="735"/>
        <v>0</v>
      </c>
      <c r="IG100" s="290">
        <f t="shared" si="736"/>
        <v>0</v>
      </c>
      <c r="IH100" s="290">
        <f t="shared" si="737"/>
        <v>0</v>
      </c>
      <c r="II100" s="290">
        <f t="shared" si="738"/>
        <v>0</v>
      </c>
      <c r="IJ100" s="290">
        <f t="shared" si="739"/>
        <v>0</v>
      </c>
      <c r="IK100" s="290">
        <f t="shared" si="740"/>
        <v>0</v>
      </c>
      <c r="IL100" s="290">
        <f t="shared" si="741"/>
        <v>0</v>
      </c>
      <c r="IM100" s="290">
        <f t="shared" si="742"/>
        <v>0</v>
      </c>
      <c r="IN100" s="290">
        <f t="shared" si="743"/>
        <v>0</v>
      </c>
      <c r="IO100" s="290">
        <f t="shared" si="744"/>
        <v>0</v>
      </c>
      <c r="IP100" s="290">
        <f t="shared" si="745"/>
        <v>0</v>
      </c>
      <c r="IQ100" s="290">
        <f t="shared" si="746"/>
        <v>0</v>
      </c>
      <c r="IR100" s="291">
        <f t="shared" si="747"/>
        <v>0</v>
      </c>
      <c r="IS100" s="291">
        <f t="shared" si="748"/>
        <v>0</v>
      </c>
      <c r="IT100" s="291">
        <f t="shared" si="749"/>
        <v>0</v>
      </c>
      <c r="IU100" s="292">
        <f t="shared" si="750"/>
        <v>0</v>
      </c>
      <c r="IV100" s="999">
        <v>9</v>
      </c>
      <c r="IW100" s="286">
        <f t="shared" si="868"/>
        <v>44144</v>
      </c>
      <c r="IX100" s="293">
        <f t="shared" si="592"/>
        <v>44144</v>
      </c>
      <c r="IY100" s="288">
        <f>'दैनिक माहिती'!M238</f>
        <v>0</v>
      </c>
      <c r="IZ100" s="289">
        <f>'दैनिक माहिती'!J238</f>
        <v>0</v>
      </c>
      <c r="JA100" s="289">
        <f>'दैनिक माहिती'!K238</f>
        <v>0</v>
      </c>
      <c r="JB100" s="289">
        <f>'दैनिक माहिती'!L238</f>
        <v>0</v>
      </c>
      <c r="JC100" s="290">
        <f t="shared" si="751"/>
        <v>0</v>
      </c>
      <c r="JD100" s="290">
        <f t="shared" si="752"/>
        <v>0</v>
      </c>
      <c r="JE100" s="290">
        <f t="shared" si="753"/>
        <v>0</v>
      </c>
      <c r="JF100" s="290">
        <f t="shared" si="754"/>
        <v>0</v>
      </c>
      <c r="JG100" s="290">
        <f t="shared" si="755"/>
        <v>0</v>
      </c>
      <c r="JH100" s="290">
        <f t="shared" si="756"/>
        <v>0</v>
      </c>
      <c r="JI100" s="290">
        <f t="shared" si="757"/>
        <v>0</v>
      </c>
      <c r="JJ100" s="290">
        <f t="shared" si="758"/>
        <v>0</v>
      </c>
      <c r="JK100" s="290">
        <f t="shared" si="759"/>
        <v>0</v>
      </c>
      <c r="JL100" s="290">
        <f t="shared" si="760"/>
        <v>0</v>
      </c>
      <c r="JM100" s="290">
        <f t="shared" si="761"/>
        <v>0</v>
      </c>
      <c r="JN100" s="290">
        <f t="shared" si="762"/>
        <v>0</v>
      </c>
      <c r="JO100" s="290">
        <f t="shared" si="763"/>
        <v>0</v>
      </c>
      <c r="JP100" s="290">
        <f t="shared" si="764"/>
        <v>0</v>
      </c>
      <c r="JQ100" s="290">
        <f t="shared" si="765"/>
        <v>0</v>
      </c>
      <c r="JR100" s="290">
        <f t="shared" si="766"/>
        <v>0</v>
      </c>
      <c r="JS100" s="290">
        <f t="shared" si="767"/>
        <v>0</v>
      </c>
      <c r="JT100" s="290">
        <f t="shared" si="768"/>
        <v>0</v>
      </c>
      <c r="JU100" s="291">
        <f t="shared" si="769"/>
        <v>0</v>
      </c>
      <c r="JV100" s="291">
        <f t="shared" si="770"/>
        <v>0</v>
      </c>
      <c r="JW100" s="291">
        <f t="shared" si="771"/>
        <v>0</v>
      </c>
      <c r="JX100" s="292">
        <f t="shared" si="772"/>
        <v>0</v>
      </c>
      <c r="JY100" s="999">
        <v>9</v>
      </c>
      <c r="JZ100" s="286">
        <f t="shared" si="869"/>
        <v>44174</v>
      </c>
      <c r="KA100" s="293">
        <f t="shared" si="593"/>
        <v>44174</v>
      </c>
      <c r="KB100" s="288">
        <f>'दैनिक माहिती'!M269</f>
        <v>0</v>
      </c>
      <c r="KC100" s="289">
        <f>'दैनिक माहिती'!J269</f>
        <v>0</v>
      </c>
      <c r="KD100" s="289">
        <f>'दैनिक माहिती'!K269</f>
        <v>0</v>
      </c>
      <c r="KE100" s="289">
        <f>'दैनिक माहिती'!L269</f>
        <v>0</v>
      </c>
      <c r="KF100" s="290">
        <f t="shared" si="773"/>
        <v>0</v>
      </c>
      <c r="KG100" s="290">
        <f t="shared" si="774"/>
        <v>0</v>
      </c>
      <c r="KH100" s="290">
        <f t="shared" si="775"/>
        <v>0</v>
      </c>
      <c r="KI100" s="290">
        <f t="shared" si="776"/>
        <v>0</v>
      </c>
      <c r="KJ100" s="290">
        <f t="shared" si="777"/>
        <v>0</v>
      </c>
      <c r="KK100" s="290">
        <f t="shared" si="778"/>
        <v>0</v>
      </c>
      <c r="KL100" s="290">
        <f t="shared" si="779"/>
        <v>0</v>
      </c>
      <c r="KM100" s="290">
        <f t="shared" si="780"/>
        <v>0</v>
      </c>
      <c r="KN100" s="290">
        <f t="shared" si="781"/>
        <v>0</v>
      </c>
      <c r="KO100" s="290">
        <f t="shared" si="782"/>
        <v>0</v>
      </c>
      <c r="KP100" s="290">
        <f t="shared" si="783"/>
        <v>0</v>
      </c>
      <c r="KQ100" s="290">
        <f t="shared" si="784"/>
        <v>0</v>
      </c>
      <c r="KR100" s="290">
        <f t="shared" si="785"/>
        <v>0</v>
      </c>
      <c r="KS100" s="290">
        <f t="shared" si="786"/>
        <v>0</v>
      </c>
      <c r="KT100" s="290">
        <f t="shared" si="787"/>
        <v>0</v>
      </c>
      <c r="KU100" s="290">
        <f t="shared" si="788"/>
        <v>0</v>
      </c>
      <c r="KV100" s="290">
        <f t="shared" si="789"/>
        <v>0</v>
      </c>
      <c r="KW100" s="290">
        <f t="shared" si="790"/>
        <v>0</v>
      </c>
      <c r="KX100" s="291">
        <f t="shared" si="791"/>
        <v>0</v>
      </c>
      <c r="KY100" s="291">
        <f t="shared" si="792"/>
        <v>0</v>
      </c>
      <c r="KZ100" s="291">
        <f t="shared" si="793"/>
        <v>0</v>
      </c>
      <c r="LA100" s="292">
        <f t="shared" si="794"/>
        <v>0</v>
      </c>
      <c r="LB100" s="999">
        <v>9</v>
      </c>
      <c r="LC100" s="286">
        <f t="shared" si="870"/>
        <v>44205</v>
      </c>
      <c r="LD100" s="293">
        <f t="shared" si="594"/>
        <v>44205</v>
      </c>
      <c r="LE100" s="288">
        <f>'दैनिक माहिती'!M301</f>
        <v>0</v>
      </c>
      <c r="LF100" s="289">
        <f>'दैनिक माहिती'!J301</f>
        <v>0</v>
      </c>
      <c r="LG100" s="289">
        <f>'दैनिक माहिती'!K301</f>
        <v>0</v>
      </c>
      <c r="LH100" s="289">
        <f>'दैनिक माहिती'!L301</f>
        <v>0</v>
      </c>
      <c r="LI100" s="290">
        <f t="shared" si="795"/>
        <v>0</v>
      </c>
      <c r="LJ100" s="290">
        <f t="shared" si="796"/>
        <v>0</v>
      </c>
      <c r="LK100" s="290">
        <f t="shared" si="797"/>
        <v>0</v>
      </c>
      <c r="LL100" s="290">
        <f t="shared" si="798"/>
        <v>0</v>
      </c>
      <c r="LM100" s="290">
        <f t="shared" si="799"/>
        <v>0</v>
      </c>
      <c r="LN100" s="290">
        <f t="shared" si="800"/>
        <v>0</v>
      </c>
      <c r="LO100" s="290">
        <f t="shared" si="801"/>
        <v>0</v>
      </c>
      <c r="LP100" s="290">
        <f t="shared" si="802"/>
        <v>0</v>
      </c>
      <c r="LQ100" s="290">
        <f t="shared" si="803"/>
        <v>0</v>
      </c>
      <c r="LR100" s="290">
        <f t="shared" si="804"/>
        <v>0</v>
      </c>
      <c r="LS100" s="290">
        <f t="shared" si="805"/>
        <v>0</v>
      </c>
      <c r="LT100" s="290">
        <f t="shared" si="806"/>
        <v>0</v>
      </c>
      <c r="LU100" s="290">
        <f t="shared" si="807"/>
        <v>0</v>
      </c>
      <c r="LV100" s="290">
        <f t="shared" si="808"/>
        <v>0</v>
      </c>
      <c r="LW100" s="290">
        <f t="shared" si="809"/>
        <v>0</v>
      </c>
      <c r="LX100" s="290">
        <f t="shared" si="810"/>
        <v>0</v>
      </c>
      <c r="LY100" s="290">
        <f t="shared" si="811"/>
        <v>0</v>
      </c>
      <c r="LZ100" s="290">
        <f t="shared" si="812"/>
        <v>0</v>
      </c>
      <c r="MA100" s="291">
        <f t="shared" si="813"/>
        <v>0</v>
      </c>
      <c r="MB100" s="291">
        <f t="shared" si="814"/>
        <v>0</v>
      </c>
      <c r="MC100" s="291">
        <f t="shared" si="815"/>
        <v>0</v>
      </c>
      <c r="MD100" s="292">
        <f t="shared" si="816"/>
        <v>0</v>
      </c>
      <c r="ME100" s="999">
        <v>9</v>
      </c>
      <c r="MF100" s="286">
        <f t="shared" si="871"/>
        <v>44236</v>
      </c>
      <c r="MG100" s="293">
        <f t="shared" si="595"/>
        <v>44236</v>
      </c>
      <c r="MH100" s="288">
        <f>'दैनिक माहिती'!M333</f>
        <v>0</v>
      </c>
      <c r="MI100" s="289">
        <f>'दैनिक माहिती'!J333</f>
        <v>0</v>
      </c>
      <c r="MJ100" s="289">
        <f>'दैनिक माहिती'!K333</f>
        <v>0</v>
      </c>
      <c r="MK100" s="289">
        <f>'दैनिक माहिती'!L333</f>
        <v>0</v>
      </c>
      <c r="ML100" s="290">
        <f t="shared" si="817"/>
        <v>0</v>
      </c>
      <c r="MM100" s="290">
        <f t="shared" si="818"/>
        <v>0</v>
      </c>
      <c r="MN100" s="290">
        <f t="shared" si="819"/>
        <v>0</v>
      </c>
      <c r="MO100" s="290">
        <f t="shared" si="820"/>
        <v>0</v>
      </c>
      <c r="MP100" s="290">
        <f t="shared" si="821"/>
        <v>0</v>
      </c>
      <c r="MQ100" s="290">
        <f t="shared" si="822"/>
        <v>0</v>
      </c>
      <c r="MR100" s="290">
        <f t="shared" si="823"/>
        <v>0</v>
      </c>
      <c r="MS100" s="290">
        <f t="shared" si="824"/>
        <v>0</v>
      </c>
      <c r="MT100" s="290">
        <f t="shared" si="825"/>
        <v>0</v>
      </c>
      <c r="MU100" s="290">
        <f t="shared" si="826"/>
        <v>0</v>
      </c>
      <c r="MV100" s="290">
        <f t="shared" si="827"/>
        <v>0</v>
      </c>
      <c r="MW100" s="290">
        <f t="shared" si="828"/>
        <v>0</v>
      </c>
      <c r="MX100" s="290">
        <f t="shared" si="829"/>
        <v>0</v>
      </c>
      <c r="MY100" s="290">
        <f t="shared" si="830"/>
        <v>0</v>
      </c>
      <c r="MZ100" s="290">
        <f t="shared" si="831"/>
        <v>0</v>
      </c>
      <c r="NA100" s="290">
        <f t="shared" si="832"/>
        <v>0</v>
      </c>
      <c r="NB100" s="290">
        <f t="shared" si="833"/>
        <v>0</v>
      </c>
      <c r="NC100" s="290">
        <f t="shared" si="834"/>
        <v>0</v>
      </c>
      <c r="ND100" s="291">
        <f t="shared" si="835"/>
        <v>0</v>
      </c>
      <c r="NE100" s="291">
        <f t="shared" si="836"/>
        <v>0</v>
      </c>
      <c r="NF100" s="291">
        <f t="shared" si="837"/>
        <v>0</v>
      </c>
      <c r="NG100" s="292">
        <f t="shared" si="838"/>
        <v>0</v>
      </c>
      <c r="NH100" s="999">
        <v>9</v>
      </c>
      <c r="NI100" s="286">
        <f t="shared" si="872"/>
        <v>44264</v>
      </c>
      <c r="NJ100" s="293">
        <f t="shared" si="596"/>
        <v>44264</v>
      </c>
      <c r="NK100" s="288">
        <f>'दैनिक माहिती'!M363</f>
        <v>0</v>
      </c>
      <c r="NL100" s="289">
        <f>'दैनिक माहिती'!J363</f>
        <v>0</v>
      </c>
      <c r="NM100" s="289">
        <f>'दैनिक माहिती'!K363</f>
        <v>0</v>
      </c>
      <c r="NN100" s="289">
        <f>'दैनिक माहिती'!L363</f>
        <v>0</v>
      </c>
      <c r="NO100" s="290">
        <f t="shared" si="839"/>
        <v>0</v>
      </c>
      <c r="NP100" s="290">
        <f t="shared" si="840"/>
        <v>0</v>
      </c>
      <c r="NQ100" s="290">
        <f t="shared" si="841"/>
        <v>0</v>
      </c>
      <c r="NR100" s="290">
        <f t="shared" si="842"/>
        <v>0</v>
      </c>
      <c r="NS100" s="290">
        <f t="shared" si="843"/>
        <v>0</v>
      </c>
      <c r="NT100" s="290">
        <f t="shared" si="844"/>
        <v>0</v>
      </c>
      <c r="NU100" s="290">
        <f t="shared" si="845"/>
        <v>0</v>
      </c>
      <c r="NV100" s="290">
        <f t="shared" si="846"/>
        <v>0</v>
      </c>
      <c r="NW100" s="290">
        <f t="shared" si="847"/>
        <v>0</v>
      </c>
      <c r="NX100" s="290">
        <f t="shared" si="848"/>
        <v>0</v>
      </c>
      <c r="NY100" s="290">
        <f t="shared" si="849"/>
        <v>0</v>
      </c>
      <c r="NZ100" s="290">
        <f t="shared" si="850"/>
        <v>0</v>
      </c>
      <c r="OA100" s="290">
        <f t="shared" si="851"/>
        <v>0</v>
      </c>
      <c r="OB100" s="290">
        <f t="shared" si="852"/>
        <v>0</v>
      </c>
      <c r="OC100" s="290">
        <f t="shared" si="853"/>
        <v>0</v>
      </c>
      <c r="OD100" s="290">
        <f t="shared" si="854"/>
        <v>0</v>
      </c>
      <c r="OE100" s="290">
        <f t="shared" si="855"/>
        <v>0</v>
      </c>
      <c r="OF100" s="290">
        <f t="shared" si="856"/>
        <v>0</v>
      </c>
      <c r="OG100" s="291">
        <f t="shared" si="857"/>
        <v>0</v>
      </c>
      <c r="OH100" s="291">
        <f t="shared" si="858"/>
        <v>0</v>
      </c>
      <c r="OI100" s="291">
        <f t="shared" si="859"/>
        <v>0</v>
      </c>
      <c r="OJ100" s="292">
        <f t="shared" si="860"/>
        <v>0</v>
      </c>
    </row>
    <row r="101" spans="53:400" ht="29.25" customHeight="1" x14ac:dyDescent="0.3">
      <c r="BA101" s="999">
        <v>10</v>
      </c>
      <c r="BB101" s="286">
        <f t="shared" si="861"/>
        <v>43931</v>
      </c>
      <c r="BC101" s="287">
        <f t="shared" si="585"/>
        <v>43931</v>
      </c>
      <c r="BD101" s="288">
        <f>'दैनिक माहिती'!M18</f>
        <v>0</v>
      </c>
      <c r="BE101" s="289">
        <f>'दैनिक माहिती'!J18</f>
        <v>0</v>
      </c>
      <c r="BF101" s="289">
        <f>'दैनिक माहिती'!K18</f>
        <v>0</v>
      </c>
      <c r="BG101" s="289">
        <f>'दैनिक माहिती'!L18</f>
        <v>0</v>
      </c>
      <c r="BH101" s="290">
        <f t="shared" si="597"/>
        <v>0</v>
      </c>
      <c r="BI101" s="290">
        <f t="shared" si="598"/>
        <v>0</v>
      </c>
      <c r="BJ101" s="290">
        <f t="shared" si="599"/>
        <v>0</v>
      </c>
      <c r="BK101" s="290">
        <f t="shared" si="600"/>
        <v>0</v>
      </c>
      <c r="BL101" s="290">
        <f t="shared" si="601"/>
        <v>0</v>
      </c>
      <c r="BM101" s="290">
        <f t="shared" si="602"/>
        <v>0</v>
      </c>
      <c r="BN101" s="290">
        <f t="shared" si="603"/>
        <v>0</v>
      </c>
      <c r="BO101" s="290">
        <f t="shared" si="604"/>
        <v>0</v>
      </c>
      <c r="BP101" s="290">
        <f t="shared" si="605"/>
        <v>0</v>
      </c>
      <c r="BQ101" s="290">
        <f t="shared" si="606"/>
        <v>0</v>
      </c>
      <c r="BR101" s="290">
        <f t="shared" si="607"/>
        <v>0</v>
      </c>
      <c r="BS101" s="290">
        <f t="shared" si="608"/>
        <v>0</v>
      </c>
      <c r="BT101" s="290">
        <f t="shared" si="609"/>
        <v>0</v>
      </c>
      <c r="BU101" s="290">
        <f t="shared" si="610"/>
        <v>0</v>
      </c>
      <c r="BV101" s="290">
        <f t="shared" si="611"/>
        <v>0</v>
      </c>
      <c r="BW101" s="290">
        <f t="shared" si="612"/>
        <v>0</v>
      </c>
      <c r="BX101" s="290">
        <f t="shared" si="613"/>
        <v>0</v>
      </c>
      <c r="BY101" s="290">
        <f t="shared" si="614"/>
        <v>0</v>
      </c>
      <c r="BZ101" s="291">
        <f t="shared" si="615"/>
        <v>0</v>
      </c>
      <c r="CA101" s="291">
        <f t="shared" si="616"/>
        <v>0</v>
      </c>
      <c r="CB101" s="291">
        <f t="shared" si="617"/>
        <v>0</v>
      </c>
      <c r="CC101" s="292">
        <f t="shared" si="618"/>
        <v>0</v>
      </c>
      <c r="CD101" s="999">
        <v>10</v>
      </c>
      <c r="CE101" s="286">
        <f t="shared" si="862"/>
        <v>43961</v>
      </c>
      <c r="CF101" s="287">
        <f t="shared" si="586"/>
        <v>43961</v>
      </c>
      <c r="CG101" s="288">
        <f>'दैनिक माहिती'!M49</f>
        <v>0</v>
      </c>
      <c r="CH101" s="289">
        <f>'दैनिक माहिती'!J49</f>
        <v>0</v>
      </c>
      <c r="CI101" s="289">
        <f>'दैनिक माहिती'!K49</f>
        <v>0</v>
      </c>
      <c r="CJ101" s="289">
        <f>'दैनिक माहिती'!L49</f>
        <v>0</v>
      </c>
      <c r="CK101" s="290">
        <f t="shared" si="619"/>
        <v>0</v>
      </c>
      <c r="CL101" s="290">
        <f t="shared" si="620"/>
        <v>0</v>
      </c>
      <c r="CM101" s="290">
        <f t="shared" si="621"/>
        <v>0</v>
      </c>
      <c r="CN101" s="290">
        <f t="shared" si="622"/>
        <v>0</v>
      </c>
      <c r="CO101" s="290">
        <f t="shared" si="623"/>
        <v>0</v>
      </c>
      <c r="CP101" s="290">
        <f t="shared" si="624"/>
        <v>0</v>
      </c>
      <c r="CQ101" s="290">
        <f t="shared" si="625"/>
        <v>0</v>
      </c>
      <c r="CR101" s="290">
        <f t="shared" si="626"/>
        <v>0</v>
      </c>
      <c r="CS101" s="290">
        <f t="shared" si="627"/>
        <v>0</v>
      </c>
      <c r="CT101" s="290">
        <f t="shared" si="628"/>
        <v>0</v>
      </c>
      <c r="CU101" s="290">
        <f t="shared" si="629"/>
        <v>0</v>
      </c>
      <c r="CV101" s="290">
        <f t="shared" si="630"/>
        <v>0</v>
      </c>
      <c r="CW101" s="290">
        <f t="shared" si="631"/>
        <v>0</v>
      </c>
      <c r="CX101" s="290">
        <f t="shared" si="632"/>
        <v>0</v>
      </c>
      <c r="CY101" s="290">
        <f t="shared" si="633"/>
        <v>0</v>
      </c>
      <c r="CZ101" s="290">
        <f t="shared" si="634"/>
        <v>0</v>
      </c>
      <c r="DA101" s="290">
        <f t="shared" si="635"/>
        <v>0</v>
      </c>
      <c r="DB101" s="290">
        <f t="shared" si="636"/>
        <v>0</v>
      </c>
      <c r="DC101" s="291">
        <f t="shared" si="637"/>
        <v>0</v>
      </c>
      <c r="DD101" s="291">
        <f t="shared" si="638"/>
        <v>0</v>
      </c>
      <c r="DE101" s="291">
        <f t="shared" si="639"/>
        <v>0</v>
      </c>
      <c r="DF101" s="292">
        <f t="shared" si="640"/>
        <v>0</v>
      </c>
      <c r="DG101" s="999">
        <v>10</v>
      </c>
      <c r="DH101" s="286">
        <f t="shared" si="863"/>
        <v>43992</v>
      </c>
      <c r="DI101" s="287">
        <f t="shared" si="587"/>
        <v>43992</v>
      </c>
      <c r="DJ101" s="288">
        <f>'दैनिक माहिती'!M81</f>
        <v>0</v>
      </c>
      <c r="DK101" s="289">
        <f>'दैनिक माहिती'!J81</f>
        <v>0</v>
      </c>
      <c r="DL101" s="289">
        <f>'दैनिक माहिती'!K81</f>
        <v>0</v>
      </c>
      <c r="DM101" s="289">
        <f>'दैनिक माहिती'!L81</f>
        <v>0</v>
      </c>
      <c r="DN101" s="290">
        <f t="shared" si="641"/>
        <v>0</v>
      </c>
      <c r="DO101" s="290">
        <f t="shared" si="642"/>
        <v>0</v>
      </c>
      <c r="DP101" s="290">
        <f t="shared" si="643"/>
        <v>0</v>
      </c>
      <c r="DQ101" s="290">
        <f t="shared" si="644"/>
        <v>0</v>
      </c>
      <c r="DR101" s="290">
        <f t="shared" si="645"/>
        <v>0</v>
      </c>
      <c r="DS101" s="290">
        <f t="shared" si="646"/>
        <v>0</v>
      </c>
      <c r="DT101" s="290">
        <f t="shared" si="647"/>
        <v>0</v>
      </c>
      <c r="DU101" s="290">
        <f t="shared" si="648"/>
        <v>0</v>
      </c>
      <c r="DV101" s="290">
        <f t="shared" si="649"/>
        <v>0</v>
      </c>
      <c r="DW101" s="290">
        <f t="shared" si="650"/>
        <v>0</v>
      </c>
      <c r="DX101" s="290">
        <f t="shared" si="651"/>
        <v>0</v>
      </c>
      <c r="DY101" s="290">
        <f t="shared" si="652"/>
        <v>0</v>
      </c>
      <c r="DZ101" s="290">
        <f t="shared" si="653"/>
        <v>0</v>
      </c>
      <c r="EA101" s="290">
        <f t="shared" si="654"/>
        <v>0</v>
      </c>
      <c r="EB101" s="290">
        <f t="shared" si="655"/>
        <v>0</v>
      </c>
      <c r="EC101" s="290">
        <f t="shared" si="656"/>
        <v>0</v>
      </c>
      <c r="ED101" s="290">
        <f t="shared" si="657"/>
        <v>0</v>
      </c>
      <c r="EE101" s="290">
        <f t="shared" si="658"/>
        <v>0</v>
      </c>
      <c r="EF101" s="291">
        <f t="shared" si="659"/>
        <v>0</v>
      </c>
      <c r="EG101" s="291">
        <f t="shared" si="660"/>
        <v>0</v>
      </c>
      <c r="EH101" s="291">
        <f t="shared" si="661"/>
        <v>0</v>
      </c>
      <c r="EI101" s="292">
        <f t="shared" si="662"/>
        <v>0</v>
      </c>
      <c r="EJ101" s="999">
        <v>10</v>
      </c>
      <c r="EK101" s="286">
        <f t="shared" si="864"/>
        <v>44022</v>
      </c>
      <c r="EL101" s="287">
        <f t="shared" si="588"/>
        <v>44022</v>
      </c>
      <c r="EM101" s="288">
        <f>'दैनिक माहिती'!M112</f>
        <v>0</v>
      </c>
      <c r="EN101" s="289">
        <f>'दैनिक माहिती'!J112</f>
        <v>0</v>
      </c>
      <c r="EO101" s="289">
        <f>'दैनिक माहिती'!K112</f>
        <v>0</v>
      </c>
      <c r="EP101" s="289">
        <f>'दैनिक माहिती'!L112</f>
        <v>0</v>
      </c>
      <c r="EQ101" s="290">
        <f t="shared" si="663"/>
        <v>0</v>
      </c>
      <c r="ER101" s="290">
        <f t="shared" si="664"/>
        <v>0</v>
      </c>
      <c r="ES101" s="290">
        <f t="shared" si="665"/>
        <v>0</v>
      </c>
      <c r="ET101" s="290">
        <f t="shared" si="666"/>
        <v>0</v>
      </c>
      <c r="EU101" s="290">
        <f t="shared" si="667"/>
        <v>0</v>
      </c>
      <c r="EV101" s="290">
        <f t="shared" si="668"/>
        <v>0</v>
      </c>
      <c r="EW101" s="290">
        <f t="shared" si="669"/>
        <v>0</v>
      </c>
      <c r="EX101" s="290">
        <f t="shared" si="670"/>
        <v>0</v>
      </c>
      <c r="EY101" s="290">
        <f t="shared" si="671"/>
        <v>0</v>
      </c>
      <c r="EZ101" s="290">
        <f t="shared" si="672"/>
        <v>0</v>
      </c>
      <c r="FA101" s="290">
        <f t="shared" si="673"/>
        <v>0</v>
      </c>
      <c r="FB101" s="290">
        <f t="shared" si="674"/>
        <v>0</v>
      </c>
      <c r="FC101" s="290">
        <f t="shared" si="675"/>
        <v>0</v>
      </c>
      <c r="FD101" s="290">
        <f t="shared" si="676"/>
        <v>0</v>
      </c>
      <c r="FE101" s="290">
        <f t="shared" si="677"/>
        <v>0</v>
      </c>
      <c r="FF101" s="290">
        <f t="shared" si="678"/>
        <v>0</v>
      </c>
      <c r="FG101" s="290">
        <f t="shared" si="679"/>
        <v>0</v>
      </c>
      <c r="FH101" s="290">
        <f t="shared" si="680"/>
        <v>0</v>
      </c>
      <c r="FI101" s="291">
        <f t="shared" si="681"/>
        <v>0</v>
      </c>
      <c r="FJ101" s="291">
        <f t="shared" si="682"/>
        <v>0</v>
      </c>
      <c r="FK101" s="291">
        <f t="shared" si="683"/>
        <v>0</v>
      </c>
      <c r="FL101" s="292">
        <f t="shared" si="684"/>
        <v>0</v>
      </c>
      <c r="FM101" s="999">
        <v>10</v>
      </c>
      <c r="FN101" s="286">
        <f t="shared" si="865"/>
        <v>44053</v>
      </c>
      <c r="FO101" s="287">
        <f t="shared" si="589"/>
        <v>44053</v>
      </c>
      <c r="FP101" s="288">
        <f>'दैनिक माहिती'!M144</f>
        <v>0</v>
      </c>
      <c r="FQ101" s="289">
        <f>'दैनिक माहिती'!J144</f>
        <v>0</v>
      </c>
      <c r="FR101" s="289">
        <f>'दैनिक माहिती'!K144</f>
        <v>0</v>
      </c>
      <c r="FS101" s="289">
        <f>'दैनिक माहिती'!L144</f>
        <v>0</v>
      </c>
      <c r="FT101" s="290">
        <f t="shared" si="685"/>
        <v>0</v>
      </c>
      <c r="FU101" s="290">
        <f t="shared" si="686"/>
        <v>0</v>
      </c>
      <c r="FV101" s="290">
        <f t="shared" si="687"/>
        <v>0</v>
      </c>
      <c r="FW101" s="290">
        <f t="shared" si="688"/>
        <v>0</v>
      </c>
      <c r="FX101" s="290">
        <f t="shared" si="689"/>
        <v>0</v>
      </c>
      <c r="FY101" s="290">
        <f t="shared" si="690"/>
        <v>0</v>
      </c>
      <c r="FZ101" s="290">
        <f t="shared" si="691"/>
        <v>0</v>
      </c>
      <c r="GA101" s="290">
        <f t="shared" si="692"/>
        <v>0</v>
      </c>
      <c r="GB101" s="290">
        <f t="shared" si="693"/>
        <v>0</v>
      </c>
      <c r="GC101" s="290">
        <f t="shared" si="694"/>
        <v>0</v>
      </c>
      <c r="GD101" s="290">
        <f t="shared" si="695"/>
        <v>0</v>
      </c>
      <c r="GE101" s="290">
        <f t="shared" si="696"/>
        <v>0</v>
      </c>
      <c r="GF101" s="290">
        <f t="shared" si="697"/>
        <v>0</v>
      </c>
      <c r="GG101" s="290">
        <f t="shared" si="698"/>
        <v>0</v>
      </c>
      <c r="GH101" s="290">
        <f t="shared" si="699"/>
        <v>0</v>
      </c>
      <c r="GI101" s="290">
        <f t="shared" si="700"/>
        <v>0</v>
      </c>
      <c r="GJ101" s="290">
        <f t="shared" si="701"/>
        <v>0</v>
      </c>
      <c r="GK101" s="290">
        <f t="shared" si="702"/>
        <v>0</v>
      </c>
      <c r="GL101" s="291">
        <f t="shared" si="703"/>
        <v>0</v>
      </c>
      <c r="GM101" s="291">
        <f t="shared" si="704"/>
        <v>0</v>
      </c>
      <c r="GN101" s="291">
        <f t="shared" si="705"/>
        <v>0</v>
      </c>
      <c r="GO101" s="292">
        <f t="shared" si="706"/>
        <v>0</v>
      </c>
      <c r="GP101" s="999">
        <v>10</v>
      </c>
      <c r="GQ101" s="286">
        <f t="shared" si="866"/>
        <v>44084</v>
      </c>
      <c r="GR101" s="287">
        <f t="shared" si="590"/>
        <v>44084</v>
      </c>
      <c r="GS101" s="288">
        <f>'दैनिक माहिती'!M176</f>
        <v>0</v>
      </c>
      <c r="GT101" s="289">
        <f>'दैनिक माहिती'!J176</f>
        <v>0</v>
      </c>
      <c r="GU101" s="289">
        <f>'दैनिक माहिती'!K176</f>
        <v>0</v>
      </c>
      <c r="GV101" s="289">
        <f>'दैनिक माहिती'!L176</f>
        <v>0</v>
      </c>
      <c r="GW101" s="290">
        <f t="shared" si="707"/>
        <v>0</v>
      </c>
      <c r="GX101" s="290">
        <f t="shared" si="708"/>
        <v>0</v>
      </c>
      <c r="GY101" s="290">
        <f t="shared" si="709"/>
        <v>0</v>
      </c>
      <c r="GZ101" s="290">
        <f t="shared" si="710"/>
        <v>0</v>
      </c>
      <c r="HA101" s="290">
        <f t="shared" si="711"/>
        <v>0</v>
      </c>
      <c r="HB101" s="290">
        <f t="shared" si="712"/>
        <v>0</v>
      </c>
      <c r="HC101" s="290">
        <f t="shared" si="713"/>
        <v>0</v>
      </c>
      <c r="HD101" s="290">
        <f t="shared" si="714"/>
        <v>0</v>
      </c>
      <c r="HE101" s="290">
        <f t="shared" si="715"/>
        <v>0</v>
      </c>
      <c r="HF101" s="290">
        <f t="shared" si="716"/>
        <v>0</v>
      </c>
      <c r="HG101" s="290">
        <f t="shared" si="717"/>
        <v>0</v>
      </c>
      <c r="HH101" s="290">
        <f t="shared" si="718"/>
        <v>0</v>
      </c>
      <c r="HI101" s="290">
        <f t="shared" si="719"/>
        <v>0</v>
      </c>
      <c r="HJ101" s="290">
        <f t="shared" si="720"/>
        <v>0</v>
      </c>
      <c r="HK101" s="290">
        <f t="shared" si="721"/>
        <v>0</v>
      </c>
      <c r="HL101" s="290">
        <f t="shared" si="722"/>
        <v>0</v>
      </c>
      <c r="HM101" s="290">
        <f t="shared" si="723"/>
        <v>0</v>
      </c>
      <c r="HN101" s="290">
        <f t="shared" si="724"/>
        <v>0</v>
      </c>
      <c r="HO101" s="291">
        <f t="shared" si="725"/>
        <v>0</v>
      </c>
      <c r="HP101" s="291">
        <f t="shared" si="726"/>
        <v>0</v>
      </c>
      <c r="HQ101" s="291">
        <f t="shared" si="727"/>
        <v>0</v>
      </c>
      <c r="HR101" s="292">
        <f t="shared" si="728"/>
        <v>0</v>
      </c>
      <c r="HS101" s="999">
        <v>10</v>
      </c>
      <c r="HT101" s="286">
        <f t="shared" si="867"/>
        <v>44114</v>
      </c>
      <c r="HU101" s="287">
        <f t="shared" si="591"/>
        <v>44114</v>
      </c>
      <c r="HV101" s="288">
        <f>'दैनिक माहिती'!M207</f>
        <v>0</v>
      </c>
      <c r="HW101" s="289">
        <f>'दैनिक माहिती'!J207</f>
        <v>0</v>
      </c>
      <c r="HX101" s="289">
        <f>'दैनिक माहिती'!K207</f>
        <v>0</v>
      </c>
      <c r="HY101" s="289">
        <f>'दैनिक माहिती'!L207</f>
        <v>0</v>
      </c>
      <c r="HZ101" s="290">
        <f t="shared" si="729"/>
        <v>0</v>
      </c>
      <c r="IA101" s="290">
        <f t="shared" si="730"/>
        <v>0</v>
      </c>
      <c r="IB101" s="290">
        <f t="shared" si="731"/>
        <v>0</v>
      </c>
      <c r="IC101" s="290">
        <f t="shared" si="732"/>
        <v>0</v>
      </c>
      <c r="ID101" s="290">
        <f t="shared" si="733"/>
        <v>0</v>
      </c>
      <c r="IE101" s="290">
        <f t="shared" si="734"/>
        <v>0</v>
      </c>
      <c r="IF101" s="290">
        <f t="shared" si="735"/>
        <v>0</v>
      </c>
      <c r="IG101" s="290">
        <f t="shared" si="736"/>
        <v>0</v>
      </c>
      <c r="IH101" s="290">
        <f t="shared" si="737"/>
        <v>0</v>
      </c>
      <c r="II101" s="290">
        <f t="shared" si="738"/>
        <v>0</v>
      </c>
      <c r="IJ101" s="290">
        <f t="shared" si="739"/>
        <v>0</v>
      </c>
      <c r="IK101" s="290">
        <f t="shared" si="740"/>
        <v>0</v>
      </c>
      <c r="IL101" s="290">
        <f t="shared" si="741"/>
        <v>0</v>
      </c>
      <c r="IM101" s="290">
        <f t="shared" si="742"/>
        <v>0</v>
      </c>
      <c r="IN101" s="290">
        <f t="shared" si="743"/>
        <v>0</v>
      </c>
      <c r="IO101" s="290">
        <f t="shared" si="744"/>
        <v>0</v>
      </c>
      <c r="IP101" s="290">
        <f t="shared" si="745"/>
        <v>0</v>
      </c>
      <c r="IQ101" s="290">
        <f t="shared" si="746"/>
        <v>0</v>
      </c>
      <c r="IR101" s="291">
        <f t="shared" si="747"/>
        <v>0</v>
      </c>
      <c r="IS101" s="291">
        <f t="shared" si="748"/>
        <v>0</v>
      </c>
      <c r="IT101" s="291">
        <f t="shared" si="749"/>
        <v>0</v>
      </c>
      <c r="IU101" s="292">
        <f t="shared" si="750"/>
        <v>0</v>
      </c>
      <c r="IV101" s="999">
        <v>10</v>
      </c>
      <c r="IW101" s="286">
        <f t="shared" si="868"/>
        <v>44145</v>
      </c>
      <c r="IX101" s="287">
        <f t="shared" si="592"/>
        <v>44145</v>
      </c>
      <c r="IY101" s="288">
        <f>'दैनिक माहिती'!M239</f>
        <v>0</v>
      </c>
      <c r="IZ101" s="289">
        <f>'दैनिक माहिती'!J239</f>
        <v>0</v>
      </c>
      <c r="JA101" s="289">
        <f>'दैनिक माहिती'!K239</f>
        <v>0</v>
      </c>
      <c r="JB101" s="289">
        <f>'दैनिक माहिती'!L239</f>
        <v>0</v>
      </c>
      <c r="JC101" s="290">
        <f t="shared" si="751"/>
        <v>0</v>
      </c>
      <c r="JD101" s="290">
        <f t="shared" si="752"/>
        <v>0</v>
      </c>
      <c r="JE101" s="290">
        <f t="shared" si="753"/>
        <v>0</v>
      </c>
      <c r="JF101" s="290">
        <f t="shared" si="754"/>
        <v>0</v>
      </c>
      <c r="JG101" s="290">
        <f t="shared" si="755"/>
        <v>0</v>
      </c>
      <c r="JH101" s="290">
        <f t="shared" si="756"/>
        <v>0</v>
      </c>
      <c r="JI101" s="290">
        <f t="shared" si="757"/>
        <v>0</v>
      </c>
      <c r="JJ101" s="290">
        <f t="shared" si="758"/>
        <v>0</v>
      </c>
      <c r="JK101" s="290">
        <f t="shared" si="759"/>
        <v>0</v>
      </c>
      <c r="JL101" s="290">
        <f t="shared" si="760"/>
        <v>0</v>
      </c>
      <c r="JM101" s="290">
        <f t="shared" si="761"/>
        <v>0</v>
      </c>
      <c r="JN101" s="290">
        <f t="shared" si="762"/>
        <v>0</v>
      </c>
      <c r="JO101" s="290">
        <f t="shared" si="763"/>
        <v>0</v>
      </c>
      <c r="JP101" s="290">
        <f t="shared" si="764"/>
        <v>0</v>
      </c>
      <c r="JQ101" s="290">
        <f t="shared" si="765"/>
        <v>0</v>
      </c>
      <c r="JR101" s="290">
        <f t="shared" si="766"/>
        <v>0</v>
      </c>
      <c r="JS101" s="290">
        <f t="shared" si="767"/>
        <v>0</v>
      </c>
      <c r="JT101" s="290">
        <f t="shared" si="768"/>
        <v>0</v>
      </c>
      <c r="JU101" s="291">
        <f t="shared" si="769"/>
        <v>0</v>
      </c>
      <c r="JV101" s="291">
        <f t="shared" si="770"/>
        <v>0</v>
      </c>
      <c r="JW101" s="291">
        <f t="shared" si="771"/>
        <v>0</v>
      </c>
      <c r="JX101" s="292">
        <f t="shared" si="772"/>
        <v>0</v>
      </c>
      <c r="JY101" s="999">
        <v>10</v>
      </c>
      <c r="JZ101" s="286">
        <f t="shared" si="869"/>
        <v>44175</v>
      </c>
      <c r="KA101" s="287">
        <f t="shared" si="593"/>
        <v>44175</v>
      </c>
      <c r="KB101" s="288">
        <f>'दैनिक माहिती'!M270</f>
        <v>0</v>
      </c>
      <c r="KC101" s="289">
        <f>'दैनिक माहिती'!J270</f>
        <v>0</v>
      </c>
      <c r="KD101" s="289">
        <f>'दैनिक माहिती'!K270</f>
        <v>0</v>
      </c>
      <c r="KE101" s="289">
        <f>'दैनिक माहिती'!L270</f>
        <v>0</v>
      </c>
      <c r="KF101" s="290">
        <f t="shared" si="773"/>
        <v>0</v>
      </c>
      <c r="KG101" s="290">
        <f t="shared" si="774"/>
        <v>0</v>
      </c>
      <c r="KH101" s="290">
        <f t="shared" si="775"/>
        <v>0</v>
      </c>
      <c r="KI101" s="290">
        <f t="shared" si="776"/>
        <v>0</v>
      </c>
      <c r="KJ101" s="290">
        <f t="shared" si="777"/>
        <v>0</v>
      </c>
      <c r="KK101" s="290">
        <f t="shared" si="778"/>
        <v>0</v>
      </c>
      <c r="KL101" s="290">
        <f t="shared" si="779"/>
        <v>0</v>
      </c>
      <c r="KM101" s="290">
        <f t="shared" si="780"/>
        <v>0</v>
      </c>
      <c r="KN101" s="290">
        <f t="shared" si="781"/>
        <v>0</v>
      </c>
      <c r="KO101" s="290">
        <f t="shared" si="782"/>
        <v>0</v>
      </c>
      <c r="KP101" s="290">
        <f t="shared" si="783"/>
        <v>0</v>
      </c>
      <c r="KQ101" s="290">
        <f t="shared" si="784"/>
        <v>0</v>
      </c>
      <c r="KR101" s="290">
        <f t="shared" si="785"/>
        <v>0</v>
      </c>
      <c r="KS101" s="290">
        <f t="shared" si="786"/>
        <v>0</v>
      </c>
      <c r="KT101" s="290">
        <f t="shared" si="787"/>
        <v>0</v>
      </c>
      <c r="KU101" s="290">
        <f t="shared" si="788"/>
        <v>0</v>
      </c>
      <c r="KV101" s="290">
        <f t="shared" si="789"/>
        <v>0</v>
      </c>
      <c r="KW101" s="290">
        <f t="shared" si="790"/>
        <v>0</v>
      </c>
      <c r="KX101" s="291">
        <f t="shared" si="791"/>
        <v>0</v>
      </c>
      <c r="KY101" s="291">
        <f t="shared" si="792"/>
        <v>0</v>
      </c>
      <c r="KZ101" s="291">
        <f t="shared" si="793"/>
        <v>0</v>
      </c>
      <c r="LA101" s="292">
        <f t="shared" si="794"/>
        <v>0</v>
      </c>
      <c r="LB101" s="999">
        <v>10</v>
      </c>
      <c r="LC101" s="286">
        <f t="shared" si="870"/>
        <v>44206</v>
      </c>
      <c r="LD101" s="287">
        <f t="shared" si="594"/>
        <v>44206</v>
      </c>
      <c r="LE101" s="288">
        <f>'दैनिक माहिती'!M302</f>
        <v>0</v>
      </c>
      <c r="LF101" s="289">
        <f>'दैनिक माहिती'!J302</f>
        <v>0</v>
      </c>
      <c r="LG101" s="289">
        <f>'दैनिक माहिती'!K302</f>
        <v>0</v>
      </c>
      <c r="LH101" s="289">
        <f>'दैनिक माहिती'!L302</f>
        <v>0</v>
      </c>
      <c r="LI101" s="290">
        <f t="shared" si="795"/>
        <v>0</v>
      </c>
      <c r="LJ101" s="290">
        <f t="shared" si="796"/>
        <v>0</v>
      </c>
      <c r="LK101" s="290">
        <f t="shared" si="797"/>
        <v>0</v>
      </c>
      <c r="LL101" s="290">
        <f t="shared" si="798"/>
        <v>0</v>
      </c>
      <c r="LM101" s="290">
        <f t="shared" si="799"/>
        <v>0</v>
      </c>
      <c r="LN101" s="290">
        <f t="shared" si="800"/>
        <v>0</v>
      </c>
      <c r="LO101" s="290">
        <f t="shared" si="801"/>
        <v>0</v>
      </c>
      <c r="LP101" s="290">
        <f t="shared" si="802"/>
        <v>0</v>
      </c>
      <c r="LQ101" s="290">
        <f t="shared" si="803"/>
        <v>0</v>
      </c>
      <c r="LR101" s="290">
        <f t="shared" si="804"/>
        <v>0</v>
      </c>
      <c r="LS101" s="290">
        <f t="shared" si="805"/>
        <v>0</v>
      </c>
      <c r="LT101" s="290">
        <f t="shared" si="806"/>
        <v>0</v>
      </c>
      <c r="LU101" s="290">
        <f t="shared" si="807"/>
        <v>0</v>
      </c>
      <c r="LV101" s="290">
        <f t="shared" si="808"/>
        <v>0</v>
      </c>
      <c r="LW101" s="290">
        <f t="shared" si="809"/>
        <v>0</v>
      </c>
      <c r="LX101" s="290">
        <f t="shared" si="810"/>
        <v>0</v>
      </c>
      <c r="LY101" s="290">
        <f t="shared" si="811"/>
        <v>0</v>
      </c>
      <c r="LZ101" s="290">
        <f t="shared" si="812"/>
        <v>0</v>
      </c>
      <c r="MA101" s="291">
        <f t="shared" si="813"/>
        <v>0</v>
      </c>
      <c r="MB101" s="291">
        <f t="shared" si="814"/>
        <v>0</v>
      </c>
      <c r="MC101" s="291">
        <f t="shared" si="815"/>
        <v>0</v>
      </c>
      <c r="MD101" s="292">
        <f t="shared" si="816"/>
        <v>0</v>
      </c>
      <c r="ME101" s="999">
        <v>10</v>
      </c>
      <c r="MF101" s="286">
        <f t="shared" si="871"/>
        <v>44237</v>
      </c>
      <c r="MG101" s="287">
        <f t="shared" si="595"/>
        <v>44237</v>
      </c>
      <c r="MH101" s="288">
        <f>'दैनिक माहिती'!M334</f>
        <v>0</v>
      </c>
      <c r="MI101" s="289">
        <f>'दैनिक माहिती'!J334</f>
        <v>0</v>
      </c>
      <c r="MJ101" s="289">
        <f>'दैनिक माहिती'!K334</f>
        <v>0</v>
      </c>
      <c r="MK101" s="289">
        <f>'दैनिक माहिती'!L334</f>
        <v>0</v>
      </c>
      <c r="ML101" s="290">
        <f t="shared" si="817"/>
        <v>0</v>
      </c>
      <c r="MM101" s="290">
        <f t="shared" si="818"/>
        <v>0</v>
      </c>
      <c r="MN101" s="290">
        <f t="shared" si="819"/>
        <v>0</v>
      </c>
      <c r="MO101" s="290">
        <f t="shared" si="820"/>
        <v>0</v>
      </c>
      <c r="MP101" s="290">
        <f t="shared" si="821"/>
        <v>0</v>
      </c>
      <c r="MQ101" s="290">
        <f t="shared" si="822"/>
        <v>0</v>
      </c>
      <c r="MR101" s="290">
        <f t="shared" si="823"/>
        <v>0</v>
      </c>
      <c r="MS101" s="290">
        <f t="shared" si="824"/>
        <v>0</v>
      </c>
      <c r="MT101" s="290">
        <f t="shared" si="825"/>
        <v>0</v>
      </c>
      <c r="MU101" s="290">
        <f t="shared" si="826"/>
        <v>0</v>
      </c>
      <c r="MV101" s="290">
        <f t="shared" si="827"/>
        <v>0</v>
      </c>
      <c r="MW101" s="290">
        <f t="shared" si="828"/>
        <v>0</v>
      </c>
      <c r="MX101" s="290">
        <f t="shared" si="829"/>
        <v>0</v>
      </c>
      <c r="MY101" s="290">
        <f t="shared" si="830"/>
        <v>0</v>
      </c>
      <c r="MZ101" s="290">
        <f t="shared" si="831"/>
        <v>0</v>
      </c>
      <c r="NA101" s="290">
        <f t="shared" si="832"/>
        <v>0</v>
      </c>
      <c r="NB101" s="290">
        <f t="shared" si="833"/>
        <v>0</v>
      </c>
      <c r="NC101" s="290">
        <f t="shared" si="834"/>
        <v>0</v>
      </c>
      <c r="ND101" s="291">
        <f t="shared" si="835"/>
        <v>0</v>
      </c>
      <c r="NE101" s="291">
        <f t="shared" si="836"/>
        <v>0</v>
      </c>
      <c r="NF101" s="291">
        <f t="shared" si="837"/>
        <v>0</v>
      </c>
      <c r="NG101" s="292">
        <f t="shared" si="838"/>
        <v>0</v>
      </c>
      <c r="NH101" s="999">
        <v>10</v>
      </c>
      <c r="NI101" s="286">
        <f t="shared" si="872"/>
        <v>44265</v>
      </c>
      <c r="NJ101" s="287">
        <f t="shared" si="596"/>
        <v>44265</v>
      </c>
      <c r="NK101" s="288">
        <f>'दैनिक माहिती'!M364</f>
        <v>0</v>
      </c>
      <c r="NL101" s="289">
        <f>'दैनिक माहिती'!J364</f>
        <v>0</v>
      </c>
      <c r="NM101" s="289">
        <f>'दैनिक माहिती'!K364</f>
        <v>0</v>
      </c>
      <c r="NN101" s="289">
        <f>'दैनिक माहिती'!L364</f>
        <v>0</v>
      </c>
      <c r="NO101" s="290">
        <f t="shared" si="839"/>
        <v>0</v>
      </c>
      <c r="NP101" s="290">
        <f t="shared" si="840"/>
        <v>0</v>
      </c>
      <c r="NQ101" s="290">
        <f t="shared" si="841"/>
        <v>0</v>
      </c>
      <c r="NR101" s="290">
        <f t="shared" si="842"/>
        <v>0</v>
      </c>
      <c r="NS101" s="290">
        <f t="shared" si="843"/>
        <v>0</v>
      </c>
      <c r="NT101" s="290">
        <f t="shared" si="844"/>
        <v>0</v>
      </c>
      <c r="NU101" s="290">
        <f t="shared" si="845"/>
        <v>0</v>
      </c>
      <c r="NV101" s="290">
        <f t="shared" si="846"/>
        <v>0</v>
      </c>
      <c r="NW101" s="290">
        <f t="shared" si="847"/>
        <v>0</v>
      </c>
      <c r="NX101" s="290">
        <f t="shared" si="848"/>
        <v>0</v>
      </c>
      <c r="NY101" s="290">
        <f t="shared" si="849"/>
        <v>0</v>
      </c>
      <c r="NZ101" s="290">
        <f t="shared" si="850"/>
        <v>0</v>
      </c>
      <c r="OA101" s="290">
        <f t="shared" si="851"/>
        <v>0</v>
      </c>
      <c r="OB101" s="290">
        <f t="shared" si="852"/>
        <v>0</v>
      </c>
      <c r="OC101" s="290">
        <f t="shared" si="853"/>
        <v>0</v>
      </c>
      <c r="OD101" s="290">
        <f t="shared" si="854"/>
        <v>0</v>
      </c>
      <c r="OE101" s="290">
        <f t="shared" si="855"/>
        <v>0</v>
      </c>
      <c r="OF101" s="290">
        <f t="shared" si="856"/>
        <v>0</v>
      </c>
      <c r="OG101" s="291">
        <f t="shared" si="857"/>
        <v>0</v>
      </c>
      <c r="OH101" s="291">
        <f t="shared" si="858"/>
        <v>0</v>
      </c>
      <c r="OI101" s="291">
        <f t="shared" si="859"/>
        <v>0</v>
      </c>
      <c r="OJ101" s="292">
        <f t="shared" si="860"/>
        <v>0</v>
      </c>
    </row>
    <row r="102" spans="53:400" ht="29.25" customHeight="1" x14ac:dyDescent="0.3">
      <c r="BA102" s="999">
        <v>11</v>
      </c>
      <c r="BB102" s="286">
        <f t="shared" si="861"/>
        <v>43932</v>
      </c>
      <c r="BC102" s="287">
        <f t="shared" si="585"/>
        <v>43932</v>
      </c>
      <c r="BD102" s="288">
        <f>'दैनिक माहिती'!M19</f>
        <v>0</v>
      </c>
      <c r="BE102" s="289">
        <f>'दैनिक माहिती'!J19</f>
        <v>0</v>
      </c>
      <c r="BF102" s="289">
        <f>'दैनिक माहिती'!K19</f>
        <v>0</v>
      </c>
      <c r="BG102" s="289">
        <f>'दैनिक माहिती'!L19</f>
        <v>0</v>
      </c>
      <c r="BH102" s="290">
        <f t="shared" si="597"/>
        <v>0</v>
      </c>
      <c r="BI102" s="290">
        <f t="shared" si="598"/>
        <v>0</v>
      </c>
      <c r="BJ102" s="290">
        <f t="shared" si="599"/>
        <v>0</v>
      </c>
      <c r="BK102" s="290">
        <f t="shared" si="600"/>
        <v>0</v>
      </c>
      <c r="BL102" s="290">
        <f t="shared" si="601"/>
        <v>0</v>
      </c>
      <c r="BM102" s="290">
        <f t="shared" si="602"/>
        <v>0</v>
      </c>
      <c r="BN102" s="290">
        <f t="shared" si="603"/>
        <v>0</v>
      </c>
      <c r="BO102" s="290">
        <f t="shared" si="604"/>
        <v>0</v>
      </c>
      <c r="BP102" s="290">
        <f t="shared" si="605"/>
        <v>0</v>
      </c>
      <c r="BQ102" s="290">
        <f t="shared" si="606"/>
        <v>0</v>
      </c>
      <c r="BR102" s="290">
        <f t="shared" si="607"/>
        <v>0</v>
      </c>
      <c r="BS102" s="290">
        <f t="shared" si="608"/>
        <v>0</v>
      </c>
      <c r="BT102" s="290">
        <f t="shared" si="609"/>
        <v>0</v>
      </c>
      <c r="BU102" s="290">
        <f t="shared" si="610"/>
        <v>0</v>
      </c>
      <c r="BV102" s="290">
        <f t="shared" si="611"/>
        <v>0</v>
      </c>
      <c r="BW102" s="290">
        <f t="shared" si="612"/>
        <v>0</v>
      </c>
      <c r="BX102" s="290">
        <f t="shared" si="613"/>
        <v>0</v>
      </c>
      <c r="BY102" s="290">
        <f t="shared" si="614"/>
        <v>0</v>
      </c>
      <c r="BZ102" s="291">
        <f t="shared" si="615"/>
        <v>0</v>
      </c>
      <c r="CA102" s="291">
        <f t="shared" si="616"/>
        <v>0</v>
      </c>
      <c r="CB102" s="291">
        <f t="shared" si="617"/>
        <v>0</v>
      </c>
      <c r="CC102" s="292">
        <f t="shared" si="618"/>
        <v>0</v>
      </c>
      <c r="CD102" s="999">
        <v>11</v>
      </c>
      <c r="CE102" s="286">
        <f t="shared" si="862"/>
        <v>43962</v>
      </c>
      <c r="CF102" s="287">
        <f t="shared" si="586"/>
        <v>43962</v>
      </c>
      <c r="CG102" s="288">
        <f>'दैनिक माहिती'!M50</f>
        <v>0</v>
      </c>
      <c r="CH102" s="289">
        <f>'दैनिक माहिती'!J50</f>
        <v>0</v>
      </c>
      <c r="CI102" s="289">
        <f>'दैनिक माहिती'!K50</f>
        <v>0</v>
      </c>
      <c r="CJ102" s="289">
        <f>'दैनिक माहिती'!L50</f>
        <v>0</v>
      </c>
      <c r="CK102" s="290">
        <f t="shared" si="619"/>
        <v>0</v>
      </c>
      <c r="CL102" s="290">
        <f t="shared" si="620"/>
        <v>0</v>
      </c>
      <c r="CM102" s="290">
        <f t="shared" si="621"/>
        <v>0</v>
      </c>
      <c r="CN102" s="290">
        <f t="shared" si="622"/>
        <v>0</v>
      </c>
      <c r="CO102" s="290">
        <f t="shared" si="623"/>
        <v>0</v>
      </c>
      <c r="CP102" s="290">
        <f t="shared" si="624"/>
        <v>0</v>
      </c>
      <c r="CQ102" s="290">
        <f t="shared" si="625"/>
        <v>0</v>
      </c>
      <c r="CR102" s="290">
        <f t="shared" si="626"/>
        <v>0</v>
      </c>
      <c r="CS102" s="290">
        <f t="shared" si="627"/>
        <v>0</v>
      </c>
      <c r="CT102" s="290">
        <f t="shared" si="628"/>
        <v>0</v>
      </c>
      <c r="CU102" s="290">
        <f t="shared" si="629"/>
        <v>0</v>
      </c>
      <c r="CV102" s="290">
        <f t="shared" si="630"/>
        <v>0</v>
      </c>
      <c r="CW102" s="290">
        <f t="shared" si="631"/>
        <v>0</v>
      </c>
      <c r="CX102" s="290">
        <f t="shared" si="632"/>
        <v>0</v>
      </c>
      <c r="CY102" s="290">
        <f t="shared" si="633"/>
        <v>0</v>
      </c>
      <c r="CZ102" s="290">
        <f t="shared" si="634"/>
        <v>0</v>
      </c>
      <c r="DA102" s="290">
        <f t="shared" si="635"/>
        <v>0</v>
      </c>
      <c r="DB102" s="290">
        <f t="shared" si="636"/>
        <v>0</v>
      </c>
      <c r="DC102" s="291">
        <f t="shared" si="637"/>
        <v>0</v>
      </c>
      <c r="DD102" s="291">
        <f t="shared" si="638"/>
        <v>0</v>
      </c>
      <c r="DE102" s="291">
        <f t="shared" si="639"/>
        <v>0</v>
      </c>
      <c r="DF102" s="292">
        <f t="shared" si="640"/>
        <v>0</v>
      </c>
      <c r="DG102" s="999">
        <v>11</v>
      </c>
      <c r="DH102" s="286">
        <f t="shared" si="863"/>
        <v>43993</v>
      </c>
      <c r="DI102" s="287">
        <f t="shared" si="587"/>
        <v>43993</v>
      </c>
      <c r="DJ102" s="288">
        <f>'दैनिक माहिती'!M82</f>
        <v>0</v>
      </c>
      <c r="DK102" s="289">
        <f>'दैनिक माहिती'!J82</f>
        <v>0</v>
      </c>
      <c r="DL102" s="289">
        <f>'दैनिक माहिती'!K82</f>
        <v>0</v>
      </c>
      <c r="DM102" s="289">
        <f>'दैनिक माहिती'!L82</f>
        <v>0</v>
      </c>
      <c r="DN102" s="290">
        <f t="shared" si="641"/>
        <v>0</v>
      </c>
      <c r="DO102" s="290">
        <f t="shared" si="642"/>
        <v>0</v>
      </c>
      <c r="DP102" s="290">
        <f t="shared" si="643"/>
        <v>0</v>
      </c>
      <c r="DQ102" s="290">
        <f t="shared" si="644"/>
        <v>0</v>
      </c>
      <c r="DR102" s="290">
        <f t="shared" si="645"/>
        <v>0</v>
      </c>
      <c r="DS102" s="290">
        <f t="shared" si="646"/>
        <v>0</v>
      </c>
      <c r="DT102" s="290">
        <f t="shared" si="647"/>
        <v>0</v>
      </c>
      <c r="DU102" s="290">
        <f t="shared" si="648"/>
        <v>0</v>
      </c>
      <c r="DV102" s="290">
        <f t="shared" si="649"/>
        <v>0</v>
      </c>
      <c r="DW102" s="290">
        <f t="shared" si="650"/>
        <v>0</v>
      </c>
      <c r="DX102" s="290">
        <f t="shared" si="651"/>
        <v>0</v>
      </c>
      <c r="DY102" s="290">
        <f t="shared" si="652"/>
        <v>0</v>
      </c>
      <c r="DZ102" s="290">
        <f t="shared" si="653"/>
        <v>0</v>
      </c>
      <c r="EA102" s="290">
        <f t="shared" si="654"/>
        <v>0</v>
      </c>
      <c r="EB102" s="290">
        <f t="shared" si="655"/>
        <v>0</v>
      </c>
      <c r="EC102" s="290">
        <f t="shared" si="656"/>
        <v>0</v>
      </c>
      <c r="ED102" s="290">
        <f t="shared" si="657"/>
        <v>0</v>
      </c>
      <c r="EE102" s="290">
        <f t="shared" si="658"/>
        <v>0</v>
      </c>
      <c r="EF102" s="291">
        <f t="shared" si="659"/>
        <v>0</v>
      </c>
      <c r="EG102" s="291">
        <f t="shared" si="660"/>
        <v>0</v>
      </c>
      <c r="EH102" s="291">
        <f t="shared" si="661"/>
        <v>0</v>
      </c>
      <c r="EI102" s="292">
        <f t="shared" si="662"/>
        <v>0</v>
      </c>
      <c r="EJ102" s="999">
        <v>11</v>
      </c>
      <c r="EK102" s="286">
        <f t="shared" si="864"/>
        <v>44023</v>
      </c>
      <c r="EL102" s="287">
        <f t="shared" si="588"/>
        <v>44023</v>
      </c>
      <c r="EM102" s="288">
        <f>'दैनिक माहिती'!M113</f>
        <v>0</v>
      </c>
      <c r="EN102" s="289">
        <f>'दैनिक माहिती'!J113</f>
        <v>0</v>
      </c>
      <c r="EO102" s="289">
        <f>'दैनिक माहिती'!K113</f>
        <v>0</v>
      </c>
      <c r="EP102" s="289">
        <f>'दैनिक माहिती'!L113</f>
        <v>0</v>
      </c>
      <c r="EQ102" s="290">
        <f t="shared" si="663"/>
        <v>0</v>
      </c>
      <c r="ER102" s="290">
        <f t="shared" si="664"/>
        <v>0</v>
      </c>
      <c r="ES102" s="290">
        <f t="shared" si="665"/>
        <v>0</v>
      </c>
      <c r="ET102" s="290">
        <f t="shared" si="666"/>
        <v>0</v>
      </c>
      <c r="EU102" s="290">
        <f t="shared" si="667"/>
        <v>0</v>
      </c>
      <c r="EV102" s="290">
        <f t="shared" si="668"/>
        <v>0</v>
      </c>
      <c r="EW102" s="290">
        <f t="shared" si="669"/>
        <v>0</v>
      </c>
      <c r="EX102" s="290">
        <f t="shared" si="670"/>
        <v>0</v>
      </c>
      <c r="EY102" s="290">
        <f t="shared" si="671"/>
        <v>0</v>
      </c>
      <c r="EZ102" s="290">
        <f t="shared" si="672"/>
        <v>0</v>
      </c>
      <c r="FA102" s="290">
        <f t="shared" si="673"/>
        <v>0</v>
      </c>
      <c r="FB102" s="290">
        <f t="shared" si="674"/>
        <v>0</v>
      </c>
      <c r="FC102" s="290">
        <f t="shared" si="675"/>
        <v>0</v>
      </c>
      <c r="FD102" s="290">
        <f t="shared" si="676"/>
        <v>0</v>
      </c>
      <c r="FE102" s="290">
        <f t="shared" si="677"/>
        <v>0</v>
      </c>
      <c r="FF102" s="290">
        <f t="shared" si="678"/>
        <v>0</v>
      </c>
      <c r="FG102" s="290">
        <f t="shared" si="679"/>
        <v>0</v>
      </c>
      <c r="FH102" s="290">
        <f t="shared" si="680"/>
        <v>0</v>
      </c>
      <c r="FI102" s="291">
        <f t="shared" si="681"/>
        <v>0</v>
      </c>
      <c r="FJ102" s="291">
        <f t="shared" si="682"/>
        <v>0</v>
      </c>
      <c r="FK102" s="291">
        <f t="shared" si="683"/>
        <v>0</v>
      </c>
      <c r="FL102" s="292">
        <f t="shared" si="684"/>
        <v>0</v>
      </c>
      <c r="FM102" s="999">
        <v>11</v>
      </c>
      <c r="FN102" s="286">
        <f t="shared" si="865"/>
        <v>44054</v>
      </c>
      <c r="FO102" s="287">
        <f t="shared" si="589"/>
        <v>44054</v>
      </c>
      <c r="FP102" s="288">
        <f>'दैनिक माहिती'!M145</f>
        <v>0</v>
      </c>
      <c r="FQ102" s="289">
        <f>'दैनिक माहिती'!J145</f>
        <v>0</v>
      </c>
      <c r="FR102" s="289">
        <f>'दैनिक माहिती'!K145</f>
        <v>0</v>
      </c>
      <c r="FS102" s="289">
        <f>'दैनिक माहिती'!L145</f>
        <v>0</v>
      </c>
      <c r="FT102" s="290">
        <f t="shared" si="685"/>
        <v>0</v>
      </c>
      <c r="FU102" s="290">
        <f t="shared" si="686"/>
        <v>0</v>
      </c>
      <c r="FV102" s="290">
        <f t="shared" si="687"/>
        <v>0</v>
      </c>
      <c r="FW102" s="290">
        <f t="shared" si="688"/>
        <v>0</v>
      </c>
      <c r="FX102" s="290">
        <f t="shared" si="689"/>
        <v>0</v>
      </c>
      <c r="FY102" s="290">
        <f t="shared" si="690"/>
        <v>0</v>
      </c>
      <c r="FZ102" s="290">
        <f t="shared" si="691"/>
        <v>0</v>
      </c>
      <c r="GA102" s="290">
        <f t="shared" si="692"/>
        <v>0</v>
      </c>
      <c r="GB102" s="290">
        <f t="shared" si="693"/>
        <v>0</v>
      </c>
      <c r="GC102" s="290">
        <f t="shared" si="694"/>
        <v>0</v>
      </c>
      <c r="GD102" s="290">
        <f t="shared" si="695"/>
        <v>0</v>
      </c>
      <c r="GE102" s="290">
        <f t="shared" si="696"/>
        <v>0</v>
      </c>
      <c r="GF102" s="290">
        <f t="shared" si="697"/>
        <v>0</v>
      </c>
      <c r="GG102" s="290">
        <f t="shared" si="698"/>
        <v>0</v>
      </c>
      <c r="GH102" s="290">
        <f t="shared" si="699"/>
        <v>0</v>
      </c>
      <c r="GI102" s="290">
        <f t="shared" si="700"/>
        <v>0</v>
      </c>
      <c r="GJ102" s="290">
        <f t="shared" si="701"/>
        <v>0</v>
      </c>
      <c r="GK102" s="290">
        <f t="shared" si="702"/>
        <v>0</v>
      </c>
      <c r="GL102" s="291">
        <f t="shared" si="703"/>
        <v>0</v>
      </c>
      <c r="GM102" s="291">
        <f t="shared" si="704"/>
        <v>0</v>
      </c>
      <c r="GN102" s="291">
        <f t="shared" si="705"/>
        <v>0</v>
      </c>
      <c r="GO102" s="292">
        <f t="shared" si="706"/>
        <v>0</v>
      </c>
      <c r="GP102" s="999">
        <v>11</v>
      </c>
      <c r="GQ102" s="286">
        <f t="shared" si="866"/>
        <v>44085</v>
      </c>
      <c r="GR102" s="287">
        <f t="shared" si="590"/>
        <v>44085</v>
      </c>
      <c r="GS102" s="288">
        <f>'दैनिक माहिती'!M177</f>
        <v>0</v>
      </c>
      <c r="GT102" s="289">
        <f>'दैनिक माहिती'!J177</f>
        <v>0</v>
      </c>
      <c r="GU102" s="289">
        <f>'दैनिक माहिती'!K177</f>
        <v>0</v>
      </c>
      <c r="GV102" s="289">
        <f>'दैनिक माहिती'!L177</f>
        <v>0</v>
      </c>
      <c r="GW102" s="290">
        <f t="shared" si="707"/>
        <v>0</v>
      </c>
      <c r="GX102" s="290">
        <f t="shared" si="708"/>
        <v>0</v>
      </c>
      <c r="GY102" s="290">
        <f t="shared" si="709"/>
        <v>0</v>
      </c>
      <c r="GZ102" s="290">
        <f t="shared" si="710"/>
        <v>0</v>
      </c>
      <c r="HA102" s="290">
        <f t="shared" si="711"/>
        <v>0</v>
      </c>
      <c r="HB102" s="290">
        <f t="shared" si="712"/>
        <v>0</v>
      </c>
      <c r="HC102" s="290">
        <f t="shared" si="713"/>
        <v>0</v>
      </c>
      <c r="HD102" s="290">
        <f t="shared" si="714"/>
        <v>0</v>
      </c>
      <c r="HE102" s="290">
        <f t="shared" si="715"/>
        <v>0</v>
      </c>
      <c r="HF102" s="290">
        <f t="shared" si="716"/>
        <v>0</v>
      </c>
      <c r="HG102" s="290">
        <f t="shared" si="717"/>
        <v>0</v>
      </c>
      <c r="HH102" s="290">
        <f t="shared" si="718"/>
        <v>0</v>
      </c>
      <c r="HI102" s="290">
        <f t="shared" si="719"/>
        <v>0</v>
      </c>
      <c r="HJ102" s="290">
        <f t="shared" si="720"/>
        <v>0</v>
      </c>
      <c r="HK102" s="290">
        <f t="shared" si="721"/>
        <v>0</v>
      </c>
      <c r="HL102" s="290">
        <f t="shared" si="722"/>
        <v>0</v>
      </c>
      <c r="HM102" s="290">
        <f t="shared" si="723"/>
        <v>0</v>
      </c>
      <c r="HN102" s="290">
        <f t="shared" si="724"/>
        <v>0</v>
      </c>
      <c r="HO102" s="291">
        <f t="shared" si="725"/>
        <v>0</v>
      </c>
      <c r="HP102" s="291">
        <f t="shared" si="726"/>
        <v>0</v>
      </c>
      <c r="HQ102" s="291">
        <f t="shared" si="727"/>
        <v>0</v>
      </c>
      <c r="HR102" s="292">
        <f t="shared" si="728"/>
        <v>0</v>
      </c>
      <c r="HS102" s="999">
        <v>11</v>
      </c>
      <c r="HT102" s="286">
        <f t="shared" si="867"/>
        <v>44115</v>
      </c>
      <c r="HU102" s="287">
        <f t="shared" si="591"/>
        <v>44115</v>
      </c>
      <c r="HV102" s="288">
        <f>'दैनिक माहिती'!M208</f>
        <v>0</v>
      </c>
      <c r="HW102" s="289">
        <f>'दैनिक माहिती'!J208</f>
        <v>0</v>
      </c>
      <c r="HX102" s="289">
        <f>'दैनिक माहिती'!K208</f>
        <v>0</v>
      </c>
      <c r="HY102" s="289">
        <f>'दैनिक माहिती'!L208</f>
        <v>0</v>
      </c>
      <c r="HZ102" s="290">
        <f t="shared" si="729"/>
        <v>0</v>
      </c>
      <c r="IA102" s="290">
        <f t="shared" si="730"/>
        <v>0</v>
      </c>
      <c r="IB102" s="290">
        <f t="shared" si="731"/>
        <v>0</v>
      </c>
      <c r="IC102" s="290">
        <f t="shared" si="732"/>
        <v>0</v>
      </c>
      <c r="ID102" s="290">
        <f t="shared" si="733"/>
        <v>0</v>
      </c>
      <c r="IE102" s="290">
        <f t="shared" si="734"/>
        <v>0</v>
      </c>
      <c r="IF102" s="290">
        <f t="shared" si="735"/>
        <v>0</v>
      </c>
      <c r="IG102" s="290">
        <f t="shared" si="736"/>
        <v>0</v>
      </c>
      <c r="IH102" s="290">
        <f t="shared" si="737"/>
        <v>0</v>
      </c>
      <c r="II102" s="290">
        <f t="shared" si="738"/>
        <v>0</v>
      </c>
      <c r="IJ102" s="290">
        <f t="shared" si="739"/>
        <v>0</v>
      </c>
      <c r="IK102" s="290">
        <f t="shared" si="740"/>
        <v>0</v>
      </c>
      <c r="IL102" s="290">
        <f t="shared" si="741"/>
        <v>0</v>
      </c>
      <c r="IM102" s="290">
        <f t="shared" si="742"/>
        <v>0</v>
      </c>
      <c r="IN102" s="290">
        <f t="shared" si="743"/>
        <v>0</v>
      </c>
      <c r="IO102" s="290">
        <f t="shared" si="744"/>
        <v>0</v>
      </c>
      <c r="IP102" s="290">
        <f t="shared" si="745"/>
        <v>0</v>
      </c>
      <c r="IQ102" s="290">
        <f t="shared" si="746"/>
        <v>0</v>
      </c>
      <c r="IR102" s="291">
        <f t="shared" si="747"/>
        <v>0</v>
      </c>
      <c r="IS102" s="291">
        <f t="shared" si="748"/>
        <v>0</v>
      </c>
      <c r="IT102" s="291">
        <f t="shared" si="749"/>
        <v>0</v>
      </c>
      <c r="IU102" s="292">
        <f t="shared" si="750"/>
        <v>0</v>
      </c>
      <c r="IV102" s="999">
        <v>11</v>
      </c>
      <c r="IW102" s="286">
        <f t="shared" si="868"/>
        <v>44146</v>
      </c>
      <c r="IX102" s="287">
        <f t="shared" si="592"/>
        <v>44146</v>
      </c>
      <c r="IY102" s="288">
        <f>'दैनिक माहिती'!M240</f>
        <v>0</v>
      </c>
      <c r="IZ102" s="289">
        <f>'दैनिक माहिती'!J240</f>
        <v>0</v>
      </c>
      <c r="JA102" s="289">
        <f>'दैनिक माहिती'!K240</f>
        <v>0</v>
      </c>
      <c r="JB102" s="289">
        <f>'दैनिक माहिती'!L240</f>
        <v>0</v>
      </c>
      <c r="JC102" s="290">
        <f t="shared" si="751"/>
        <v>0</v>
      </c>
      <c r="JD102" s="290">
        <f t="shared" si="752"/>
        <v>0</v>
      </c>
      <c r="JE102" s="290">
        <f t="shared" si="753"/>
        <v>0</v>
      </c>
      <c r="JF102" s="290">
        <f t="shared" si="754"/>
        <v>0</v>
      </c>
      <c r="JG102" s="290">
        <f t="shared" si="755"/>
        <v>0</v>
      </c>
      <c r="JH102" s="290">
        <f t="shared" si="756"/>
        <v>0</v>
      </c>
      <c r="JI102" s="290">
        <f t="shared" si="757"/>
        <v>0</v>
      </c>
      <c r="JJ102" s="290">
        <f t="shared" si="758"/>
        <v>0</v>
      </c>
      <c r="JK102" s="290">
        <f t="shared" si="759"/>
        <v>0</v>
      </c>
      <c r="JL102" s="290">
        <f t="shared" si="760"/>
        <v>0</v>
      </c>
      <c r="JM102" s="290">
        <f t="shared" si="761"/>
        <v>0</v>
      </c>
      <c r="JN102" s="290">
        <f t="shared" si="762"/>
        <v>0</v>
      </c>
      <c r="JO102" s="290">
        <f t="shared" si="763"/>
        <v>0</v>
      </c>
      <c r="JP102" s="290">
        <f t="shared" si="764"/>
        <v>0</v>
      </c>
      <c r="JQ102" s="290">
        <f t="shared" si="765"/>
        <v>0</v>
      </c>
      <c r="JR102" s="290">
        <f t="shared" si="766"/>
        <v>0</v>
      </c>
      <c r="JS102" s="290">
        <f t="shared" si="767"/>
        <v>0</v>
      </c>
      <c r="JT102" s="290">
        <f t="shared" si="768"/>
        <v>0</v>
      </c>
      <c r="JU102" s="291">
        <f t="shared" si="769"/>
        <v>0</v>
      </c>
      <c r="JV102" s="291">
        <f t="shared" si="770"/>
        <v>0</v>
      </c>
      <c r="JW102" s="291">
        <f t="shared" si="771"/>
        <v>0</v>
      </c>
      <c r="JX102" s="292">
        <f t="shared" si="772"/>
        <v>0</v>
      </c>
      <c r="JY102" s="999">
        <v>11</v>
      </c>
      <c r="JZ102" s="286">
        <f t="shared" si="869"/>
        <v>44176</v>
      </c>
      <c r="KA102" s="287">
        <f t="shared" si="593"/>
        <v>44176</v>
      </c>
      <c r="KB102" s="288">
        <f>'दैनिक माहिती'!M271</f>
        <v>0</v>
      </c>
      <c r="KC102" s="289">
        <f>'दैनिक माहिती'!J271</f>
        <v>0</v>
      </c>
      <c r="KD102" s="289">
        <f>'दैनिक माहिती'!K271</f>
        <v>0</v>
      </c>
      <c r="KE102" s="289">
        <f>'दैनिक माहिती'!L271</f>
        <v>0</v>
      </c>
      <c r="KF102" s="290">
        <f t="shared" si="773"/>
        <v>0</v>
      </c>
      <c r="KG102" s="290">
        <f t="shared" si="774"/>
        <v>0</v>
      </c>
      <c r="KH102" s="290">
        <f t="shared" si="775"/>
        <v>0</v>
      </c>
      <c r="KI102" s="290">
        <f t="shared" si="776"/>
        <v>0</v>
      </c>
      <c r="KJ102" s="290">
        <f t="shared" si="777"/>
        <v>0</v>
      </c>
      <c r="KK102" s="290">
        <f t="shared" si="778"/>
        <v>0</v>
      </c>
      <c r="KL102" s="290">
        <f t="shared" si="779"/>
        <v>0</v>
      </c>
      <c r="KM102" s="290">
        <f t="shared" si="780"/>
        <v>0</v>
      </c>
      <c r="KN102" s="290">
        <f t="shared" si="781"/>
        <v>0</v>
      </c>
      <c r="KO102" s="290">
        <f t="shared" si="782"/>
        <v>0</v>
      </c>
      <c r="KP102" s="290">
        <f t="shared" si="783"/>
        <v>0</v>
      </c>
      <c r="KQ102" s="290">
        <f t="shared" si="784"/>
        <v>0</v>
      </c>
      <c r="KR102" s="290">
        <f t="shared" si="785"/>
        <v>0</v>
      </c>
      <c r="KS102" s="290">
        <f t="shared" si="786"/>
        <v>0</v>
      </c>
      <c r="KT102" s="290">
        <f t="shared" si="787"/>
        <v>0</v>
      </c>
      <c r="KU102" s="290">
        <f t="shared" si="788"/>
        <v>0</v>
      </c>
      <c r="KV102" s="290">
        <f t="shared" si="789"/>
        <v>0</v>
      </c>
      <c r="KW102" s="290">
        <f t="shared" si="790"/>
        <v>0</v>
      </c>
      <c r="KX102" s="291">
        <f t="shared" si="791"/>
        <v>0</v>
      </c>
      <c r="KY102" s="291">
        <f t="shared" si="792"/>
        <v>0</v>
      </c>
      <c r="KZ102" s="291">
        <f t="shared" si="793"/>
        <v>0</v>
      </c>
      <c r="LA102" s="292">
        <f t="shared" si="794"/>
        <v>0</v>
      </c>
      <c r="LB102" s="999">
        <v>11</v>
      </c>
      <c r="LC102" s="286">
        <f t="shared" si="870"/>
        <v>44207</v>
      </c>
      <c r="LD102" s="287">
        <f t="shared" si="594"/>
        <v>44207</v>
      </c>
      <c r="LE102" s="288">
        <f>'दैनिक माहिती'!M303</f>
        <v>0</v>
      </c>
      <c r="LF102" s="289">
        <f>'दैनिक माहिती'!J303</f>
        <v>0</v>
      </c>
      <c r="LG102" s="289">
        <f>'दैनिक माहिती'!K303</f>
        <v>0</v>
      </c>
      <c r="LH102" s="289">
        <f>'दैनिक माहिती'!L303</f>
        <v>0</v>
      </c>
      <c r="LI102" s="290">
        <f t="shared" si="795"/>
        <v>0</v>
      </c>
      <c r="LJ102" s="290">
        <f t="shared" si="796"/>
        <v>0</v>
      </c>
      <c r="LK102" s="290">
        <f t="shared" si="797"/>
        <v>0</v>
      </c>
      <c r="LL102" s="290">
        <f t="shared" si="798"/>
        <v>0</v>
      </c>
      <c r="LM102" s="290">
        <f t="shared" si="799"/>
        <v>0</v>
      </c>
      <c r="LN102" s="290">
        <f t="shared" si="800"/>
        <v>0</v>
      </c>
      <c r="LO102" s="290">
        <f t="shared" si="801"/>
        <v>0</v>
      </c>
      <c r="LP102" s="290">
        <f t="shared" si="802"/>
        <v>0</v>
      </c>
      <c r="LQ102" s="290">
        <f t="shared" si="803"/>
        <v>0</v>
      </c>
      <c r="LR102" s="290">
        <f t="shared" si="804"/>
        <v>0</v>
      </c>
      <c r="LS102" s="290">
        <f t="shared" si="805"/>
        <v>0</v>
      </c>
      <c r="LT102" s="290">
        <f t="shared" si="806"/>
        <v>0</v>
      </c>
      <c r="LU102" s="290">
        <f t="shared" si="807"/>
        <v>0</v>
      </c>
      <c r="LV102" s="290">
        <f t="shared" si="808"/>
        <v>0</v>
      </c>
      <c r="LW102" s="290">
        <f t="shared" si="809"/>
        <v>0</v>
      </c>
      <c r="LX102" s="290">
        <f t="shared" si="810"/>
        <v>0</v>
      </c>
      <c r="LY102" s="290">
        <f t="shared" si="811"/>
        <v>0</v>
      </c>
      <c r="LZ102" s="290">
        <f t="shared" si="812"/>
        <v>0</v>
      </c>
      <c r="MA102" s="291">
        <f t="shared" si="813"/>
        <v>0</v>
      </c>
      <c r="MB102" s="291">
        <f t="shared" si="814"/>
        <v>0</v>
      </c>
      <c r="MC102" s="291">
        <f t="shared" si="815"/>
        <v>0</v>
      </c>
      <c r="MD102" s="292">
        <f t="shared" si="816"/>
        <v>0</v>
      </c>
      <c r="ME102" s="999">
        <v>11</v>
      </c>
      <c r="MF102" s="286">
        <f t="shared" si="871"/>
        <v>44238</v>
      </c>
      <c r="MG102" s="287">
        <f t="shared" si="595"/>
        <v>44238</v>
      </c>
      <c r="MH102" s="288">
        <f>'दैनिक माहिती'!M335</f>
        <v>0</v>
      </c>
      <c r="MI102" s="289">
        <f>'दैनिक माहिती'!J335</f>
        <v>0</v>
      </c>
      <c r="MJ102" s="289">
        <f>'दैनिक माहिती'!K335</f>
        <v>0</v>
      </c>
      <c r="MK102" s="289">
        <f>'दैनिक माहिती'!L335</f>
        <v>0</v>
      </c>
      <c r="ML102" s="290">
        <f t="shared" si="817"/>
        <v>0</v>
      </c>
      <c r="MM102" s="290">
        <f t="shared" si="818"/>
        <v>0</v>
      </c>
      <c r="MN102" s="290">
        <f t="shared" si="819"/>
        <v>0</v>
      </c>
      <c r="MO102" s="290">
        <f t="shared" si="820"/>
        <v>0</v>
      </c>
      <c r="MP102" s="290">
        <f t="shared" si="821"/>
        <v>0</v>
      </c>
      <c r="MQ102" s="290">
        <f t="shared" si="822"/>
        <v>0</v>
      </c>
      <c r="MR102" s="290">
        <f t="shared" si="823"/>
        <v>0</v>
      </c>
      <c r="MS102" s="290">
        <f t="shared" si="824"/>
        <v>0</v>
      </c>
      <c r="MT102" s="290">
        <f t="shared" si="825"/>
        <v>0</v>
      </c>
      <c r="MU102" s="290">
        <f t="shared" si="826"/>
        <v>0</v>
      </c>
      <c r="MV102" s="290">
        <f t="shared" si="827"/>
        <v>0</v>
      </c>
      <c r="MW102" s="290">
        <f t="shared" si="828"/>
        <v>0</v>
      </c>
      <c r="MX102" s="290">
        <f t="shared" si="829"/>
        <v>0</v>
      </c>
      <c r="MY102" s="290">
        <f t="shared" si="830"/>
        <v>0</v>
      </c>
      <c r="MZ102" s="290">
        <f t="shared" si="831"/>
        <v>0</v>
      </c>
      <c r="NA102" s="290">
        <f t="shared" si="832"/>
        <v>0</v>
      </c>
      <c r="NB102" s="290">
        <f t="shared" si="833"/>
        <v>0</v>
      </c>
      <c r="NC102" s="290">
        <f t="shared" si="834"/>
        <v>0</v>
      </c>
      <c r="ND102" s="291">
        <f t="shared" si="835"/>
        <v>0</v>
      </c>
      <c r="NE102" s="291">
        <f t="shared" si="836"/>
        <v>0</v>
      </c>
      <c r="NF102" s="291">
        <f t="shared" si="837"/>
        <v>0</v>
      </c>
      <c r="NG102" s="292">
        <f t="shared" si="838"/>
        <v>0</v>
      </c>
      <c r="NH102" s="999">
        <v>11</v>
      </c>
      <c r="NI102" s="286">
        <f t="shared" si="872"/>
        <v>44266</v>
      </c>
      <c r="NJ102" s="287">
        <f t="shared" si="596"/>
        <v>44266</v>
      </c>
      <c r="NK102" s="288">
        <f>'दैनिक माहिती'!M365</f>
        <v>0</v>
      </c>
      <c r="NL102" s="289">
        <f>'दैनिक माहिती'!J365</f>
        <v>0</v>
      </c>
      <c r="NM102" s="289">
        <f>'दैनिक माहिती'!K365</f>
        <v>0</v>
      </c>
      <c r="NN102" s="289">
        <f>'दैनिक माहिती'!L365</f>
        <v>0</v>
      </c>
      <c r="NO102" s="290">
        <f t="shared" si="839"/>
        <v>0</v>
      </c>
      <c r="NP102" s="290">
        <f t="shared" si="840"/>
        <v>0</v>
      </c>
      <c r="NQ102" s="290">
        <f t="shared" si="841"/>
        <v>0</v>
      </c>
      <c r="NR102" s="290">
        <f t="shared" si="842"/>
        <v>0</v>
      </c>
      <c r="NS102" s="290">
        <f t="shared" si="843"/>
        <v>0</v>
      </c>
      <c r="NT102" s="290">
        <f t="shared" si="844"/>
        <v>0</v>
      </c>
      <c r="NU102" s="290">
        <f t="shared" si="845"/>
        <v>0</v>
      </c>
      <c r="NV102" s="290">
        <f t="shared" si="846"/>
        <v>0</v>
      </c>
      <c r="NW102" s="290">
        <f t="shared" si="847"/>
        <v>0</v>
      </c>
      <c r="NX102" s="290">
        <f t="shared" si="848"/>
        <v>0</v>
      </c>
      <c r="NY102" s="290">
        <f t="shared" si="849"/>
        <v>0</v>
      </c>
      <c r="NZ102" s="290">
        <f t="shared" si="850"/>
        <v>0</v>
      </c>
      <c r="OA102" s="290">
        <f t="shared" si="851"/>
        <v>0</v>
      </c>
      <c r="OB102" s="290">
        <f t="shared" si="852"/>
        <v>0</v>
      </c>
      <c r="OC102" s="290">
        <f t="shared" si="853"/>
        <v>0</v>
      </c>
      <c r="OD102" s="290">
        <f t="shared" si="854"/>
        <v>0</v>
      </c>
      <c r="OE102" s="290">
        <f t="shared" si="855"/>
        <v>0</v>
      </c>
      <c r="OF102" s="290">
        <f t="shared" si="856"/>
        <v>0</v>
      </c>
      <c r="OG102" s="291">
        <f t="shared" si="857"/>
        <v>0</v>
      </c>
      <c r="OH102" s="291">
        <f t="shared" si="858"/>
        <v>0</v>
      </c>
      <c r="OI102" s="291">
        <f t="shared" si="859"/>
        <v>0</v>
      </c>
      <c r="OJ102" s="292">
        <f t="shared" si="860"/>
        <v>0</v>
      </c>
    </row>
    <row r="103" spans="53:400" ht="29.25" customHeight="1" x14ac:dyDescent="0.3">
      <c r="BA103" s="999">
        <v>12</v>
      </c>
      <c r="BB103" s="286">
        <f t="shared" si="861"/>
        <v>43933</v>
      </c>
      <c r="BC103" s="293">
        <f t="shared" si="585"/>
        <v>43933</v>
      </c>
      <c r="BD103" s="288">
        <f>'दैनिक माहिती'!M20</f>
        <v>0</v>
      </c>
      <c r="BE103" s="289">
        <f>'दैनिक माहिती'!J20</f>
        <v>0</v>
      </c>
      <c r="BF103" s="289">
        <f>'दैनिक माहिती'!K20</f>
        <v>0</v>
      </c>
      <c r="BG103" s="289">
        <f>'दैनिक माहिती'!L20</f>
        <v>0</v>
      </c>
      <c r="BH103" s="290">
        <f t="shared" si="597"/>
        <v>0</v>
      </c>
      <c r="BI103" s="290">
        <f t="shared" si="598"/>
        <v>0</v>
      </c>
      <c r="BJ103" s="290">
        <f t="shared" si="599"/>
        <v>0</v>
      </c>
      <c r="BK103" s="290">
        <f t="shared" si="600"/>
        <v>0</v>
      </c>
      <c r="BL103" s="290">
        <f t="shared" si="601"/>
        <v>0</v>
      </c>
      <c r="BM103" s="290">
        <f t="shared" si="602"/>
        <v>0</v>
      </c>
      <c r="BN103" s="290">
        <f t="shared" si="603"/>
        <v>0</v>
      </c>
      <c r="BO103" s="290">
        <f t="shared" si="604"/>
        <v>0</v>
      </c>
      <c r="BP103" s="290">
        <f t="shared" si="605"/>
        <v>0</v>
      </c>
      <c r="BQ103" s="290">
        <f t="shared" si="606"/>
        <v>0</v>
      </c>
      <c r="BR103" s="290">
        <f t="shared" si="607"/>
        <v>0</v>
      </c>
      <c r="BS103" s="290">
        <f t="shared" si="608"/>
        <v>0</v>
      </c>
      <c r="BT103" s="290">
        <f t="shared" si="609"/>
        <v>0</v>
      </c>
      <c r="BU103" s="290">
        <f t="shared" si="610"/>
        <v>0</v>
      </c>
      <c r="BV103" s="290">
        <f t="shared" si="611"/>
        <v>0</v>
      </c>
      <c r="BW103" s="290">
        <f t="shared" si="612"/>
        <v>0</v>
      </c>
      <c r="BX103" s="290">
        <f t="shared" si="613"/>
        <v>0</v>
      </c>
      <c r="BY103" s="290">
        <f t="shared" si="614"/>
        <v>0</v>
      </c>
      <c r="BZ103" s="291">
        <f t="shared" si="615"/>
        <v>0</v>
      </c>
      <c r="CA103" s="291">
        <f t="shared" si="616"/>
        <v>0</v>
      </c>
      <c r="CB103" s="291">
        <f t="shared" si="617"/>
        <v>0</v>
      </c>
      <c r="CC103" s="292">
        <f t="shared" si="618"/>
        <v>0</v>
      </c>
      <c r="CD103" s="999">
        <v>12</v>
      </c>
      <c r="CE103" s="286">
        <f t="shared" si="862"/>
        <v>43963</v>
      </c>
      <c r="CF103" s="293">
        <f t="shared" si="586"/>
        <v>43963</v>
      </c>
      <c r="CG103" s="288">
        <f>'दैनिक माहिती'!M51</f>
        <v>0</v>
      </c>
      <c r="CH103" s="289">
        <f>'दैनिक माहिती'!J51</f>
        <v>0</v>
      </c>
      <c r="CI103" s="289">
        <f>'दैनिक माहिती'!K51</f>
        <v>0</v>
      </c>
      <c r="CJ103" s="289">
        <f>'दैनिक माहिती'!L51</f>
        <v>0</v>
      </c>
      <c r="CK103" s="290">
        <f t="shared" si="619"/>
        <v>0</v>
      </c>
      <c r="CL103" s="290">
        <f t="shared" si="620"/>
        <v>0</v>
      </c>
      <c r="CM103" s="290">
        <f t="shared" si="621"/>
        <v>0</v>
      </c>
      <c r="CN103" s="290">
        <f t="shared" si="622"/>
        <v>0</v>
      </c>
      <c r="CO103" s="290">
        <f t="shared" si="623"/>
        <v>0</v>
      </c>
      <c r="CP103" s="290">
        <f t="shared" si="624"/>
        <v>0</v>
      </c>
      <c r="CQ103" s="290">
        <f t="shared" si="625"/>
        <v>0</v>
      </c>
      <c r="CR103" s="290">
        <f t="shared" si="626"/>
        <v>0</v>
      </c>
      <c r="CS103" s="290">
        <f t="shared" si="627"/>
        <v>0</v>
      </c>
      <c r="CT103" s="290">
        <f t="shared" si="628"/>
        <v>0</v>
      </c>
      <c r="CU103" s="290">
        <f t="shared" si="629"/>
        <v>0</v>
      </c>
      <c r="CV103" s="290">
        <f t="shared" si="630"/>
        <v>0</v>
      </c>
      <c r="CW103" s="290">
        <f t="shared" si="631"/>
        <v>0</v>
      </c>
      <c r="CX103" s="290">
        <f t="shared" si="632"/>
        <v>0</v>
      </c>
      <c r="CY103" s="290">
        <f t="shared" si="633"/>
        <v>0</v>
      </c>
      <c r="CZ103" s="290">
        <f t="shared" si="634"/>
        <v>0</v>
      </c>
      <c r="DA103" s="290">
        <f t="shared" si="635"/>
        <v>0</v>
      </c>
      <c r="DB103" s="290">
        <f t="shared" si="636"/>
        <v>0</v>
      </c>
      <c r="DC103" s="291">
        <f t="shared" si="637"/>
        <v>0</v>
      </c>
      <c r="DD103" s="291">
        <f t="shared" si="638"/>
        <v>0</v>
      </c>
      <c r="DE103" s="291">
        <f t="shared" si="639"/>
        <v>0</v>
      </c>
      <c r="DF103" s="292">
        <f t="shared" si="640"/>
        <v>0</v>
      </c>
      <c r="DG103" s="999">
        <v>12</v>
      </c>
      <c r="DH103" s="286">
        <f t="shared" si="863"/>
        <v>43994</v>
      </c>
      <c r="DI103" s="293">
        <f t="shared" si="587"/>
        <v>43994</v>
      </c>
      <c r="DJ103" s="288">
        <f>'दैनिक माहिती'!M83</f>
        <v>0</v>
      </c>
      <c r="DK103" s="289">
        <f>'दैनिक माहिती'!J83</f>
        <v>0</v>
      </c>
      <c r="DL103" s="289">
        <f>'दैनिक माहिती'!K83</f>
        <v>0</v>
      </c>
      <c r="DM103" s="289">
        <f>'दैनिक माहिती'!L83</f>
        <v>0</v>
      </c>
      <c r="DN103" s="290">
        <f t="shared" si="641"/>
        <v>0</v>
      </c>
      <c r="DO103" s="290">
        <f t="shared" si="642"/>
        <v>0</v>
      </c>
      <c r="DP103" s="290">
        <f t="shared" si="643"/>
        <v>0</v>
      </c>
      <c r="DQ103" s="290">
        <f t="shared" si="644"/>
        <v>0</v>
      </c>
      <c r="DR103" s="290">
        <f t="shared" si="645"/>
        <v>0</v>
      </c>
      <c r="DS103" s="290">
        <f t="shared" si="646"/>
        <v>0</v>
      </c>
      <c r="DT103" s="290">
        <f t="shared" si="647"/>
        <v>0</v>
      </c>
      <c r="DU103" s="290">
        <f t="shared" si="648"/>
        <v>0</v>
      </c>
      <c r="DV103" s="290">
        <f t="shared" si="649"/>
        <v>0</v>
      </c>
      <c r="DW103" s="290">
        <f t="shared" si="650"/>
        <v>0</v>
      </c>
      <c r="DX103" s="290">
        <f t="shared" si="651"/>
        <v>0</v>
      </c>
      <c r="DY103" s="290">
        <f t="shared" si="652"/>
        <v>0</v>
      </c>
      <c r="DZ103" s="290">
        <f t="shared" si="653"/>
        <v>0</v>
      </c>
      <c r="EA103" s="290">
        <f t="shared" si="654"/>
        <v>0</v>
      </c>
      <c r="EB103" s="290">
        <f t="shared" si="655"/>
        <v>0</v>
      </c>
      <c r="EC103" s="290">
        <f t="shared" si="656"/>
        <v>0</v>
      </c>
      <c r="ED103" s="290">
        <f t="shared" si="657"/>
        <v>0</v>
      </c>
      <c r="EE103" s="290">
        <f t="shared" si="658"/>
        <v>0</v>
      </c>
      <c r="EF103" s="291">
        <f t="shared" si="659"/>
        <v>0</v>
      </c>
      <c r="EG103" s="291">
        <f t="shared" si="660"/>
        <v>0</v>
      </c>
      <c r="EH103" s="291">
        <f t="shared" si="661"/>
        <v>0</v>
      </c>
      <c r="EI103" s="292">
        <f t="shared" si="662"/>
        <v>0</v>
      </c>
      <c r="EJ103" s="999">
        <v>12</v>
      </c>
      <c r="EK103" s="286">
        <f t="shared" si="864"/>
        <v>44024</v>
      </c>
      <c r="EL103" s="293">
        <f t="shared" si="588"/>
        <v>44024</v>
      </c>
      <c r="EM103" s="288">
        <f>'दैनिक माहिती'!M114</f>
        <v>0</v>
      </c>
      <c r="EN103" s="289">
        <f>'दैनिक माहिती'!J114</f>
        <v>0</v>
      </c>
      <c r="EO103" s="289">
        <f>'दैनिक माहिती'!K114</f>
        <v>0</v>
      </c>
      <c r="EP103" s="289">
        <f>'दैनिक माहिती'!L114</f>
        <v>0</v>
      </c>
      <c r="EQ103" s="290">
        <f t="shared" si="663"/>
        <v>0</v>
      </c>
      <c r="ER103" s="290">
        <f t="shared" si="664"/>
        <v>0</v>
      </c>
      <c r="ES103" s="290">
        <f t="shared" si="665"/>
        <v>0</v>
      </c>
      <c r="ET103" s="290">
        <f t="shared" si="666"/>
        <v>0</v>
      </c>
      <c r="EU103" s="290">
        <f t="shared" si="667"/>
        <v>0</v>
      </c>
      <c r="EV103" s="290">
        <f t="shared" si="668"/>
        <v>0</v>
      </c>
      <c r="EW103" s="290">
        <f t="shared" si="669"/>
        <v>0</v>
      </c>
      <c r="EX103" s="290">
        <f t="shared" si="670"/>
        <v>0</v>
      </c>
      <c r="EY103" s="290">
        <f t="shared" si="671"/>
        <v>0</v>
      </c>
      <c r="EZ103" s="290">
        <f t="shared" si="672"/>
        <v>0</v>
      </c>
      <c r="FA103" s="290">
        <f t="shared" si="673"/>
        <v>0</v>
      </c>
      <c r="FB103" s="290">
        <f t="shared" si="674"/>
        <v>0</v>
      </c>
      <c r="FC103" s="290">
        <f t="shared" si="675"/>
        <v>0</v>
      </c>
      <c r="FD103" s="290">
        <f t="shared" si="676"/>
        <v>0</v>
      </c>
      <c r="FE103" s="290">
        <f t="shared" si="677"/>
        <v>0</v>
      </c>
      <c r="FF103" s="290">
        <f t="shared" si="678"/>
        <v>0</v>
      </c>
      <c r="FG103" s="290">
        <f t="shared" si="679"/>
        <v>0</v>
      </c>
      <c r="FH103" s="290">
        <f t="shared" si="680"/>
        <v>0</v>
      </c>
      <c r="FI103" s="291">
        <f t="shared" si="681"/>
        <v>0</v>
      </c>
      <c r="FJ103" s="291">
        <f t="shared" si="682"/>
        <v>0</v>
      </c>
      <c r="FK103" s="291">
        <f t="shared" si="683"/>
        <v>0</v>
      </c>
      <c r="FL103" s="292">
        <f t="shared" si="684"/>
        <v>0</v>
      </c>
      <c r="FM103" s="999">
        <v>12</v>
      </c>
      <c r="FN103" s="286">
        <f t="shared" si="865"/>
        <v>44055</v>
      </c>
      <c r="FO103" s="293">
        <f t="shared" si="589"/>
        <v>44055</v>
      </c>
      <c r="FP103" s="288">
        <f>'दैनिक माहिती'!M146</f>
        <v>0</v>
      </c>
      <c r="FQ103" s="289">
        <f>'दैनिक माहिती'!J146</f>
        <v>0</v>
      </c>
      <c r="FR103" s="289">
        <f>'दैनिक माहिती'!K146</f>
        <v>0</v>
      </c>
      <c r="FS103" s="289">
        <f>'दैनिक माहिती'!L146</f>
        <v>0</v>
      </c>
      <c r="FT103" s="290">
        <f t="shared" si="685"/>
        <v>0</v>
      </c>
      <c r="FU103" s="290">
        <f t="shared" si="686"/>
        <v>0</v>
      </c>
      <c r="FV103" s="290">
        <f t="shared" si="687"/>
        <v>0</v>
      </c>
      <c r="FW103" s="290">
        <f t="shared" si="688"/>
        <v>0</v>
      </c>
      <c r="FX103" s="290">
        <f t="shared" si="689"/>
        <v>0</v>
      </c>
      <c r="FY103" s="290">
        <f t="shared" si="690"/>
        <v>0</v>
      </c>
      <c r="FZ103" s="290">
        <f t="shared" si="691"/>
        <v>0</v>
      </c>
      <c r="GA103" s="290">
        <f t="shared" si="692"/>
        <v>0</v>
      </c>
      <c r="GB103" s="290">
        <f t="shared" si="693"/>
        <v>0</v>
      </c>
      <c r="GC103" s="290">
        <f t="shared" si="694"/>
        <v>0</v>
      </c>
      <c r="GD103" s="290">
        <f t="shared" si="695"/>
        <v>0</v>
      </c>
      <c r="GE103" s="290">
        <f t="shared" si="696"/>
        <v>0</v>
      </c>
      <c r="GF103" s="290">
        <f t="shared" si="697"/>
        <v>0</v>
      </c>
      <c r="GG103" s="290">
        <f t="shared" si="698"/>
        <v>0</v>
      </c>
      <c r="GH103" s="290">
        <f t="shared" si="699"/>
        <v>0</v>
      </c>
      <c r="GI103" s="290">
        <f t="shared" si="700"/>
        <v>0</v>
      </c>
      <c r="GJ103" s="290">
        <f t="shared" si="701"/>
        <v>0</v>
      </c>
      <c r="GK103" s="290">
        <f t="shared" si="702"/>
        <v>0</v>
      </c>
      <c r="GL103" s="291">
        <f t="shared" si="703"/>
        <v>0</v>
      </c>
      <c r="GM103" s="291">
        <f t="shared" si="704"/>
        <v>0</v>
      </c>
      <c r="GN103" s="291">
        <f t="shared" si="705"/>
        <v>0</v>
      </c>
      <c r="GO103" s="292">
        <f t="shared" si="706"/>
        <v>0</v>
      </c>
      <c r="GP103" s="999">
        <v>12</v>
      </c>
      <c r="GQ103" s="286">
        <f t="shared" si="866"/>
        <v>44086</v>
      </c>
      <c r="GR103" s="293">
        <f t="shared" si="590"/>
        <v>44086</v>
      </c>
      <c r="GS103" s="288">
        <f>'दैनिक माहिती'!M178</f>
        <v>0</v>
      </c>
      <c r="GT103" s="289">
        <f>'दैनिक माहिती'!J178</f>
        <v>0</v>
      </c>
      <c r="GU103" s="289">
        <f>'दैनिक माहिती'!K178</f>
        <v>0</v>
      </c>
      <c r="GV103" s="289">
        <f>'दैनिक माहिती'!L178</f>
        <v>0</v>
      </c>
      <c r="GW103" s="290">
        <f t="shared" si="707"/>
        <v>0</v>
      </c>
      <c r="GX103" s="290">
        <f t="shared" si="708"/>
        <v>0</v>
      </c>
      <c r="GY103" s="290">
        <f t="shared" si="709"/>
        <v>0</v>
      </c>
      <c r="GZ103" s="290">
        <f t="shared" si="710"/>
        <v>0</v>
      </c>
      <c r="HA103" s="290">
        <f t="shared" si="711"/>
        <v>0</v>
      </c>
      <c r="HB103" s="290">
        <f t="shared" si="712"/>
        <v>0</v>
      </c>
      <c r="HC103" s="290">
        <f t="shared" si="713"/>
        <v>0</v>
      </c>
      <c r="HD103" s="290">
        <f t="shared" si="714"/>
        <v>0</v>
      </c>
      <c r="HE103" s="290">
        <f t="shared" si="715"/>
        <v>0</v>
      </c>
      <c r="HF103" s="290">
        <f t="shared" si="716"/>
        <v>0</v>
      </c>
      <c r="HG103" s="290">
        <f t="shared" si="717"/>
        <v>0</v>
      </c>
      <c r="HH103" s="290">
        <f t="shared" si="718"/>
        <v>0</v>
      </c>
      <c r="HI103" s="290">
        <f t="shared" si="719"/>
        <v>0</v>
      </c>
      <c r="HJ103" s="290">
        <f t="shared" si="720"/>
        <v>0</v>
      </c>
      <c r="HK103" s="290">
        <f t="shared" si="721"/>
        <v>0</v>
      </c>
      <c r="HL103" s="290">
        <f t="shared" si="722"/>
        <v>0</v>
      </c>
      <c r="HM103" s="290">
        <f t="shared" si="723"/>
        <v>0</v>
      </c>
      <c r="HN103" s="290">
        <f t="shared" si="724"/>
        <v>0</v>
      </c>
      <c r="HO103" s="291">
        <f t="shared" si="725"/>
        <v>0</v>
      </c>
      <c r="HP103" s="291">
        <f t="shared" si="726"/>
        <v>0</v>
      </c>
      <c r="HQ103" s="291">
        <f t="shared" si="727"/>
        <v>0</v>
      </c>
      <c r="HR103" s="292">
        <f t="shared" si="728"/>
        <v>0</v>
      </c>
      <c r="HS103" s="999">
        <v>12</v>
      </c>
      <c r="HT103" s="286">
        <f t="shared" si="867"/>
        <v>44116</v>
      </c>
      <c r="HU103" s="293">
        <f t="shared" si="591"/>
        <v>44116</v>
      </c>
      <c r="HV103" s="288">
        <f>'दैनिक माहिती'!M209</f>
        <v>0</v>
      </c>
      <c r="HW103" s="289">
        <f>'दैनिक माहिती'!J209</f>
        <v>0</v>
      </c>
      <c r="HX103" s="289">
        <f>'दैनिक माहिती'!K209</f>
        <v>0</v>
      </c>
      <c r="HY103" s="289">
        <f>'दैनिक माहिती'!L209</f>
        <v>0</v>
      </c>
      <c r="HZ103" s="290">
        <f t="shared" si="729"/>
        <v>0</v>
      </c>
      <c r="IA103" s="290">
        <f t="shared" si="730"/>
        <v>0</v>
      </c>
      <c r="IB103" s="290">
        <f t="shared" si="731"/>
        <v>0</v>
      </c>
      <c r="IC103" s="290">
        <f t="shared" si="732"/>
        <v>0</v>
      </c>
      <c r="ID103" s="290">
        <f t="shared" si="733"/>
        <v>0</v>
      </c>
      <c r="IE103" s="290">
        <f t="shared" si="734"/>
        <v>0</v>
      </c>
      <c r="IF103" s="290">
        <f t="shared" si="735"/>
        <v>0</v>
      </c>
      <c r="IG103" s="290">
        <f t="shared" si="736"/>
        <v>0</v>
      </c>
      <c r="IH103" s="290">
        <f t="shared" si="737"/>
        <v>0</v>
      </c>
      <c r="II103" s="290">
        <f t="shared" si="738"/>
        <v>0</v>
      </c>
      <c r="IJ103" s="290">
        <f t="shared" si="739"/>
        <v>0</v>
      </c>
      <c r="IK103" s="290">
        <f t="shared" si="740"/>
        <v>0</v>
      </c>
      <c r="IL103" s="290">
        <f t="shared" si="741"/>
        <v>0</v>
      </c>
      <c r="IM103" s="290">
        <f t="shared" si="742"/>
        <v>0</v>
      </c>
      <c r="IN103" s="290">
        <f t="shared" si="743"/>
        <v>0</v>
      </c>
      <c r="IO103" s="290">
        <f t="shared" si="744"/>
        <v>0</v>
      </c>
      <c r="IP103" s="290">
        <f t="shared" si="745"/>
        <v>0</v>
      </c>
      <c r="IQ103" s="290">
        <f t="shared" si="746"/>
        <v>0</v>
      </c>
      <c r="IR103" s="291">
        <f t="shared" si="747"/>
        <v>0</v>
      </c>
      <c r="IS103" s="291">
        <f t="shared" si="748"/>
        <v>0</v>
      </c>
      <c r="IT103" s="291">
        <f t="shared" si="749"/>
        <v>0</v>
      </c>
      <c r="IU103" s="292">
        <f t="shared" si="750"/>
        <v>0</v>
      </c>
      <c r="IV103" s="999">
        <v>12</v>
      </c>
      <c r="IW103" s="286">
        <f t="shared" si="868"/>
        <v>44147</v>
      </c>
      <c r="IX103" s="293">
        <f t="shared" si="592"/>
        <v>44147</v>
      </c>
      <c r="IY103" s="288">
        <f>'दैनिक माहिती'!M241</f>
        <v>0</v>
      </c>
      <c r="IZ103" s="289">
        <f>'दैनिक माहिती'!J241</f>
        <v>0</v>
      </c>
      <c r="JA103" s="289">
        <f>'दैनिक माहिती'!K241</f>
        <v>0</v>
      </c>
      <c r="JB103" s="289">
        <f>'दैनिक माहिती'!L241</f>
        <v>0</v>
      </c>
      <c r="JC103" s="290">
        <f t="shared" si="751"/>
        <v>0</v>
      </c>
      <c r="JD103" s="290">
        <f t="shared" si="752"/>
        <v>0</v>
      </c>
      <c r="JE103" s="290">
        <f t="shared" si="753"/>
        <v>0</v>
      </c>
      <c r="JF103" s="290">
        <f t="shared" si="754"/>
        <v>0</v>
      </c>
      <c r="JG103" s="290">
        <f t="shared" si="755"/>
        <v>0</v>
      </c>
      <c r="JH103" s="290">
        <f t="shared" si="756"/>
        <v>0</v>
      </c>
      <c r="JI103" s="290">
        <f t="shared" si="757"/>
        <v>0</v>
      </c>
      <c r="JJ103" s="290">
        <f t="shared" si="758"/>
        <v>0</v>
      </c>
      <c r="JK103" s="290">
        <f t="shared" si="759"/>
        <v>0</v>
      </c>
      <c r="JL103" s="290">
        <f t="shared" si="760"/>
        <v>0</v>
      </c>
      <c r="JM103" s="290">
        <f t="shared" si="761"/>
        <v>0</v>
      </c>
      <c r="JN103" s="290">
        <f t="shared" si="762"/>
        <v>0</v>
      </c>
      <c r="JO103" s="290">
        <f t="shared" si="763"/>
        <v>0</v>
      </c>
      <c r="JP103" s="290">
        <f t="shared" si="764"/>
        <v>0</v>
      </c>
      <c r="JQ103" s="290">
        <f t="shared" si="765"/>
        <v>0</v>
      </c>
      <c r="JR103" s="290">
        <f t="shared" si="766"/>
        <v>0</v>
      </c>
      <c r="JS103" s="290">
        <f t="shared" si="767"/>
        <v>0</v>
      </c>
      <c r="JT103" s="290">
        <f t="shared" si="768"/>
        <v>0</v>
      </c>
      <c r="JU103" s="291">
        <f t="shared" si="769"/>
        <v>0</v>
      </c>
      <c r="JV103" s="291">
        <f t="shared" si="770"/>
        <v>0</v>
      </c>
      <c r="JW103" s="291">
        <f t="shared" si="771"/>
        <v>0</v>
      </c>
      <c r="JX103" s="292">
        <f t="shared" si="772"/>
        <v>0</v>
      </c>
      <c r="JY103" s="999">
        <v>12</v>
      </c>
      <c r="JZ103" s="286">
        <f t="shared" si="869"/>
        <v>44177</v>
      </c>
      <c r="KA103" s="293">
        <f t="shared" si="593"/>
        <v>44177</v>
      </c>
      <c r="KB103" s="288">
        <f>'दैनिक माहिती'!M272</f>
        <v>0</v>
      </c>
      <c r="KC103" s="289">
        <f>'दैनिक माहिती'!J272</f>
        <v>0</v>
      </c>
      <c r="KD103" s="289">
        <f>'दैनिक माहिती'!K272</f>
        <v>0</v>
      </c>
      <c r="KE103" s="289">
        <f>'दैनिक माहिती'!L272</f>
        <v>0</v>
      </c>
      <c r="KF103" s="290">
        <f t="shared" si="773"/>
        <v>0</v>
      </c>
      <c r="KG103" s="290">
        <f t="shared" si="774"/>
        <v>0</v>
      </c>
      <c r="KH103" s="290">
        <f t="shared" si="775"/>
        <v>0</v>
      </c>
      <c r="KI103" s="290">
        <f t="shared" si="776"/>
        <v>0</v>
      </c>
      <c r="KJ103" s="290">
        <f t="shared" si="777"/>
        <v>0</v>
      </c>
      <c r="KK103" s="290">
        <f t="shared" si="778"/>
        <v>0</v>
      </c>
      <c r="KL103" s="290">
        <f t="shared" si="779"/>
        <v>0</v>
      </c>
      <c r="KM103" s="290">
        <f t="shared" si="780"/>
        <v>0</v>
      </c>
      <c r="KN103" s="290">
        <f t="shared" si="781"/>
        <v>0</v>
      </c>
      <c r="KO103" s="290">
        <f t="shared" si="782"/>
        <v>0</v>
      </c>
      <c r="KP103" s="290">
        <f t="shared" si="783"/>
        <v>0</v>
      </c>
      <c r="KQ103" s="290">
        <f t="shared" si="784"/>
        <v>0</v>
      </c>
      <c r="KR103" s="290">
        <f t="shared" si="785"/>
        <v>0</v>
      </c>
      <c r="KS103" s="290">
        <f t="shared" si="786"/>
        <v>0</v>
      </c>
      <c r="KT103" s="290">
        <f t="shared" si="787"/>
        <v>0</v>
      </c>
      <c r="KU103" s="290">
        <f t="shared" si="788"/>
        <v>0</v>
      </c>
      <c r="KV103" s="290">
        <f t="shared" si="789"/>
        <v>0</v>
      </c>
      <c r="KW103" s="290">
        <f t="shared" si="790"/>
        <v>0</v>
      </c>
      <c r="KX103" s="291">
        <f t="shared" si="791"/>
        <v>0</v>
      </c>
      <c r="KY103" s="291">
        <f t="shared" si="792"/>
        <v>0</v>
      </c>
      <c r="KZ103" s="291">
        <f t="shared" si="793"/>
        <v>0</v>
      </c>
      <c r="LA103" s="292">
        <f t="shared" si="794"/>
        <v>0</v>
      </c>
      <c r="LB103" s="999">
        <v>12</v>
      </c>
      <c r="LC103" s="286">
        <f t="shared" si="870"/>
        <v>44208</v>
      </c>
      <c r="LD103" s="293">
        <f t="shared" si="594"/>
        <v>44208</v>
      </c>
      <c r="LE103" s="288">
        <f>'दैनिक माहिती'!M304</f>
        <v>0</v>
      </c>
      <c r="LF103" s="289">
        <f>'दैनिक माहिती'!J304</f>
        <v>0</v>
      </c>
      <c r="LG103" s="289">
        <f>'दैनिक माहिती'!K304</f>
        <v>0</v>
      </c>
      <c r="LH103" s="289">
        <f>'दैनिक माहिती'!L304</f>
        <v>0</v>
      </c>
      <c r="LI103" s="290">
        <f t="shared" si="795"/>
        <v>0</v>
      </c>
      <c r="LJ103" s="290">
        <f t="shared" si="796"/>
        <v>0</v>
      </c>
      <c r="LK103" s="290">
        <f t="shared" si="797"/>
        <v>0</v>
      </c>
      <c r="LL103" s="290">
        <f t="shared" si="798"/>
        <v>0</v>
      </c>
      <c r="LM103" s="290">
        <f t="shared" si="799"/>
        <v>0</v>
      </c>
      <c r="LN103" s="290">
        <f t="shared" si="800"/>
        <v>0</v>
      </c>
      <c r="LO103" s="290">
        <f t="shared" si="801"/>
        <v>0</v>
      </c>
      <c r="LP103" s="290">
        <f t="shared" si="802"/>
        <v>0</v>
      </c>
      <c r="LQ103" s="290">
        <f t="shared" si="803"/>
        <v>0</v>
      </c>
      <c r="LR103" s="290">
        <f t="shared" si="804"/>
        <v>0</v>
      </c>
      <c r="LS103" s="290">
        <f t="shared" si="805"/>
        <v>0</v>
      </c>
      <c r="LT103" s="290">
        <f t="shared" si="806"/>
        <v>0</v>
      </c>
      <c r="LU103" s="290">
        <f t="shared" si="807"/>
        <v>0</v>
      </c>
      <c r="LV103" s="290">
        <f t="shared" si="808"/>
        <v>0</v>
      </c>
      <c r="LW103" s="290">
        <f t="shared" si="809"/>
        <v>0</v>
      </c>
      <c r="LX103" s="290">
        <f t="shared" si="810"/>
        <v>0</v>
      </c>
      <c r="LY103" s="290">
        <f t="shared" si="811"/>
        <v>0</v>
      </c>
      <c r="LZ103" s="290">
        <f t="shared" si="812"/>
        <v>0</v>
      </c>
      <c r="MA103" s="291">
        <f t="shared" si="813"/>
        <v>0</v>
      </c>
      <c r="MB103" s="291">
        <f t="shared" si="814"/>
        <v>0</v>
      </c>
      <c r="MC103" s="291">
        <f t="shared" si="815"/>
        <v>0</v>
      </c>
      <c r="MD103" s="292">
        <f t="shared" si="816"/>
        <v>0</v>
      </c>
      <c r="ME103" s="999">
        <v>12</v>
      </c>
      <c r="MF103" s="286">
        <f t="shared" si="871"/>
        <v>44239</v>
      </c>
      <c r="MG103" s="293">
        <f t="shared" si="595"/>
        <v>44239</v>
      </c>
      <c r="MH103" s="288">
        <f>'दैनिक माहिती'!M336</f>
        <v>0</v>
      </c>
      <c r="MI103" s="289">
        <f>'दैनिक माहिती'!J336</f>
        <v>0</v>
      </c>
      <c r="MJ103" s="289">
        <f>'दैनिक माहिती'!K336</f>
        <v>0</v>
      </c>
      <c r="MK103" s="289">
        <f>'दैनिक माहिती'!L336</f>
        <v>0</v>
      </c>
      <c r="ML103" s="290">
        <f t="shared" si="817"/>
        <v>0</v>
      </c>
      <c r="MM103" s="290">
        <f t="shared" si="818"/>
        <v>0</v>
      </c>
      <c r="MN103" s="290">
        <f t="shared" si="819"/>
        <v>0</v>
      </c>
      <c r="MO103" s="290">
        <f t="shared" si="820"/>
        <v>0</v>
      </c>
      <c r="MP103" s="290">
        <f t="shared" si="821"/>
        <v>0</v>
      </c>
      <c r="MQ103" s="290">
        <f t="shared" si="822"/>
        <v>0</v>
      </c>
      <c r="MR103" s="290">
        <f t="shared" si="823"/>
        <v>0</v>
      </c>
      <c r="MS103" s="290">
        <f t="shared" si="824"/>
        <v>0</v>
      </c>
      <c r="MT103" s="290">
        <f t="shared" si="825"/>
        <v>0</v>
      </c>
      <c r="MU103" s="290">
        <f t="shared" si="826"/>
        <v>0</v>
      </c>
      <c r="MV103" s="290">
        <f t="shared" si="827"/>
        <v>0</v>
      </c>
      <c r="MW103" s="290">
        <f t="shared" si="828"/>
        <v>0</v>
      </c>
      <c r="MX103" s="290">
        <f t="shared" si="829"/>
        <v>0</v>
      </c>
      <c r="MY103" s="290">
        <f t="shared" si="830"/>
        <v>0</v>
      </c>
      <c r="MZ103" s="290">
        <f t="shared" si="831"/>
        <v>0</v>
      </c>
      <c r="NA103" s="290">
        <f t="shared" si="832"/>
        <v>0</v>
      </c>
      <c r="NB103" s="290">
        <f t="shared" si="833"/>
        <v>0</v>
      </c>
      <c r="NC103" s="290">
        <f t="shared" si="834"/>
        <v>0</v>
      </c>
      <c r="ND103" s="291">
        <f t="shared" si="835"/>
        <v>0</v>
      </c>
      <c r="NE103" s="291">
        <f t="shared" si="836"/>
        <v>0</v>
      </c>
      <c r="NF103" s="291">
        <f t="shared" si="837"/>
        <v>0</v>
      </c>
      <c r="NG103" s="292">
        <f t="shared" si="838"/>
        <v>0</v>
      </c>
      <c r="NH103" s="999">
        <v>12</v>
      </c>
      <c r="NI103" s="286">
        <f t="shared" si="872"/>
        <v>44267</v>
      </c>
      <c r="NJ103" s="293">
        <f t="shared" si="596"/>
        <v>44267</v>
      </c>
      <c r="NK103" s="288">
        <f>'दैनिक माहिती'!M366</f>
        <v>0</v>
      </c>
      <c r="NL103" s="289">
        <f>'दैनिक माहिती'!J366</f>
        <v>0</v>
      </c>
      <c r="NM103" s="289">
        <f>'दैनिक माहिती'!K366</f>
        <v>0</v>
      </c>
      <c r="NN103" s="289">
        <f>'दैनिक माहिती'!L366</f>
        <v>0</v>
      </c>
      <c r="NO103" s="290">
        <f t="shared" si="839"/>
        <v>0</v>
      </c>
      <c r="NP103" s="290">
        <f t="shared" si="840"/>
        <v>0</v>
      </c>
      <c r="NQ103" s="290">
        <f t="shared" si="841"/>
        <v>0</v>
      </c>
      <c r="NR103" s="290">
        <f t="shared" si="842"/>
        <v>0</v>
      </c>
      <c r="NS103" s="290">
        <f t="shared" si="843"/>
        <v>0</v>
      </c>
      <c r="NT103" s="290">
        <f t="shared" si="844"/>
        <v>0</v>
      </c>
      <c r="NU103" s="290">
        <f t="shared" si="845"/>
        <v>0</v>
      </c>
      <c r="NV103" s="290">
        <f t="shared" si="846"/>
        <v>0</v>
      </c>
      <c r="NW103" s="290">
        <f t="shared" si="847"/>
        <v>0</v>
      </c>
      <c r="NX103" s="290">
        <f t="shared" si="848"/>
        <v>0</v>
      </c>
      <c r="NY103" s="290">
        <f t="shared" si="849"/>
        <v>0</v>
      </c>
      <c r="NZ103" s="290">
        <f t="shared" si="850"/>
        <v>0</v>
      </c>
      <c r="OA103" s="290">
        <f t="shared" si="851"/>
        <v>0</v>
      </c>
      <c r="OB103" s="290">
        <f t="shared" si="852"/>
        <v>0</v>
      </c>
      <c r="OC103" s="290">
        <f t="shared" si="853"/>
        <v>0</v>
      </c>
      <c r="OD103" s="290">
        <f t="shared" si="854"/>
        <v>0</v>
      </c>
      <c r="OE103" s="290">
        <f t="shared" si="855"/>
        <v>0</v>
      </c>
      <c r="OF103" s="290">
        <f t="shared" si="856"/>
        <v>0</v>
      </c>
      <c r="OG103" s="291">
        <f t="shared" si="857"/>
        <v>0</v>
      </c>
      <c r="OH103" s="291">
        <f t="shared" si="858"/>
        <v>0</v>
      </c>
      <c r="OI103" s="291">
        <f t="shared" si="859"/>
        <v>0</v>
      </c>
      <c r="OJ103" s="292">
        <f t="shared" si="860"/>
        <v>0</v>
      </c>
    </row>
    <row r="104" spans="53:400" ht="29.25" customHeight="1" x14ac:dyDescent="0.3">
      <c r="BA104" s="999">
        <v>13</v>
      </c>
      <c r="BB104" s="286">
        <f t="shared" si="861"/>
        <v>43934</v>
      </c>
      <c r="BC104" s="287">
        <f t="shared" si="585"/>
        <v>43934</v>
      </c>
      <c r="BD104" s="288">
        <f>'दैनिक माहिती'!M21</f>
        <v>0</v>
      </c>
      <c r="BE104" s="289">
        <f>'दैनिक माहिती'!J21</f>
        <v>0</v>
      </c>
      <c r="BF104" s="289">
        <f>'दैनिक माहिती'!K21</f>
        <v>0</v>
      </c>
      <c r="BG104" s="289">
        <f>'दैनिक माहिती'!L21</f>
        <v>0</v>
      </c>
      <c r="BH104" s="290">
        <f t="shared" si="597"/>
        <v>0</v>
      </c>
      <c r="BI104" s="290">
        <f t="shared" si="598"/>
        <v>0</v>
      </c>
      <c r="BJ104" s="290">
        <f t="shared" si="599"/>
        <v>0</v>
      </c>
      <c r="BK104" s="290">
        <f t="shared" si="600"/>
        <v>0</v>
      </c>
      <c r="BL104" s="290">
        <f t="shared" si="601"/>
        <v>0</v>
      </c>
      <c r="BM104" s="290">
        <f t="shared" si="602"/>
        <v>0</v>
      </c>
      <c r="BN104" s="290">
        <f t="shared" si="603"/>
        <v>0</v>
      </c>
      <c r="BO104" s="290">
        <f t="shared" si="604"/>
        <v>0</v>
      </c>
      <c r="BP104" s="290">
        <f t="shared" si="605"/>
        <v>0</v>
      </c>
      <c r="BQ104" s="290">
        <f t="shared" si="606"/>
        <v>0</v>
      </c>
      <c r="BR104" s="290">
        <f t="shared" si="607"/>
        <v>0</v>
      </c>
      <c r="BS104" s="290">
        <f t="shared" si="608"/>
        <v>0</v>
      </c>
      <c r="BT104" s="290">
        <f t="shared" si="609"/>
        <v>0</v>
      </c>
      <c r="BU104" s="290">
        <f t="shared" si="610"/>
        <v>0</v>
      </c>
      <c r="BV104" s="290">
        <f t="shared" si="611"/>
        <v>0</v>
      </c>
      <c r="BW104" s="290">
        <f t="shared" si="612"/>
        <v>0</v>
      </c>
      <c r="BX104" s="290">
        <f t="shared" si="613"/>
        <v>0</v>
      </c>
      <c r="BY104" s="290">
        <f t="shared" si="614"/>
        <v>0</v>
      </c>
      <c r="BZ104" s="291">
        <f t="shared" si="615"/>
        <v>0</v>
      </c>
      <c r="CA104" s="291">
        <f t="shared" si="616"/>
        <v>0</v>
      </c>
      <c r="CB104" s="291">
        <f t="shared" si="617"/>
        <v>0</v>
      </c>
      <c r="CC104" s="292">
        <f t="shared" si="618"/>
        <v>0</v>
      </c>
      <c r="CD104" s="999">
        <v>13</v>
      </c>
      <c r="CE104" s="286">
        <f t="shared" si="862"/>
        <v>43964</v>
      </c>
      <c r="CF104" s="287">
        <f t="shared" si="586"/>
        <v>43964</v>
      </c>
      <c r="CG104" s="288">
        <f>'दैनिक माहिती'!M52</f>
        <v>0</v>
      </c>
      <c r="CH104" s="289">
        <f>'दैनिक माहिती'!J52</f>
        <v>0</v>
      </c>
      <c r="CI104" s="289">
        <f>'दैनिक माहिती'!K52</f>
        <v>0</v>
      </c>
      <c r="CJ104" s="289">
        <f>'दैनिक माहिती'!L52</f>
        <v>0</v>
      </c>
      <c r="CK104" s="290">
        <f t="shared" si="619"/>
        <v>0</v>
      </c>
      <c r="CL104" s="290">
        <f t="shared" si="620"/>
        <v>0</v>
      </c>
      <c r="CM104" s="290">
        <f t="shared" si="621"/>
        <v>0</v>
      </c>
      <c r="CN104" s="290">
        <f t="shared" si="622"/>
        <v>0</v>
      </c>
      <c r="CO104" s="290">
        <f t="shared" si="623"/>
        <v>0</v>
      </c>
      <c r="CP104" s="290">
        <f t="shared" si="624"/>
        <v>0</v>
      </c>
      <c r="CQ104" s="290">
        <f t="shared" si="625"/>
        <v>0</v>
      </c>
      <c r="CR104" s="290">
        <f t="shared" si="626"/>
        <v>0</v>
      </c>
      <c r="CS104" s="290">
        <f t="shared" si="627"/>
        <v>0</v>
      </c>
      <c r="CT104" s="290">
        <f t="shared" si="628"/>
        <v>0</v>
      </c>
      <c r="CU104" s="290">
        <f t="shared" si="629"/>
        <v>0</v>
      </c>
      <c r="CV104" s="290">
        <f t="shared" si="630"/>
        <v>0</v>
      </c>
      <c r="CW104" s="290">
        <f t="shared" si="631"/>
        <v>0</v>
      </c>
      <c r="CX104" s="290">
        <f t="shared" si="632"/>
        <v>0</v>
      </c>
      <c r="CY104" s="290">
        <f t="shared" si="633"/>
        <v>0</v>
      </c>
      <c r="CZ104" s="290">
        <f t="shared" si="634"/>
        <v>0</v>
      </c>
      <c r="DA104" s="290">
        <f t="shared" si="635"/>
        <v>0</v>
      </c>
      <c r="DB104" s="290">
        <f t="shared" si="636"/>
        <v>0</v>
      </c>
      <c r="DC104" s="291">
        <f t="shared" si="637"/>
        <v>0</v>
      </c>
      <c r="DD104" s="291">
        <f t="shared" si="638"/>
        <v>0</v>
      </c>
      <c r="DE104" s="291">
        <f t="shared" si="639"/>
        <v>0</v>
      </c>
      <c r="DF104" s="292">
        <f t="shared" si="640"/>
        <v>0</v>
      </c>
      <c r="DG104" s="999">
        <v>13</v>
      </c>
      <c r="DH104" s="286">
        <f t="shared" si="863"/>
        <v>43995</v>
      </c>
      <c r="DI104" s="287">
        <f t="shared" si="587"/>
        <v>43995</v>
      </c>
      <c r="DJ104" s="288">
        <f>'दैनिक माहिती'!M84</f>
        <v>0</v>
      </c>
      <c r="DK104" s="289">
        <f>'दैनिक माहिती'!J84</f>
        <v>0</v>
      </c>
      <c r="DL104" s="289">
        <f>'दैनिक माहिती'!K84</f>
        <v>0</v>
      </c>
      <c r="DM104" s="289">
        <f>'दैनिक माहिती'!L84</f>
        <v>0</v>
      </c>
      <c r="DN104" s="290">
        <f t="shared" si="641"/>
        <v>0</v>
      </c>
      <c r="DO104" s="290">
        <f t="shared" si="642"/>
        <v>0</v>
      </c>
      <c r="DP104" s="290">
        <f t="shared" si="643"/>
        <v>0</v>
      </c>
      <c r="DQ104" s="290">
        <f t="shared" si="644"/>
        <v>0</v>
      </c>
      <c r="DR104" s="290">
        <f t="shared" si="645"/>
        <v>0</v>
      </c>
      <c r="DS104" s="290">
        <f t="shared" si="646"/>
        <v>0</v>
      </c>
      <c r="DT104" s="290">
        <f t="shared" si="647"/>
        <v>0</v>
      </c>
      <c r="DU104" s="290">
        <f t="shared" si="648"/>
        <v>0</v>
      </c>
      <c r="DV104" s="290">
        <f t="shared" si="649"/>
        <v>0</v>
      </c>
      <c r="DW104" s="290">
        <f t="shared" si="650"/>
        <v>0</v>
      </c>
      <c r="DX104" s="290">
        <f t="shared" si="651"/>
        <v>0</v>
      </c>
      <c r="DY104" s="290">
        <f t="shared" si="652"/>
        <v>0</v>
      </c>
      <c r="DZ104" s="290">
        <f t="shared" si="653"/>
        <v>0</v>
      </c>
      <c r="EA104" s="290">
        <f t="shared" si="654"/>
        <v>0</v>
      </c>
      <c r="EB104" s="290">
        <f t="shared" si="655"/>
        <v>0</v>
      </c>
      <c r="EC104" s="290">
        <f t="shared" si="656"/>
        <v>0</v>
      </c>
      <c r="ED104" s="290">
        <f t="shared" si="657"/>
        <v>0</v>
      </c>
      <c r="EE104" s="290">
        <f t="shared" si="658"/>
        <v>0</v>
      </c>
      <c r="EF104" s="291">
        <f t="shared" si="659"/>
        <v>0</v>
      </c>
      <c r="EG104" s="291">
        <f t="shared" si="660"/>
        <v>0</v>
      </c>
      <c r="EH104" s="291">
        <f t="shared" si="661"/>
        <v>0</v>
      </c>
      <c r="EI104" s="292">
        <f t="shared" si="662"/>
        <v>0</v>
      </c>
      <c r="EJ104" s="999">
        <v>13</v>
      </c>
      <c r="EK104" s="286">
        <f t="shared" si="864"/>
        <v>44025</v>
      </c>
      <c r="EL104" s="287">
        <f t="shared" si="588"/>
        <v>44025</v>
      </c>
      <c r="EM104" s="288">
        <f>'दैनिक माहिती'!M115</f>
        <v>0</v>
      </c>
      <c r="EN104" s="289">
        <f>'दैनिक माहिती'!J115</f>
        <v>0</v>
      </c>
      <c r="EO104" s="289">
        <f>'दैनिक माहिती'!K115</f>
        <v>0</v>
      </c>
      <c r="EP104" s="289">
        <f>'दैनिक माहिती'!L115</f>
        <v>0</v>
      </c>
      <c r="EQ104" s="290">
        <f t="shared" si="663"/>
        <v>0</v>
      </c>
      <c r="ER104" s="290">
        <f t="shared" si="664"/>
        <v>0</v>
      </c>
      <c r="ES104" s="290">
        <f t="shared" si="665"/>
        <v>0</v>
      </c>
      <c r="ET104" s="290">
        <f t="shared" si="666"/>
        <v>0</v>
      </c>
      <c r="EU104" s="290">
        <f t="shared" si="667"/>
        <v>0</v>
      </c>
      <c r="EV104" s="290">
        <f t="shared" si="668"/>
        <v>0</v>
      </c>
      <c r="EW104" s="290">
        <f t="shared" si="669"/>
        <v>0</v>
      </c>
      <c r="EX104" s="290">
        <f t="shared" si="670"/>
        <v>0</v>
      </c>
      <c r="EY104" s="290">
        <f t="shared" si="671"/>
        <v>0</v>
      </c>
      <c r="EZ104" s="290">
        <f t="shared" si="672"/>
        <v>0</v>
      </c>
      <c r="FA104" s="290">
        <f t="shared" si="673"/>
        <v>0</v>
      </c>
      <c r="FB104" s="290">
        <f t="shared" si="674"/>
        <v>0</v>
      </c>
      <c r="FC104" s="290">
        <f t="shared" si="675"/>
        <v>0</v>
      </c>
      <c r="FD104" s="290">
        <f t="shared" si="676"/>
        <v>0</v>
      </c>
      <c r="FE104" s="290">
        <f t="shared" si="677"/>
        <v>0</v>
      </c>
      <c r="FF104" s="290">
        <f t="shared" si="678"/>
        <v>0</v>
      </c>
      <c r="FG104" s="290">
        <f t="shared" si="679"/>
        <v>0</v>
      </c>
      <c r="FH104" s="290">
        <f t="shared" si="680"/>
        <v>0</v>
      </c>
      <c r="FI104" s="291">
        <f t="shared" si="681"/>
        <v>0</v>
      </c>
      <c r="FJ104" s="291">
        <f t="shared" si="682"/>
        <v>0</v>
      </c>
      <c r="FK104" s="291">
        <f t="shared" si="683"/>
        <v>0</v>
      </c>
      <c r="FL104" s="292">
        <f t="shared" si="684"/>
        <v>0</v>
      </c>
      <c r="FM104" s="999">
        <v>13</v>
      </c>
      <c r="FN104" s="286">
        <f t="shared" si="865"/>
        <v>44056</v>
      </c>
      <c r="FO104" s="287">
        <f t="shared" si="589"/>
        <v>44056</v>
      </c>
      <c r="FP104" s="288">
        <f>'दैनिक माहिती'!M147</f>
        <v>0</v>
      </c>
      <c r="FQ104" s="289">
        <f>'दैनिक माहिती'!J147</f>
        <v>0</v>
      </c>
      <c r="FR104" s="289">
        <f>'दैनिक माहिती'!K147</f>
        <v>0</v>
      </c>
      <c r="FS104" s="289">
        <f>'दैनिक माहिती'!L147</f>
        <v>0</v>
      </c>
      <c r="FT104" s="290">
        <f t="shared" si="685"/>
        <v>0</v>
      </c>
      <c r="FU104" s="290">
        <f t="shared" si="686"/>
        <v>0</v>
      </c>
      <c r="FV104" s="290">
        <f t="shared" si="687"/>
        <v>0</v>
      </c>
      <c r="FW104" s="290">
        <f t="shared" si="688"/>
        <v>0</v>
      </c>
      <c r="FX104" s="290">
        <f t="shared" si="689"/>
        <v>0</v>
      </c>
      <c r="FY104" s="290">
        <f t="shared" si="690"/>
        <v>0</v>
      </c>
      <c r="FZ104" s="290">
        <f t="shared" si="691"/>
        <v>0</v>
      </c>
      <c r="GA104" s="290">
        <f t="shared" si="692"/>
        <v>0</v>
      </c>
      <c r="GB104" s="290">
        <f t="shared" si="693"/>
        <v>0</v>
      </c>
      <c r="GC104" s="290">
        <f t="shared" si="694"/>
        <v>0</v>
      </c>
      <c r="GD104" s="290">
        <f t="shared" si="695"/>
        <v>0</v>
      </c>
      <c r="GE104" s="290">
        <f t="shared" si="696"/>
        <v>0</v>
      </c>
      <c r="GF104" s="290">
        <f t="shared" si="697"/>
        <v>0</v>
      </c>
      <c r="GG104" s="290">
        <f t="shared" si="698"/>
        <v>0</v>
      </c>
      <c r="GH104" s="290">
        <f t="shared" si="699"/>
        <v>0</v>
      </c>
      <c r="GI104" s="290">
        <f t="shared" si="700"/>
        <v>0</v>
      </c>
      <c r="GJ104" s="290">
        <f t="shared" si="701"/>
        <v>0</v>
      </c>
      <c r="GK104" s="290">
        <f t="shared" si="702"/>
        <v>0</v>
      </c>
      <c r="GL104" s="291">
        <f t="shared" si="703"/>
        <v>0</v>
      </c>
      <c r="GM104" s="291">
        <f t="shared" si="704"/>
        <v>0</v>
      </c>
      <c r="GN104" s="291">
        <f t="shared" si="705"/>
        <v>0</v>
      </c>
      <c r="GO104" s="292">
        <f t="shared" si="706"/>
        <v>0</v>
      </c>
      <c r="GP104" s="999">
        <v>13</v>
      </c>
      <c r="GQ104" s="286">
        <f t="shared" si="866"/>
        <v>44087</v>
      </c>
      <c r="GR104" s="287">
        <f t="shared" si="590"/>
        <v>44087</v>
      </c>
      <c r="GS104" s="288">
        <f>'दैनिक माहिती'!M179</f>
        <v>0</v>
      </c>
      <c r="GT104" s="289">
        <f>'दैनिक माहिती'!J179</f>
        <v>0</v>
      </c>
      <c r="GU104" s="289">
        <f>'दैनिक माहिती'!K179</f>
        <v>0</v>
      </c>
      <c r="GV104" s="289">
        <f>'दैनिक माहिती'!L179</f>
        <v>0</v>
      </c>
      <c r="GW104" s="290">
        <f t="shared" si="707"/>
        <v>0</v>
      </c>
      <c r="GX104" s="290">
        <f t="shared" si="708"/>
        <v>0</v>
      </c>
      <c r="GY104" s="290">
        <f t="shared" si="709"/>
        <v>0</v>
      </c>
      <c r="GZ104" s="290">
        <f t="shared" si="710"/>
        <v>0</v>
      </c>
      <c r="HA104" s="290">
        <f t="shared" si="711"/>
        <v>0</v>
      </c>
      <c r="HB104" s="290">
        <f t="shared" si="712"/>
        <v>0</v>
      </c>
      <c r="HC104" s="290">
        <f t="shared" si="713"/>
        <v>0</v>
      </c>
      <c r="HD104" s="290">
        <f t="shared" si="714"/>
        <v>0</v>
      </c>
      <c r="HE104" s="290">
        <f t="shared" si="715"/>
        <v>0</v>
      </c>
      <c r="HF104" s="290">
        <f t="shared" si="716"/>
        <v>0</v>
      </c>
      <c r="HG104" s="290">
        <f t="shared" si="717"/>
        <v>0</v>
      </c>
      <c r="HH104" s="290">
        <f t="shared" si="718"/>
        <v>0</v>
      </c>
      <c r="HI104" s="290">
        <f t="shared" si="719"/>
        <v>0</v>
      </c>
      <c r="HJ104" s="290">
        <f t="shared" si="720"/>
        <v>0</v>
      </c>
      <c r="HK104" s="290">
        <f t="shared" si="721"/>
        <v>0</v>
      </c>
      <c r="HL104" s="290">
        <f t="shared" si="722"/>
        <v>0</v>
      </c>
      <c r="HM104" s="290">
        <f t="shared" si="723"/>
        <v>0</v>
      </c>
      <c r="HN104" s="290">
        <f t="shared" si="724"/>
        <v>0</v>
      </c>
      <c r="HO104" s="291">
        <f t="shared" si="725"/>
        <v>0</v>
      </c>
      <c r="HP104" s="291">
        <f t="shared" si="726"/>
        <v>0</v>
      </c>
      <c r="HQ104" s="291">
        <f t="shared" si="727"/>
        <v>0</v>
      </c>
      <c r="HR104" s="292">
        <f t="shared" si="728"/>
        <v>0</v>
      </c>
      <c r="HS104" s="999">
        <v>13</v>
      </c>
      <c r="HT104" s="286">
        <f t="shared" si="867"/>
        <v>44117</v>
      </c>
      <c r="HU104" s="287">
        <f t="shared" si="591"/>
        <v>44117</v>
      </c>
      <c r="HV104" s="288">
        <f>'दैनिक माहिती'!M210</f>
        <v>0</v>
      </c>
      <c r="HW104" s="289">
        <f>'दैनिक माहिती'!J210</f>
        <v>0</v>
      </c>
      <c r="HX104" s="289">
        <f>'दैनिक माहिती'!K210</f>
        <v>0</v>
      </c>
      <c r="HY104" s="289">
        <f>'दैनिक माहिती'!L210</f>
        <v>0</v>
      </c>
      <c r="HZ104" s="290">
        <f t="shared" si="729"/>
        <v>0</v>
      </c>
      <c r="IA104" s="290">
        <f t="shared" si="730"/>
        <v>0</v>
      </c>
      <c r="IB104" s="290">
        <f t="shared" si="731"/>
        <v>0</v>
      </c>
      <c r="IC104" s="290">
        <f t="shared" si="732"/>
        <v>0</v>
      </c>
      <c r="ID104" s="290">
        <f t="shared" si="733"/>
        <v>0</v>
      </c>
      <c r="IE104" s="290">
        <f t="shared" si="734"/>
        <v>0</v>
      </c>
      <c r="IF104" s="290">
        <f t="shared" si="735"/>
        <v>0</v>
      </c>
      <c r="IG104" s="290">
        <f t="shared" si="736"/>
        <v>0</v>
      </c>
      <c r="IH104" s="290">
        <f t="shared" si="737"/>
        <v>0</v>
      </c>
      <c r="II104" s="290">
        <f t="shared" si="738"/>
        <v>0</v>
      </c>
      <c r="IJ104" s="290">
        <f t="shared" si="739"/>
        <v>0</v>
      </c>
      <c r="IK104" s="290">
        <f t="shared" si="740"/>
        <v>0</v>
      </c>
      <c r="IL104" s="290">
        <f t="shared" si="741"/>
        <v>0</v>
      </c>
      <c r="IM104" s="290">
        <f t="shared" si="742"/>
        <v>0</v>
      </c>
      <c r="IN104" s="290">
        <f t="shared" si="743"/>
        <v>0</v>
      </c>
      <c r="IO104" s="290">
        <f t="shared" si="744"/>
        <v>0</v>
      </c>
      <c r="IP104" s="290">
        <f t="shared" si="745"/>
        <v>0</v>
      </c>
      <c r="IQ104" s="290">
        <f t="shared" si="746"/>
        <v>0</v>
      </c>
      <c r="IR104" s="291">
        <f t="shared" si="747"/>
        <v>0</v>
      </c>
      <c r="IS104" s="291">
        <f t="shared" si="748"/>
        <v>0</v>
      </c>
      <c r="IT104" s="291">
        <f t="shared" si="749"/>
        <v>0</v>
      </c>
      <c r="IU104" s="292">
        <f t="shared" si="750"/>
        <v>0</v>
      </c>
      <c r="IV104" s="999">
        <v>13</v>
      </c>
      <c r="IW104" s="286">
        <f t="shared" si="868"/>
        <v>44148</v>
      </c>
      <c r="IX104" s="287">
        <f t="shared" si="592"/>
        <v>44148</v>
      </c>
      <c r="IY104" s="288">
        <f>'दैनिक माहिती'!M242</f>
        <v>0</v>
      </c>
      <c r="IZ104" s="289">
        <f>'दैनिक माहिती'!J242</f>
        <v>0</v>
      </c>
      <c r="JA104" s="289">
        <f>'दैनिक माहिती'!K242</f>
        <v>0</v>
      </c>
      <c r="JB104" s="289">
        <f>'दैनिक माहिती'!L242</f>
        <v>0</v>
      </c>
      <c r="JC104" s="290">
        <f t="shared" si="751"/>
        <v>0</v>
      </c>
      <c r="JD104" s="290">
        <f t="shared" si="752"/>
        <v>0</v>
      </c>
      <c r="JE104" s="290">
        <f t="shared" si="753"/>
        <v>0</v>
      </c>
      <c r="JF104" s="290">
        <f t="shared" si="754"/>
        <v>0</v>
      </c>
      <c r="JG104" s="290">
        <f t="shared" si="755"/>
        <v>0</v>
      </c>
      <c r="JH104" s="290">
        <f t="shared" si="756"/>
        <v>0</v>
      </c>
      <c r="JI104" s="290">
        <f t="shared" si="757"/>
        <v>0</v>
      </c>
      <c r="JJ104" s="290">
        <f t="shared" si="758"/>
        <v>0</v>
      </c>
      <c r="JK104" s="290">
        <f t="shared" si="759"/>
        <v>0</v>
      </c>
      <c r="JL104" s="290">
        <f t="shared" si="760"/>
        <v>0</v>
      </c>
      <c r="JM104" s="290">
        <f t="shared" si="761"/>
        <v>0</v>
      </c>
      <c r="JN104" s="290">
        <f t="shared" si="762"/>
        <v>0</v>
      </c>
      <c r="JO104" s="290">
        <f t="shared" si="763"/>
        <v>0</v>
      </c>
      <c r="JP104" s="290">
        <f t="shared" si="764"/>
        <v>0</v>
      </c>
      <c r="JQ104" s="290">
        <f t="shared" si="765"/>
        <v>0</v>
      </c>
      <c r="JR104" s="290">
        <f t="shared" si="766"/>
        <v>0</v>
      </c>
      <c r="JS104" s="290">
        <f t="shared" si="767"/>
        <v>0</v>
      </c>
      <c r="JT104" s="290">
        <f t="shared" si="768"/>
        <v>0</v>
      </c>
      <c r="JU104" s="291">
        <f t="shared" si="769"/>
        <v>0</v>
      </c>
      <c r="JV104" s="291">
        <f t="shared" si="770"/>
        <v>0</v>
      </c>
      <c r="JW104" s="291">
        <f t="shared" si="771"/>
        <v>0</v>
      </c>
      <c r="JX104" s="292">
        <f t="shared" si="772"/>
        <v>0</v>
      </c>
      <c r="JY104" s="999">
        <v>13</v>
      </c>
      <c r="JZ104" s="286">
        <f t="shared" si="869"/>
        <v>44178</v>
      </c>
      <c r="KA104" s="287">
        <f t="shared" si="593"/>
        <v>44178</v>
      </c>
      <c r="KB104" s="288">
        <f>'दैनिक माहिती'!M273</f>
        <v>0</v>
      </c>
      <c r="KC104" s="289">
        <f>'दैनिक माहिती'!J273</f>
        <v>0</v>
      </c>
      <c r="KD104" s="289">
        <f>'दैनिक माहिती'!K273</f>
        <v>0</v>
      </c>
      <c r="KE104" s="289">
        <f>'दैनिक माहिती'!L273</f>
        <v>0</v>
      </c>
      <c r="KF104" s="290">
        <f t="shared" si="773"/>
        <v>0</v>
      </c>
      <c r="KG104" s="290">
        <f t="shared" si="774"/>
        <v>0</v>
      </c>
      <c r="KH104" s="290">
        <f t="shared" si="775"/>
        <v>0</v>
      </c>
      <c r="KI104" s="290">
        <f t="shared" si="776"/>
        <v>0</v>
      </c>
      <c r="KJ104" s="290">
        <f t="shared" si="777"/>
        <v>0</v>
      </c>
      <c r="KK104" s="290">
        <f t="shared" si="778"/>
        <v>0</v>
      </c>
      <c r="KL104" s="290">
        <f t="shared" si="779"/>
        <v>0</v>
      </c>
      <c r="KM104" s="290">
        <f t="shared" si="780"/>
        <v>0</v>
      </c>
      <c r="KN104" s="290">
        <f t="shared" si="781"/>
        <v>0</v>
      </c>
      <c r="KO104" s="290">
        <f t="shared" si="782"/>
        <v>0</v>
      </c>
      <c r="KP104" s="290">
        <f t="shared" si="783"/>
        <v>0</v>
      </c>
      <c r="KQ104" s="290">
        <f t="shared" si="784"/>
        <v>0</v>
      </c>
      <c r="KR104" s="290">
        <f t="shared" si="785"/>
        <v>0</v>
      </c>
      <c r="KS104" s="290">
        <f t="shared" si="786"/>
        <v>0</v>
      </c>
      <c r="KT104" s="290">
        <f t="shared" si="787"/>
        <v>0</v>
      </c>
      <c r="KU104" s="290">
        <f t="shared" si="788"/>
        <v>0</v>
      </c>
      <c r="KV104" s="290">
        <f t="shared" si="789"/>
        <v>0</v>
      </c>
      <c r="KW104" s="290">
        <f t="shared" si="790"/>
        <v>0</v>
      </c>
      <c r="KX104" s="291">
        <f t="shared" si="791"/>
        <v>0</v>
      </c>
      <c r="KY104" s="291">
        <f t="shared" si="792"/>
        <v>0</v>
      </c>
      <c r="KZ104" s="291">
        <f t="shared" si="793"/>
        <v>0</v>
      </c>
      <c r="LA104" s="292">
        <f t="shared" si="794"/>
        <v>0</v>
      </c>
      <c r="LB104" s="999">
        <v>13</v>
      </c>
      <c r="LC104" s="286">
        <f t="shared" si="870"/>
        <v>44209</v>
      </c>
      <c r="LD104" s="287">
        <f t="shared" si="594"/>
        <v>44209</v>
      </c>
      <c r="LE104" s="288">
        <f>'दैनिक माहिती'!M305</f>
        <v>0</v>
      </c>
      <c r="LF104" s="289">
        <f>'दैनिक माहिती'!J305</f>
        <v>0</v>
      </c>
      <c r="LG104" s="289">
        <f>'दैनिक माहिती'!K305</f>
        <v>0</v>
      </c>
      <c r="LH104" s="289">
        <f>'दैनिक माहिती'!L305</f>
        <v>0</v>
      </c>
      <c r="LI104" s="290">
        <f t="shared" si="795"/>
        <v>0</v>
      </c>
      <c r="LJ104" s="290">
        <f t="shared" si="796"/>
        <v>0</v>
      </c>
      <c r="LK104" s="290">
        <f t="shared" si="797"/>
        <v>0</v>
      </c>
      <c r="LL104" s="290">
        <f t="shared" si="798"/>
        <v>0</v>
      </c>
      <c r="LM104" s="290">
        <f t="shared" si="799"/>
        <v>0</v>
      </c>
      <c r="LN104" s="290">
        <f t="shared" si="800"/>
        <v>0</v>
      </c>
      <c r="LO104" s="290">
        <f t="shared" si="801"/>
        <v>0</v>
      </c>
      <c r="LP104" s="290">
        <f t="shared" si="802"/>
        <v>0</v>
      </c>
      <c r="LQ104" s="290">
        <f t="shared" si="803"/>
        <v>0</v>
      </c>
      <c r="LR104" s="290">
        <f t="shared" si="804"/>
        <v>0</v>
      </c>
      <c r="LS104" s="290">
        <f t="shared" si="805"/>
        <v>0</v>
      </c>
      <c r="LT104" s="290">
        <f t="shared" si="806"/>
        <v>0</v>
      </c>
      <c r="LU104" s="290">
        <f t="shared" si="807"/>
        <v>0</v>
      </c>
      <c r="LV104" s="290">
        <f t="shared" si="808"/>
        <v>0</v>
      </c>
      <c r="LW104" s="290">
        <f t="shared" si="809"/>
        <v>0</v>
      </c>
      <c r="LX104" s="290">
        <f t="shared" si="810"/>
        <v>0</v>
      </c>
      <c r="LY104" s="290">
        <f t="shared" si="811"/>
        <v>0</v>
      </c>
      <c r="LZ104" s="290">
        <f t="shared" si="812"/>
        <v>0</v>
      </c>
      <c r="MA104" s="291">
        <f t="shared" si="813"/>
        <v>0</v>
      </c>
      <c r="MB104" s="291">
        <f t="shared" si="814"/>
        <v>0</v>
      </c>
      <c r="MC104" s="291">
        <f t="shared" si="815"/>
        <v>0</v>
      </c>
      <c r="MD104" s="292">
        <f t="shared" si="816"/>
        <v>0</v>
      </c>
      <c r="ME104" s="999">
        <v>13</v>
      </c>
      <c r="MF104" s="286">
        <f t="shared" si="871"/>
        <v>44240</v>
      </c>
      <c r="MG104" s="287">
        <f t="shared" si="595"/>
        <v>44240</v>
      </c>
      <c r="MH104" s="288">
        <f>'दैनिक माहिती'!M337</f>
        <v>0</v>
      </c>
      <c r="MI104" s="289">
        <f>'दैनिक माहिती'!J337</f>
        <v>0</v>
      </c>
      <c r="MJ104" s="289">
        <f>'दैनिक माहिती'!K337</f>
        <v>0</v>
      </c>
      <c r="MK104" s="289">
        <f>'दैनिक माहिती'!L337</f>
        <v>0</v>
      </c>
      <c r="ML104" s="290">
        <f t="shared" si="817"/>
        <v>0</v>
      </c>
      <c r="MM104" s="290">
        <f t="shared" si="818"/>
        <v>0</v>
      </c>
      <c r="MN104" s="290">
        <f t="shared" si="819"/>
        <v>0</v>
      </c>
      <c r="MO104" s="290">
        <f t="shared" si="820"/>
        <v>0</v>
      </c>
      <c r="MP104" s="290">
        <f t="shared" si="821"/>
        <v>0</v>
      </c>
      <c r="MQ104" s="290">
        <f t="shared" si="822"/>
        <v>0</v>
      </c>
      <c r="MR104" s="290">
        <f t="shared" si="823"/>
        <v>0</v>
      </c>
      <c r="MS104" s="290">
        <f t="shared" si="824"/>
        <v>0</v>
      </c>
      <c r="MT104" s="290">
        <f t="shared" si="825"/>
        <v>0</v>
      </c>
      <c r="MU104" s="290">
        <f t="shared" si="826"/>
        <v>0</v>
      </c>
      <c r="MV104" s="290">
        <f t="shared" si="827"/>
        <v>0</v>
      </c>
      <c r="MW104" s="290">
        <f t="shared" si="828"/>
        <v>0</v>
      </c>
      <c r="MX104" s="290">
        <f t="shared" si="829"/>
        <v>0</v>
      </c>
      <c r="MY104" s="290">
        <f t="shared" si="830"/>
        <v>0</v>
      </c>
      <c r="MZ104" s="290">
        <f t="shared" si="831"/>
        <v>0</v>
      </c>
      <c r="NA104" s="290">
        <f t="shared" si="832"/>
        <v>0</v>
      </c>
      <c r="NB104" s="290">
        <f t="shared" si="833"/>
        <v>0</v>
      </c>
      <c r="NC104" s="290">
        <f t="shared" si="834"/>
        <v>0</v>
      </c>
      <c r="ND104" s="291">
        <f t="shared" si="835"/>
        <v>0</v>
      </c>
      <c r="NE104" s="291">
        <f t="shared" si="836"/>
        <v>0</v>
      </c>
      <c r="NF104" s="291">
        <f t="shared" si="837"/>
        <v>0</v>
      </c>
      <c r="NG104" s="292">
        <f t="shared" si="838"/>
        <v>0</v>
      </c>
      <c r="NH104" s="999">
        <v>13</v>
      </c>
      <c r="NI104" s="286">
        <f t="shared" si="872"/>
        <v>44268</v>
      </c>
      <c r="NJ104" s="287">
        <f t="shared" si="596"/>
        <v>44268</v>
      </c>
      <c r="NK104" s="288">
        <f>'दैनिक माहिती'!M367</f>
        <v>0</v>
      </c>
      <c r="NL104" s="289">
        <f>'दैनिक माहिती'!J367</f>
        <v>0</v>
      </c>
      <c r="NM104" s="289">
        <f>'दैनिक माहिती'!K367</f>
        <v>0</v>
      </c>
      <c r="NN104" s="289">
        <f>'दैनिक माहिती'!L367</f>
        <v>0</v>
      </c>
      <c r="NO104" s="290">
        <f t="shared" si="839"/>
        <v>0</v>
      </c>
      <c r="NP104" s="290">
        <f t="shared" si="840"/>
        <v>0</v>
      </c>
      <c r="NQ104" s="290">
        <f t="shared" si="841"/>
        <v>0</v>
      </c>
      <c r="NR104" s="290">
        <f t="shared" si="842"/>
        <v>0</v>
      </c>
      <c r="NS104" s="290">
        <f t="shared" si="843"/>
        <v>0</v>
      </c>
      <c r="NT104" s="290">
        <f t="shared" si="844"/>
        <v>0</v>
      </c>
      <c r="NU104" s="290">
        <f t="shared" si="845"/>
        <v>0</v>
      </c>
      <c r="NV104" s="290">
        <f t="shared" si="846"/>
        <v>0</v>
      </c>
      <c r="NW104" s="290">
        <f t="shared" si="847"/>
        <v>0</v>
      </c>
      <c r="NX104" s="290">
        <f t="shared" si="848"/>
        <v>0</v>
      </c>
      <c r="NY104" s="290">
        <f t="shared" si="849"/>
        <v>0</v>
      </c>
      <c r="NZ104" s="290">
        <f t="shared" si="850"/>
        <v>0</v>
      </c>
      <c r="OA104" s="290">
        <f t="shared" si="851"/>
        <v>0</v>
      </c>
      <c r="OB104" s="290">
        <f t="shared" si="852"/>
        <v>0</v>
      </c>
      <c r="OC104" s="290">
        <f t="shared" si="853"/>
        <v>0</v>
      </c>
      <c r="OD104" s="290">
        <f t="shared" si="854"/>
        <v>0</v>
      </c>
      <c r="OE104" s="290">
        <f t="shared" si="855"/>
        <v>0</v>
      </c>
      <c r="OF104" s="290">
        <f t="shared" si="856"/>
        <v>0</v>
      </c>
      <c r="OG104" s="291">
        <f t="shared" si="857"/>
        <v>0</v>
      </c>
      <c r="OH104" s="291">
        <f t="shared" si="858"/>
        <v>0</v>
      </c>
      <c r="OI104" s="291">
        <f t="shared" si="859"/>
        <v>0</v>
      </c>
      <c r="OJ104" s="292">
        <f t="shared" si="860"/>
        <v>0</v>
      </c>
    </row>
    <row r="105" spans="53:400" ht="29.25" customHeight="1" x14ac:dyDescent="0.3">
      <c r="BA105" s="999">
        <v>14</v>
      </c>
      <c r="BB105" s="286">
        <f t="shared" si="861"/>
        <v>43935</v>
      </c>
      <c r="BC105" s="293">
        <f t="shared" si="585"/>
        <v>43935</v>
      </c>
      <c r="BD105" s="288">
        <f>'दैनिक माहिती'!M22</f>
        <v>0</v>
      </c>
      <c r="BE105" s="289">
        <f>'दैनिक माहिती'!J22</f>
        <v>0</v>
      </c>
      <c r="BF105" s="289">
        <f>'दैनिक माहिती'!K22</f>
        <v>0</v>
      </c>
      <c r="BG105" s="289">
        <f>'दैनिक माहिती'!L22</f>
        <v>0</v>
      </c>
      <c r="BH105" s="290">
        <f t="shared" si="597"/>
        <v>0</v>
      </c>
      <c r="BI105" s="290">
        <f t="shared" si="598"/>
        <v>0</v>
      </c>
      <c r="BJ105" s="290">
        <f t="shared" si="599"/>
        <v>0</v>
      </c>
      <c r="BK105" s="290">
        <f t="shared" si="600"/>
        <v>0</v>
      </c>
      <c r="BL105" s="290">
        <f t="shared" si="601"/>
        <v>0</v>
      </c>
      <c r="BM105" s="290">
        <f t="shared" si="602"/>
        <v>0</v>
      </c>
      <c r="BN105" s="290">
        <f t="shared" si="603"/>
        <v>0</v>
      </c>
      <c r="BO105" s="290">
        <f t="shared" si="604"/>
        <v>0</v>
      </c>
      <c r="BP105" s="290">
        <f t="shared" si="605"/>
        <v>0</v>
      </c>
      <c r="BQ105" s="290">
        <f t="shared" si="606"/>
        <v>0</v>
      </c>
      <c r="BR105" s="290">
        <f t="shared" si="607"/>
        <v>0</v>
      </c>
      <c r="BS105" s="290">
        <f t="shared" si="608"/>
        <v>0</v>
      </c>
      <c r="BT105" s="290">
        <f t="shared" si="609"/>
        <v>0</v>
      </c>
      <c r="BU105" s="290">
        <f t="shared" si="610"/>
        <v>0</v>
      </c>
      <c r="BV105" s="290">
        <f t="shared" si="611"/>
        <v>0</v>
      </c>
      <c r="BW105" s="290">
        <f t="shared" si="612"/>
        <v>0</v>
      </c>
      <c r="BX105" s="290">
        <f t="shared" si="613"/>
        <v>0</v>
      </c>
      <c r="BY105" s="290">
        <f t="shared" si="614"/>
        <v>0</v>
      </c>
      <c r="BZ105" s="291">
        <f t="shared" si="615"/>
        <v>0</v>
      </c>
      <c r="CA105" s="291">
        <f t="shared" si="616"/>
        <v>0</v>
      </c>
      <c r="CB105" s="291">
        <f t="shared" si="617"/>
        <v>0</v>
      </c>
      <c r="CC105" s="292">
        <f t="shared" si="618"/>
        <v>0</v>
      </c>
      <c r="CD105" s="999">
        <v>14</v>
      </c>
      <c r="CE105" s="286">
        <f t="shared" si="862"/>
        <v>43965</v>
      </c>
      <c r="CF105" s="293">
        <f t="shared" si="586"/>
        <v>43965</v>
      </c>
      <c r="CG105" s="288">
        <f>'दैनिक माहिती'!M53</f>
        <v>0</v>
      </c>
      <c r="CH105" s="289">
        <f>'दैनिक माहिती'!J53</f>
        <v>0</v>
      </c>
      <c r="CI105" s="289">
        <f>'दैनिक माहिती'!K53</f>
        <v>0</v>
      </c>
      <c r="CJ105" s="289">
        <f>'दैनिक माहिती'!L53</f>
        <v>0</v>
      </c>
      <c r="CK105" s="290">
        <f t="shared" si="619"/>
        <v>0</v>
      </c>
      <c r="CL105" s="290">
        <f t="shared" si="620"/>
        <v>0</v>
      </c>
      <c r="CM105" s="290">
        <f t="shared" si="621"/>
        <v>0</v>
      </c>
      <c r="CN105" s="290">
        <f t="shared" si="622"/>
        <v>0</v>
      </c>
      <c r="CO105" s="290">
        <f t="shared" si="623"/>
        <v>0</v>
      </c>
      <c r="CP105" s="290">
        <f t="shared" si="624"/>
        <v>0</v>
      </c>
      <c r="CQ105" s="290">
        <f t="shared" si="625"/>
        <v>0</v>
      </c>
      <c r="CR105" s="290">
        <f t="shared" si="626"/>
        <v>0</v>
      </c>
      <c r="CS105" s="290">
        <f t="shared" si="627"/>
        <v>0</v>
      </c>
      <c r="CT105" s="290">
        <f t="shared" si="628"/>
        <v>0</v>
      </c>
      <c r="CU105" s="290">
        <f t="shared" si="629"/>
        <v>0</v>
      </c>
      <c r="CV105" s="290">
        <f t="shared" si="630"/>
        <v>0</v>
      </c>
      <c r="CW105" s="290">
        <f t="shared" si="631"/>
        <v>0</v>
      </c>
      <c r="CX105" s="290">
        <f t="shared" si="632"/>
        <v>0</v>
      </c>
      <c r="CY105" s="290">
        <f t="shared" si="633"/>
        <v>0</v>
      </c>
      <c r="CZ105" s="290">
        <f t="shared" si="634"/>
        <v>0</v>
      </c>
      <c r="DA105" s="290">
        <f t="shared" si="635"/>
        <v>0</v>
      </c>
      <c r="DB105" s="290">
        <f t="shared" si="636"/>
        <v>0</v>
      </c>
      <c r="DC105" s="291">
        <f t="shared" si="637"/>
        <v>0</v>
      </c>
      <c r="DD105" s="291">
        <f t="shared" si="638"/>
        <v>0</v>
      </c>
      <c r="DE105" s="291">
        <f t="shared" si="639"/>
        <v>0</v>
      </c>
      <c r="DF105" s="292">
        <f t="shared" si="640"/>
        <v>0</v>
      </c>
      <c r="DG105" s="999">
        <v>14</v>
      </c>
      <c r="DH105" s="286">
        <f t="shared" si="863"/>
        <v>43996</v>
      </c>
      <c r="DI105" s="293">
        <f t="shared" si="587"/>
        <v>43996</v>
      </c>
      <c r="DJ105" s="288">
        <f>'दैनिक माहिती'!M85</f>
        <v>0</v>
      </c>
      <c r="DK105" s="289">
        <f>'दैनिक माहिती'!J85</f>
        <v>0</v>
      </c>
      <c r="DL105" s="289">
        <f>'दैनिक माहिती'!K85</f>
        <v>0</v>
      </c>
      <c r="DM105" s="289">
        <f>'दैनिक माहिती'!L85</f>
        <v>0</v>
      </c>
      <c r="DN105" s="290">
        <f t="shared" si="641"/>
        <v>0</v>
      </c>
      <c r="DO105" s="290">
        <f t="shared" si="642"/>
        <v>0</v>
      </c>
      <c r="DP105" s="290">
        <f t="shared" si="643"/>
        <v>0</v>
      </c>
      <c r="DQ105" s="290">
        <f t="shared" si="644"/>
        <v>0</v>
      </c>
      <c r="DR105" s="290">
        <f t="shared" si="645"/>
        <v>0</v>
      </c>
      <c r="DS105" s="290">
        <f t="shared" si="646"/>
        <v>0</v>
      </c>
      <c r="DT105" s="290">
        <f t="shared" si="647"/>
        <v>0</v>
      </c>
      <c r="DU105" s="290">
        <f t="shared" si="648"/>
        <v>0</v>
      </c>
      <c r="DV105" s="290">
        <f t="shared" si="649"/>
        <v>0</v>
      </c>
      <c r="DW105" s="290">
        <f t="shared" si="650"/>
        <v>0</v>
      </c>
      <c r="DX105" s="290">
        <f t="shared" si="651"/>
        <v>0</v>
      </c>
      <c r="DY105" s="290">
        <f t="shared" si="652"/>
        <v>0</v>
      </c>
      <c r="DZ105" s="290">
        <f t="shared" si="653"/>
        <v>0</v>
      </c>
      <c r="EA105" s="290">
        <f t="shared" si="654"/>
        <v>0</v>
      </c>
      <c r="EB105" s="290">
        <f t="shared" si="655"/>
        <v>0</v>
      </c>
      <c r="EC105" s="290">
        <f t="shared" si="656"/>
        <v>0</v>
      </c>
      <c r="ED105" s="290">
        <f t="shared" si="657"/>
        <v>0</v>
      </c>
      <c r="EE105" s="290">
        <f t="shared" si="658"/>
        <v>0</v>
      </c>
      <c r="EF105" s="291">
        <f t="shared" si="659"/>
        <v>0</v>
      </c>
      <c r="EG105" s="291">
        <f t="shared" si="660"/>
        <v>0</v>
      </c>
      <c r="EH105" s="291">
        <f t="shared" si="661"/>
        <v>0</v>
      </c>
      <c r="EI105" s="292">
        <f t="shared" si="662"/>
        <v>0</v>
      </c>
      <c r="EJ105" s="999">
        <v>14</v>
      </c>
      <c r="EK105" s="286">
        <f t="shared" si="864"/>
        <v>44026</v>
      </c>
      <c r="EL105" s="293">
        <f t="shared" si="588"/>
        <v>44026</v>
      </c>
      <c r="EM105" s="288">
        <f>'दैनिक माहिती'!M116</f>
        <v>0</v>
      </c>
      <c r="EN105" s="289">
        <f>'दैनिक माहिती'!J116</f>
        <v>0</v>
      </c>
      <c r="EO105" s="289">
        <f>'दैनिक माहिती'!K116</f>
        <v>0</v>
      </c>
      <c r="EP105" s="289">
        <f>'दैनिक माहिती'!L116</f>
        <v>0</v>
      </c>
      <c r="EQ105" s="290">
        <f t="shared" si="663"/>
        <v>0</v>
      </c>
      <c r="ER105" s="290">
        <f t="shared" si="664"/>
        <v>0</v>
      </c>
      <c r="ES105" s="290">
        <f t="shared" si="665"/>
        <v>0</v>
      </c>
      <c r="ET105" s="290">
        <f t="shared" si="666"/>
        <v>0</v>
      </c>
      <c r="EU105" s="290">
        <f t="shared" si="667"/>
        <v>0</v>
      </c>
      <c r="EV105" s="290">
        <f t="shared" si="668"/>
        <v>0</v>
      </c>
      <c r="EW105" s="290">
        <f t="shared" si="669"/>
        <v>0</v>
      </c>
      <c r="EX105" s="290">
        <f t="shared" si="670"/>
        <v>0</v>
      </c>
      <c r="EY105" s="290">
        <f t="shared" si="671"/>
        <v>0</v>
      </c>
      <c r="EZ105" s="290">
        <f t="shared" si="672"/>
        <v>0</v>
      </c>
      <c r="FA105" s="290">
        <f t="shared" si="673"/>
        <v>0</v>
      </c>
      <c r="FB105" s="290">
        <f t="shared" si="674"/>
        <v>0</v>
      </c>
      <c r="FC105" s="290">
        <f t="shared" si="675"/>
        <v>0</v>
      </c>
      <c r="FD105" s="290">
        <f t="shared" si="676"/>
        <v>0</v>
      </c>
      <c r="FE105" s="290">
        <f t="shared" si="677"/>
        <v>0</v>
      </c>
      <c r="FF105" s="290">
        <f t="shared" si="678"/>
        <v>0</v>
      </c>
      <c r="FG105" s="290">
        <f t="shared" si="679"/>
        <v>0</v>
      </c>
      <c r="FH105" s="290">
        <f t="shared" si="680"/>
        <v>0</v>
      </c>
      <c r="FI105" s="291">
        <f t="shared" si="681"/>
        <v>0</v>
      </c>
      <c r="FJ105" s="291">
        <f t="shared" si="682"/>
        <v>0</v>
      </c>
      <c r="FK105" s="291">
        <f t="shared" si="683"/>
        <v>0</v>
      </c>
      <c r="FL105" s="292">
        <f t="shared" si="684"/>
        <v>0</v>
      </c>
      <c r="FM105" s="999">
        <v>14</v>
      </c>
      <c r="FN105" s="286">
        <f t="shared" si="865"/>
        <v>44057</v>
      </c>
      <c r="FO105" s="293">
        <f t="shared" si="589"/>
        <v>44057</v>
      </c>
      <c r="FP105" s="288">
        <f>'दैनिक माहिती'!M148</f>
        <v>0</v>
      </c>
      <c r="FQ105" s="289">
        <f>'दैनिक माहिती'!J148</f>
        <v>0</v>
      </c>
      <c r="FR105" s="289">
        <f>'दैनिक माहिती'!K148</f>
        <v>0</v>
      </c>
      <c r="FS105" s="289">
        <f>'दैनिक माहिती'!L148</f>
        <v>0</v>
      </c>
      <c r="FT105" s="290">
        <f t="shared" si="685"/>
        <v>0</v>
      </c>
      <c r="FU105" s="290">
        <f t="shared" si="686"/>
        <v>0</v>
      </c>
      <c r="FV105" s="290">
        <f t="shared" si="687"/>
        <v>0</v>
      </c>
      <c r="FW105" s="290">
        <f t="shared" si="688"/>
        <v>0</v>
      </c>
      <c r="FX105" s="290">
        <f t="shared" si="689"/>
        <v>0</v>
      </c>
      <c r="FY105" s="290">
        <f t="shared" si="690"/>
        <v>0</v>
      </c>
      <c r="FZ105" s="290">
        <f t="shared" si="691"/>
        <v>0</v>
      </c>
      <c r="GA105" s="290">
        <f t="shared" si="692"/>
        <v>0</v>
      </c>
      <c r="GB105" s="290">
        <f t="shared" si="693"/>
        <v>0</v>
      </c>
      <c r="GC105" s="290">
        <f t="shared" si="694"/>
        <v>0</v>
      </c>
      <c r="GD105" s="290">
        <f t="shared" si="695"/>
        <v>0</v>
      </c>
      <c r="GE105" s="290">
        <f t="shared" si="696"/>
        <v>0</v>
      </c>
      <c r="GF105" s="290">
        <f t="shared" si="697"/>
        <v>0</v>
      </c>
      <c r="GG105" s="290">
        <f t="shared" si="698"/>
        <v>0</v>
      </c>
      <c r="GH105" s="290">
        <f t="shared" si="699"/>
        <v>0</v>
      </c>
      <c r="GI105" s="290">
        <f t="shared" si="700"/>
        <v>0</v>
      </c>
      <c r="GJ105" s="290">
        <f t="shared" si="701"/>
        <v>0</v>
      </c>
      <c r="GK105" s="290">
        <f t="shared" si="702"/>
        <v>0</v>
      </c>
      <c r="GL105" s="291">
        <f t="shared" si="703"/>
        <v>0</v>
      </c>
      <c r="GM105" s="291">
        <f t="shared" si="704"/>
        <v>0</v>
      </c>
      <c r="GN105" s="291">
        <f t="shared" si="705"/>
        <v>0</v>
      </c>
      <c r="GO105" s="292">
        <f t="shared" si="706"/>
        <v>0</v>
      </c>
      <c r="GP105" s="999">
        <v>14</v>
      </c>
      <c r="GQ105" s="286">
        <f t="shared" si="866"/>
        <v>44088</v>
      </c>
      <c r="GR105" s="293">
        <f t="shared" si="590"/>
        <v>44088</v>
      </c>
      <c r="GS105" s="288">
        <f>'दैनिक माहिती'!M180</f>
        <v>0</v>
      </c>
      <c r="GT105" s="289">
        <f>'दैनिक माहिती'!J180</f>
        <v>0</v>
      </c>
      <c r="GU105" s="289">
        <f>'दैनिक माहिती'!K180</f>
        <v>0</v>
      </c>
      <c r="GV105" s="289">
        <f>'दैनिक माहिती'!L180</f>
        <v>0</v>
      </c>
      <c r="GW105" s="290">
        <f t="shared" si="707"/>
        <v>0</v>
      </c>
      <c r="GX105" s="290">
        <f t="shared" si="708"/>
        <v>0</v>
      </c>
      <c r="GY105" s="290">
        <f t="shared" si="709"/>
        <v>0</v>
      </c>
      <c r="GZ105" s="290">
        <f t="shared" si="710"/>
        <v>0</v>
      </c>
      <c r="HA105" s="290">
        <f t="shared" si="711"/>
        <v>0</v>
      </c>
      <c r="HB105" s="290">
        <f t="shared" si="712"/>
        <v>0</v>
      </c>
      <c r="HC105" s="290">
        <f t="shared" si="713"/>
        <v>0</v>
      </c>
      <c r="HD105" s="290">
        <f t="shared" si="714"/>
        <v>0</v>
      </c>
      <c r="HE105" s="290">
        <f t="shared" si="715"/>
        <v>0</v>
      </c>
      <c r="HF105" s="290">
        <f t="shared" si="716"/>
        <v>0</v>
      </c>
      <c r="HG105" s="290">
        <f t="shared" si="717"/>
        <v>0</v>
      </c>
      <c r="HH105" s="290">
        <f t="shared" si="718"/>
        <v>0</v>
      </c>
      <c r="HI105" s="290">
        <f t="shared" si="719"/>
        <v>0</v>
      </c>
      <c r="HJ105" s="290">
        <f t="shared" si="720"/>
        <v>0</v>
      </c>
      <c r="HK105" s="290">
        <f t="shared" si="721"/>
        <v>0</v>
      </c>
      <c r="HL105" s="290">
        <f t="shared" si="722"/>
        <v>0</v>
      </c>
      <c r="HM105" s="290">
        <f t="shared" si="723"/>
        <v>0</v>
      </c>
      <c r="HN105" s="290">
        <f t="shared" si="724"/>
        <v>0</v>
      </c>
      <c r="HO105" s="291">
        <f t="shared" si="725"/>
        <v>0</v>
      </c>
      <c r="HP105" s="291">
        <f t="shared" si="726"/>
        <v>0</v>
      </c>
      <c r="HQ105" s="291">
        <f t="shared" si="727"/>
        <v>0</v>
      </c>
      <c r="HR105" s="292">
        <f t="shared" si="728"/>
        <v>0</v>
      </c>
      <c r="HS105" s="999">
        <v>14</v>
      </c>
      <c r="HT105" s="286">
        <f t="shared" si="867"/>
        <v>44118</v>
      </c>
      <c r="HU105" s="293">
        <f t="shared" si="591"/>
        <v>44118</v>
      </c>
      <c r="HV105" s="288">
        <f>'दैनिक माहिती'!M211</f>
        <v>0</v>
      </c>
      <c r="HW105" s="289">
        <f>'दैनिक माहिती'!J211</f>
        <v>0</v>
      </c>
      <c r="HX105" s="289">
        <f>'दैनिक माहिती'!K211</f>
        <v>0</v>
      </c>
      <c r="HY105" s="289">
        <f>'दैनिक माहिती'!L211</f>
        <v>0</v>
      </c>
      <c r="HZ105" s="290">
        <f t="shared" si="729"/>
        <v>0</v>
      </c>
      <c r="IA105" s="290">
        <f t="shared" si="730"/>
        <v>0</v>
      </c>
      <c r="IB105" s="290">
        <f t="shared" si="731"/>
        <v>0</v>
      </c>
      <c r="IC105" s="290">
        <f t="shared" si="732"/>
        <v>0</v>
      </c>
      <c r="ID105" s="290">
        <f t="shared" si="733"/>
        <v>0</v>
      </c>
      <c r="IE105" s="290">
        <f t="shared" si="734"/>
        <v>0</v>
      </c>
      <c r="IF105" s="290">
        <f t="shared" si="735"/>
        <v>0</v>
      </c>
      <c r="IG105" s="290">
        <f t="shared" si="736"/>
        <v>0</v>
      </c>
      <c r="IH105" s="290">
        <f t="shared" si="737"/>
        <v>0</v>
      </c>
      <c r="II105" s="290">
        <f t="shared" si="738"/>
        <v>0</v>
      </c>
      <c r="IJ105" s="290">
        <f t="shared" si="739"/>
        <v>0</v>
      </c>
      <c r="IK105" s="290">
        <f t="shared" si="740"/>
        <v>0</v>
      </c>
      <c r="IL105" s="290">
        <f t="shared" si="741"/>
        <v>0</v>
      </c>
      <c r="IM105" s="290">
        <f t="shared" si="742"/>
        <v>0</v>
      </c>
      <c r="IN105" s="290">
        <f t="shared" si="743"/>
        <v>0</v>
      </c>
      <c r="IO105" s="290">
        <f t="shared" si="744"/>
        <v>0</v>
      </c>
      <c r="IP105" s="290">
        <f t="shared" si="745"/>
        <v>0</v>
      </c>
      <c r="IQ105" s="290">
        <f t="shared" si="746"/>
        <v>0</v>
      </c>
      <c r="IR105" s="291">
        <f t="shared" si="747"/>
        <v>0</v>
      </c>
      <c r="IS105" s="291">
        <f t="shared" si="748"/>
        <v>0</v>
      </c>
      <c r="IT105" s="291">
        <f t="shared" si="749"/>
        <v>0</v>
      </c>
      <c r="IU105" s="292">
        <f t="shared" si="750"/>
        <v>0</v>
      </c>
      <c r="IV105" s="999">
        <v>14</v>
      </c>
      <c r="IW105" s="286">
        <f t="shared" si="868"/>
        <v>44149</v>
      </c>
      <c r="IX105" s="293">
        <f t="shared" si="592"/>
        <v>44149</v>
      </c>
      <c r="IY105" s="288">
        <f>'दैनिक माहिती'!M243</f>
        <v>0</v>
      </c>
      <c r="IZ105" s="289">
        <f>'दैनिक माहिती'!J243</f>
        <v>0</v>
      </c>
      <c r="JA105" s="289">
        <f>'दैनिक माहिती'!K243</f>
        <v>0</v>
      </c>
      <c r="JB105" s="289">
        <f>'दैनिक माहिती'!L243</f>
        <v>0</v>
      </c>
      <c r="JC105" s="290">
        <f t="shared" si="751"/>
        <v>0</v>
      </c>
      <c r="JD105" s="290">
        <f t="shared" si="752"/>
        <v>0</v>
      </c>
      <c r="JE105" s="290">
        <f t="shared" si="753"/>
        <v>0</v>
      </c>
      <c r="JF105" s="290">
        <f t="shared" si="754"/>
        <v>0</v>
      </c>
      <c r="JG105" s="290">
        <f t="shared" si="755"/>
        <v>0</v>
      </c>
      <c r="JH105" s="290">
        <f t="shared" si="756"/>
        <v>0</v>
      </c>
      <c r="JI105" s="290">
        <f t="shared" si="757"/>
        <v>0</v>
      </c>
      <c r="JJ105" s="290">
        <f t="shared" si="758"/>
        <v>0</v>
      </c>
      <c r="JK105" s="290">
        <f t="shared" si="759"/>
        <v>0</v>
      </c>
      <c r="JL105" s="290">
        <f t="shared" si="760"/>
        <v>0</v>
      </c>
      <c r="JM105" s="290">
        <f t="shared" si="761"/>
        <v>0</v>
      </c>
      <c r="JN105" s="290">
        <f t="shared" si="762"/>
        <v>0</v>
      </c>
      <c r="JO105" s="290">
        <f t="shared" si="763"/>
        <v>0</v>
      </c>
      <c r="JP105" s="290">
        <f t="shared" si="764"/>
        <v>0</v>
      </c>
      <c r="JQ105" s="290">
        <f t="shared" si="765"/>
        <v>0</v>
      </c>
      <c r="JR105" s="290">
        <f t="shared" si="766"/>
        <v>0</v>
      </c>
      <c r="JS105" s="290">
        <f t="shared" si="767"/>
        <v>0</v>
      </c>
      <c r="JT105" s="290">
        <f t="shared" si="768"/>
        <v>0</v>
      </c>
      <c r="JU105" s="291">
        <f t="shared" si="769"/>
        <v>0</v>
      </c>
      <c r="JV105" s="291">
        <f t="shared" si="770"/>
        <v>0</v>
      </c>
      <c r="JW105" s="291">
        <f t="shared" si="771"/>
        <v>0</v>
      </c>
      <c r="JX105" s="292">
        <f t="shared" si="772"/>
        <v>0</v>
      </c>
      <c r="JY105" s="999">
        <v>14</v>
      </c>
      <c r="JZ105" s="286">
        <f t="shared" si="869"/>
        <v>44179</v>
      </c>
      <c r="KA105" s="293">
        <f t="shared" si="593"/>
        <v>44179</v>
      </c>
      <c r="KB105" s="288">
        <f>'दैनिक माहिती'!M274</f>
        <v>0</v>
      </c>
      <c r="KC105" s="289">
        <f>'दैनिक माहिती'!J274</f>
        <v>0</v>
      </c>
      <c r="KD105" s="289">
        <f>'दैनिक माहिती'!K274</f>
        <v>0</v>
      </c>
      <c r="KE105" s="289">
        <f>'दैनिक माहिती'!L274</f>
        <v>0</v>
      </c>
      <c r="KF105" s="290">
        <f t="shared" si="773"/>
        <v>0</v>
      </c>
      <c r="KG105" s="290">
        <f t="shared" si="774"/>
        <v>0</v>
      </c>
      <c r="KH105" s="290">
        <f t="shared" si="775"/>
        <v>0</v>
      </c>
      <c r="KI105" s="290">
        <f t="shared" si="776"/>
        <v>0</v>
      </c>
      <c r="KJ105" s="290">
        <f t="shared" si="777"/>
        <v>0</v>
      </c>
      <c r="KK105" s="290">
        <f t="shared" si="778"/>
        <v>0</v>
      </c>
      <c r="KL105" s="290">
        <f t="shared" si="779"/>
        <v>0</v>
      </c>
      <c r="KM105" s="290">
        <f t="shared" si="780"/>
        <v>0</v>
      </c>
      <c r="KN105" s="290">
        <f t="shared" si="781"/>
        <v>0</v>
      </c>
      <c r="KO105" s="290">
        <f t="shared" si="782"/>
        <v>0</v>
      </c>
      <c r="KP105" s="290">
        <f t="shared" si="783"/>
        <v>0</v>
      </c>
      <c r="KQ105" s="290">
        <f t="shared" si="784"/>
        <v>0</v>
      </c>
      <c r="KR105" s="290">
        <f t="shared" si="785"/>
        <v>0</v>
      </c>
      <c r="KS105" s="290">
        <f t="shared" si="786"/>
        <v>0</v>
      </c>
      <c r="KT105" s="290">
        <f t="shared" si="787"/>
        <v>0</v>
      </c>
      <c r="KU105" s="290">
        <f t="shared" si="788"/>
        <v>0</v>
      </c>
      <c r="KV105" s="290">
        <f t="shared" si="789"/>
        <v>0</v>
      </c>
      <c r="KW105" s="290">
        <f t="shared" si="790"/>
        <v>0</v>
      </c>
      <c r="KX105" s="291">
        <f t="shared" si="791"/>
        <v>0</v>
      </c>
      <c r="KY105" s="291">
        <f t="shared" si="792"/>
        <v>0</v>
      </c>
      <c r="KZ105" s="291">
        <f t="shared" si="793"/>
        <v>0</v>
      </c>
      <c r="LA105" s="292">
        <f t="shared" si="794"/>
        <v>0</v>
      </c>
      <c r="LB105" s="999">
        <v>14</v>
      </c>
      <c r="LC105" s="286">
        <f t="shared" si="870"/>
        <v>44210</v>
      </c>
      <c r="LD105" s="293">
        <f t="shared" si="594"/>
        <v>44210</v>
      </c>
      <c r="LE105" s="288">
        <f>'दैनिक माहिती'!M306</f>
        <v>0</v>
      </c>
      <c r="LF105" s="289">
        <f>'दैनिक माहिती'!J306</f>
        <v>0</v>
      </c>
      <c r="LG105" s="289">
        <f>'दैनिक माहिती'!K306</f>
        <v>0</v>
      </c>
      <c r="LH105" s="289">
        <f>'दैनिक माहिती'!L306</f>
        <v>0</v>
      </c>
      <c r="LI105" s="290">
        <f t="shared" si="795"/>
        <v>0</v>
      </c>
      <c r="LJ105" s="290">
        <f t="shared" si="796"/>
        <v>0</v>
      </c>
      <c r="LK105" s="290">
        <f t="shared" si="797"/>
        <v>0</v>
      </c>
      <c r="LL105" s="290">
        <f t="shared" si="798"/>
        <v>0</v>
      </c>
      <c r="LM105" s="290">
        <f t="shared" si="799"/>
        <v>0</v>
      </c>
      <c r="LN105" s="290">
        <f t="shared" si="800"/>
        <v>0</v>
      </c>
      <c r="LO105" s="290">
        <f t="shared" si="801"/>
        <v>0</v>
      </c>
      <c r="LP105" s="290">
        <f t="shared" si="802"/>
        <v>0</v>
      </c>
      <c r="LQ105" s="290">
        <f t="shared" si="803"/>
        <v>0</v>
      </c>
      <c r="LR105" s="290">
        <f t="shared" si="804"/>
        <v>0</v>
      </c>
      <c r="LS105" s="290">
        <f t="shared" si="805"/>
        <v>0</v>
      </c>
      <c r="LT105" s="290">
        <f t="shared" si="806"/>
        <v>0</v>
      </c>
      <c r="LU105" s="290">
        <f t="shared" si="807"/>
        <v>0</v>
      </c>
      <c r="LV105" s="290">
        <f t="shared" si="808"/>
        <v>0</v>
      </c>
      <c r="LW105" s="290">
        <f t="shared" si="809"/>
        <v>0</v>
      </c>
      <c r="LX105" s="290">
        <f t="shared" si="810"/>
        <v>0</v>
      </c>
      <c r="LY105" s="290">
        <f t="shared" si="811"/>
        <v>0</v>
      </c>
      <c r="LZ105" s="290">
        <f t="shared" si="812"/>
        <v>0</v>
      </c>
      <c r="MA105" s="291">
        <f t="shared" si="813"/>
        <v>0</v>
      </c>
      <c r="MB105" s="291">
        <f t="shared" si="814"/>
        <v>0</v>
      </c>
      <c r="MC105" s="291">
        <f t="shared" si="815"/>
        <v>0</v>
      </c>
      <c r="MD105" s="292">
        <f t="shared" si="816"/>
        <v>0</v>
      </c>
      <c r="ME105" s="999">
        <v>14</v>
      </c>
      <c r="MF105" s="286">
        <f t="shared" si="871"/>
        <v>44241</v>
      </c>
      <c r="MG105" s="293">
        <f t="shared" si="595"/>
        <v>44241</v>
      </c>
      <c r="MH105" s="288">
        <f>'दैनिक माहिती'!M338</f>
        <v>0</v>
      </c>
      <c r="MI105" s="289">
        <f>'दैनिक माहिती'!J338</f>
        <v>0</v>
      </c>
      <c r="MJ105" s="289">
        <f>'दैनिक माहिती'!K338</f>
        <v>0</v>
      </c>
      <c r="MK105" s="289">
        <f>'दैनिक माहिती'!L338</f>
        <v>0</v>
      </c>
      <c r="ML105" s="290">
        <f t="shared" si="817"/>
        <v>0</v>
      </c>
      <c r="MM105" s="290">
        <f t="shared" si="818"/>
        <v>0</v>
      </c>
      <c r="MN105" s="290">
        <f t="shared" si="819"/>
        <v>0</v>
      </c>
      <c r="MO105" s="290">
        <f t="shared" si="820"/>
        <v>0</v>
      </c>
      <c r="MP105" s="290">
        <f t="shared" si="821"/>
        <v>0</v>
      </c>
      <c r="MQ105" s="290">
        <f t="shared" si="822"/>
        <v>0</v>
      </c>
      <c r="MR105" s="290">
        <f t="shared" si="823"/>
        <v>0</v>
      </c>
      <c r="MS105" s="290">
        <f t="shared" si="824"/>
        <v>0</v>
      </c>
      <c r="MT105" s="290">
        <f t="shared" si="825"/>
        <v>0</v>
      </c>
      <c r="MU105" s="290">
        <f t="shared" si="826"/>
        <v>0</v>
      </c>
      <c r="MV105" s="290">
        <f t="shared" si="827"/>
        <v>0</v>
      </c>
      <c r="MW105" s="290">
        <f t="shared" si="828"/>
        <v>0</v>
      </c>
      <c r="MX105" s="290">
        <f t="shared" si="829"/>
        <v>0</v>
      </c>
      <c r="MY105" s="290">
        <f t="shared" si="830"/>
        <v>0</v>
      </c>
      <c r="MZ105" s="290">
        <f t="shared" si="831"/>
        <v>0</v>
      </c>
      <c r="NA105" s="290">
        <f t="shared" si="832"/>
        <v>0</v>
      </c>
      <c r="NB105" s="290">
        <f t="shared" si="833"/>
        <v>0</v>
      </c>
      <c r="NC105" s="290">
        <f t="shared" si="834"/>
        <v>0</v>
      </c>
      <c r="ND105" s="291">
        <f t="shared" si="835"/>
        <v>0</v>
      </c>
      <c r="NE105" s="291">
        <f t="shared" si="836"/>
        <v>0</v>
      </c>
      <c r="NF105" s="291">
        <f t="shared" si="837"/>
        <v>0</v>
      </c>
      <c r="NG105" s="292">
        <f t="shared" si="838"/>
        <v>0</v>
      </c>
      <c r="NH105" s="999">
        <v>14</v>
      </c>
      <c r="NI105" s="286">
        <f t="shared" si="872"/>
        <v>44269</v>
      </c>
      <c r="NJ105" s="293">
        <f t="shared" si="596"/>
        <v>44269</v>
      </c>
      <c r="NK105" s="288">
        <f>'दैनिक माहिती'!M368</f>
        <v>0</v>
      </c>
      <c r="NL105" s="289">
        <f>'दैनिक माहिती'!J368</f>
        <v>0</v>
      </c>
      <c r="NM105" s="289">
        <f>'दैनिक माहिती'!K368</f>
        <v>0</v>
      </c>
      <c r="NN105" s="289">
        <f>'दैनिक माहिती'!L368</f>
        <v>0</v>
      </c>
      <c r="NO105" s="290">
        <f t="shared" si="839"/>
        <v>0</v>
      </c>
      <c r="NP105" s="290">
        <f t="shared" si="840"/>
        <v>0</v>
      </c>
      <c r="NQ105" s="290">
        <f t="shared" si="841"/>
        <v>0</v>
      </c>
      <c r="NR105" s="290">
        <f t="shared" si="842"/>
        <v>0</v>
      </c>
      <c r="NS105" s="290">
        <f t="shared" si="843"/>
        <v>0</v>
      </c>
      <c r="NT105" s="290">
        <f t="shared" si="844"/>
        <v>0</v>
      </c>
      <c r="NU105" s="290">
        <f t="shared" si="845"/>
        <v>0</v>
      </c>
      <c r="NV105" s="290">
        <f t="shared" si="846"/>
        <v>0</v>
      </c>
      <c r="NW105" s="290">
        <f t="shared" si="847"/>
        <v>0</v>
      </c>
      <c r="NX105" s="290">
        <f t="shared" si="848"/>
        <v>0</v>
      </c>
      <c r="NY105" s="290">
        <f t="shared" si="849"/>
        <v>0</v>
      </c>
      <c r="NZ105" s="290">
        <f t="shared" si="850"/>
        <v>0</v>
      </c>
      <c r="OA105" s="290">
        <f t="shared" si="851"/>
        <v>0</v>
      </c>
      <c r="OB105" s="290">
        <f t="shared" si="852"/>
        <v>0</v>
      </c>
      <c r="OC105" s="290">
        <f t="shared" si="853"/>
        <v>0</v>
      </c>
      <c r="OD105" s="290">
        <f t="shared" si="854"/>
        <v>0</v>
      </c>
      <c r="OE105" s="290">
        <f t="shared" si="855"/>
        <v>0</v>
      </c>
      <c r="OF105" s="290">
        <f t="shared" si="856"/>
        <v>0</v>
      </c>
      <c r="OG105" s="291">
        <f t="shared" si="857"/>
        <v>0</v>
      </c>
      <c r="OH105" s="291">
        <f t="shared" si="858"/>
        <v>0</v>
      </c>
      <c r="OI105" s="291">
        <f t="shared" si="859"/>
        <v>0</v>
      </c>
      <c r="OJ105" s="292">
        <f t="shared" si="860"/>
        <v>0</v>
      </c>
    </row>
    <row r="106" spans="53:400" ht="29.25" customHeight="1" x14ac:dyDescent="0.3">
      <c r="BA106" s="999">
        <v>15</v>
      </c>
      <c r="BB106" s="286">
        <f t="shared" si="861"/>
        <v>43936</v>
      </c>
      <c r="BC106" s="287">
        <f t="shared" si="585"/>
        <v>43936</v>
      </c>
      <c r="BD106" s="288">
        <f>'दैनिक माहिती'!M23</f>
        <v>0</v>
      </c>
      <c r="BE106" s="289">
        <f>'दैनिक माहिती'!J23</f>
        <v>0</v>
      </c>
      <c r="BF106" s="289">
        <f>'दैनिक माहिती'!K23</f>
        <v>0</v>
      </c>
      <c r="BG106" s="289">
        <f>'दैनिक माहिती'!L23</f>
        <v>0</v>
      </c>
      <c r="BH106" s="290">
        <f t="shared" si="597"/>
        <v>0</v>
      </c>
      <c r="BI106" s="290">
        <f t="shared" si="598"/>
        <v>0</v>
      </c>
      <c r="BJ106" s="290">
        <f t="shared" si="599"/>
        <v>0</v>
      </c>
      <c r="BK106" s="290">
        <f t="shared" si="600"/>
        <v>0</v>
      </c>
      <c r="BL106" s="290">
        <f t="shared" si="601"/>
        <v>0</v>
      </c>
      <c r="BM106" s="290">
        <f t="shared" si="602"/>
        <v>0</v>
      </c>
      <c r="BN106" s="290">
        <f t="shared" si="603"/>
        <v>0</v>
      </c>
      <c r="BO106" s="290">
        <f t="shared" si="604"/>
        <v>0</v>
      </c>
      <c r="BP106" s="290">
        <f t="shared" si="605"/>
        <v>0</v>
      </c>
      <c r="BQ106" s="290">
        <f t="shared" si="606"/>
        <v>0</v>
      </c>
      <c r="BR106" s="290">
        <f t="shared" si="607"/>
        <v>0</v>
      </c>
      <c r="BS106" s="290">
        <f t="shared" si="608"/>
        <v>0</v>
      </c>
      <c r="BT106" s="290">
        <f t="shared" si="609"/>
        <v>0</v>
      </c>
      <c r="BU106" s="290">
        <f t="shared" si="610"/>
        <v>0</v>
      </c>
      <c r="BV106" s="290">
        <f t="shared" si="611"/>
        <v>0</v>
      </c>
      <c r="BW106" s="290">
        <f t="shared" si="612"/>
        <v>0</v>
      </c>
      <c r="BX106" s="290">
        <f t="shared" si="613"/>
        <v>0</v>
      </c>
      <c r="BY106" s="290">
        <f t="shared" si="614"/>
        <v>0</v>
      </c>
      <c r="BZ106" s="291">
        <f t="shared" si="615"/>
        <v>0</v>
      </c>
      <c r="CA106" s="291">
        <f t="shared" si="616"/>
        <v>0</v>
      </c>
      <c r="CB106" s="291">
        <f t="shared" si="617"/>
        <v>0</v>
      </c>
      <c r="CC106" s="292">
        <f t="shared" si="618"/>
        <v>0</v>
      </c>
      <c r="CD106" s="999">
        <v>15</v>
      </c>
      <c r="CE106" s="286">
        <f t="shared" si="862"/>
        <v>43966</v>
      </c>
      <c r="CF106" s="287">
        <f t="shared" si="586"/>
        <v>43966</v>
      </c>
      <c r="CG106" s="288">
        <f>'दैनिक माहिती'!M54</f>
        <v>0</v>
      </c>
      <c r="CH106" s="289">
        <f>'दैनिक माहिती'!J54</f>
        <v>0</v>
      </c>
      <c r="CI106" s="289">
        <f>'दैनिक माहिती'!K54</f>
        <v>0</v>
      </c>
      <c r="CJ106" s="289">
        <f>'दैनिक माहिती'!L54</f>
        <v>0</v>
      </c>
      <c r="CK106" s="290">
        <f t="shared" si="619"/>
        <v>0</v>
      </c>
      <c r="CL106" s="290">
        <f t="shared" si="620"/>
        <v>0</v>
      </c>
      <c r="CM106" s="290">
        <f t="shared" si="621"/>
        <v>0</v>
      </c>
      <c r="CN106" s="290">
        <f t="shared" si="622"/>
        <v>0</v>
      </c>
      <c r="CO106" s="290">
        <f t="shared" si="623"/>
        <v>0</v>
      </c>
      <c r="CP106" s="290">
        <f t="shared" si="624"/>
        <v>0</v>
      </c>
      <c r="CQ106" s="290">
        <f t="shared" si="625"/>
        <v>0</v>
      </c>
      <c r="CR106" s="290">
        <f t="shared" si="626"/>
        <v>0</v>
      </c>
      <c r="CS106" s="290">
        <f t="shared" si="627"/>
        <v>0</v>
      </c>
      <c r="CT106" s="290">
        <f t="shared" si="628"/>
        <v>0</v>
      </c>
      <c r="CU106" s="290">
        <f t="shared" si="629"/>
        <v>0</v>
      </c>
      <c r="CV106" s="290">
        <f t="shared" si="630"/>
        <v>0</v>
      </c>
      <c r="CW106" s="290">
        <f t="shared" si="631"/>
        <v>0</v>
      </c>
      <c r="CX106" s="290">
        <f t="shared" si="632"/>
        <v>0</v>
      </c>
      <c r="CY106" s="290">
        <f t="shared" si="633"/>
        <v>0</v>
      </c>
      <c r="CZ106" s="290">
        <f t="shared" si="634"/>
        <v>0</v>
      </c>
      <c r="DA106" s="290">
        <f t="shared" si="635"/>
        <v>0</v>
      </c>
      <c r="DB106" s="290">
        <f t="shared" si="636"/>
        <v>0</v>
      </c>
      <c r="DC106" s="291">
        <f t="shared" si="637"/>
        <v>0</v>
      </c>
      <c r="DD106" s="291">
        <f t="shared" si="638"/>
        <v>0</v>
      </c>
      <c r="DE106" s="291">
        <f t="shared" si="639"/>
        <v>0</v>
      </c>
      <c r="DF106" s="292">
        <f t="shared" si="640"/>
        <v>0</v>
      </c>
      <c r="DG106" s="999">
        <v>15</v>
      </c>
      <c r="DH106" s="286">
        <f t="shared" si="863"/>
        <v>43997</v>
      </c>
      <c r="DI106" s="287">
        <f t="shared" si="587"/>
        <v>43997</v>
      </c>
      <c r="DJ106" s="288">
        <f>'दैनिक माहिती'!M86</f>
        <v>0</v>
      </c>
      <c r="DK106" s="289">
        <f>'दैनिक माहिती'!J86</f>
        <v>0</v>
      </c>
      <c r="DL106" s="289">
        <f>'दैनिक माहिती'!K86</f>
        <v>0</v>
      </c>
      <c r="DM106" s="289">
        <f>'दैनिक माहिती'!L86</f>
        <v>0</v>
      </c>
      <c r="DN106" s="290">
        <f t="shared" si="641"/>
        <v>0</v>
      </c>
      <c r="DO106" s="290">
        <f t="shared" si="642"/>
        <v>0</v>
      </c>
      <c r="DP106" s="290">
        <f t="shared" si="643"/>
        <v>0</v>
      </c>
      <c r="DQ106" s="290">
        <f t="shared" si="644"/>
        <v>0</v>
      </c>
      <c r="DR106" s="290">
        <f t="shared" si="645"/>
        <v>0</v>
      </c>
      <c r="DS106" s="290">
        <f t="shared" si="646"/>
        <v>0</v>
      </c>
      <c r="DT106" s="290">
        <f t="shared" si="647"/>
        <v>0</v>
      </c>
      <c r="DU106" s="290">
        <f t="shared" si="648"/>
        <v>0</v>
      </c>
      <c r="DV106" s="290">
        <f t="shared" si="649"/>
        <v>0</v>
      </c>
      <c r="DW106" s="290">
        <f t="shared" si="650"/>
        <v>0</v>
      </c>
      <c r="DX106" s="290">
        <f t="shared" si="651"/>
        <v>0</v>
      </c>
      <c r="DY106" s="290">
        <f t="shared" si="652"/>
        <v>0</v>
      </c>
      <c r="DZ106" s="290">
        <f t="shared" si="653"/>
        <v>0</v>
      </c>
      <c r="EA106" s="290">
        <f t="shared" si="654"/>
        <v>0</v>
      </c>
      <c r="EB106" s="290">
        <f t="shared" si="655"/>
        <v>0</v>
      </c>
      <c r="EC106" s="290">
        <f t="shared" si="656"/>
        <v>0</v>
      </c>
      <c r="ED106" s="290">
        <f t="shared" si="657"/>
        <v>0</v>
      </c>
      <c r="EE106" s="290">
        <f t="shared" si="658"/>
        <v>0</v>
      </c>
      <c r="EF106" s="291">
        <f t="shared" si="659"/>
        <v>0</v>
      </c>
      <c r="EG106" s="291">
        <f t="shared" si="660"/>
        <v>0</v>
      </c>
      <c r="EH106" s="291">
        <f t="shared" si="661"/>
        <v>0</v>
      </c>
      <c r="EI106" s="292">
        <f t="shared" si="662"/>
        <v>0</v>
      </c>
      <c r="EJ106" s="999">
        <v>15</v>
      </c>
      <c r="EK106" s="286">
        <f t="shared" si="864"/>
        <v>44027</v>
      </c>
      <c r="EL106" s="287">
        <f t="shared" si="588"/>
        <v>44027</v>
      </c>
      <c r="EM106" s="288">
        <f>'दैनिक माहिती'!M117</f>
        <v>0</v>
      </c>
      <c r="EN106" s="289">
        <f>'दैनिक माहिती'!J117</f>
        <v>0</v>
      </c>
      <c r="EO106" s="289">
        <f>'दैनिक माहिती'!K117</f>
        <v>0</v>
      </c>
      <c r="EP106" s="289">
        <f>'दैनिक माहिती'!L117</f>
        <v>0</v>
      </c>
      <c r="EQ106" s="290">
        <f t="shared" si="663"/>
        <v>0</v>
      </c>
      <c r="ER106" s="290">
        <f t="shared" si="664"/>
        <v>0</v>
      </c>
      <c r="ES106" s="290">
        <f t="shared" si="665"/>
        <v>0</v>
      </c>
      <c r="ET106" s="290">
        <f t="shared" si="666"/>
        <v>0</v>
      </c>
      <c r="EU106" s="290">
        <f t="shared" si="667"/>
        <v>0</v>
      </c>
      <c r="EV106" s="290">
        <f t="shared" si="668"/>
        <v>0</v>
      </c>
      <c r="EW106" s="290">
        <f t="shared" si="669"/>
        <v>0</v>
      </c>
      <c r="EX106" s="290">
        <f t="shared" si="670"/>
        <v>0</v>
      </c>
      <c r="EY106" s="290">
        <f t="shared" si="671"/>
        <v>0</v>
      </c>
      <c r="EZ106" s="290">
        <f t="shared" si="672"/>
        <v>0</v>
      </c>
      <c r="FA106" s="290">
        <f t="shared" si="673"/>
        <v>0</v>
      </c>
      <c r="FB106" s="290">
        <f t="shared" si="674"/>
        <v>0</v>
      </c>
      <c r="FC106" s="290">
        <f t="shared" si="675"/>
        <v>0</v>
      </c>
      <c r="FD106" s="290">
        <f t="shared" si="676"/>
        <v>0</v>
      </c>
      <c r="FE106" s="290">
        <f t="shared" si="677"/>
        <v>0</v>
      </c>
      <c r="FF106" s="290">
        <f t="shared" si="678"/>
        <v>0</v>
      </c>
      <c r="FG106" s="290">
        <f t="shared" si="679"/>
        <v>0</v>
      </c>
      <c r="FH106" s="290">
        <f t="shared" si="680"/>
        <v>0</v>
      </c>
      <c r="FI106" s="291">
        <f t="shared" si="681"/>
        <v>0</v>
      </c>
      <c r="FJ106" s="291">
        <f t="shared" si="682"/>
        <v>0</v>
      </c>
      <c r="FK106" s="291">
        <f t="shared" si="683"/>
        <v>0</v>
      </c>
      <c r="FL106" s="292">
        <f t="shared" si="684"/>
        <v>0</v>
      </c>
      <c r="FM106" s="999">
        <v>15</v>
      </c>
      <c r="FN106" s="286">
        <f t="shared" si="865"/>
        <v>44058</v>
      </c>
      <c r="FO106" s="287">
        <f t="shared" si="589"/>
        <v>44058</v>
      </c>
      <c r="FP106" s="288">
        <f>'दैनिक माहिती'!M149</f>
        <v>0</v>
      </c>
      <c r="FQ106" s="289">
        <f>'दैनिक माहिती'!J149</f>
        <v>0</v>
      </c>
      <c r="FR106" s="289">
        <f>'दैनिक माहिती'!K149</f>
        <v>0</v>
      </c>
      <c r="FS106" s="289">
        <f>'दैनिक माहिती'!L149</f>
        <v>0</v>
      </c>
      <c r="FT106" s="290">
        <f t="shared" si="685"/>
        <v>0</v>
      </c>
      <c r="FU106" s="290">
        <f t="shared" si="686"/>
        <v>0</v>
      </c>
      <c r="FV106" s="290">
        <f t="shared" si="687"/>
        <v>0</v>
      </c>
      <c r="FW106" s="290">
        <f t="shared" si="688"/>
        <v>0</v>
      </c>
      <c r="FX106" s="290">
        <f t="shared" si="689"/>
        <v>0</v>
      </c>
      <c r="FY106" s="290">
        <f t="shared" si="690"/>
        <v>0</v>
      </c>
      <c r="FZ106" s="290">
        <f t="shared" si="691"/>
        <v>0</v>
      </c>
      <c r="GA106" s="290">
        <f t="shared" si="692"/>
        <v>0</v>
      </c>
      <c r="GB106" s="290">
        <f t="shared" si="693"/>
        <v>0</v>
      </c>
      <c r="GC106" s="290">
        <f t="shared" si="694"/>
        <v>0</v>
      </c>
      <c r="GD106" s="290">
        <f t="shared" si="695"/>
        <v>0</v>
      </c>
      <c r="GE106" s="290">
        <f t="shared" si="696"/>
        <v>0</v>
      </c>
      <c r="GF106" s="290">
        <f t="shared" si="697"/>
        <v>0</v>
      </c>
      <c r="GG106" s="290">
        <f t="shared" si="698"/>
        <v>0</v>
      </c>
      <c r="GH106" s="290">
        <f t="shared" si="699"/>
        <v>0</v>
      </c>
      <c r="GI106" s="290">
        <f t="shared" si="700"/>
        <v>0</v>
      </c>
      <c r="GJ106" s="290">
        <f t="shared" si="701"/>
        <v>0</v>
      </c>
      <c r="GK106" s="290">
        <f t="shared" si="702"/>
        <v>0</v>
      </c>
      <c r="GL106" s="291">
        <f t="shared" si="703"/>
        <v>0</v>
      </c>
      <c r="GM106" s="291">
        <f t="shared" si="704"/>
        <v>0</v>
      </c>
      <c r="GN106" s="291">
        <f t="shared" si="705"/>
        <v>0</v>
      </c>
      <c r="GO106" s="292">
        <f t="shared" si="706"/>
        <v>0</v>
      </c>
      <c r="GP106" s="999">
        <v>15</v>
      </c>
      <c r="GQ106" s="286">
        <f t="shared" si="866"/>
        <v>44089</v>
      </c>
      <c r="GR106" s="287">
        <f t="shared" si="590"/>
        <v>44089</v>
      </c>
      <c r="GS106" s="288">
        <f>'दैनिक माहिती'!M181</f>
        <v>0</v>
      </c>
      <c r="GT106" s="289">
        <f>'दैनिक माहिती'!J181</f>
        <v>0</v>
      </c>
      <c r="GU106" s="289">
        <f>'दैनिक माहिती'!K181</f>
        <v>0</v>
      </c>
      <c r="GV106" s="289">
        <f>'दैनिक माहिती'!L181</f>
        <v>0</v>
      </c>
      <c r="GW106" s="290">
        <f t="shared" si="707"/>
        <v>0</v>
      </c>
      <c r="GX106" s="290">
        <f t="shared" si="708"/>
        <v>0</v>
      </c>
      <c r="GY106" s="290">
        <f t="shared" si="709"/>
        <v>0</v>
      </c>
      <c r="GZ106" s="290">
        <f t="shared" si="710"/>
        <v>0</v>
      </c>
      <c r="HA106" s="290">
        <f t="shared" si="711"/>
        <v>0</v>
      </c>
      <c r="HB106" s="290">
        <f t="shared" si="712"/>
        <v>0</v>
      </c>
      <c r="HC106" s="290">
        <f t="shared" si="713"/>
        <v>0</v>
      </c>
      <c r="HD106" s="290">
        <f t="shared" si="714"/>
        <v>0</v>
      </c>
      <c r="HE106" s="290">
        <f t="shared" si="715"/>
        <v>0</v>
      </c>
      <c r="HF106" s="290">
        <f t="shared" si="716"/>
        <v>0</v>
      </c>
      <c r="HG106" s="290">
        <f t="shared" si="717"/>
        <v>0</v>
      </c>
      <c r="HH106" s="290">
        <f t="shared" si="718"/>
        <v>0</v>
      </c>
      <c r="HI106" s="290">
        <f t="shared" si="719"/>
        <v>0</v>
      </c>
      <c r="HJ106" s="290">
        <f t="shared" si="720"/>
        <v>0</v>
      </c>
      <c r="HK106" s="290">
        <f t="shared" si="721"/>
        <v>0</v>
      </c>
      <c r="HL106" s="290">
        <f t="shared" si="722"/>
        <v>0</v>
      </c>
      <c r="HM106" s="290">
        <f t="shared" si="723"/>
        <v>0</v>
      </c>
      <c r="HN106" s="290">
        <f t="shared" si="724"/>
        <v>0</v>
      </c>
      <c r="HO106" s="291">
        <f t="shared" si="725"/>
        <v>0</v>
      </c>
      <c r="HP106" s="291">
        <f t="shared" si="726"/>
        <v>0</v>
      </c>
      <c r="HQ106" s="291">
        <f t="shared" si="727"/>
        <v>0</v>
      </c>
      <c r="HR106" s="292">
        <f t="shared" si="728"/>
        <v>0</v>
      </c>
      <c r="HS106" s="999">
        <v>15</v>
      </c>
      <c r="HT106" s="286">
        <f t="shared" si="867"/>
        <v>44119</v>
      </c>
      <c r="HU106" s="287">
        <f t="shared" si="591"/>
        <v>44119</v>
      </c>
      <c r="HV106" s="288">
        <f>'दैनिक माहिती'!M212</f>
        <v>0</v>
      </c>
      <c r="HW106" s="289">
        <f>'दैनिक माहिती'!J212</f>
        <v>0</v>
      </c>
      <c r="HX106" s="289">
        <f>'दैनिक माहिती'!K212</f>
        <v>0</v>
      </c>
      <c r="HY106" s="289">
        <f>'दैनिक माहिती'!L212</f>
        <v>0</v>
      </c>
      <c r="HZ106" s="290">
        <f t="shared" si="729"/>
        <v>0</v>
      </c>
      <c r="IA106" s="290">
        <f t="shared" si="730"/>
        <v>0</v>
      </c>
      <c r="IB106" s="290">
        <f t="shared" si="731"/>
        <v>0</v>
      </c>
      <c r="IC106" s="290">
        <f t="shared" si="732"/>
        <v>0</v>
      </c>
      <c r="ID106" s="290">
        <f t="shared" si="733"/>
        <v>0</v>
      </c>
      <c r="IE106" s="290">
        <f t="shared" si="734"/>
        <v>0</v>
      </c>
      <c r="IF106" s="290">
        <f t="shared" si="735"/>
        <v>0</v>
      </c>
      <c r="IG106" s="290">
        <f t="shared" si="736"/>
        <v>0</v>
      </c>
      <c r="IH106" s="290">
        <f t="shared" si="737"/>
        <v>0</v>
      </c>
      <c r="II106" s="290">
        <f t="shared" si="738"/>
        <v>0</v>
      </c>
      <c r="IJ106" s="290">
        <f t="shared" si="739"/>
        <v>0</v>
      </c>
      <c r="IK106" s="290">
        <f t="shared" si="740"/>
        <v>0</v>
      </c>
      <c r="IL106" s="290">
        <f t="shared" si="741"/>
        <v>0</v>
      </c>
      <c r="IM106" s="290">
        <f t="shared" si="742"/>
        <v>0</v>
      </c>
      <c r="IN106" s="290">
        <f t="shared" si="743"/>
        <v>0</v>
      </c>
      <c r="IO106" s="290">
        <f t="shared" si="744"/>
        <v>0</v>
      </c>
      <c r="IP106" s="290">
        <f t="shared" si="745"/>
        <v>0</v>
      </c>
      <c r="IQ106" s="290">
        <f t="shared" si="746"/>
        <v>0</v>
      </c>
      <c r="IR106" s="291">
        <f t="shared" si="747"/>
        <v>0</v>
      </c>
      <c r="IS106" s="291">
        <f t="shared" si="748"/>
        <v>0</v>
      </c>
      <c r="IT106" s="291">
        <f t="shared" si="749"/>
        <v>0</v>
      </c>
      <c r="IU106" s="292">
        <f t="shared" si="750"/>
        <v>0</v>
      </c>
      <c r="IV106" s="999">
        <v>15</v>
      </c>
      <c r="IW106" s="286">
        <f t="shared" si="868"/>
        <v>44150</v>
      </c>
      <c r="IX106" s="287">
        <f t="shared" si="592"/>
        <v>44150</v>
      </c>
      <c r="IY106" s="288">
        <f>'दैनिक माहिती'!M244</f>
        <v>0</v>
      </c>
      <c r="IZ106" s="289">
        <f>'दैनिक माहिती'!J244</f>
        <v>0</v>
      </c>
      <c r="JA106" s="289">
        <f>'दैनिक माहिती'!K244</f>
        <v>0</v>
      </c>
      <c r="JB106" s="289">
        <f>'दैनिक माहिती'!L244</f>
        <v>0</v>
      </c>
      <c r="JC106" s="290">
        <f t="shared" si="751"/>
        <v>0</v>
      </c>
      <c r="JD106" s="290">
        <f t="shared" si="752"/>
        <v>0</v>
      </c>
      <c r="JE106" s="290">
        <f t="shared" si="753"/>
        <v>0</v>
      </c>
      <c r="JF106" s="290">
        <f t="shared" si="754"/>
        <v>0</v>
      </c>
      <c r="JG106" s="290">
        <f t="shared" si="755"/>
        <v>0</v>
      </c>
      <c r="JH106" s="290">
        <f t="shared" si="756"/>
        <v>0</v>
      </c>
      <c r="JI106" s="290">
        <f t="shared" si="757"/>
        <v>0</v>
      </c>
      <c r="JJ106" s="290">
        <f t="shared" si="758"/>
        <v>0</v>
      </c>
      <c r="JK106" s="290">
        <f t="shared" si="759"/>
        <v>0</v>
      </c>
      <c r="JL106" s="290">
        <f t="shared" si="760"/>
        <v>0</v>
      </c>
      <c r="JM106" s="290">
        <f t="shared" si="761"/>
        <v>0</v>
      </c>
      <c r="JN106" s="290">
        <f t="shared" si="762"/>
        <v>0</v>
      </c>
      <c r="JO106" s="290">
        <f t="shared" si="763"/>
        <v>0</v>
      </c>
      <c r="JP106" s="290">
        <f t="shared" si="764"/>
        <v>0</v>
      </c>
      <c r="JQ106" s="290">
        <f t="shared" si="765"/>
        <v>0</v>
      </c>
      <c r="JR106" s="290">
        <f t="shared" si="766"/>
        <v>0</v>
      </c>
      <c r="JS106" s="290">
        <f t="shared" si="767"/>
        <v>0</v>
      </c>
      <c r="JT106" s="290">
        <f t="shared" si="768"/>
        <v>0</v>
      </c>
      <c r="JU106" s="291">
        <f t="shared" si="769"/>
        <v>0</v>
      </c>
      <c r="JV106" s="291">
        <f t="shared" si="770"/>
        <v>0</v>
      </c>
      <c r="JW106" s="291">
        <f t="shared" si="771"/>
        <v>0</v>
      </c>
      <c r="JX106" s="292">
        <f t="shared" si="772"/>
        <v>0</v>
      </c>
      <c r="JY106" s="999">
        <v>15</v>
      </c>
      <c r="JZ106" s="286">
        <f t="shared" si="869"/>
        <v>44180</v>
      </c>
      <c r="KA106" s="287">
        <f t="shared" si="593"/>
        <v>44180</v>
      </c>
      <c r="KB106" s="288">
        <f>'दैनिक माहिती'!M275</f>
        <v>0</v>
      </c>
      <c r="KC106" s="289">
        <f>'दैनिक माहिती'!J275</f>
        <v>0</v>
      </c>
      <c r="KD106" s="289">
        <f>'दैनिक माहिती'!K275</f>
        <v>0</v>
      </c>
      <c r="KE106" s="289">
        <f>'दैनिक माहिती'!L275</f>
        <v>0</v>
      </c>
      <c r="KF106" s="290">
        <f t="shared" si="773"/>
        <v>0</v>
      </c>
      <c r="KG106" s="290">
        <f t="shared" si="774"/>
        <v>0</v>
      </c>
      <c r="KH106" s="290">
        <f t="shared" si="775"/>
        <v>0</v>
      </c>
      <c r="KI106" s="290">
        <f t="shared" si="776"/>
        <v>0</v>
      </c>
      <c r="KJ106" s="290">
        <f t="shared" si="777"/>
        <v>0</v>
      </c>
      <c r="KK106" s="290">
        <f t="shared" si="778"/>
        <v>0</v>
      </c>
      <c r="KL106" s="290">
        <f t="shared" si="779"/>
        <v>0</v>
      </c>
      <c r="KM106" s="290">
        <f t="shared" si="780"/>
        <v>0</v>
      </c>
      <c r="KN106" s="290">
        <f t="shared" si="781"/>
        <v>0</v>
      </c>
      <c r="KO106" s="290">
        <f t="shared" si="782"/>
        <v>0</v>
      </c>
      <c r="KP106" s="290">
        <f t="shared" si="783"/>
        <v>0</v>
      </c>
      <c r="KQ106" s="290">
        <f t="shared" si="784"/>
        <v>0</v>
      </c>
      <c r="KR106" s="290">
        <f t="shared" si="785"/>
        <v>0</v>
      </c>
      <c r="KS106" s="290">
        <f t="shared" si="786"/>
        <v>0</v>
      </c>
      <c r="KT106" s="290">
        <f t="shared" si="787"/>
        <v>0</v>
      </c>
      <c r="KU106" s="290">
        <f t="shared" si="788"/>
        <v>0</v>
      </c>
      <c r="KV106" s="290">
        <f t="shared" si="789"/>
        <v>0</v>
      </c>
      <c r="KW106" s="290">
        <f t="shared" si="790"/>
        <v>0</v>
      </c>
      <c r="KX106" s="291">
        <f t="shared" si="791"/>
        <v>0</v>
      </c>
      <c r="KY106" s="291">
        <f t="shared" si="792"/>
        <v>0</v>
      </c>
      <c r="KZ106" s="291">
        <f t="shared" si="793"/>
        <v>0</v>
      </c>
      <c r="LA106" s="292">
        <f t="shared" si="794"/>
        <v>0</v>
      </c>
      <c r="LB106" s="999">
        <v>15</v>
      </c>
      <c r="LC106" s="286">
        <f t="shared" si="870"/>
        <v>44211</v>
      </c>
      <c r="LD106" s="287">
        <f t="shared" si="594"/>
        <v>44211</v>
      </c>
      <c r="LE106" s="288">
        <f>'दैनिक माहिती'!M307</f>
        <v>0</v>
      </c>
      <c r="LF106" s="289">
        <f>'दैनिक माहिती'!J307</f>
        <v>0</v>
      </c>
      <c r="LG106" s="289">
        <f>'दैनिक माहिती'!K307</f>
        <v>0</v>
      </c>
      <c r="LH106" s="289">
        <f>'दैनिक माहिती'!L307</f>
        <v>0</v>
      </c>
      <c r="LI106" s="290">
        <f t="shared" si="795"/>
        <v>0</v>
      </c>
      <c r="LJ106" s="290">
        <f t="shared" si="796"/>
        <v>0</v>
      </c>
      <c r="LK106" s="290">
        <f t="shared" si="797"/>
        <v>0</v>
      </c>
      <c r="LL106" s="290">
        <f t="shared" si="798"/>
        <v>0</v>
      </c>
      <c r="LM106" s="290">
        <f t="shared" si="799"/>
        <v>0</v>
      </c>
      <c r="LN106" s="290">
        <f t="shared" si="800"/>
        <v>0</v>
      </c>
      <c r="LO106" s="290">
        <f t="shared" si="801"/>
        <v>0</v>
      </c>
      <c r="LP106" s="290">
        <f t="shared" si="802"/>
        <v>0</v>
      </c>
      <c r="LQ106" s="290">
        <f t="shared" si="803"/>
        <v>0</v>
      </c>
      <c r="LR106" s="290">
        <f t="shared" si="804"/>
        <v>0</v>
      </c>
      <c r="LS106" s="290">
        <f t="shared" si="805"/>
        <v>0</v>
      </c>
      <c r="LT106" s="290">
        <f t="shared" si="806"/>
        <v>0</v>
      </c>
      <c r="LU106" s="290">
        <f t="shared" si="807"/>
        <v>0</v>
      </c>
      <c r="LV106" s="290">
        <f t="shared" si="808"/>
        <v>0</v>
      </c>
      <c r="LW106" s="290">
        <f t="shared" si="809"/>
        <v>0</v>
      </c>
      <c r="LX106" s="290">
        <f t="shared" si="810"/>
        <v>0</v>
      </c>
      <c r="LY106" s="290">
        <f t="shared" si="811"/>
        <v>0</v>
      </c>
      <c r="LZ106" s="290">
        <f t="shared" si="812"/>
        <v>0</v>
      </c>
      <c r="MA106" s="291">
        <f t="shared" si="813"/>
        <v>0</v>
      </c>
      <c r="MB106" s="291">
        <f t="shared" si="814"/>
        <v>0</v>
      </c>
      <c r="MC106" s="291">
        <f t="shared" si="815"/>
        <v>0</v>
      </c>
      <c r="MD106" s="292">
        <f t="shared" si="816"/>
        <v>0</v>
      </c>
      <c r="ME106" s="999">
        <v>15</v>
      </c>
      <c r="MF106" s="286">
        <f t="shared" si="871"/>
        <v>44242</v>
      </c>
      <c r="MG106" s="287">
        <f t="shared" si="595"/>
        <v>44242</v>
      </c>
      <c r="MH106" s="288">
        <f>'दैनिक माहिती'!M339</f>
        <v>0</v>
      </c>
      <c r="MI106" s="289">
        <f>'दैनिक माहिती'!J339</f>
        <v>0</v>
      </c>
      <c r="MJ106" s="289">
        <f>'दैनिक माहिती'!K339</f>
        <v>0</v>
      </c>
      <c r="MK106" s="289">
        <f>'दैनिक माहिती'!L339</f>
        <v>0</v>
      </c>
      <c r="ML106" s="290">
        <f t="shared" si="817"/>
        <v>0</v>
      </c>
      <c r="MM106" s="290">
        <f t="shared" si="818"/>
        <v>0</v>
      </c>
      <c r="MN106" s="290">
        <f t="shared" si="819"/>
        <v>0</v>
      </c>
      <c r="MO106" s="290">
        <f t="shared" si="820"/>
        <v>0</v>
      </c>
      <c r="MP106" s="290">
        <f t="shared" si="821"/>
        <v>0</v>
      </c>
      <c r="MQ106" s="290">
        <f t="shared" si="822"/>
        <v>0</v>
      </c>
      <c r="MR106" s="290">
        <f t="shared" si="823"/>
        <v>0</v>
      </c>
      <c r="MS106" s="290">
        <f t="shared" si="824"/>
        <v>0</v>
      </c>
      <c r="MT106" s="290">
        <f t="shared" si="825"/>
        <v>0</v>
      </c>
      <c r="MU106" s="290">
        <f t="shared" si="826"/>
        <v>0</v>
      </c>
      <c r="MV106" s="290">
        <f t="shared" si="827"/>
        <v>0</v>
      </c>
      <c r="MW106" s="290">
        <f t="shared" si="828"/>
        <v>0</v>
      </c>
      <c r="MX106" s="290">
        <f t="shared" si="829"/>
        <v>0</v>
      </c>
      <c r="MY106" s="290">
        <f t="shared" si="830"/>
        <v>0</v>
      </c>
      <c r="MZ106" s="290">
        <f t="shared" si="831"/>
        <v>0</v>
      </c>
      <c r="NA106" s="290">
        <f t="shared" si="832"/>
        <v>0</v>
      </c>
      <c r="NB106" s="290">
        <f t="shared" si="833"/>
        <v>0</v>
      </c>
      <c r="NC106" s="290">
        <f t="shared" si="834"/>
        <v>0</v>
      </c>
      <c r="ND106" s="291">
        <f t="shared" si="835"/>
        <v>0</v>
      </c>
      <c r="NE106" s="291">
        <f t="shared" si="836"/>
        <v>0</v>
      </c>
      <c r="NF106" s="291">
        <f t="shared" si="837"/>
        <v>0</v>
      </c>
      <c r="NG106" s="292">
        <f t="shared" si="838"/>
        <v>0</v>
      </c>
      <c r="NH106" s="999">
        <v>15</v>
      </c>
      <c r="NI106" s="286">
        <f t="shared" si="872"/>
        <v>44270</v>
      </c>
      <c r="NJ106" s="287">
        <f t="shared" si="596"/>
        <v>44270</v>
      </c>
      <c r="NK106" s="288">
        <f>'दैनिक माहिती'!M369</f>
        <v>0</v>
      </c>
      <c r="NL106" s="289">
        <f>'दैनिक माहिती'!J369</f>
        <v>0</v>
      </c>
      <c r="NM106" s="289">
        <f>'दैनिक माहिती'!K369</f>
        <v>0</v>
      </c>
      <c r="NN106" s="289">
        <f>'दैनिक माहिती'!L369</f>
        <v>0</v>
      </c>
      <c r="NO106" s="290">
        <f t="shared" si="839"/>
        <v>0</v>
      </c>
      <c r="NP106" s="290">
        <f t="shared" si="840"/>
        <v>0</v>
      </c>
      <c r="NQ106" s="290">
        <f t="shared" si="841"/>
        <v>0</v>
      </c>
      <c r="NR106" s="290">
        <f t="shared" si="842"/>
        <v>0</v>
      </c>
      <c r="NS106" s="290">
        <f t="shared" si="843"/>
        <v>0</v>
      </c>
      <c r="NT106" s="290">
        <f t="shared" si="844"/>
        <v>0</v>
      </c>
      <c r="NU106" s="290">
        <f t="shared" si="845"/>
        <v>0</v>
      </c>
      <c r="NV106" s="290">
        <f t="shared" si="846"/>
        <v>0</v>
      </c>
      <c r="NW106" s="290">
        <f t="shared" si="847"/>
        <v>0</v>
      </c>
      <c r="NX106" s="290">
        <f t="shared" si="848"/>
        <v>0</v>
      </c>
      <c r="NY106" s="290">
        <f t="shared" si="849"/>
        <v>0</v>
      </c>
      <c r="NZ106" s="290">
        <f t="shared" si="850"/>
        <v>0</v>
      </c>
      <c r="OA106" s="290">
        <f t="shared" si="851"/>
        <v>0</v>
      </c>
      <c r="OB106" s="290">
        <f t="shared" si="852"/>
        <v>0</v>
      </c>
      <c r="OC106" s="290">
        <f t="shared" si="853"/>
        <v>0</v>
      </c>
      <c r="OD106" s="290">
        <f t="shared" si="854"/>
        <v>0</v>
      </c>
      <c r="OE106" s="290">
        <f t="shared" si="855"/>
        <v>0</v>
      </c>
      <c r="OF106" s="290">
        <f t="shared" si="856"/>
        <v>0</v>
      </c>
      <c r="OG106" s="291">
        <f t="shared" si="857"/>
        <v>0</v>
      </c>
      <c r="OH106" s="291">
        <f t="shared" si="858"/>
        <v>0</v>
      </c>
      <c r="OI106" s="291">
        <f t="shared" si="859"/>
        <v>0</v>
      </c>
      <c r="OJ106" s="292">
        <f t="shared" si="860"/>
        <v>0</v>
      </c>
    </row>
    <row r="107" spans="53:400" ht="29.25" customHeight="1" x14ac:dyDescent="0.3">
      <c r="BA107" s="999">
        <v>16</v>
      </c>
      <c r="BB107" s="286">
        <f t="shared" si="861"/>
        <v>43937</v>
      </c>
      <c r="BC107" s="287">
        <f t="shared" si="585"/>
        <v>43937</v>
      </c>
      <c r="BD107" s="288">
        <f>'दैनिक माहिती'!M24</f>
        <v>0</v>
      </c>
      <c r="BE107" s="289">
        <f>'दैनिक माहिती'!J24</f>
        <v>0</v>
      </c>
      <c r="BF107" s="289">
        <f>'दैनिक माहिती'!K24</f>
        <v>0</v>
      </c>
      <c r="BG107" s="289">
        <f>'दैनिक माहिती'!L24</f>
        <v>0</v>
      </c>
      <c r="BH107" s="290">
        <f t="shared" si="597"/>
        <v>0</v>
      </c>
      <c r="BI107" s="290">
        <f t="shared" si="598"/>
        <v>0</v>
      </c>
      <c r="BJ107" s="290">
        <f t="shared" si="599"/>
        <v>0</v>
      </c>
      <c r="BK107" s="290">
        <f t="shared" si="600"/>
        <v>0</v>
      </c>
      <c r="BL107" s="290">
        <f t="shared" si="601"/>
        <v>0</v>
      </c>
      <c r="BM107" s="290">
        <f t="shared" si="602"/>
        <v>0</v>
      </c>
      <c r="BN107" s="290">
        <f t="shared" si="603"/>
        <v>0</v>
      </c>
      <c r="BO107" s="290">
        <f t="shared" si="604"/>
        <v>0</v>
      </c>
      <c r="BP107" s="290">
        <f t="shared" si="605"/>
        <v>0</v>
      </c>
      <c r="BQ107" s="290">
        <f t="shared" si="606"/>
        <v>0</v>
      </c>
      <c r="BR107" s="290">
        <f t="shared" si="607"/>
        <v>0</v>
      </c>
      <c r="BS107" s="290">
        <f t="shared" si="608"/>
        <v>0</v>
      </c>
      <c r="BT107" s="290">
        <f t="shared" si="609"/>
        <v>0</v>
      </c>
      <c r="BU107" s="290">
        <f t="shared" si="610"/>
        <v>0</v>
      </c>
      <c r="BV107" s="290">
        <f t="shared" si="611"/>
        <v>0</v>
      </c>
      <c r="BW107" s="290">
        <f t="shared" si="612"/>
        <v>0</v>
      </c>
      <c r="BX107" s="290">
        <f t="shared" si="613"/>
        <v>0</v>
      </c>
      <c r="BY107" s="290">
        <f t="shared" si="614"/>
        <v>0</v>
      </c>
      <c r="BZ107" s="291">
        <f t="shared" si="615"/>
        <v>0</v>
      </c>
      <c r="CA107" s="291">
        <f t="shared" si="616"/>
        <v>0</v>
      </c>
      <c r="CB107" s="291">
        <f t="shared" si="617"/>
        <v>0</v>
      </c>
      <c r="CC107" s="292">
        <f t="shared" si="618"/>
        <v>0</v>
      </c>
      <c r="CD107" s="999">
        <v>16</v>
      </c>
      <c r="CE107" s="286">
        <f t="shared" si="862"/>
        <v>43967</v>
      </c>
      <c r="CF107" s="287">
        <f t="shared" si="586"/>
        <v>43967</v>
      </c>
      <c r="CG107" s="288">
        <f>'दैनिक माहिती'!M55</f>
        <v>0</v>
      </c>
      <c r="CH107" s="289">
        <f>'दैनिक माहिती'!J55</f>
        <v>0</v>
      </c>
      <c r="CI107" s="289">
        <f>'दैनिक माहिती'!K55</f>
        <v>0</v>
      </c>
      <c r="CJ107" s="289">
        <f>'दैनिक माहिती'!L55</f>
        <v>0</v>
      </c>
      <c r="CK107" s="290">
        <f t="shared" si="619"/>
        <v>0</v>
      </c>
      <c r="CL107" s="290">
        <f t="shared" si="620"/>
        <v>0</v>
      </c>
      <c r="CM107" s="290">
        <f t="shared" si="621"/>
        <v>0</v>
      </c>
      <c r="CN107" s="290">
        <f t="shared" si="622"/>
        <v>0</v>
      </c>
      <c r="CO107" s="290">
        <f t="shared" si="623"/>
        <v>0</v>
      </c>
      <c r="CP107" s="290">
        <f t="shared" si="624"/>
        <v>0</v>
      </c>
      <c r="CQ107" s="290">
        <f t="shared" si="625"/>
        <v>0</v>
      </c>
      <c r="CR107" s="290">
        <f t="shared" si="626"/>
        <v>0</v>
      </c>
      <c r="CS107" s="290">
        <f t="shared" si="627"/>
        <v>0</v>
      </c>
      <c r="CT107" s="290">
        <f t="shared" si="628"/>
        <v>0</v>
      </c>
      <c r="CU107" s="290">
        <f t="shared" si="629"/>
        <v>0</v>
      </c>
      <c r="CV107" s="290">
        <f t="shared" si="630"/>
        <v>0</v>
      </c>
      <c r="CW107" s="290">
        <f t="shared" si="631"/>
        <v>0</v>
      </c>
      <c r="CX107" s="290">
        <f t="shared" si="632"/>
        <v>0</v>
      </c>
      <c r="CY107" s="290">
        <f t="shared" si="633"/>
        <v>0</v>
      </c>
      <c r="CZ107" s="290">
        <f t="shared" si="634"/>
        <v>0</v>
      </c>
      <c r="DA107" s="290">
        <f t="shared" si="635"/>
        <v>0</v>
      </c>
      <c r="DB107" s="290">
        <f t="shared" si="636"/>
        <v>0</v>
      </c>
      <c r="DC107" s="291">
        <f t="shared" si="637"/>
        <v>0</v>
      </c>
      <c r="DD107" s="291">
        <f t="shared" si="638"/>
        <v>0</v>
      </c>
      <c r="DE107" s="291">
        <f t="shared" si="639"/>
        <v>0</v>
      </c>
      <c r="DF107" s="292">
        <f t="shared" si="640"/>
        <v>0</v>
      </c>
      <c r="DG107" s="999">
        <v>16</v>
      </c>
      <c r="DH107" s="286">
        <f t="shared" si="863"/>
        <v>43998</v>
      </c>
      <c r="DI107" s="287">
        <f t="shared" si="587"/>
        <v>43998</v>
      </c>
      <c r="DJ107" s="288">
        <f>'दैनिक माहिती'!M87</f>
        <v>0</v>
      </c>
      <c r="DK107" s="289">
        <f>'दैनिक माहिती'!J87</f>
        <v>0</v>
      </c>
      <c r="DL107" s="289">
        <f>'दैनिक माहिती'!K87</f>
        <v>0</v>
      </c>
      <c r="DM107" s="289">
        <f>'दैनिक माहिती'!L87</f>
        <v>0</v>
      </c>
      <c r="DN107" s="290">
        <f t="shared" si="641"/>
        <v>0</v>
      </c>
      <c r="DO107" s="290">
        <f t="shared" si="642"/>
        <v>0</v>
      </c>
      <c r="DP107" s="290">
        <f t="shared" si="643"/>
        <v>0</v>
      </c>
      <c r="DQ107" s="290">
        <f t="shared" si="644"/>
        <v>0</v>
      </c>
      <c r="DR107" s="290">
        <f t="shared" si="645"/>
        <v>0</v>
      </c>
      <c r="DS107" s="290">
        <f t="shared" si="646"/>
        <v>0</v>
      </c>
      <c r="DT107" s="290">
        <f t="shared" si="647"/>
        <v>0</v>
      </c>
      <c r="DU107" s="290">
        <f t="shared" si="648"/>
        <v>0</v>
      </c>
      <c r="DV107" s="290">
        <f t="shared" si="649"/>
        <v>0</v>
      </c>
      <c r="DW107" s="290">
        <f t="shared" si="650"/>
        <v>0</v>
      </c>
      <c r="DX107" s="290">
        <f t="shared" si="651"/>
        <v>0</v>
      </c>
      <c r="DY107" s="290">
        <f t="shared" si="652"/>
        <v>0</v>
      </c>
      <c r="DZ107" s="290">
        <f t="shared" si="653"/>
        <v>0</v>
      </c>
      <c r="EA107" s="290">
        <f t="shared" si="654"/>
        <v>0</v>
      </c>
      <c r="EB107" s="290">
        <f t="shared" si="655"/>
        <v>0</v>
      </c>
      <c r="EC107" s="290">
        <f t="shared" si="656"/>
        <v>0</v>
      </c>
      <c r="ED107" s="290">
        <f t="shared" si="657"/>
        <v>0</v>
      </c>
      <c r="EE107" s="290">
        <f t="shared" si="658"/>
        <v>0</v>
      </c>
      <c r="EF107" s="291">
        <f t="shared" si="659"/>
        <v>0</v>
      </c>
      <c r="EG107" s="291">
        <f t="shared" si="660"/>
        <v>0</v>
      </c>
      <c r="EH107" s="291">
        <f t="shared" si="661"/>
        <v>0</v>
      </c>
      <c r="EI107" s="292">
        <f t="shared" si="662"/>
        <v>0</v>
      </c>
      <c r="EJ107" s="999">
        <v>16</v>
      </c>
      <c r="EK107" s="286">
        <f t="shared" si="864"/>
        <v>44028</v>
      </c>
      <c r="EL107" s="287">
        <f t="shared" si="588"/>
        <v>44028</v>
      </c>
      <c r="EM107" s="288">
        <f>'दैनिक माहिती'!M118</f>
        <v>0</v>
      </c>
      <c r="EN107" s="289">
        <f>'दैनिक माहिती'!J118</f>
        <v>0</v>
      </c>
      <c r="EO107" s="289">
        <f>'दैनिक माहिती'!K118</f>
        <v>0</v>
      </c>
      <c r="EP107" s="289">
        <f>'दैनिक माहिती'!L118</f>
        <v>0</v>
      </c>
      <c r="EQ107" s="290">
        <f t="shared" si="663"/>
        <v>0</v>
      </c>
      <c r="ER107" s="290">
        <f t="shared" si="664"/>
        <v>0</v>
      </c>
      <c r="ES107" s="290">
        <f t="shared" si="665"/>
        <v>0</v>
      </c>
      <c r="ET107" s="290">
        <f t="shared" si="666"/>
        <v>0</v>
      </c>
      <c r="EU107" s="290">
        <f t="shared" si="667"/>
        <v>0</v>
      </c>
      <c r="EV107" s="290">
        <f t="shared" si="668"/>
        <v>0</v>
      </c>
      <c r="EW107" s="290">
        <f t="shared" si="669"/>
        <v>0</v>
      </c>
      <c r="EX107" s="290">
        <f t="shared" si="670"/>
        <v>0</v>
      </c>
      <c r="EY107" s="290">
        <f t="shared" si="671"/>
        <v>0</v>
      </c>
      <c r="EZ107" s="290">
        <f t="shared" si="672"/>
        <v>0</v>
      </c>
      <c r="FA107" s="290">
        <f t="shared" si="673"/>
        <v>0</v>
      </c>
      <c r="FB107" s="290">
        <f t="shared" si="674"/>
        <v>0</v>
      </c>
      <c r="FC107" s="290">
        <f t="shared" si="675"/>
        <v>0</v>
      </c>
      <c r="FD107" s="290">
        <f t="shared" si="676"/>
        <v>0</v>
      </c>
      <c r="FE107" s="290">
        <f t="shared" si="677"/>
        <v>0</v>
      </c>
      <c r="FF107" s="290">
        <f t="shared" si="678"/>
        <v>0</v>
      </c>
      <c r="FG107" s="290">
        <f t="shared" si="679"/>
        <v>0</v>
      </c>
      <c r="FH107" s="290">
        <f t="shared" si="680"/>
        <v>0</v>
      </c>
      <c r="FI107" s="291">
        <f t="shared" si="681"/>
        <v>0</v>
      </c>
      <c r="FJ107" s="291">
        <f t="shared" si="682"/>
        <v>0</v>
      </c>
      <c r="FK107" s="291">
        <f t="shared" si="683"/>
        <v>0</v>
      </c>
      <c r="FL107" s="292">
        <f t="shared" si="684"/>
        <v>0</v>
      </c>
      <c r="FM107" s="999">
        <v>16</v>
      </c>
      <c r="FN107" s="286">
        <f t="shared" si="865"/>
        <v>44059</v>
      </c>
      <c r="FO107" s="287">
        <f t="shared" si="589"/>
        <v>44059</v>
      </c>
      <c r="FP107" s="288">
        <f>'दैनिक माहिती'!M150</f>
        <v>0</v>
      </c>
      <c r="FQ107" s="289">
        <f>'दैनिक माहिती'!J150</f>
        <v>0</v>
      </c>
      <c r="FR107" s="289">
        <f>'दैनिक माहिती'!K150</f>
        <v>0</v>
      </c>
      <c r="FS107" s="289">
        <f>'दैनिक माहिती'!L150</f>
        <v>0</v>
      </c>
      <c r="FT107" s="290">
        <f t="shared" si="685"/>
        <v>0</v>
      </c>
      <c r="FU107" s="290">
        <f t="shared" si="686"/>
        <v>0</v>
      </c>
      <c r="FV107" s="290">
        <f t="shared" si="687"/>
        <v>0</v>
      </c>
      <c r="FW107" s="290">
        <f t="shared" si="688"/>
        <v>0</v>
      </c>
      <c r="FX107" s="290">
        <f t="shared" si="689"/>
        <v>0</v>
      </c>
      <c r="FY107" s="290">
        <f t="shared" si="690"/>
        <v>0</v>
      </c>
      <c r="FZ107" s="290">
        <f t="shared" si="691"/>
        <v>0</v>
      </c>
      <c r="GA107" s="290">
        <f t="shared" si="692"/>
        <v>0</v>
      </c>
      <c r="GB107" s="290">
        <f t="shared" si="693"/>
        <v>0</v>
      </c>
      <c r="GC107" s="290">
        <f t="shared" si="694"/>
        <v>0</v>
      </c>
      <c r="GD107" s="290">
        <f t="shared" si="695"/>
        <v>0</v>
      </c>
      <c r="GE107" s="290">
        <f t="shared" si="696"/>
        <v>0</v>
      </c>
      <c r="GF107" s="290">
        <f t="shared" si="697"/>
        <v>0</v>
      </c>
      <c r="GG107" s="290">
        <f t="shared" si="698"/>
        <v>0</v>
      </c>
      <c r="GH107" s="290">
        <f t="shared" si="699"/>
        <v>0</v>
      </c>
      <c r="GI107" s="290">
        <f t="shared" si="700"/>
        <v>0</v>
      </c>
      <c r="GJ107" s="290">
        <f t="shared" si="701"/>
        <v>0</v>
      </c>
      <c r="GK107" s="290">
        <f t="shared" si="702"/>
        <v>0</v>
      </c>
      <c r="GL107" s="291">
        <f t="shared" si="703"/>
        <v>0</v>
      </c>
      <c r="GM107" s="291">
        <f t="shared" si="704"/>
        <v>0</v>
      </c>
      <c r="GN107" s="291">
        <f t="shared" si="705"/>
        <v>0</v>
      </c>
      <c r="GO107" s="292">
        <f t="shared" si="706"/>
        <v>0</v>
      </c>
      <c r="GP107" s="999">
        <v>16</v>
      </c>
      <c r="GQ107" s="286">
        <f t="shared" si="866"/>
        <v>44090</v>
      </c>
      <c r="GR107" s="287">
        <f t="shared" si="590"/>
        <v>44090</v>
      </c>
      <c r="GS107" s="288">
        <f>'दैनिक माहिती'!M182</f>
        <v>0</v>
      </c>
      <c r="GT107" s="289">
        <f>'दैनिक माहिती'!J182</f>
        <v>0</v>
      </c>
      <c r="GU107" s="289">
        <f>'दैनिक माहिती'!K182</f>
        <v>0</v>
      </c>
      <c r="GV107" s="289">
        <f>'दैनिक माहिती'!L182</f>
        <v>0</v>
      </c>
      <c r="GW107" s="290">
        <f t="shared" si="707"/>
        <v>0</v>
      </c>
      <c r="GX107" s="290">
        <f t="shared" si="708"/>
        <v>0</v>
      </c>
      <c r="GY107" s="290">
        <f t="shared" si="709"/>
        <v>0</v>
      </c>
      <c r="GZ107" s="290">
        <f t="shared" si="710"/>
        <v>0</v>
      </c>
      <c r="HA107" s="290">
        <f t="shared" si="711"/>
        <v>0</v>
      </c>
      <c r="HB107" s="290">
        <f t="shared" si="712"/>
        <v>0</v>
      </c>
      <c r="HC107" s="290">
        <f t="shared" si="713"/>
        <v>0</v>
      </c>
      <c r="HD107" s="290">
        <f t="shared" si="714"/>
        <v>0</v>
      </c>
      <c r="HE107" s="290">
        <f t="shared" si="715"/>
        <v>0</v>
      </c>
      <c r="HF107" s="290">
        <f t="shared" si="716"/>
        <v>0</v>
      </c>
      <c r="HG107" s="290">
        <f t="shared" si="717"/>
        <v>0</v>
      </c>
      <c r="HH107" s="290">
        <f t="shared" si="718"/>
        <v>0</v>
      </c>
      <c r="HI107" s="290">
        <f t="shared" si="719"/>
        <v>0</v>
      </c>
      <c r="HJ107" s="290">
        <f t="shared" si="720"/>
        <v>0</v>
      </c>
      <c r="HK107" s="290">
        <f t="shared" si="721"/>
        <v>0</v>
      </c>
      <c r="HL107" s="290">
        <f t="shared" si="722"/>
        <v>0</v>
      </c>
      <c r="HM107" s="290">
        <f t="shared" si="723"/>
        <v>0</v>
      </c>
      <c r="HN107" s="290">
        <f t="shared" si="724"/>
        <v>0</v>
      </c>
      <c r="HO107" s="291">
        <f t="shared" si="725"/>
        <v>0</v>
      </c>
      <c r="HP107" s="291">
        <f t="shared" si="726"/>
        <v>0</v>
      </c>
      <c r="HQ107" s="291">
        <f t="shared" si="727"/>
        <v>0</v>
      </c>
      <c r="HR107" s="292">
        <f t="shared" si="728"/>
        <v>0</v>
      </c>
      <c r="HS107" s="999">
        <v>16</v>
      </c>
      <c r="HT107" s="286">
        <f t="shared" si="867"/>
        <v>44120</v>
      </c>
      <c r="HU107" s="287">
        <f t="shared" si="591"/>
        <v>44120</v>
      </c>
      <c r="HV107" s="288">
        <f>'दैनिक माहिती'!M213</f>
        <v>0</v>
      </c>
      <c r="HW107" s="289">
        <f>'दैनिक माहिती'!J213</f>
        <v>0</v>
      </c>
      <c r="HX107" s="289">
        <f>'दैनिक माहिती'!K213</f>
        <v>0</v>
      </c>
      <c r="HY107" s="289">
        <f>'दैनिक माहिती'!L213</f>
        <v>0</v>
      </c>
      <c r="HZ107" s="290">
        <f t="shared" si="729"/>
        <v>0</v>
      </c>
      <c r="IA107" s="290">
        <f t="shared" si="730"/>
        <v>0</v>
      </c>
      <c r="IB107" s="290">
        <f t="shared" si="731"/>
        <v>0</v>
      </c>
      <c r="IC107" s="290">
        <f t="shared" si="732"/>
        <v>0</v>
      </c>
      <c r="ID107" s="290">
        <f t="shared" si="733"/>
        <v>0</v>
      </c>
      <c r="IE107" s="290">
        <f t="shared" si="734"/>
        <v>0</v>
      </c>
      <c r="IF107" s="290">
        <f t="shared" si="735"/>
        <v>0</v>
      </c>
      <c r="IG107" s="290">
        <f t="shared" si="736"/>
        <v>0</v>
      </c>
      <c r="IH107" s="290">
        <f t="shared" si="737"/>
        <v>0</v>
      </c>
      <c r="II107" s="290">
        <f t="shared" si="738"/>
        <v>0</v>
      </c>
      <c r="IJ107" s="290">
        <f t="shared" si="739"/>
        <v>0</v>
      </c>
      <c r="IK107" s="290">
        <f t="shared" si="740"/>
        <v>0</v>
      </c>
      <c r="IL107" s="290">
        <f t="shared" si="741"/>
        <v>0</v>
      </c>
      <c r="IM107" s="290">
        <f t="shared" si="742"/>
        <v>0</v>
      </c>
      <c r="IN107" s="290">
        <f t="shared" si="743"/>
        <v>0</v>
      </c>
      <c r="IO107" s="290">
        <f t="shared" si="744"/>
        <v>0</v>
      </c>
      <c r="IP107" s="290">
        <f t="shared" si="745"/>
        <v>0</v>
      </c>
      <c r="IQ107" s="290">
        <f t="shared" si="746"/>
        <v>0</v>
      </c>
      <c r="IR107" s="291">
        <f t="shared" si="747"/>
        <v>0</v>
      </c>
      <c r="IS107" s="291">
        <f t="shared" si="748"/>
        <v>0</v>
      </c>
      <c r="IT107" s="291">
        <f t="shared" si="749"/>
        <v>0</v>
      </c>
      <c r="IU107" s="292">
        <f t="shared" si="750"/>
        <v>0</v>
      </c>
      <c r="IV107" s="999">
        <v>16</v>
      </c>
      <c r="IW107" s="286">
        <f t="shared" si="868"/>
        <v>44151</v>
      </c>
      <c r="IX107" s="287">
        <f t="shared" si="592"/>
        <v>44151</v>
      </c>
      <c r="IY107" s="288">
        <f>'दैनिक माहिती'!M245</f>
        <v>0</v>
      </c>
      <c r="IZ107" s="289">
        <f>'दैनिक माहिती'!J245</f>
        <v>0</v>
      </c>
      <c r="JA107" s="289">
        <f>'दैनिक माहिती'!K245</f>
        <v>0</v>
      </c>
      <c r="JB107" s="289">
        <f>'दैनिक माहिती'!L245</f>
        <v>0</v>
      </c>
      <c r="JC107" s="290">
        <f t="shared" si="751"/>
        <v>0</v>
      </c>
      <c r="JD107" s="290">
        <f t="shared" si="752"/>
        <v>0</v>
      </c>
      <c r="JE107" s="290">
        <f t="shared" si="753"/>
        <v>0</v>
      </c>
      <c r="JF107" s="290">
        <f t="shared" si="754"/>
        <v>0</v>
      </c>
      <c r="JG107" s="290">
        <f t="shared" si="755"/>
        <v>0</v>
      </c>
      <c r="JH107" s="290">
        <f t="shared" si="756"/>
        <v>0</v>
      </c>
      <c r="JI107" s="290">
        <f t="shared" si="757"/>
        <v>0</v>
      </c>
      <c r="JJ107" s="290">
        <f t="shared" si="758"/>
        <v>0</v>
      </c>
      <c r="JK107" s="290">
        <f t="shared" si="759"/>
        <v>0</v>
      </c>
      <c r="JL107" s="290">
        <f t="shared" si="760"/>
        <v>0</v>
      </c>
      <c r="JM107" s="290">
        <f t="shared" si="761"/>
        <v>0</v>
      </c>
      <c r="JN107" s="290">
        <f t="shared" si="762"/>
        <v>0</v>
      </c>
      <c r="JO107" s="290">
        <f t="shared" si="763"/>
        <v>0</v>
      </c>
      <c r="JP107" s="290">
        <f t="shared" si="764"/>
        <v>0</v>
      </c>
      <c r="JQ107" s="290">
        <f t="shared" si="765"/>
        <v>0</v>
      </c>
      <c r="JR107" s="290">
        <f t="shared" si="766"/>
        <v>0</v>
      </c>
      <c r="JS107" s="290">
        <f t="shared" si="767"/>
        <v>0</v>
      </c>
      <c r="JT107" s="290">
        <f t="shared" si="768"/>
        <v>0</v>
      </c>
      <c r="JU107" s="291">
        <f t="shared" si="769"/>
        <v>0</v>
      </c>
      <c r="JV107" s="291">
        <f t="shared" si="770"/>
        <v>0</v>
      </c>
      <c r="JW107" s="291">
        <f t="shared" si="771"/>
        <v>0</v>
      </c>
      <c r="JX107" s="292">
        <f t="shared" si="772"/>
        <v>0</v>
      </c>
      <c r="JY107" s="999">
        <v>16</v>
      </c>
      <c r="JZ107" s="286">
        <f t="shared" si="869"/>
        <v>44181</v>
      </c>
      <c r="KA107" s="287">
        <f t="shared" si="593"/>
        <v>44181</v>
      </c>
      <c r="KB107" s="288">
        <f>'दैनिक माहिती'!M276</f>
        <v>0</v>
      </c>
      <c r="KC107" s="289">
        <f>'दैनिक माहिती'!J276</f>
        <v>0</v>
      </c>
      <c r="KD107" s="289">
        <f>'दैनिक माहिती'!K276</f>
        <v>0</v>
      </c>
      <c r="KE107" s="289">
        <f>'दैनिक माहिती'!L276</f>
        <v>0</v>
      </c>
      <c r="KF107" s="290">
        <f t="shared" si="773"/>
        <v>0</v>
      </c>
      <c r="KG107" s="290">
        <f t="shared" si="774"/>
        <v>0</v>
      </c>
      <c r="KH107" s="290">
        <f t="shared" si="775"/>
        <v>0</v>
      </c>
      <c r="KI107" s="290">
        <f t="shared" si="776"/>
        <v>0</v>
      </c>
      <c r="KJ107" s="290">
        <f t="shared" si="777"/>
        <v>0</v>
      </c>
      <c r="KK107" s="290">
        <f t="shared" si="778"/>
        <v>0</v>
      </c>
      <c r="KL107" s="290">
        <f t="shared" si="779"/>
        <v>0</v>
      </c>
      <c r="KM107" s="290">
        <f t="shared" si="780"/>
        <v>0</v>
      </c>
      <c r="KN107" s="290">
        <f t="shared" si="781"/>
        <v>0</v>
      </c>
      <c r="KO107" s="290">
        <f t="shared" si="782"/>
        <v>0</v>
      </c>
      <c r="KP107" s="290">
        <f t="shared" si="783"/>
        <v>0</v>
      </c>
      <c r="KQ107" s="290">
        <f t="shared" si="784"/>
        <v>0</v>
      </c>
      <c r="KR107" s="290">
        <f t="shared" si="785"/>
        <v>0</v>
      </c>
      <c r="KS107" s="290">
        <f t="shared" si="786"/>
        <v>0</v>
      </c>
      <c r="KT107" s="290">
        <f t="shared" si="787"/>
        <v>0</v>
      </c>
      <c r="KU107" s="290">
        <f t="shared" si="788"/>
        <v>0</v>
      </c>
      <c r="KV107" s="290">
        <f t="shared" si="789"/>
        <v>0</v>
      </c>
      <c r="KW107" s="290">
        <f t="shared" si="790"/>
        <v>0</v>
      </c>
      <c r="KX107" s="291">
        <f t="shared" si="791"/>
        <v>0</v>
      </c>
      <c r="KY107" s="291">
        <f t="shared" si="792"/>
        <v>0</v>
      </c>
      <c r="KZ107" s="291">
        <f t="shared" si="793"/>
        <v>0</v>
      </c>
      <c r="LA107" s="292">
        <f t="shared" si="794"/>
        <v>0</v>
      </c>
      <c r="LB107" s="999">
        <v>16</v>
      </c>
      <c r="LC107" s="286">
        <f t="shared" si="870"/>
        <v>44212</v>
      </c>
      <c r="LD107" s="287">
        <f t="shared" si="594"/>
        <v>44212</v>
      </c>
      <c r="LE107" s="288">
        <f>'दैनिक माहिती'!M308</f>
        <v>0</v>
      </c>
      <c r="LF107" s="289">
        <f>'दैनिक माहिती'!J308</f>
        <v>0</v>
      </c>
      <c r="LG107" s="289">
        <f>'दैनिक माहिती'!K308</f>
        <v>0</v>
      </c>
      <c r="LH107" s="289">
        <f>'दैनिक माहिती'!L308</f>
        <v>0</v>
      </c>
      <c r="LI107" s="290">
        <f t="shared" si="795"/>
        <v>0</v>
      </c>
      <c r="LJ107" s="290">
        <f t="shared" si="796"/>
        <v>0</v>
      </c>
      <c r="LK107" s="290">
        <f t="shared" si="797"/>
        <v>0</v>
      </c>
      <c r="LL107" s="290">
        <f t="shared" si="798"/>
        <v>0</v>
      </c>
      <c r="LM107" s="290">
        <f t="shared" si="799"/>
        <v>0</v>
      </c>
      <c r="LN107" s="290">
        <f t="shared" si="800"/>
        <v>0</v>
      </c>
      <c r="LO107" s="290">
        <f t="shared" si="801"/>
        <v>0</v>
      </c>
      <c r="LP107" s="290">
        <f t="shared" si="802"/>
        <v>0</v>
      </c>
      <c r="LQ107" s="290">
        <f t="shared" si="803"/>
        <v>0</v>
      </c>
      <c r="LR107" s="290">
        <f t="shared" si="804"/>
        <v>0</v>
      </c>
      <c r="LS107" s="290">
        <f t="shared" si="805"/>
        <v>0</v>
      </c>
      <c r="LT107" s="290">
        <f t="shared" si="806"/>
        <v>0</v>
      </c>
      <c r="LU107" s="290">
        <f t="shared" si="807"/>
        <v>0</v>
      </c>
      <c r="LV107" s="290">
        <f t="shared" si="808"/>
        <v>0</v>
      </c>
      <c r="LW107" s="290">
        <f t="shared" si="809"/>
        <v>0</v>
      </c>
      <c r="LX107" s="290">
        <f t="shared" si="810"/>
        <v>0</v>
      </c>
      <c r="LY107" s="290">
        <f t="shared" si="811"/>
        <v>0</v>
      </c>
      <c r="LZ107" s="290">
        <f t="shared" si="812"/>
        <v>0</v>
      </c>
      <c r="MA107" s="291">
        <f t="shared" si="813"/>
        <v>0</v>
      </c>
      <c r="MB107" s="291">
        <f t="shared" si="814"/>
        <v>0</v>
      </c>
      <c r="MC107" s="291">
        <f t="shared" si="815"/>
        <v>0</v>
      </c>
      <c r="MD107" s="292">
        <f t="shared" si="816"/>
        <v>0</v>
      </c>
      <c r="ME107" s="999">
        <v>16</v>
      </c>
      <c r="MF107" s="286">
        <f t="shared" si="871"/>
        <v>44243</v>
      </c>
      <c r="MG107" s="287">
        <f t="shared" si="595"/>
        <v>44243</v>
      </c>
      <c r="MH107" s="288">
        <f>'दैनिक माहिती'!M340</f>
        <v>0</v>
      </c>
      <c r="MI107" s="289">
        <f>'दैनिक माहिती'!J340</f>
        <v>0</v>
      </c>
      <c r="MJ107" s="289">
        <f>'दैनिक माहिती'!K340</f>
        <v>0</v>
      </c>
      <c r="MK107" s="289">
        <f>'दैनिक माहिती'!L340</f>
        <v>0</v>
      </c>
      <c r="ML107" s="290">
        <f t="shared" si="817"/>
        <v>0</v>
      </c>
      <c r="MM107" s="290">
        <f t="shared" si="818"/>
        <v>0</v>
      </c>
      <c r="MN107" s="290">
        <f t="shared" si="819"/>
        <v>0</v>
      </c>
      <c r="MO107" s="290">
        <f t="shared" si="820"/>
        <v>0</v>
      </c>
      <c r="MP107" s="290">
        <f t="shared" si="821"/>
        <v>0</v>
      </c>
      <c r="MQ107" s="290">
        <f t="shared" si="822"/>
        <v>0</v>
      </c>
      <c r="MR107" s="290">
        <f t="shared" si="823"/>
        <v>0</v>
      </c>
      <c r="MS107" s="290">
        <f t="shared" si="824"/>
        <v>0</v>
      </c>
      <c r="MT107" s="290">
        <f t="shared" si="825"/>
        <v>0</v>
      </c>
      <c r="MU107" s="290">
        <f t="shared" si="826"/>
        <v>0</v>
      </c>
      <c r="MV107" s="290">
        <f t="shared" si="827"/>
        <v>0</v>
      </c>
      <c r="MW107" s="290">
        <f t="shared" si="828"/>
        <v>0</v>
      </c>
      <c r="MX107" s="290">
        <f t="shared" si="829"/>
        <v>0</v>
      </c>
      <c r="MY107" s="290">
        <f t="shared" si="830"/>
        <v>0</v>
      </c>
      <c r="MZ107" s="290">
        <f t="shared" si="831"/>
        <v>0</v>
      </c>
      <c r="NA107" s="290">
        <f t="shared" si="832"/>
        <v>0</v>
      </c>
      <c r="NB107" s="290">
        <f t="shared" si="833"/>
        <v>0</v>
      </c>
      <c r="NC107" s="290">
        <f t="shared" si="834"/>
        <v>0</v>
      </c>
      <c r="ND107" s="291">
        <f t="shared" si="835"/>
        <v>0</v>
      </c>
      <c r="NE107" s="291">
        <f t="shared" si="836"/>
        <v>0</v>
      </c>
      <c r="NF107" s="291">
        <f t="shared" si="837"/>
        <v>0</v>
      </c>
      <c r="NG107" s="292">
        <f t="shared" si="838"/>
        <v>0</v>
      </c>
      <c r="NH107" s="999">
        <v>16</v>
      </c>
      <c r="NI107" s="286">
        <f t="shared" si="872"/>
        <v>44271</v>
      </c>
      <c r="NJ107" s="287">
        <f t="shared" si="596"/>
        <v>44271</v>
      </c>
      <c r="NK107" s="288">
        <f>'दैनिक माहिती'!M370</f>
        <v>0</v>
      </c>
      <c r="NL107" s="289">
        <f>'दैनिक माहिती'!J370</f>
        <v>0</v>
      </c>
      <c r="NM107" s="289">
        <f>'दैनिक माहिती'!K370</f>
        <v>0</v>
      </c>
      <c r="NN107" s="289">
        <f>'दैनिक माहिती'!L370</f>
        <v>0</v>
      </c>
      <c r="NO107" s="290">
        <f t="shared" si="839"/>
        <v>0</v>
      </c>
      <c r="NP107" s="290">
        <f t="shared" si="840"/>
        <v>0</v>
      </c>
      <c r="NQ107" s="290">
        <f t="shared" si="841"/>
        <v>0</v>
      </c>
      <c r="NR107" s="290">
        <f t="shared" si="842"/>
        <v>0</v>
      </c>
      <c r="NS107" s="290">
        <f t="shared" si="843"/>
        <v>0</v>
      </c>
      <c r="NT107" s="290">
        <f t="shared" si="844"/>
        <v>0</v>
      </c>
      <c r="NU107" s="290">
        <f t="shared" si="845"/>
        <v>0</v>
      </c>
      <c r="NV107" s="290">
        <f t="shared" si="846"/>
        <v>0</v>
      </c>
      <c r="NW107" s="290">
        <f t="shared" si="847"/>
        <v>0</v>
      </c>
      <c r="NX107" s="290">
        <f t="shared" si="848"/>
        <v>0</v>
      </c>
      <c r="NY107" s="290">
        <f t="shared" si="849"/>
        <v>0</v>
      </c>
      <c r="NZ107" s="290">
        <f t="shared" si="850"/>
        <v>0</v>
      </c>
      <c r="OA107" s="290">
        <f t="shared" si="851"/>
        <v>0</v>
      </c>
      <c r="OB107" s="290">
        <f t="shared" si="852"/>
        <v>0</v>
      </c>
      <c r="OC107" s="290">
        <f t="shared" si="853"/>
        <v>0</v>
      </c>
      <c r="OD107" s="290">
        <f t="shared" si="854"/>
        <v>0</v>
      </c>
      <c r="OE107" s="290">
        <f t="shared" si="855"/>
        <v>0</v>
      </c>
      <c r="OF107" s="290">
        <f t="shared" si="856"/>
        <v>0</v>
      </c>
      <c r="OG107" s="291">
        <f t="shared" si="857"/>
        <v>0</v>
      </c>
      <c r="OH107" s="291">
        <f t="shared" si="858"/>
        <v>0</v>
      </c>
      <c r="OI107" s="291">
        <f t="shared" si="859"/>
        <v>0</v>
      </c>
      <c r="OJ107" s="292">
        <f t="shared" si="860"/>
        <v>0</v>
      </c>
    </row>
    <row r="108" spans="53:400" ht="29.25" customHeight="1" x14ac:dyDescent="0.3">
      <c r="BA108" s="999">
        <v>17</v>
      </c>
      <c r="BB108" s="286">
        <f t="shared" si="861"/>
        <v>43938</v>
      </c>
      <c r="BC108" s="293">
        <f t="shared" si="585"/>
        <v>43938</v>
      </c>
      <c r="BD108" s="288">
        <f>'दैनिक माहिती'!M25</f>
        <v>0</v>
      </c>
      <c r="BE108" s="289">
        <f>'दैनिक माहिती'!J25</f>
        <v>0</v>
      </c>
      <c r="BF108" s="289">
        <f>'दैनिक माहिती'!K25</f>
        <v>0</v>
      </c>
      <c r="BG108" s="289">
        <f>'दैनिक माहिती'!L25</f>
        <v>0</v>
      </c>
      <c r="BH108" s="290">
        <f t="shared" si="597"/>
        <v>0</v>
      </c>
      <c r="BI108" s="290">
        <f t="shared" si="598"/>
        <v>0</v>
      </c>
      <c r="BJ108" s="290">
        <f t="shared" si="599"/>
        <v>0</v>
      </c>
      <c r="BK108" s="290">
        <f t="shared" si="600"/>
        <v>0</v>
      </c>
      <c r="BL108" s="290">
        <f t="shared" si="601"/>
        <v>0</v>
      </c>
      <c r="BM108" s="290">
        <f t="shared" si="602"/>
        <v>0</v>
      </c>
      <c r="BN108" s="290">
        <f t="shared" si="603"/>
        <v>0</v>
      </c>
      <c r="BO108" s="290">
        <f t="shared" si="604"/>
        <v>0</v>
      </c>
      <c r="BP108" s="290">
        <f t="shared" si="605"/>
        <v>0</v>
      </c>
      <c r="BQ108" s="290">
        <f t="shared" si="606"/>
        <v>0</v>
      </c>
      <c r="BR108" s="290">
        <f t="shared" si="607"/>
        <v>0</v>
      </c>
      <c r="BS108" s="290">
        <f t="shared" si="608"/>
        <v>0</v>
      </c>
      <c r="BT108" s="290">
        <f t="shared" si="609"/>
        <v>0</v>
      </c>
      <c r="BU108" s="290">
        <f t="shared" si="610"/>
        <v>0</v>
      </c>
      <c r="BV108" s="290">
        <f t="shared" si="611"/>
        <v>0</v>
      </c>
      <c r="BW108" s="290">
        <f t="shared" si="612"/>
        <v>0</v>
      </c>
      <c r="BX108" s="290">
        <f t="shared" si="613"/>
        <v>0</v>
      </c>
      <c r="BY108" s="290">
        <f t="shared" si="614"/>
        <v>0</v>
      </c>
      <c r="BZ108" s="291">
        <f t="shared" si="615"/>
        <v>0</v>
      </c>
      <c r="CA108" s="291">
        <f t="shared" si="616"/>
        <v>0</v>
      </c>
      <c r="CB108" s="291">
        <f t="shared" si="617"/>
        <v>0</v>
      </c>
      <c r="CC108" s="292">
        <f t="shared" si="618"/>
        <v>0</v>
      </c>
      <c r="CD108" s="999">
        <v>17</v>
      </c>
      <c r="CE108" s="286">
        <f t="shared" si="862"/>
        <v>43968</v>
      </c>
      <c r="CF108" s="293">
        <f t="shared" si="586"/>
        <v>43968</v>
      </c>
      <c r="CG108" s="288">
        <f>'दैनिक माहिती'!M56</f>
        <v>0</v>
      </c>
      <c r="CH108" s="289">
        <f>'दैनिक माहिती'!J56</f>
        <v>0</v>
      </c>
      <c r="CI108" s="289">
        <f>'दैनिक माहिती'!K56</f>
        <v>0</v>
      </c>
      <c r="CJ108" s="289">
        <f>'दैनिक माहिती'!L56</f>
        <v>0</v>
      </c>
      <c r="CK108" s="290">
        <f t="shared" si="619"/>
        <v>0</v>
      </c>
      <c r="CL108" s="290">
        <f t="shared" si="620"/>
        <v>0</v>
      </c>
      <c r="CM108" s="290">
        <f t="shared" si="621"/>
        <v>0</v>
      </c>
      <c r="CN108" s="290">
        <f t="shared" si="622"/>
        <v>0</v>
      </c>
      <c r="CO108" s="290">
        <f t="shared" si="623"/>
        <v>0</v>
      </c>
      <c r="CP108" s="290">
        <f t="shared" si="624"/>
        <v>0</v>
      </c>
      <c r="CQ108" s="290">
        <f t="shared" si="625"/>
        <v>0</v>
      </c>
      <c r="CR108" s="290">
        <f t="shared" si="626"/>
        <v>0</v>
      </c>
      <c r="CS108" s="290">
        <f t="shared" si="627"/>
        <v>0</v>
      </c>
      <c r="CT108" s="290">
        <f t="shared" si="628"/>
        <v>0</v>
      </c>
      <c r="CU108" s="290">
        <f t="shared" si="629"/>
        <v>0</v>
      </c>
      <c r="CV108" s="290">
        <f t="shared" si="630"/>
        <v>0</v>
      </c>
      <c r="CW108" s="290">
        <f t="shared" si="631"/>
        <v>0</v>
      </c>
      <c r="CX108" s="290">
        <f t="shared" si="632"/>
        <v>0</v>
      </c>
      <c r="CY108" s="290">
        <f t="shared" si="633"/>
        <v>0</v>
      </c>
      <c r="CZ108" s="290">
        <f t="shared" si="634"/>
        <v>0</v>
      </c>
      <c r="DA108" s="290">
        <f t="shared" si="635"/>
        <v>0</v>
      </c>
      <c r="DB108" s="290">
        <f t="shared" si="636"/>
        <v>0</v>
      </c>
      <c r="DC108" s="291">
        <f t="shared" si="637"/>
        <v>0</v>
      </c>
      <c r="DD108" s="291">
        <f t="shared" si="638"/>
        <v>0</v>
      </c>
      <c r="DE108" s="291">
        <f t="shared" si="639"/>
        <v>0</v>
      </c>
      <c r="DF108" s="292">
        <f t="shared" si="640"/>
        <v>0</v>
      </c>
      <c r="DG108" s="999">
        <v>17</v>
      </c>
      <c r="DH108" s="286">
        <f t="shared" si="863"/>
        <v>43999</v>
      </c>
      <c r="DI108" s="293">
        <f t="shared" si="587"/>
        <v>43999</v>
      </c>
      <c r="DJ108" s="288">
        <f>'दैनिक माहिती'!M88</f>
        <v>0</v>
      </c>
      <c r="DK108" s="289">
        <f>'दैनिक माहिती'!J88</f>
        <v>0</v>
      </c>
      <c r="DL108" s="289">
        <f>'दैनिक माहिती'!K88</f>
        <v>0</v>
      </c>
      <c r="DM108" s="289">
        <f>'दैनिक माहिती'!L88</f>
        <v>0</v>
      </c>
      <c r="DN108" s="290">
        <f t="shared" si="641"/>
        <v>0</v>
      </c>
      <c r="DO108" s="290">
        <f t="shared" si="642"/>
        <v>0</v>
      </c>
      <c r="DP108" s="290">
        <f t="shared" si="643"/>
        <v>0</v>
      </c>
      <c r="DQ108" s="290">
        <f t="shared" si="644"/>
        <v>0</v>
      </c>
      <c r="DR108" s="290">
        <f t="shared" si="645"/>
        <v>0</v>
      </c>
      <c r="DS108" s="290">
        <f t="shared" si="646"/>
        <v>0</v>
      </c>
      <c r="DT108" s="290">
        <f t="shared" si="647"/>
        <v>0</v>
      </c>
      <c r="DU108" s="290">
        <f t="shared" si="648"/>
        <v>0</v>
      </c>
      <c r="DV108" s="290">
        <f t="shared" si="649"/>
        <v>0</v>
      </c>
      <c r="DW108" s="290">
        <f t="shared" si="650"/>
        <v>0</v>
      </c>
      <c r="DX108" s="290">
        <f t="shared" si="651"/>
        <v>0</v>
      </c>
      <c r="DY108" s="290">
        <f t="shared" si="652"/>
        <v>0</v>
      </c>
      <c r="DZ108" s="290">
        <f t="shared" si="653"/>
        <v>0</v>
      </c>
      <c r="EA108" s="290">
        <f t="shared" si="654"/>
        <v>0</v>
      </c>
      <c r="EB108" s="290">
        <f t="shared" si="655"/>
        <v>0</v>
      </c>
      <c r="EC108" s="290">
        <f t="shared" si="656"/>
        <v>0</v>
      </c>
      <c r="ED108" s="290">
        <f t="shared" si="657"/>
        <v>0</v>
      </c>
      <c r="EE108" s="290">
        <f t="shared" si="658"/>
        <v>0</v>
      </c>
      <c r="EF108" s="291">
        <f t="shared" si="659"/>
        <v>0</v>
      </c>
      <c r="EG108" s="291">
        <f t="shared" si="660"/>
        <v>0</v>
      </c>
      <c r="EH108" s="291">
        <f t="shared" si="661"/>
        <v>0</v>
      </c>
      <c r="EI108" s="292">
        <f t="shared" si="662"/>
        <v>0</v>
      </c>
      <c r="EJ108" s="999">
        <v>17</v>
      </c>
      <c r="EK108" s="286">
        <f t="shared" si="864"/>
        <v>44029</v>
      </c>
      <c r="EL108" s="293">
        <f t="shared" si="588"/>
        <v>44029</v>
      </c>
      <c r="EM108" s="288">
        <f>'दैनिक माहिती'!M119</f>
        <v>0</v>
      </c>
      <c r="EN108" s="289">
        <f>'दैनिक माहिती'!J119</f>
        <v>0</v>
      </c>
      <c r="EO108" s="289">
        <f>'दैनिक माहिती'!K119</f>
        <v>0</v>
      </c>
      <c r="EP108" s="289">
        <f>'दैनिक माहिती'!L119</f>
        <v>0</v>
      </c>
      <c r="EQ108" s="290">
        <f t="shared" si="663"/>
        <v>0</v>
      </c>
      <c r="ER108" s="290">
        <f t="shared" si="664"/>
        <v>0</v>
      </c>
      <c r="ES108" s="290">
        <f t="shared" si="665"/>
        <v>0</v>
      </c>
      <c r="ET108" s="290">
        <f t="shared" si="666"/>
        <v>0</v>
      </c>
      <c r="EU108" s="290">
        <f t="shared" si="667"/>
        <v>0</v>
      </c>
      <c r="EV108" s="290">
        <f t="shared" si="668"/>
        <v>0</v>
      </c>
      <c r="EW108" s="290">
        <f t="shared" si="669"/>
        <v>0</v>
      </c>
      <c r="EX108" s="290">
        <f t="shared" si="670"/>
        <v>0</v>
      </c>
      <c r="EY108" s="290">
        <f t="shared" si="671"/>
        <v>0</v>
      </c>
      <c r="EZ108" s="290">
        <f t="shared" si="672"/>
        <v>0</v>
      </c>
      <c r="FA108" s="290">
        <f t="shared" si="673"/>
        <v>0</v>
      </c>
      <c r="FB108" s="290">
        <f t="shared" si="674"/>
        <v>0</v>
      </c>
      <c r="FC108" s="290">
        <f t="shared" si="675"/>
        <v>0</v>
      </c>
      <c r="FD108" s="290">
        <f t="shared" si="676"/>
        <v>0</v>
      </c>
      <c r="FE108" s="290">
        <f t="shared" si="677"/>
        <v>0</v>
      </c>
      <c r="FF108" s="290">
        <f t="shared" si="678"/>
        <v>0</v>
      </c>
      <c r="FG108" s="290">
        <f t="shared" si="679"/>
        <v>0</v>
      </c>
      <c r="FH108" s="290">
        <f t="shared" si="680"/>
        <v>0</v>
      </c>
      <c r="FI108" s="291">
        <f t="shared" si="681"/>
        <v>0</v>
      </c>
      <c r="FJ108" s="291">
        <f t="shared" si="682"/>
        <v>0</v>
      </c>
      <c r="FK108" s="291">
        <f t="shared" si="683"/>
        <v>0</v>
      </c>
      <c r="FL108" s="292">
        <f t="shared" si="684"/>
        <v>0</v>
      </c>
      <c r="FM108" s="999">
        <v>17</v>
      </c>
      <c r="FN108" s="286">
        <f t="shared" si="865"/>
        <v>44060</v>
      </c>
      <c r="FO108" s="293">
        <f t="shared" si="589"/>
        <v>44060</v>
      </c>
      <c r="FP108" s="288">
        <f>'दैनिक माहिती'!M151</f>
        <v>0</v>
      </c>
      <c r="FQ108" s="289">
        <f>'दैनिक माहिती'!J151</f>
        <v>0</v>
      </c>
      <c r="FR108" s="289">
        <f>'दैनिक माहिती'!K151</f>
        <v>0</v>
      </c>
      <c r="FS108" s="289">
        <f>'दैनिक माहिती'!L151</f>
        <v>0</v>
      </c>
      <c r="FT108" s="290">
        <f t="shared" si="685"/>
        <v>0</v>
      </c>
      <c r="FU108" s="290">
        <f t="shared" si="686"/>
        <v>0</v>
      </c>
      <c r="FV108" s="290">
        <f t="shared" si="687"/>
        <v>0</v>
      </c>
      <c r="FW108" s="290">
        <f t="shared" si="688"/>
        <v>0</v>
      </c>
      <c r="FX108" s="290">
        <f t="shared" si="689"/>
        <v>0</v>
      </c>
      <c r="FY108" s="290">
        <f t="shared" si="690"/>
        <v>0</v>
      </c>
      <c r="FZ108" s="290">
        <f t="shared" si="691"/>
        <v>0</v>
      </c>
      <c r="GA108" s="290">
        <f t="shared" si="692"/>
        <v>0</v>
      </c>
      <c r="GB108" s="290">
        <f t="shared" si="693"/>
        <v>0</v>
      </c>
      <c r="GC108" s="290">
        <f t="shared" si="694"/>
        <v>0</v>
      </c>
      <c r="GD108" s="290">
        <f t="shared" si="695"/>
        <v>0</v>
      </c>
      <c r="GE108" s="290">
        <f t="shared" si="696"/>
        <v>0</v>
      </c>
      <c r="GF108" s="290">
        <f t="shared" si="697"/>
        <v>0</v>
      </c>
      <c r="GG108" s="290">
        <f t="shared" si="698"/>
        <v>0</v>
      </c>
      <c r="GH108" s="290">
        <f t="shared" si="699"/>
        <v>0</v>
      </c>
      <c r="GI108" s="290">
        <f t="shared" si="700"/>
        <v>0</v>
      </c>
      <c r="GJ108" s="290">
        <f t="shared" si="701"/>
        <v>0</v>
      </c>
      <c r="GK108" s="290">
        <f t="shared" si="702"/>
        <v>0</v>
      </c>
      <c r="GL108" s="291">
        <f t="shared" si="703"/>
        <v>0</v>
      </c>
      <c r="GM108" s="291">
        <f t="shared" si="704"/>
        <v>0</v>
      </c>
      <c r="GN108" s="291">
        <f t="shared" si="705"/>
        <v>0</v>
      </c>
      <c r="GO108" s="292">
        <f t="shared" si="706"/>
        <v>0</v>
      </c>
      <c r="GP108" s="999">
        <v>17</v>
      </c>
      <c r="GQ108" s="286">
        <f t="shared" si="866"/>
        <v>44091</v>
      </c>
      <c r="GR108" s="293">
        <f t="shared" si="590"/>
        <v>44091</v>
      </c>
      <c r="GS108" s="288">
        <f>'दैनिक माहिती'!M183</f>
        <v>0</v>
      </c>
      <c r="GT108" s="289">
        <f>'दैनिक माहिती'!J183</f>
        <v>0</v>
      </c>
      <c r="GU108" s="289">
        <f>'दैनिक माहिती'!K183</f>
        <v>0</v>
      </c>
      <c r="GV108" s="289">
        <f>'दैनिक माहिती'!L183</f>
        <v>0</v>
      </c>
      <c r="GW108" s="290">
        <f t="shared" si="707"/>
        <v>0</v>
      </c>
      <c r="GX108" s="290">
        <f t="shared" si="708"/>
        <v>0</v>
      </c>
      <c r="GY108" s="290">
        <f t="shared" si="709"/>
        <v>0</v>
      </c>
      <c r="GZ108" s="290">
        <f t="shared" si="710"/>
        <v>0</v>
      </c>
      <c r="HA108" s="290">
        <f t="shared" si="711"/>
        <v>0</v>
      </c>
      <c r="HB108" s="290">
        <f t="shared" si="712"/>
        <v>0</v>
      </c>
      <c r="HC108" s="290">
        <f t="shared" si="713"/>
        <v>0</v>
      </c>
      <c r="HD108" s="290">
        <f t="shared" si="714"/>
        <v>0</v>
      </c>
      <c r="HE108" s="290">
        <f t="shared" si="715"/>
        <v>0</v>
      </c>
      <c r="HF108" s="290">
        <f t="shared" si="716"/>
        <v>0</v>
      </c>
      <c r="HG108" s="290">
        <f t="shared" si="717"/>
        <v>0</v>
      </c>
      <c r="HH108" s="290">
        <f t="shared" si="718"/>
        <v>0</v>
      </c>
      <c r="HI108" s="290">
        <f t="shared" si="719"/>
        <v>0</v>
      </c>
      <c r="HJ108" s="290">
        <f t="shared" si="720"/>
        <v>0</v>
      </c>
      <c r="HK108" s="290">
        <f t="shared" si="721"/>
        <v>0</v>
      </c>
      <c r="HL108" s="290">
        <f t="shared" si="722"/>
        <v>0</v>
      </c>
      <c r="HM108" s="290">
        <f t="shared" si="723"/>
        <v>0</v>
      </c>
      <c r="HN108" s="290">
        <f t="shared" si="724"/>
        <v>0</v>
      </c>
      <c r="HO108" s="291">
        <f t="shared" si="725"/>
        <v>0</v>
      </c>
      <c r="HP108" s="291">
        <f t="shared" si="726"/>
        <v>0</v>
      </c>
      <c r="HQ108" s="291">
        <f t="shared" si="727"/>
        <v>0</v>
      </c>
      <c r="HR108" s="292">
        <f t="shared" si="728"/>
        <v>0</v>
      </c>
      <c r="HS108" s="999">
        <v>17</v>
      </c>
      <c r="HT108" s="286">
        <f t="shared" si="867"/>
        <v>44121</v>
      </c>
      <c r="HU108" s="293">
        <f t="shared" si="591"/>
        <v>44121</v>
      </c>
      <c r="HV108" s="288">
        <f>'दैनिक माहिती'!M214</f>
        <v>0</v>
      </c>
      <c r="HW108" s="289">
        <f>'दैनिक माहिती'!J214</f>
        <v>0</v>
      </c>
      <c r="HX108" s="289">
        <f>'दैनिक माहिती'!K214</f>
        <v>0</v>
      </c>
      <c r="HY108" s="289">
        <f>'दैनिक माहिती'!L214</f>
        <v>0</v>
      </c>
      <c r="HZ108" s="290">
        <f t="shared" si="729"/>
        <v>0</v>
      </c>
      <c r="IA108" s="290">
        <f t="shared" si="730"/>
        <v>0</v>
      </c>
      <c r="IB108" s="290">
        <f t="shared" si="731"/>
        <v>0</v>
      </c>
      <c r="IC108" s="290">
        <f t="shared" si="732"/>
        <v>0</v>
      </c>
      <c r="ID108" s="290">
        <f t="shared" si="733"/>
        <v>0</v>
      </c>
      <c r="IE108" s="290">
        <f t="shared" si="734"/>
        <v>0</v>
      </c>
      <c r="IF108" s="290">
        <f t="shared" si="735"/>
        <v>0</v>
      </c>
      <c r="IG108" s="290">
        <f t="shared" si="736"/>
        <v>0</v>
      </c>
      <c r="IH108" s="290">
        <f t="shared" si="737"/>
        <v>0</v>
      </c>
      <c r="II108" s="290">
        <f t="shared" si="738"/>
        <v>0</v>
      </c>
      <c r="IJ108" s="290">
        <f t="shared" si="739"/>
        <v>0</v>
      </c>
      <c r="IK108" s="290">
        <f t="shared" si="740"/>
        <v>0</v>
      </c>
      <c r="IL108" s="290">
        <f t="shared" si="741"/>
        <v>0</v>
      </c>
      <c r="IM108" s="290">
        <f t="shared" si="742"/>
        <v>0</v>
      </c>
      <c r="IN108" s="290">
        <f t="shared" si="743"/>
        <v>0</v>
      </c>
      <c r="IO108" s="290">
        <f t="shared" si="744"/>
        <v>0</v>
      </c>
      <c r="IP108" s="290">
        <f t="shared" si="745"/>
        <v>0</v>
      </c>
      <c r="IQ108" s="290">
        <f t="shared" si="746"/>
        <v>0</v>
      </c>
      <c r="IR108" s="291">
        <f t="shared" si="747"/>
        <v>0</v>
      </c>
      <c r="IS108" s="291">
        <f t="shared" si="748"/>
        <v>0</v>
      </c>
      <c r="IT108" s="291">
        <f t="shared" si="749"/>
        <v>0</v>
      </c>
      <c r="IU108" s="292">
        <f t="shared" si="750"/>
        <v>0</v>
      </c>
      <c r="IV108" s="999">
        <v>17</v>
      </c>
      <c r="IW108" s="286">
        <f t="shared" si="868"/>
        <v>44152</v>
      </c>
      <c r="IX108" s="293">
        <f t="shared" si="592"/>
        <v>44152</v>
      </c>
      <c r="IY108" s="288">
        <f>'दैनिक माहिती'!M246</f>
        <v>0</v>
      </c>
      <c r="IZ108" s="289">
        <f>'दैनिक माहिती'!J246</f>
        <v>0</v>
      </c>
      <c r="JA108" s="289">
        <f>'दैनिक माहिती'!K246</f>
        <v>0</v>
      </c>
      <c r="JB108" s="289">
        <f>'दैनिक माहिती'!L246</f>
        <v>0</v>
      </c>
      <c r="JC108" s="290">
        <f t="shared" si="751"/>
        <v>0</v>
      </c>
      <c r="JD108" s="290">
        <f t="shared" si="752"/>
        <v>0</v>
      </c>
      <c r="JE108" s="290">
        <f t="shared" si="753"/>
        <v>0</v>
      </c>
      <c r="JF108" s="290">
        <f t="shared" si="754"/>
        <v>0</v>
      </c>
      <c r="JG108" s="290">
        <f t="shared" si="755"/>
        <v>0</v>
      </c>
      <c r="JH108" s="290">
        <f t="shared" si="756"/>
        <v>0</v>
      </c>
      <c r="JI108" s="290">
        <f t="shared" si="757"/>
        <v>0</v>
      </c>
      <c r="JJ108" s="290">
        <f t="shared" si="758"/>
        <v>0</v>
      </c>
      <c r="JK108" s="290">
        <f t="shared" si="759"/>
        <v>0</v>
      </c>
      <c r="JL108" s="290">
        <f t="shared" si="760"/>
        <v>0</v>
      </c>
      <c r="JM108" s="290">
        <f t="shared" si="761"/>
        <v>0</v>
      </c>
      <c r="JN108" s="290">
        <f t="shared" si="762"/>
        <v>0</v>
      </c>
      <c r="JO108" s="290">
        <f t="shared" si="763"/>
        <v>0</v>
      </c>
      <c r="JP108" s="290">
        <f t="shared" si="764"/>
        <v>0</v>
      </c>
      <c r="JQ108" s="290">
        <f t="shared" si="765"/>
        <v>0</v>
      </c>
      <c r="JR108" s="290">
        <f t="shared" si="766"/>
        <v>0</v>
      </c>
      <c r="JS108" s="290">
        <f t="shared" si="767"/>
        <v>0</v>
      </c>
      <c r="JT108" s="290">
        <f t="shared" si="768"/>
        <v>0</v>
      </c>
      <c r="JU108" s="291">
        <f t="shared" si="769"/>
        <v>0</v>
      </c>
      <c r="JV108" s="291">
        <f t="shared" si="770"/>
        <v>0</v>
      </c>
      <c r="JW108" s="291">
        <f t="shared" si="771"/>
        <v>0</v>
      </c>
      <c r="JX108" s="292">
        <f t="shared" si="772"/>
        <v>0</v>
      </c>
      <c r="JY108" s="999">
        <v>17</v>
      </c>
      <c r="JZ108" s="286">
        <f t="shared" si="869"/>
        <v>44182</v>
      </c>
      <c r="KA108" s="293">
        <f t="shared" si="593"/>
        <v>44182</v>
      </c>
      <c r="KB108" s="288">
        <f>'दैनिक माहिती'!M277</f>
        <v>0</v>
      </c>
      <c r="KC108" s="289">
        <f>'दैनिक माहिती'!J277</f>
        <v>0</v>
      </c>
      <c r="KD108" s="289">
        <f>'दैनिक माहिती'!K277</f>
        <v>0</v>
      </c>
      <c r="KE108" s="289">
        <f>'दैनिक माहिती'!L277</f>
        <v>0</v>
      </c>
      <c r="KF108" s="290">
        <f t="shared" si="773"/>
        <v>0</v>
      </c>
      <c r="KG108" s="290">
        <f t="shared" si="774"/>
        <v>0</v>
      </c>
      <c r="KH108" s="290">
        <f t="shared" si="775"/>
        <v>0</v>
      </c>
      <c r="KI108" s="290">
        <f t="shared" si="776"/>
        <v>0</v>
      </c>
      <c r="KJ108" s="290">
        <f t="shared" si="777"/>
        <v>0</v>
      </c>
      <c r="KK108" s="290">
        <f t="shared" si="778"/>
        <v>0</v>
      </c>
      <c r="KL108" s="290">
        <f t="shared" si="779"/>
        <v>0</v>
      </c>
      <c r="KM108" s="290">
        <f t="shared" si="780"/>
        <v>0</v>
      </c>
      <c r="KN108" s="290">
        <f t="shared" si="781"/>
        <v>0</v>
      </c>
      <c r="KO108" s="290">
        <f t="shared" si="782"/>
        <v>0</v>
      </c>
      <c r="KP108" s="290">
        <f t="shared" si="783"/>
        <v>0</v>
      </c>
      <c r="KQ108" s="290">
        <f t="shared" si="784"/>
        <v>0</v>
      </c>
      <c r="KR108" s="290">
        <f t="shared" si="785"/>
        <v>0</v>
      </c>
      <c r="KS108" s="290">
        <f t="shared" si="786"/>
        <v>0</v>
      </c>
      <c r="KT108" s="290">
        <f t="shared" si="787"/>
        <v>0</v>
      </c>
      <c r="KU108" s="290">
        <f t="shared" si="788"/>
        <v>0</v>
      </c>
      <c r="KV108" s="290">
        <f t="shared" si="789"/>
        <v>0</v>
      </c>
      <c r="KW108" s="290">
        <f t="shared" si="790"/>
        <v>0</v>
      </c>
      <c r="KX108" s="291">
        <f t="shared" si="791"/>
        <v>0</v>
      </c>
      <c r="KY108" s="291">
        <f t="shared" si="792"/>
        <v>0</v>
      </c>
      <c r="KZ108" s="291">
        <f t="shared" si="793"/>
        <v>0</v>
      </c>
      <c r="LA108" s="292">
        <f t="shared" si="794"/>
        <v>0</v>
      </c>
      <c r="LB108" s="999">
        <v>17</v>
      </c>
      <c r="LC108" s="286">
        <f t="shared" si="870"/>
        <v>44213</v>
      </c>
      <c r="LD108" s="293">
        <f t="shared" si="594"/>
        <v>44213</v>
      </c>
      <c r="LE108" s="288">
        <f>'दैनिक माहिती'!M309</f>
        <v>0</v>
      </c>
      <c r="LF108" s="289">
        <f>'दैनिक माहिती'!J309</f>
        <v>0</v>
      </c>
      <c r="LG108" s="289">
        <f>'दैनिक माहिती'!K309</f>
        <v>0</v>
      </c>
      <c r="LH108" s="289">
        <f>'दैनिक माहिती'!L309</f>
        <v>0</v>
      </c>
      <c r="LI108" s="290">
        <f t="shared" si="795"/>
        <v>0</v>
      </c>
      <c r="LJ108" s="290">
        <f t="shared" si="796"/>
        <v>0</v>
      </c>
      <c r="LK108" s="290">
        <f t="shared" si="797"/>
        <v>0</v>
      </c>
      <c r="LL108" s="290">
        <f t="shared" si="798"/>
        <v>0</v>
      </c>
      <c r="LM108" s="290">
        <f t="shared" si="799"/>
        <v>0</v>
      </c>
      <c r="LN108" s="290">
        <f t="shared" si="800"/>
        <v>0</v>
      </c>
      <c r="LO108" s="290">
        <f t="shared" si="801"/>
        <v>0</v>
      </c>
      <c r="LP108" s="290">
        <f t="shared" si="802"/>
        <v>0</v>
      </c>
      <c r="LQ108" s="290">
        <f t="shared" si="803"/>
        <v>0</v>
      </c>
      <c r="LR108" s="290">
        <f t="shared" si="804"/>
        <v>0</v>
      </c>
      <c r="LS108" s="290">
        <f t="shared" si="805"/>
        <v>0</v>
      </c>
      <c r="LT108" s="290">
        <f t="shared" si="806"/>
        <v>0</v>
      </c>
      <c r="LU108" s="290">
        <f t="shared" si="807"/>
        <v>0</v>
      </c>
      <c r="LV108" s="290">
        <f t="shared" si="808"/>
        <v>0</v>
      </c>
      <c r="LW108" s="290">
        <f t="shared" si="809"/>
        <v>0</v>
      </c>
      <c r="LX108" s="290">
        <f t="shared" si="810"/>
        <v>0</v>
      </c>
      <c r="LY108" s="290">
        <f t="shared" si="811"/>
        <v>0</v>
      </c>
      <c r="LZ108" s="290">
        <f t="shared" si="812"/>
        <v>0</v>
      </c>
      <c r="MA108" s="291">
        <f t="shared" si="813"/>
        <v>0</v>
      </c>
      <c r="MB108" s="291">
        <f t="shared" si="814"/>
        <v>0</v>
      </c>
      <c r="MC108" s="291">
        <f t="shared" si="815"/>
        <v>0</v>
      </c>
      <c r="MD108" s="292">
        <f t="shared" si="816"/>
        <v>0</v>
      </c>
      <c r="ME108" s="999">
        <v>17</v>
      </c>
      <c r="MF108" s="286">
        <f t="shared" si="871"/>
        <v>44244</v>
      </c>
      <c r="MG108" s="293">
        <f t="shared" si="595"/>
        <v>44244</v>
      </c>
      <c r="MH108" s="288">
        <f>'दैनिक माहिती'!M341</f>
        <v>0</v>
      </c>
      <c r="MI108" s="289">
        <f>'दैनिक माहिती'!J341</f>
        <v>0</v>
      </c>
      <c r="MJ108" s="289">
        <f>'दैनिक माहिती'!K341</f>
        <v>0</v>
      </c>
      <c r="MK108" s="289">
        <f>'दैनिक माहिती'!L341</f>
        <v>0</v>
      </c>
      <c r="ML108" s="290">
        <f t="shared" si="817"/>
        <v>0</v>
      </c>
      <c r="MM108" s="290">
        <f t="shared" si="818"/>
        <v>0</v>
      </c>
      <c r="MN108" s="290">
        <f t="shared" si="819"/>
        <v>0</v>
      </c>
      <c r="MO108" s="290">
        <f t="shared" si="820"/>
        <v>0</v>
      </c>
      <c r="MP108" s="290">
        <f t="shared" si="821"/>
        <v>0</v>
      </c>
      <c r="MQ108" s="290">
        <f t="shared" si="822"/>
        <v>0</v>
      </c>
      <c r="MR108" s="290">
        <f t="shared" si="823"/>
        <v>0</v>
      </c>
      <c r="MS108" s="290">
        <f t="shared" si="824"/>
        <v>0</v>
      </c>
      <c r="MT108" s="290">
        <f t="shared" si="825"/>
        <v>0</v>
      </c>
      <c r="MU108" s="290">
        <f t="shared" si="826"/>
        <v>0</v>
      </c>
      <c r="MV108" s="290">
        <f t="shared" si="827"/>
        <v>0</v>
      </c>
      <c r="MW108" s="290">
        <f t="shared" si="828"/>
        <v>0</v>
      </c>
      <c r="MX108" s="290">
        <f t="shared" si="829"/>
        <v>0</v>
      </c>
      <c r="MY108" s="290">
        <f t="shared" si="830"/>
        <v>0</v>
      </c>
      <c r="MZ108" s="290">
        <f t="shared" si="831"/>
        <v>0</v>
      </c>
      <c r="NA108" s="290">
        <f t="shared" si="832"/>
        <v>0</v>
      </c>
      <c r="NB108" s="290">
        <f t="shared" si="833"/>
        <v>0</v>
      </c>
      <c r="NC108" s="290">
        <f t="shared" si="834"/>
        <v>0</v>
      </c>
      <c r="ND108" s="291">
        <f t="shared" si="835"/>
        <v>0</v>
      </c>
      <c r="NE108" s="291">
        <f t="shared" si="836"/>
        <v>0</v>
      </c>
      <c r="NF108" s="291">
        <f t="shared" si="837"/>
        <v>0</v>
      </c>
      <c r="NG108" s="292">
        <f t="shared" si="838"/>
        <v>0</v>
      </c>
      <c r="NH108" s="999">
        <v>17</v>
      </c>
      <c r="NI108" s="286">
        <f t="shared" si="872"/>
        <v>44272</v>
      </c>
      <c r="NJ108" s="293">
        <f t="shared" si="596"/>
        <v>44272</v>
      </c>
      <c r="NK108" s="288">
        <f>'दैनिक माहिती'!M371</f>
        <v>0</v>
      </c>
      <c r="NL108" s="289">
        <f>'दैनिक माहिती'!J371</f>
        <v>0</v>
      </c>
      <c r="NM108" s="289">
        <f>'दैनिक माहिती'!K371</f>
        <v>0</v>
      </c>
      <c r="NN108" s="289">
        <f>'दैनिक माहिती'!L371</f>
        <v>0</v>
      </c>
      <c r="NO108" s="290">
        <f t="shared" si="839"/>
        <v>0</v>
      </c>
      <c r="NP108" s="290">
        <f t="shared" si="840"/>
        <v>0</v>
      </c>
      <c r="NQ108" s="290">
        <f t="shared" si="841"/>
        <v>0</v>
      </c>
      <c r="NR108" s="290">
        <f t="shared" si="842"/>
        <v>0</v>
      </c>
      <c r="NS108" s="290">
        <f t="shared" si="843"/>
        <v>0</v>
      </c>
      <c r="NT108" s="290">
        <f t="shared" si="844"/>
        <v>0</v>
      </c>
      <c r="NU108" s="290">
        <f t="shared" si="845"/>
        <v>0</v>
      </c>
      <c r="NV108" s="290">
        <f t="shared" si="846"/>
        <v>0</v>
      </c>
      <c r="NW108" s="290">
        <f t="shared" si="847"/>
        <v>0</v>
      </c>
      <c r="NX108" s="290">
        <f t="shared" si="848"/>
        <v>0</v>
      </c>
      <c r="NY108" s="290">
        <f t="shared" si="849"/>
        <v>0</v>
      </c>
      <c r="NZ108" s="290">
        <f t="shared" si="850"/>
        <v>0</v>
      </c>
      <c r="OA108" s="290">
        <f t="shared" si="851"/>
        <v>0</v>
      </c>
      <c r="OB108" s="290">
        <f t="shared" si="852"/>
        <v>0</v>
      </c>
      <c r="OC108" s="290">
        <f t="shared" si="853"/>
        <v>0</v>
      </c>
      <c r="OD108" s="290">
        <f t="shared" si="854"/>
        <v>0</v>
      </c>
      <c r="OE108" s="290">
        <f t="shared" si="855"/>
        <v>0</v>
      </c>
      <c r="OF108" s="290">
        <f t="shared" si="856"/>
        <v>0</v>
      </c>
      <c r="OG108" s="291">
        <f t="shared" si="857"/>
        <v>0</v>
      </c>
      <c r="OH108" s="291">
        <f t="shared" si="858"/>
        <v>0</v>
      </c>
      <c r="OI108" s="291">
        <f t="shared" si="859"/>
        <v>0</v>
      </c>
      <c r="OJ108" s="292">
        <f t="shared" si="860"/>
        <v>0</v>
      </c>
    </row>
    <row r="109" spans="53:400" ht="29.25" customHeight="1" x14ac:dyDescent="0.3">
      <c r="BA109" s="999">
        <v>18</v>
      </c>
      <c r="BB109" s="286">
        <f t="shared" si="861"/>
        <v>43939</v>
      </c>
      <c r="BC109" s="287">
        <f t="shared" si="585"/>
        <v>43939</v>
      </c>
      <c r="BD109" s="288">
        <f>'दैनिक माहिती'!M26</f>
        <v>0</v>
      </c>
      <c r="BE109" s="289">
        <f>'दैनिक माहिती'!J26</f>
        <v>0</v>
      </c>
      <c r="BF109" s="289">
        <f>'दैनिक माहिती'!K26</f>
        <v>0</v>
      </c>
      <c r="BG109" s="289">
        <f>'दैनिक माहिती'!L26</f>
        <v>0</v>
      </c>
      <c r="BH109" s="290">
        <f t="shared" si="597"/>
        <v>0</v>
      </c>
      <c r="BI109" s="290">
        <f t="shared" si="598"/>
        <v>0</v>
      </c>
      <c r="BJ109" s="290">
        <f t="shared" si="599"/>
        <v>0</v>
      </c>
      <c r="BK109" s="290">
        <f t="shared" si="600"/>
        <v>0</v>
      </c>
      <c r="BL109" s="290">
        <f t="shared" si="601"/>
        <v>0</v>
      </c>
      <c r="BM109" s="290">
        <f t="shared" si="602"/>
        <v>0</v>
      </c>
      <c r="BN109" s="290">
        <f t="shared" si="603"/>
        <v>0</v>
      </c>
      <c r="BO109" s="290">
        <f t="shared" si="604"/>
        <v>0</v>
      </c>
      <c r="BP109" s="290">
        <f t="shared" si="605"/>
        <v>0</v>
      </c>
      <c r="BQ109" s="290">
        <f t="shared" si="606"/>
        <v>0</v>
      </c>
      <c r="BR109" s="290">
        <f t="shared" si="607"/>
        <v>0</v>
      </c>
      <c r="BS109" s="290">
        <f t="shared" si="608"/>
        <v>0</v>
      </c>
      <c r="BT109" s="290">
        <f t="shared" si="609"/>
        <v>0</v>
      </c>
      <c r="BU109" s="290">
        <f t="shared" si="610"/>
        <v>0</v>
      </c>
      <c r="BV109" s="290">
        <f t="shared" si="611"/>
        <v>0</v>
      </c>
      <c r="BW109" s="290">
        <f t="shared" si="612"/>
        <v>0</v>
      </c>
      <c r="BX109" s="290">
        <f t="shared" si="613"/>
        <v>0</v>
      </c>
      <c r="BY109" s="290">
        <f t="shared" si="614"/>
        <v>0</v>
      </c>
      <c r="BZ109" s="291">
        <f t="shared" si="615"/>
        <v>0</v>
      </c>
      <c r="CA109" s="291">
        <f t="shared" si="616"/>
        <v>0</v>
      </c>
      <c r="CB109" s="291">
        <f t="shared" si="617"/>
        <v>0</v>
      </c>
      <c r="CC109" s="292">
        <f t="shared" si="618"/>
        <v>0</v>
      </c>
      <c r="CD109" s="999">
        <v>18</v>
      </c>
      <c r="CE109" s="286">
        <f t="shared" si="862"/>
        <v>43969</v>
      </c>
      <c r="CF109" s="287">
        <f t="shared" si="586"/>
        <v>43969</v>
      </c>
      <c r="CG109" s="288">
        <f>'दैनिक माहिती'!M57</f>
        <v>0</v>
      </c>
      <c r="CH109" s="289">
        <f>'दैनिक माहिती'!J57</f>
        <v>0</v>
      </c>
      <c r="CI109" s="289">
        <f>'दैनिक माहिती'!K57</f>
        <v>0</v>
      </c>
      <c r="CJ109" s="289">
        <f>'दैनिक माहिती'!L57</f>
        <v>0</v>
      </c>
      <c r="CK109" s="290">
        <f t="shared" si="619"/>
        <v>0</v>
      </c>
      <c r="CL109" s="290">
        <f t="shared" si="620"/>
        <v>0</v>
      </c>
      <c r="CM109" s="290">
        <f t="shared" si="621"/>
        <v>0</v>
      </c>
      <c r="CN109" s="290">
        <f t="shared" si="622"/>
        <v>0</v>
      </c>
      <c r="CO109" s="290">
        <f t="shared" si="623"/>
        <v>0</v>
      </c>
      <c r="CP109" s="290">
        <f t="shared" si="624"/>
        <v>0</v>
      </c>
      <c r="CQ109" s="290">
        <f t="shared" si="625"/>
        <v>0</v>
      </c>
      <c r="CR109" s="290">
        <f t="shared" si="626"/>
        <v>0</v>
      </c>
      <c r="CS109" s="290">
        <f t="shared" si="627"/>
        <v>0</v>
      </c>
      <c r="CT109" s="290">
        <f t="shared" si="628"/>
        <v>0</v>
      </c>
      <c r="CU109" s="290">
        <f t="shared" si="629"/>
        <v>0</v>
      </c>
      <c r="CV109" s="290">
        <f t="shared" si="630"/>
        <v>0</v>
      </c>
      <c r="CW109" s="290">
        <f t="shared" si="631"/>
        <v>0</v>
      </c>
      <c r="CX109" s="290">
        <f t="shared" si="632"/>
        <v>0</v>
      </c>
      <c r="CY109" s="290">
        <f t="shared" si="633"/>
        <v>0</v>
      </c>
      <c r="CZ109" s="290">
        <f t="shared" si="634"/>
        <v>0</v>
      </c>
      <c r="DA109" s="290">
        <f t="shared" si="635"/>
        <v>0</v>
      </c>
      <c r="DB109" s="290">
        <f t="shared" si="636"/>
        <v>0</v>
      </c>
      <c r="DC109" s="291">
        <f t="shared" si="637"/>
        <v>0</v>
      </c>
      <c r="DD109" s="291">
        <f t="shared" si="638"/>
        <v>0</v>
      </c>
      <c r="DE109" s="291">
        <f t="shared" si="639"/>
        <v>0</v>
      </c>
      <c r="DF109" s="292">
        <f t="shared" si="640"/>
        <v>0</v>
      </c>
      <c r="DG109" s="999">
        <v>18</v>
      </c>
      <c r="DH109" s="286">
        <f t="shared" si="863"/>
        <v>44000</v>
      </c>
      <c r="DI109" s="287">
        <f t="shared" si="587"/>
        <v>44000</v>
      </c>
      <c r="DJ109" s="288">
        <f>'दैनिक माहिती'!M89</f>
        <v>0</v>
      </c>
      <c r="DK109" s="289">
        <f>'दैनिक माहिती'!J89</f>
        <v>0</v>
      </c>
      <c r="DL109" s="289">
        <f>'दैनिक माहिती'!K89</f>
        <v>0</v>
      </c>
      <c r="DM109" s="289">
        <f>'दैनिक माहिती'!L89</f>
        <v>0</v>
      </c>
      <c r="DN109" s="290">
        <f t="shared" si="641"/>
        <v>0</v>
      </c>
      <c r="DO109" s="290">
        <f t="shared" si="642"/>
        <v>0</v>
      </c>
      <c r="DP109" s="290">
        <f t="shared" si="643"/>
        <v>0</v>
      </c>
      <c r="DQ109" s="290">
        <f t="shared" si="644"/>
        <v>0</v>
      </c>
      <c r="DR109" s="290">
        <f t="shared" si="645"/>
        <v>0</v>
      </c>
      <c r="DS109" s="290">
        <f t="shared" si="646"/>
        <v>0</v>
      </c>
      <c r="DT109" s="290">
        <f t="shared" si="647"/>
        <v>0</v>
      </c>
      <c r="DU109" s="290">
        <f t="shared" si="648"/>
        <v>0</v>
      </c>
      <c r="DV109" s="290">
        <f t="shared" si="649"/>
        <v>0</v>
      </c>
      <c r="DW109" s="290">
        <f t="shared" si="650"/>
        <v>0</v>
      </c>
      <c r="DX109" s="290">
        <f t="shared" si="651"/>
        <v>0</v>
      </c>
      <c r="DY109" s="290">
        <f t="shared" si="652"/>
        <v>0</v>
      </c>
      <c r="DZ109" s="290">
        <f t="shared" si="653"/>
        <v>0</v>
      </c>
      <c r="EA109" s="290">
        <f t="shared" si="654"/>
        <v>0</v>
      </c>
      <c r="EB109" s="290">
        <f t="shared" si="655"/>
        <v>0</v>
      </c>
      <c r="EC109" s="290">
        <f t="shared" si="656"/>
        <v>0</v>
      </c>
      <c r="ED109" s="290">
        <f t="shared" si="657"/>
        <v>0</v>
      </c>
      <c r="EE109" s="290">
        <f t="shared" si="658"/>
        <v>0</v>
      </c>
      <c r="EF109" s="291">
        <f t="shared" si="659"/>
        <v>0</v>
      </c>
      <c r="EG109" s="291">
        <f t="shared" si="660"/>
        <v>0</v>
      </c>
      <c r="EH109" s="291">
        <f t="shared" si="661"/>
        <v>0</v>
      </c>
      <c r="EI109" s="292">
        <f t="shared" si="662"/>
        <v>0</v>
      </c>
      <c r="EJ109" s="999">
        <v>18</v>
      </c>
      <c r="EK109" s="286">
        <f t="shared" si="864"/>
        <v>44030</v>
      </c>
      <c r="EL109" s="287">
        <f t="shared" si="588"/>
        <v>44030</v>
      </c>
      <c r="EM109" s="288">
        <f>'दैनिक माहिती'!M120</f>
        <v>0</v>
      </c>
      <c r="EN109" s="289">
        <f>'दैनिक माहिती'!J120</f>
        <v>0</v>
      </c>
      <c r="EO109" s="289">
        <f>'दैनिक माहिती'!K120</f>
        <v>0</v>
      </c>
      <c r="EP109" s="289">
        <f>'दैनिक माहिती'!L120</f>
        <v>0</v>
      </c>
      <c r="EQ109" s="290">
        <f t="shared" si="663"/>
        <v>0</v>
      </c>
      <c r="ER109" s="290">
        <f t="shared" si="664"/>
        <v>0</v>
      </c>
      <c r="ES109" s="290">
        <f t="shared" si="665"/>
        <v>0</v>
      </c>
      <c r="ET109" s="290">
        <f t="shared" si="666"/>
        <v>0</v>
      </c>
      <c r="EU109" s="290">
        <f t="shared" si="667"/>
        <v>0</v>
      </c>
      <c r="EV109" s="290">
        <f t="shared" si="668"/>
        <v>0</v>
      </c>
      <c r="EW109" s="290">
        <f t="shared" si="669"/>
        <v>0</v>
      </c>
      <c r="EX109" s="290">
        <f t="shared" si="670"/>
        <v>0</v>
      </c>
      <c r="EY109" s="290">
        <f t="shared" si="671"/>
        <v>0</v>
      </c>
      <c r="EZ109" s="290">
        <f t="shared" si="672"/>
        <v>0</v>
      </c>
      <c r="FA109" s="290">
        <f t="shared" si="673"/>
        <v>0</v>
      </c>
      <c r="FB109" s="290">
        <f t="shared" si="674"/>
        <v>0</v>
      </c>
      <c r="FC109" s="290">
        <f t="shared" si="675"/>
        <v>0</v>
      </c>
      <c r="FD109" s="290">
        <f t="shared" si="676"/>
        <v>0</v>
      </c>
      <c r="FE109" s="290">
        <f t="shared" si="677"/>
        <v>0</v>
      </c>
      <c r="FF109" s="290">
        <f t="shared" si="678"/>
        <v>0</v>
      </c>
      <c r="FG109" s="290">
        <f t="shared" si="679"/>
        <v>0</v>
      </c>
      <c r="FH109" s="290">
        <f t="shared" si="680"/>
        <v>0</v>
      </c>
      <c r="FI109" s="291">
        <f t="shared" si="681"/>
        <v>0</v>
      </c>
      <c r="FJ109" s="291">
        <f t="shared" si="682"/>
        <v>0</v>
      </c>
      <c r="FK109" s="291">
        <f t="shared" si="683"/>
        <v>0</v>
      </c>
      <c r="FL109" s="292">
        <f t="shared" si="684"/>
        <v>0</v>
      </c>
      <c r="FM109" s="999">
        <v>18</v>
      </c>
      <c r="FN109" s="286">
        <f t="shared" si="865"/>
        <v>44061</v>
      </c>
      <c r="FO109" s="287">
        <f t="shared" si="589"/>
        <v>44061</v>
      </c>
      <c r="FP109" s="288">
        <f>'दैनिक माहिती'!M152</f>
        <v>0</v>
      </c>
      <c r="FQ109" s="289">
        <f>'दैनिक माहिती'!J152</f>
        <v>0</v>
      </c>
      <c r="FR109" s="289">
        <f>'दैनिक माहिती'!K152</f>
        <v>0</v>
      </c>
      <c r="FS109" s="289">
        <f>'दैनिक माहिती'!L152</f>
        <v>0</v>
      </c>
      <c r="FT109" s="290">
        <f t="shared" si="685"/>
        <v>0</v>
      </c>
      <c r="FU109" s="290">
        <f t="shared" si="686"/>
        <v>0</v>
      </c>
      <c r="FV109" s="290">
        <f t="shared" si="687"/>
        <v>0</v>
      </c>
      <c r="FW109" s="290">
        <f t="shared" si="688"/>
        <v>0</v>
      </c>
      <c r="FX109" s="290">
        <f t="shared" si="689"/>
        <v>0</v>
      </c>
      <c r="FY109" s="290">
        <f t="shared" si="690"/>
        <v>0</v>
      </c>
      <c r="FZ109" s="290">
        <f t="shared" si="691"/>
        <v>0</v>
      </c>
      <c r="GA109" s="290">
        <f t="shared" si="692"/>
        <v>0</v>
      </c>
      <c r="GB109" s="290">
        <f t="shared" si="693"/>
        <v>0</v>
      </c>
      <c r="GC109" s="290">
        <f t="shared" si="694"/>
        <v>0</v>
      </c>
      <c r="GD109" s="290">
        <f t="shared" si="695"/>
        <v>0</v>
      </c>
      <c r="GE109" s="290">
        <f t="shared" si="696"/>
        <v>0</v>
      </c>
      <c r="GF109" s="290">
        <f t="shared" si="697"/>
        <v>0</v>
      </c>
      <c r="GG109" s="290">
        <f t="shared" si="698"/>
        <v>0</v>
      </c>
      <c r="GH109" s="290">
        <f t="shared" si="699"/>
        <v>0</v>
      </c>
      <c r="GI109" s="290">
        <f t="shared" si="700"/>
        <v>0</v>
      </c>
      <c r="GJ109" s="290">
        <f t="shared" si="701"/>
        <v>0</v>
      </c>
      <c r="GK109" s="290">
        <f t="shared" si="702"/>
        <v>0</v>
      </c>
      <c r="GL109" s="291">
        <f t="shared" si="703"/>
        <v>0</v>
      </c>
      <c r="GM109" s="291">
        <f t="shared" si="704"/>
        <v>0</v>
      </c>
      <c r="GN109" s="291">
        <f t="shared" si="705"/>
        <v>0</v>
      </c>
      <c r="GO109" s="292">
        <f t="shared" si="706"/>
        <v>0</v>
      </c>
      <c r="GP109" s="999">
        <v>18</v>
      </c>
      <c r="GQ109" s="286">
        <f t="shared" si="866"/>
        <v>44092</v>
      </c>
      <c r="GR109" s="287">
        <f t="shared" si="590"/>
        <v>44092</v>
      </c>
      <c r="GS109" s="288">
        <f>'दैनिक माहिती'!M184</f>
        <v>0</v>
      </c>
      <c r="GT109" s="289">
        <f>'दैनिक माहिती'!J184</f>
        <v>0</v>
      </c>
      <c r="GU109" s="289">
        <f>'दैनिक माहिती'!K184</f>
        <v>0</v>
      </c>
      <c r="GV109" s="289">
        <f>'दैनिक माहिती'!L184</f>
        <v>0</v>
      </c>
      <c r="GW109" s="290">
        <f t="shared" si="707"/>
        <v>0</v>
      </c>
      <c r="GX109" s="290">
        <f t="shared" si="708"/>
        <v>0</v>
      </c>
      <c r="GY109" s="290">
        <f t="shared" si="709"/>
        <v>0</v>
      </c>
      <c r="GZ109" s="290">
        <f t="shared" si="710"/>
        <v>0</v>
      </c>
      <c r="HA109" s="290">
        <f t="shared" si="711"/>
        <v>0</v>
      </c>
      <c r="HB109" s="290">
        <f t="shared" si="712"/>
        <v>0</v>
      </c>
      <c r="HC109" s="290">
        <f t="shared" si="713"/>
        <v>0</v>
      </c>
      <c r="HD109" s="290">
        <f t="shared" si="714"/>
        <v>0</v>
      </c>
      <c r="HE109" s="290">
        <f t="shared" si="715"/>
        <v>0</v>
      </c>
      <c r="HF109" s="290">
        <f t="shared" si="716"/>
        <v>0</v>
      </c>
      <c r="HG109" s="290">
        <f t="shared" si="717"/>
        <v>0</v>
      </c>
      <c r="HH109" s="290">
        <f t="shared" si="718"/>
        <v>0</v>
      </c>
      <c r="HI109" s="290">
        <f t="shared" si="719"/>
        <v>0</v>
      </c>
      <c r="HJ109" s="290">
        <f t="shared" si="720"/>
        <v>0</v>
      </c>
      <c r="HK109" s="290">
        <f t="shared" si="721"/>
        <v>0</v>
      </c>
      <c r="HL109" s="290">
        <f t="shared" si="722"/>
        <v>0</v>
      </c>
      <c r="HM109" s="290">
        <f t="shared" si="723"/>
        <v>0</v>
      </c>
      <c r="HN109" s="290">
        <f t="shared" si="724"/>
        <v>0</v>
      </c>
      <c r="HO109" s="291">
        <f t="shared" si="725"/>
        <v>0</v>
      </c>
      <c r="HP109" s="291">
        <f t="shared" si="726"/>
        <v>0</v>
      </c>
      <c r="HQ109" s="291">
        <f t="shared" si="727"/>
        <v>0</v>
      </c>
      <c r="HR109" s="292">
        <f t="shared" si="728"/>
        <v>0</v>
      </c>
      <c r="HS109" s="999">
        <v>18</v>
      </c>
      <c r="HT109" s="286">
        <f t="shared" si="867"/>
        <v>44122</v>
      </c>
      <c r="HU109" s="287">
        <f t="shared" si="591"/>
        <v>44122</v>
      </c>
      <c r="HV109" s="288">
        <f>'दैनिक माहिती'!M215</f>
        <v>0</v>
      </c>
      <c r="HW109" s="289">
        <f>'दैनिक माहिती'!J215</f>
        <v>0</v>
      </c>
      <c r="HX109" s="289">
        <f>'दैनिक माहिती'!K215</f>
        <v>0</v>
      </c>
      <c r="HY109" s="289">
        <f>'दैनिक माहिती'!L215</f>
        <v>0</v>
      </c>
      <c r="HZ109" s="290">
        <f t="shared" si="729"/>
        <v>0</v>
      </c>
      <c r="IA109" s="290">
        <f t="shared" si="730"/>
        <v>0</v>
      </c>
      <c r="IB109" s="290">
        <f t="shared" si="731"/>
        <v>0</v>
      </c>
      <c r="IC109" s="290">
        <f t="shared" si="732"/>
        <v>0</v>
      </c>
      <c r="ID109" s="290">
        <f t="shared" si="733"/>
        <v>0</v>
      </c>
      <c r="IE109" s="290">
        <f t="shared" si="734"/>
        <v>0</v>
      </c>
      <c r="IF109" s="290">
        <f t="shared" si="735"/>
        <v>0</v>
      </c>
      <c r="IG109" s="290">
        <f t="shared" si="736"/>
        <v>0</v>
      </c>
      <c r="IH109" s="290">
        <f t="shared" si="737"/>
        <v>0</v>
      </c>
      <c r="II109" s="290">
        <f t="shared" si="738"/>
        <v>0</v>
      </c>
      <c r="IJ109" s="290">
        <f t="shared" si="739"/>
        <v>0</v>
      </c>
      <c r="IK109" s="290">
        <f t="shared" si="740"/>
        <v>0</v>
      </c>
      <c r="IL109" s="290">
        <f t="shared" si="741"/>
        <v>0</v>
      </c>
      <c r="IM109" s="290">
        <f t="shared" si="742"/>
        <v>0</v>
      </c>
      <c r="IN109" s="290">
        <f t="shared" si="743"/>
        <v>0</v>
      </c>
      <c r="IO109" s="290">
        <f t="shared" si="744"/>
        <v>0</v>
      </c>
      <c r="IP109" s="290">
        <f t="shared" si="745"/>
        <v>0</v>
      </c>
      <c r="IQ109" s="290">
        <f t="shared" si="746"/>
        <v>0</v>
      </c>
      <c r="IR109" s="291">
        <f t="shared" si="747"/>
        <v>0</v>
      </c>
      <c r="IS109" s="291">
        <f t="shared" si="748"/>
        <v>0</v>
      </c>
      <c r="IT109" s="291">
        <f t="shared" si="749"/>
        <v>0</v>
      </c>
      <c r="IU109" s="292">
        <f t="shared" si="750"/>
        <v>0</v>
      </c>
      <c r="IV109" s="999">
        <v>18</v>
      </c>
      <c r="IW109" s="286">
        <f t="shared" si="868"/>
        <v>44153</v>
      </c>
      <c r="IX109" s="287">
        <f t="shared" si="592"/>
        <v>44153</v>
      </c>
      <c r="IY109" s="288">
        <f>'दैनिक माहिती'!M247</f>
        <v>0</v>
      </c>
      <c r="IZ109" s="289">
        <f>'दैनिक माहिती'!J247</f>
        <v>0</v>
      </c>
      <c r="JA109" s="289">
        <f>'दैनिक माहिती'!K247</f>
        <v>0</v>
      </c>
      <c r="JB109" s="289">
        <f>'दैनिक माहिती'!L247</f>
        <v>0</v>
      </c>
      <c r="JC109" s="290">
        <f t="shared" si="751"/>
        <v>0</v>
      </c>
      <c r="JD109" s="290">
        <f t="shared" si="752"/>
        <v>0</v>
      </c>
      <c r="JE109" s="290">
        <f t="shared" si="753"/>
        <v>0</v>
      </c>
      <c r="JF109" s="290">
        <f t="shared" si="754"/>
        <v>0</v>
      </c>
      <c r="JG109" s="290">
        <f t="shared" si="755"/>
        <v>0</v>
      </c>
      <c r="JH109" s="290">
        <f t="shared" si="756"/>
        <v>0</v>
      </c>
      <c r="JI109" s="290">
        <f t="shared" si="757"/>
        <v>0</v>
      </c>
      <c r="JJ109" s="290">
        <f t="shared" si="758"/>
        <v>0</v>
      </c>
      <c r="JK109" s="290">
        <f t="shared" si="759"/>
        <v>0</v>
      </c>
      <c r="JL109" s="290">
        <f t="shared" si="760"/>
        <v>0</v>
      </c>
      <c r="JM109" s="290">
        <f t="shared" si="761"/>
        <v>0</v>
      </c>
      <c r="JN109" s="290">
        <f t="shared" si="762"/>
        <v>0</v>
      </c>
      <c r="JO109" s="290">
        <f t="shared" si="763"/>
        <v>0</v>
      </c>
      <c r="JP109" s="290">
        <f t="shared" si="764"/>
        <v>0</v>
      </c>
      <c r="JQ109" s="290">
        <f t="shared" si="765"/>
        <v>0</v>
      </c>
      <c r="JR109" s="290">
        <f t="shared" si="766"/>
        <v>0</v>
      </c>
      <c r="JS109" s="290">
        <f t="shared" si="767"/>
        <v>0</v>
      </c>
      <c r="JT109" s="290">
        <f t="shared" si="768"/>
        <v>0</v>
      </c>
      <c r="JU109" s="291">
        <f t="shared" si="769"/>
        <v>0</v>
      </c>
      <c r="JV109" s="291">
        <f t="shared" si="770"/>
        <v>0</v>
      </c>
      <c r="JW109" s="291">
        <f t="shared" si="771"/>
        <v>0</v>
      </c>
      <c r="JX109" s="292">
        <f t="shared" si="772"/>
        <v>0</v>
      </c>
      <c r="JY109" s="999">
        <v>18</v>
      </c>
      <c r="JZ109" s="286">
        <f t="shared" si="869"/>
        <v>44183</v>
      </c>
      <c r="KA109" s="287">
        <f t="shared" si="593"/>
        <v>44183</v>
      </c>
      <c r="KB109" s="288">
        <f>'दैनिक माहिती'!M278</f>
        <v>0</v>
      </c>
      <c r="KC109" s="289">
        <f>'दैनिक माहिती'!J278</f>
        <v>0</v>
      </c>
      <c r="KD109" s="289">
        <f>'दैनिक माहिती'!K278</f>
        <v>0</v>
      </c>
      <c r="KE109" s="289">
        <f>'दैनिक माहिती'!L278</f>
        <v>0</v>
      </c>
      <c r="KF109" s="290">
        <f t="shared" si="773"/>
        <v>0</v>
      </c>
      <c r="KG109" s="290">
        <f t="shared" si="774"/>
        <v>0</v>
      </c>
      <c r="KH109" s="290">
        <f t="shared" si="775"/>
        <v>0</v>
      </c>
      <c r="KI109" s="290">
        <f t="shared" si="776"/>
        <v>0</v>
      </c>
      <c r="KJ109" s="290">
        <f t="shared" si="777"/>
        <v>0</v>
      </c>
      <c r="KK109" s="290">
        <f t="shared" si="778"/>
        <v>0</v>
      </c>
      <c r="KL109" s="290">
        <f t="shared" si="779"/>
        <v>0</v>
      </c>
      <c r="KM109" s="290">
        <f t="shared" si="780"/>
        <v>0</v>
      </c>
      <c r="KN109" s="290">
        <f t="shared" si="781"/>
        <v>0</v>
      </c>
      <c r="KO109" s="290">
        <f t="shared" si="782"/>
        <v>0</v>
      </c>
      <c r="KP109" s="290">
        <f t="shared" si="783"/>
        <v>0</v>
      </c>
      <c r="KQ109" s="290">
        <f t="shared" si="784"/>
        <v>0</v>
      </c>
      <c r="KR109" s="290">
        <f t="shared" si="785"/>
        <v>0</v>
      </c>
      <c r="KS109" s="290">
        <f t="shared" si="786"/>
        <v>0</v>
      </c>
      <c r="KT109" s="290">
        <f t="shared" si="787"/>
        <v>0</v>
      </c>
      <c r="KU109" s="290">
        <f t="shared" si="788"/>
        <v>0</v>
      </c>
      <c r="KV109" s="290">
        <f t="shared" si="789"/>
        <v>0</v>
      </c>
      <c r="KW109" s="290">
        <f t="shared" si="790"/>
        <v>0</v>
      </c>
      <c r="KX109" s="291">
        <f t="shared" si="791"/>
        <v>0</v>
      </c>
      <c r="KY109" s="291">
        <f t="shared" si="792"/>
        <v>0</v>
      </c>
      <c r="KZ109" s="291">
        <f t="shared" si="793"/>
        <v>0</v>
      </c>
      <c r="LA109" s="292">
        <f t="shared" si="794"/>
        <v>0</v>
      </c>
      <c r="LB109" s="999">
        <v>18</v>
      </c>
      <c r="LC109" s="286">
        <f t="shared" si="870"/>
        <v>44214</v>
      </c>
      <c r="LD109" s="287">
        <f t="shared" si="594"/>
        <v>44214</v>
      </c>
      <c r="LE109" s="288">
        <f>'दैनिक माहिती'!M310</f>
        <v>0</v>
      </c>
      <c r="LF109" s="289">
        <f>'दैनिक माहिती'!J310</f>
        <v>0</v>
      </c>
      <c r="LG109" s="289">
        <f>'दैनिक माहिती'!K310</f>
        <v>0</v>
      </c>
      <c r="LH109" s="289">
        <f>'दैनिक माहिती'!L310</f>
        <v>0</v>
      </c>
      <c r="LI109" s="290">
        <f t="shared" si="795"/>
        <v>0</v>
      </c>
      <c r="LJ109" s="290">
        <f t="shared" si="796"/>
        <v>0</v>
      </c>
      <c r="LK109" s="290">
        <f t="shared" si="797"/>
        <v>0</v>
      </c>
      <c r="LL109" s="290">
        <f t="shared" si="798"/>
        <v>0</v>
      </c>
      <c r="LM109" s="290">
        <f t="shared" si="799"/>
        <v>0</v>
      </c>
      <c r="LN109" s="290">
        <f t="shared" si="800"/>
        <v>0</v>
      </c>
      <c r="LO109" s="290">
        <f t="shared" si="801"/>
        <v>0</v>
      </c>
      <c r="LP109" s="290">
        <f t="shared" si="802"/>
        <v>0</v>
      </c>
      <c r="LQ109" s="290">
        <f t="shared" si="803"/>
        <v>0</v>
      </c>
      <c r="LR109" s="290">
        <f t="shared" si="804"/>
        <v>0</v>
      </c>
      <c r="LS109" s="290">
        <f t="shared" si="805"/>
        <v>0</v>
      </c>
      <c r="LT109" s="290">
        <f t="shared" si="806"/>
        <v>0</v>
      </c>
      <c r="LU109" s="290">
        <f t="shared" si="807"/>
        <v>0</v>
      </c>
      <c r="LV109" s="290">
        <f t="shared" si="808"/>
        <v>0</v>
      </c>
      <c r="LW109" s="290">
        <f t="shared" si="809"/>
        <v>0</v>
      </c>
      <c r="LX109" s="290">
        <f t="shared" si="810"/>
        <v>0</v>
      </c>
      <c r="LY109" s="290">
        <f t="shared" si="811"/>
        <v>0</v>
      </c>
      <c r="LZ109" s="290">
        <f t="shared" si="812"/>
        <v>0</v>
      </c>
      <c r="MA109" s="291">
        <f t="shared" si="813"/>
        <v>0</v>
      </c>
      <c r="MB109" s="291">
        <f t="shared" si="814"/>
        <v>0</v>
      </c>
      <c r="MC109" s="291">
        <f t="shared" si="815"/>
        <v>0</v>
      </c>
      <c r="MD109" s="292">
        <f t="shared" si="816"/>
        <v>0</v>
      </c>
      <c r="ME109" s="999">
        <v>18</v>
      </c>
      <c r="MF109" s="286">
        <f t="shared" si="871"/>
        <v>44245</v>
      </c>
      <c r="MG109" s="287">
        <f t="shared" si="595"/>
        <v>44245</v>
      </c>
      <c r="MH109" s="288">
        <f>'दैनिक माहिती'!M342</f>
        <v>0</v>
      </c>
      <c r="MI109" s="289">
        <f>'दैनिक माहिती'!J342</f>
        <v>0</v>
      </c>
      <c r="MJ109" s="289">
        <f>'दैनिक माहिती'!K342</f>
        <v>0</v>
      </c>
      <c r="MK109" s="289">
        <f>'दैनिक माहिती'!L342</f>
        <v>0</v>
      </c>
      <c r="ML109" s="290">
        <f t="shared" si="817"/>
        <v>0</v>
      </c>
      <c r="MM109" s="290">
        <f t="shared" si="818"/>
        <v>0</v>
      </c>
      <c r="MN109" s="290">
        <f t="shared" si="819"/>
        <v>0</v>
      </c>
      <c r="MO109" s="290">
        <f t="shared" si="820"/>
        <v>0</v>
      </c>
      <c r="MP109" s="290">
        <f t="shared" si="821"/>
        <v>0</v>
      </c>
      <c r="MQ109" s="290">
        <f t="shared" si="822"/>
        <v>0</v>
      </c>
      <c r="MR109" s="290">
        <f t="shared" si="823"/>
        <v>0</v>
      </c>
      <c r="MS109" s="290">
        <f t="shared" si="824"/>
        <v>0</v>
      </c>
      <c r="MT109" s="290">
        <f t="shared" si="825"/>
        <v>0</v>
      </c>
      <c r="MU109" s="290">
        <f t="shared" si="826"/>
        <v>0</v>
      </c>
      <c r="MV109" s="290">
        <f t="shared" si="827"/>
        <v>0</v>
      </c>
      <c r="MW109" s="290">
        <f t="shared" si="828"/>
        <v>0</v>
      </c>
      <c r="MX109" s="290">
        <f t="shared" si="829"/>
        <v>0</v>
      </c>
      <c r="MY109" s="290">
        <f t="shared" si="830"/>
        <v>0</v>
      </c>
      <c r="MZ109" s="290">
        <f t="shared" si="831"/>
        <v>0</v>
      </c>
      <c r="NA109" s="290">
        <f t="shared" si="832"/>
        <v>0</v>
      </c>
      <c r="NB109" s="290">
        <f t="shared" si="833"/>
        <v>0</v>
      </c>
      <c r="NC109" s="290">
        <f t="shared" si="834"/>
        <v>0</v>
      </c>
      <c r="ND109" s="291">
        <f t="shared" si="835"/>
        <v>0</v>
      </c>
      <c r="NE109" s="291">
        <f t="shared" si="836"/>
        <v>0</v>
      </c>
      <c r="NF109" s="291">
        <f t="shared" si="837"/>
        <v>0</v>
      </c>
      <c r="NG109" s="292">
        <f t="shared" si="838"/>
        <v>0</v>
      </c>
      <c r="NH109" s="999">
        <v>18</v>
      </c>
      <c r="NI109" s="286">
        <f t="shared" si="872"/>
        <v>44273</v>
      </c>
      <c r="NJ109" s="287">
        <f t="shared" si="596"/>
        <v>44273</v>
      </c>
      <c r="NK109" s="288">
        <f>'दैनिक माहिती'!M372</f>
        <v>0</v>
      </c>
      <c r="NL109" s="289">
        <f>'दैनिक माहिती'!J372</f>
        <v>0</v>
      </c>
      <c r="NM109" s="289">
        <f>'दैनिक माहिती'!K372</f>
        <v>0</v>
      </c>
      <c r="NN109" s="289">
        <f>'दैनिक माहिती'!L372</f>
        <v>0</v>
      </c>
      <c r="NO109" s="290">
        <f t="shared" si="839"/>
        <v>0</v>
      </c>
      <c r="NP109" s="290">
        <f t="shared" si="840"/>
        <v>0</v>
      </c>
      <c r="NQ109" s="290">
        <f t="shared" si="841"/>
        <v>0</v>
      </c>
      <c r="NR109" s="290">
        <f t="shared" si="842"/>
        <v>0</v>
      </c>
      <c r="NS109" s="290">
        <f t="shared" si="843"/>
        <v>0</v>
      </c>
      <c r="NT109" s="290">
        <f t="shared" si="844"/>
        <v>0</v>
      </c>
      <c r="NU109" s="290">
        <f t="shared" si="845"/>
        <v>0</v>
      </c>
      <c r="NV109" s="290">
        <f t="shared" si="846"/>
        <v>0</v>
      </c>
      <c r="NW109" s="290">
        <f t="shared" si="847"/>
        <v>0</v>
      </c>
      <c r="NX109" s="290">
        <f t="shared" si="848"/>
        <v>0</v>
      </c>
      <c r="NY109" s="290">
        <f t="shared" si="849"/>
        <v>0</v>
      </c>
      <c r="NZ109" s="290">
        <f t="shared" si="850"/>
        <v>0</v>
      </c>
      <c r="OA109" s="290">
        <f t="shared" si="851"/>
        <v>0</v>
      </c>
      <c r="OB109" s="290">
        <f t="shared" si="852"/>
        <v>0</v>
      </c>
      <c r="OC109" s="290">
        <f t="shared" si="853"/>
        <v>0</v>
      </c>
      <c r="OD109" s="290">
        <f t="shared" si="854"/>
        <v>0</v>
      </c>
      <c r="OE109" s="290">
        <f t="shared" si="855"/>
        <v>0</v>
      </c>
      <c r="OF109" s="290">
        <f t="shared" si="856"/>
        <v>0</v>
      </c>
      <c r="OG109" s="291">
        <f t="shared" si="857"/>
        <v>0</v>
      </c>
      <c r="OH109" s="291">
        <f t="shared" si="858"/>
        <v>0</v>
      </c>
      <c r="OI109" s="291">
        <f t="shared" si="859"/>
        <v>0</v>
      </c>
      <c r="OJ109" s="292">
        <f t="shared" si="860"/>
        <v>0</v>
      </c>
    </row>
    <row r="110" spans="53:400" ht="29.25" customHeight="1" x14ac:dyDescent="0.3">
      <c r="BA110" s="999">
        <v>19</v>
      </c>
      <c r="BB110" s="286">
        <f t="shared" si="861"/>
        <v>43940</v>
      </c>
      <c r="BC110" s="293">
        <f t="shared" si="585"/>
        <v>43940</v>
      </c>
      <c r="BD110" s="288">
        <f>'दैनिक माहिती'!M27</f>
        <v>0</v>
      </c>
      <c r="BE110" s="289">
        <f>'दैनिक माहिती'!J27</f>
        <v>0</v>
      </c>
      <c r="BF110" s="289">
        <f>'दैनिक माहिती'!K27</f>
        <v>0</v>
      </c>
      <c r="BG110" s="289">
        <f>'दैनिक माहिती'!L27</f>
        <v>0</v>
      </c>
      <c r="BH110" s="290">
        <f t="shared" si="597"/>
        <v>0</v>
      </c>
      <c r="BI110" s="290">
        <f t="shared" si="598"/>
        <v>0</v>
      </c>
      <c r="BJ110" s="290">
        <f t="shared" si="599"/>
        <v>0</v>
      </c>
      <c r="BK110" s="290">
        <f t="shared" si="600"/>
        <v>0</v>
      </c>
      <c r="BL110" s="290">
        <f t="shared" si="601"/>
        <v>0</v>
      </c>
      <c r="BM110" s="290">
        <f t="shared" si="602"/>
        <v>0</v>
      </c>
      <c r="BN110" s="290">
        <f t="shared" si="603"/>
        <v>0</v>
      </c>
      <c r="BO110" s="290">
        <f t="shared" si="604"/>
        <v>0</v>
      </c>
      <c r="BP110" s="290">
        <f t="shared" si="605"/>
        <v>0</v>
      </c>
      <c r="BQ110" s="290">
        <f t="shared" si="606"/>
        <v>0</v>
      </c>
      <c r="BR110" s="290">
        <f t="shared" si="607"/>
        <v>0</v>
      </c>
      <c r="BS110" s="290">
        <f t="shared" si="608"/>
        <v>0</v>
      </c>
      <c r="BT110" s="290">
        <f t="shared" si="609"/>
        <v>0</v>
      </c>
      <c r="BU110" s="290">
        <f t="shared" si="610"/>
        <v>0</v>
      </c>
      <c r="BV110" s="290">
        <f t="shared" si="611"/>
        <v>0</v>
      </c>
      <c r="BW110" s="290">
        <f t="shared" si="612"/>
        <v>0</v>
      </c>
      <c r="BX110" s="290">
        <f t="shared" si="613"/>
        <v>0</v>
      </c>
      <c r="BY110" s="290">
        <f t="shared" si="614"/>
        <v>0</v>
      </c>
      <c r="BZ110" s="291">
        <f t="shared" si="615"/>
        <v>0</v>
      </c>
      <c r="CA110" s="291">
        <f t="shared" si="616"/>
        <v>0</v>
      </c>
      <c r="CB110" s="291">
        <f t="shared" si="617"/>
        <v>0</v>
      </c>
      <c r="CC110" s="292">
        <f t="shared" si="618"/>
        <v>0</v>
      </c>
      <c r="CD110" s="999">
        <v>19</v>
      </c>
      <c r="CE110" s="286">
        <f t="shared" si="862"/>
        <v>43970</v>
      </c>
      <c r="CF110" s="293">
        <f t="shared" si="586"/>
        <v>43970</v>
      </c>
      <c r="CG110" s="288">
        <f>'दैनिक माहिती'!M58</f>
        <v>0</v>
      </c>
      <c r="CH110" s="289">
        <f>'दैनिक माहिती'!J58</f>
        <v>0</v>
      </c>
      <c r="CI110" s="289">
        <f>'दैनिक माहिती'!K58</f>
        <v>0</v>
      </c>
      <c r="CJ110" s="289">
        <f>'दैनिक माहिती'!L58</f>
        <v>0</v>
      </c>
      <c r="CK110" s="290">
        <f t="shared" si="619"/>
        <v>0</v>
      </c>
      <c r="CL110" s="290">
        <f t="shared" si="620"/>
        <v>0</v>
      </c>
      <c r="CM110" s="290">
        <f t="shared" si="621"/>
        <v>0</v>
      </c>
      <c r="CN110" s="290">
        <f t="shared" si="622"/>
        <v>0</v>
      </c>
      <c r="CO110" s="290">
        <f t="shared" si="623"/>
        <v>0</v>
      </c>
      <c r="CP110" s="290">
        <f t="shared" si="624"/>
        <v>0</v>
      </c>
      <c r="CQ110" s="290">
        <f t="shared" si="625"/>
        <v>0</v>
      </c>
      <c r="CR110" s="290">
        <f t="shared" si="626"/>
        <v>0</v>
      </c>
      <c r="CS110" s="290">
        <f t="shared" si="627"/>
        <v>0</v>
      </c>
      <c r="CT110" s="290">
        <f t="shared" si="628"/>
        <v>0</v>
      </c>
      <c r="CU110" s="290">
        <f t="shared" si="629"/>
        <v>0</v>
      </c>
      <c r="CV110" s="290">
        <f t="shared" si="630"/>
        <v>0</v>
      </c>
      <c r="CW110" s="290">
        <f t="shared" si="631"/>
        <v>0</v>
      </c>
      <c r="CX110" s="290">
        <f t="shared" si="632"/>
        <v>0</v>
      </c>
      <c r="CY110" s="290">
        <f t="shared" si="633"/>
        <v>0</v>
      </c>
      <c r="CZ110" s="290">
        <f t="shared" si="634"/>
        <v>0</v>
      </c>
      <c r="DA110" s="290">
        <f t="shared" si="635"/>
        <v>0</v>
      </c>
      <c r="DB110" s="290">
        <f t="shared" si="636"/>
        <v>0</v>
      </c>
      <c r="DC110" s="291">
        <f t="shared" si="637"/>
        <v>0</v>
      </c>
      <c r="DD110" s="291">
        <f t="shared" si="638"/>
        <v>0</v>
      </c>
      <c r="DE110" s="291">
        <f t="shared" si="639"/>
        <v>0</v>
      </c>
      <c r="DF110" s="292">
        <f t="shared" si="640"/>
        <v>0</v>
      </c>
      <c r="DG110" s="999">
        <v>19</v>
      </c>
      <c r="DH110" s="286">
        <f t="shared" si="863"/>
        <v>44001</v>
      </c>
      <c r="DI110" s="293">
        <f t="shared" si="587"/>
        <v>44001</v>
      </c>
      <c r="DJ110" s="288">
        <f>'दैनिक माहिती'!M90</f>
        <v>0</v>
      </c>
      <c r="DK110" s="289">
        <f>'दैनिक माहिती'!J90</f>
        <v>0</v>
      </c>
      <c r="DL110" s="289">
        <f>'दैनिक माहिती'!K90</f>
        <v>0</v>
      </c>
      <c r="DM110" s="289">
        <f>'दैनिक माहिती'!L90</f>
        <v>0</v>
      </c>
      <c r="DN110" s="290">
        <f t="shared" si="641"/>
        <v>0</v>
      </c>
      <c r="DO110" s="290">
        <f t="shared" si="642"/>
        <v>0</v>
      </c>
      <c r="DP110" s="290">
        <f t="shared" si="643"/>
        <v>0</v>
      </c>
      <c r="DQ110" s="290">
        <f t="shared" si="644"/>
        <v>0</v>
      </c>
      <c r="DR110" s="290">
        <f t="shared" si="645"/>
        <v>0</v>
      </c>
      <c r="DS110" s="290">
        <f t="shared" si="646"/>
        <v>0</v>
      </c>
      <c r="DT110" s="290">
        <f t="shared" si="647"/>
        <v>0</v>
      </c>
      <c r="DU110" s="290">
        <f t="shared" si="648"/>
        <v>0</v>
      </c>
      <c r="DV110" s="290">
        <f t="shared" si="649"/>
        <v>0</v>
      </c>
      <c r="DW110" s="290">
        <f t="shared" si="650"/>
        <v>0</v>
      </c>
      <c r="DX110" s="290">
        <f t="shared" si="651"/>
        <v>0</v>
      </c>
      <c r="DY110" s="290">
        <f t="shared" si="652"/>
        <v>0</v>
      </c>
      <c r="DZ110" s="290">
        <f t="shared" si="653"/>
        <v>0</v>
      </c>
      <c r="EA110" s="290">
        <f t="shared" si="654"/>
        <v>0</v>
      </c>
      <c r="EB110" s="290">
        <f t="shared" si="655"/>
        <v>0</v>
      </c>
      <c r="EC110" s="290">
        <f t="shared" si="656"/>
        <v>0</v>
      </c>
      <c r="ED110" s="290">
        <f t="shared" si="657"/>
        <v>0</v>
      </c>
      <c r="EE110" s="290">
        <f t="shared" si="658"/>
        <v>0</v>
      </c>
      <c r="EF110" s="291">
        <f t="shared" si="659"/>
        <v>0</v>
      </c>
      <c r="EG110" s="291">
        <f t="shared" si="660"/>
        <v>0</v>
      </c>
      <c r="EH110" s="291">
        <f t="shared" si="661"/>
        <v>0</v>
      </c>
      <c r="EI110" s="292">
        <f t="shared" si="662"/>
        <v>0</v>
      </c>
      <c r="EJ110" s="999">
        <v>19</v>
      </c>
      <c r="EK110" s="286">
        <f t="shared" si="864"/>
        <v>44031</v>
      </c>
      <c r="EL110" s="293">
        <f t="shared" si="588"/>
        <v>44031</v>
      </c>
      <c r="EM110" s="288">
        <f>'दैनिक माहिती'!M121</f>
        <v>0</v>
      </c>
      <c r="EN110" s="289">
        <f>'दैनिक माहिती'!J121</f>
        <v>0</v>
      </c>
      <c r="EO110" s="289">
        <f>'दैनिक माहिती'!K121</f>
        <v>0</v>
      </c>
      <c r="EP110" s="289">
        <f>'दैनिक माहिती'!L121</f>
        <v>0</v>
      </c>
      <c r="EQ110" s="290">
        <f t="shared" si="663"/>
        <v>0</v>
      </c>
      <c r="ER110" s="290">
        <f t="shared" si="664"/>
        <v>0</v>
      </c>
      <c r="ES110" s="290">
        <f t="shared" si="665"/>
        <v>0</v>
      </c>
      <c r="ET110" s="290">
        <f t="shared" si="666"/>
        <v>0</v>
      </c>
      <c r="EU110" s="290">
        <f t="shared" si="667"/>
        <v>0</v>
      </c>
      <c r="EV110" s="290">
        <f t="shared" si="668"/>
        <v>0</v>
      </c>
      <c r="EW110" s="290">
        <f t="shared" si="669"/>
        <v>0</v>
      </c>
      <c r="EX110" s="290">
        <f t="shared" si="670"/>
        <v>0</v>
      </c>
      <c r="EY110" s="290">
        <f t="shared" si="671"/>
        <v>0</v>
      </c>
      <c r="EZ110" s="290">
        <f t="shared" si="672"/>
        <v>0</v>
      </c>
      <c r="FA110" s="290">
        <f t="shared" si="673"/>
        <v>0</v>
      </c>
      <c r="FB110" s="290">
        <f t="shared" si="674"/>
        <v>0</v>
      </c>
      <c r="FC110" s="290">
        <f t="shared" si="675"/>
        <v>0</v>
      </c>
      <c r="FD110" s="290">
        <f t="shared" si="676"/>
        <v>0</v>
      </c>
      <c r="FE110" s="290">
        <f t="shared" si="677"/>
        <v>0</v>
      </c>
      <c r="FF110" s="290">
        <f t="shared" si="678"/>
        <v>0</v>
      </c>
      <c r="FG110" s="290">
        <f t="shared" si="679"/>
        <v>0</v>
      </c>
      <c r="FH110" s="290">
        <f t="shared" si="680"/>
        <v>0</v>
      </c>
      <c r="FI110" s="291">
        <f t="shared" si="681"/>
        <v>0</v>
      </c>
      <c r="FJ110" s="291">
        <f t="shared" si="682"/>
        <v>0</v>
      </c>
      <c r="FK110" s="291">
        <f t="shared" si="683"/>
        <v>0</v>
      </c>
      <c r="FL110" s="292">
        <f t="shared" si="684"/>
        <v>0</v>
      </c>
      <c r="FM110" s="999">
        <v>19</v>
      </c>
      <c r="FN110" s="286">
        <f t="shared" si="865"/>
        <v>44062</v>
      </c>
      <c r="FO110" s="293">
        <f t="shared" si="589"/>
        <v>44062</v>
      </c>
      <c r="FP110" s="288">
        <f>'दैनिक माहिती'!M153</f>
        <v>0</v>
      </c>
      <c r="FQ110" s="289">
        <f>'दैनिक माहिती'!J153</f>
        <v>0</v>
      </c>
      <c r="FR110" s="289">
        <f>'दैनिक माहिती'!K153</f>
        <v>0</v>
      </c>
      <c r="FS110" s="289">
        <f>'दैनिक माहिती'!L153</f>
        <v>0</v>
      </c>
      <c r="FT110" s="290">
        <f t="shared" si="685"/>
        <v>0</v>
      </c>
      <c r="FU110" s="290">
        <f t="shared" si="686"/>
        <v>0</v>
      </c>
      <c r="FV110" s="290">
        <f t="shared" si="687"/>
        <v>0</v>
      </c>
      <c r="FW110" s="290">
        <f t="shared" si="688"/>
        <v>0</v>
      </c>
      <c r="FX110" s="290">
        <f t="shared" si="689"/>
        <v>0</v>
      </c>
      <c r="FY110" s="290">
        <f t="shared" si="690"/>
        <v>0</v>
      </c>
      <c r="FZ110" s="290">
        <f t="shared" si="691"/>
        <v>0</v>
      </c>
      <c r="GA110" s="290">
        <f t="shared" si="692"/>
        <v>0</v>
      </c>
      <c r="GB110" s="290">
        <f t="shared" si="693"/>
        <v>0</v>
      </c>
      <c r="GC110" s="290">
        <f t="shared" si="694"/>
        <v>0</v>
      </c>
      <c r="GD110" s="290">
        <f t="shared" si="695"/>
        <v>0</v>
      </c>
      <c r="GE110" s="290">
        <f t="shared" si="696"/>
        <v>0</v>
      </c>
      <c r="GF110" s="290">
        <f t="shared" si="697"/>
        <v>0</v>
      </c>
      <c r="GG110" s="290">
        <f t="shared" si="698"/>
        <v>0</v>
      </c>
      <c r="GH110" s="290">
        <f t="shared" si="699"/>
        <v>0</v>
      </c>
      <c r="GI110" s="290">
        <f t="shared" si="700"/>
        <v>0</v>
      </c>
      <c r="GJ110" s="290">
        <f t="shared" si="701"/>
        <v>0</v>
      </c>
      <c r="GK110" s="290">
        <f t="shared" si="702"/>
        <v>0</v>
      </c>
      <c r="GL110" s="291">
        <f t="shared" si="703"/>
        <v>0</v>
      </c>
      <c r="GM110" s="291">
        <f t="shared" si="704"/>
        <v>0</v>
      </c>
      <c r="GN110" s="291">
        <f t="shared" si="705"/>
        <v>0</v>
      </c>
      <c r="GO110" s="292">
        <f t="shared" si="706"/>
        <v>0</v>
      </c>
      <c r="GP110" s="999">
        <v>19</v>
      </c>
      <c r="GQ110" s="286">
        <f t="shared" si="866"/>
        <v>44093</v>
      </c>
      <c r="GR110" s="293">
        <f t="shared" si="590"/>
        <v>44093</v>
      </c>
      <c r="GS110" s="288">
        <f>'दैनिक माहिती'!M185</f>
        <v>0</v>
      </c>
      <c r="GT110" s="289">
        <f>'दैनिक माहिती'!J185</f>
        <v>0</v>
      </c>
      <c r="GU110" s="289">
        <f>'दैनिक माहिती'!K185</f>
        <v>0</v>
      </c>
      <c r="GV110" s="289">
        <f>'दैनिक माहिती'!L185</f>
        <v>0</v>
      </c>
      <c r="GW110" s="290">
        <f t="shared" si="707"/>
        <v>0</v>
      </c>
      <c r="GX110" s="290">
        <f t="shared" si="708"/>
        <v>0</v>
      </c>
      <c r="GY110" s="290">
        <f t="shared" si="709"/>
        <v>0</v>
      </c>
      <c r="GZ110" s="290">
        <f t="shared" si="710"/>
        <v>0</v>
      </c>
      <c r="HA110" s="290">
        <f t="shared" si="711"/>
        <v>0</v>
      </c>
      <c r="HB110" s="290">
        <f t="shared" si="712"/>
        <v>0</v>
      </c>
      <c r="HC110" s="290">
        <f t="shared" si="713"/>
        <v>0</v>
      </c>
      <c r="HD110" s="290">
        <f t="shared" si="714"/>
        <v>0</v>
      </c>
      <c r="HE110" s="290">
        <f t="shared" si="715"/>
        <v>0</v>
      </c>
      <c r="HF110" s="290">
        <f t="shared" si="716"/>
        <v>0</v>
      </c>
      <c r="HG110" s="290">
        <f t="shared" si="717"/>
        <v>0</v>
      </c>
      <c r="HH110" s="290">
        <f t="shared" si="718"/>
        <v>0</v>
      </c>
      <c r="HI110" s="290">
        <f t="shared" si="719"/>
        <v>0</v>
      </c>
      <c r="HJ110" s="290">
        <f t="shared" si="720"/>
        <v>0</v>
      </c>
      <c r="HK110" s="290">
        <f t="shared" si="721"/>
        <v>0</v>
      </c>
      <c r="HL110" s="290">
        <f t="shared" si="722"/>
        <v>0</v>
      </c>
      <c r="HM110" s="290">
        <f t="shared" si="723"/>
        <v>0</v>
      </c>
      <c r="HN110" s="290">
        <f t="shared" si="724"/>
        <v>0</v>
      </c>
      <c r="HO110" s="291">
        <f t="shared" si="725"/>
        <v>0</v>
      </c>
      <c r="HP110" s="291">
        <f t="shared" si="726"/>
        <v>0</v>
      </c>
      <c r="HQ110" s="291">
        <f t="shared" si="727"/>
        <v>0</v>
      </c>
      <c r="HR110" s="292">
        <f t="shared" si="728"/>
        <v>0</v>
      </c>
      <c r="HS110" s="999">
        <v>19</v>
      </c>
      <c r="HT110" s="286">
        <f t="shared" si="867"/>
        <v>44123</v>
      </c>
      <c r="HU110" s="293">
        <f t="shared" si="591"/>
        <v>44123</v>
      </c>
      <c r="HV110" s="288">
        <f>'दैनिक माहिती'!M216</f>
        <v>0</v>
      </c>
      <c r="HW110" s="289">
        <f>'दैनिक माहिती'!J216</f>
        <v>0</v>
      </c>
      <c r="HX110" s="289">
        <f>'दैनिक माहिती'!K216</f>
        <v>0</v>
      </c>
      <c r="HY110" s="289">
        <f>'दैनिक माहिती'!L216</f>
        <v>0</v>
      </c>
      <c r="HZ110" s="290">
        <f t="shared" si="729"/>
        <v>0</v>
      </c>
      <c r="IA110" s="290">
        <f t="shared" si="730"/>
        <v>0</v>
      </c>
      <c r="IB110" s="290">
        <f t="shared" si="731"/>
        <v>0</v>
      </c>
      <c r="IC110" s="290">
        <f t="shared" si="732"/>
        <v>0</v>
      </c>
      <c r="ID110" s="290">
        <f t="shared" si="733"/>
        <v>0</v>
      </c>
      <c r="IE110" s="290">
        <f t="shared" si="734"/>
        <v>0</v>
      </c>
      <c r="IF110" s="290">
        <f t="shared" si="735"/>
        <v>0</v>
      </c>
      <c r="IG110" s="290">
        <f t="shared" si="736"/>
        <v>0</v>
      </c>
      <c r="IH110" s="290">
        <f t="shared" si="737"/>
        <v>0</v>
      </c>
      <c r="II110" s="290">
        <f t="shared" si="738"/>
        <v>0</v>
      </c>
      <c r="IJ110" s="290">
        <f t="shared" si="739"/>
        <v>0</v>
      </c>
      <c r="IK110" s="290">
        <f t="shared" si="740"/>
        <v>0</v>
      </c>
      <c r="IL110" s="290">
        <f t="shared" si="741"/>
        <v>0</v>
      </c>
      <c r="IM110" s="290">
        <f t="shared" si="742"/>
        <v>0</v>
      </c>
      <c r="IN110" s="290">
        <f t="shared" si="743"/>
        <v>0</v>
      </c>
      <c r="IO110" s="290">
        <f t="shared" si="744"/>
        <v>0</v>
      </c>
      <c r="IP110" s="290">
        <f t="shared" si="745"/>
        <v>0</v>
      </c>
      <c r="IQ110" s="290">
        <f t="shared" si="746"/>
        <v>0</v>
      </c>
      <c r="IR110" s="291">
        <f t="shared" si="747"/>
        <v>0</v>
      </c>
      <c r="IS110" s="291">
        <f t="shared" si="748"/>
        <v>0</v>
      </c>
      <c r="IT110" s="291">
        <f t="shared" si="749"/>
        <v>0</v>
      </c>
      <c r="IU110" s="292">
        <f t="shared" si="750"/>
        <v>0</v>
      </c>
      <c r="IV110" s="999">
        <v>19</v>
      </c>
      <c r="IW110" s="286">
        <f t="shared" si="868"/>
        <v>44154</v>
      </c>
      <c r="IX110" s="293">
        <f t="shared" si="592"/>
        <v>44154</v>
      </c>
      <c r="IY110" s="288">
        <f>'दैनिक माहिती'!M248</f>
        <v>0</v>
      </c>
      <c r="IZ110" s="289">
        <f>'दैनिक माहिती'!J248</f>
        <v>0</v>
      </c>
      <c r="JA110" s="289">
        <f>'दैनिक माहिती'!K248</f>
        <v>0</v>
      </c>
      <c r="JB110" s="289">
        <f>'दैनिक माहिती'!L248</f>
        <v>0</v>
      </c>
      <c r="JC110" s="290">
        <f t="shared" si="751"/>
        <v>0</v>
      </c>
      <c r="JD110" s="290">
        <f t="shared" si="752"/>
        <v>0</v>
      </c>
      <c r="JE110" s="290">
        <f t="shared" si="753"/>
        <v>0</v>
      </c>
      <c r="JF110" s="290">
        <f t="shared" si="754"/>
        <v>0</v>
      </c>
      <c r="JG110" s="290">
        <f t="shared" si="755"/>
        <v>0</v>
      </c>
      <c r="JH110" s="290">
        <f t="shared" si="756"/>
        <v>0</v>
      </c>
      <c r="JI110" s="290">
        <f t="shared" si="757"/>
        <v>0</v>
      </c>
      <c r="JJ110" s="290">
        <f t="shared" si="758"/>
        <v>0</v>
      </c>
      <c r="JK110" s="290">
        <f t="shared" si="759"/>
        <v>0</v>
      </c>
      <c r="JL110" s="290">
        <f t="shared" si="760"/>
        <v>0</v>
      </c>
      <c r="JM110" s="290">
        <f t="shared" si="761"/>
        <v>0</v>
      </c>
      <c r="JN110" s="290">
        <f t="shared" si="762"/>
        <v>0</v>
      </c>
      <c r="JO110" s="290">
        <f t="shared" si="763"/>
        <v>0</v>
      </c>
      <c r="JP110" s="290">
        <f t="shared" si="764"/>
        <v>0</v>
      </c>
      <c r="JQ110" s="290">
        <f t="shared" si="765"/>
        <v>0</v>
      </c>
      <c r="JR110" s="290">
        <f t="shared" si="766"/>
        <v>0</v>
      </c>
      <c r="JS110" s="290">
        <f t="shared" si="767"/>
        <v>0</v>
      </c>
      <c r="JT110" s="290">
        <f t="shared" si="768"/>
        <v>0</v>
      </c>
      <c r="JU110" s="291">
        <f t="shared" si="769"/>
        <v>0</v>
      </c>
      <c r="JV110" s="291">
        <f t="shared" si="770"/>
        <v>0</v>
      </c>
      <c r="JW110" s="291">
        <f t="shared" si="771"/>
        <v>0</v>
      </c>
      <c r="JX110" s="292">
        <f t="shared" si="772"/>
        <v>0</v>
      </c>
      <c r="JY110" s="999">
        <v>19</v>
      </c>
      <c r="JZ110" s="286">
        <f t="shared" si="869"/>
        <v>44184</v>
      </c>
      <c r="KA110" s="293">
        <f t="shared" si="593"/>
        <v>44184</v>
      </c>
      <c r="KB110" s="288">
        <f>'दैनिक माहिती'!M279</f>
        <v>0</v>
      </c>
      <c r="KC110" s="289">
        <f>'दैनिक माहिती'!J279</f>
        <v>0</v>
      </c>
      <c r="KD110" s="289">
        <f>'दैनिक माहिती'!K279</f>
        <v>0</v>
      </c>
      <c r="KE110" s="289">
        <f>'दैनिक माहिती'!L279</f>
        <v>0</v>
      </c>
      <c r="KF110" s="290">
        <f t="shared" si="773"/>
        <v>0</v>
      </c>
      <c r="KG110" s="290">
        <f t="shared" si="774"/>
        <v>0</v>
      </c>
      <c r="KH110" s="290">
        <f t="shared" si="775"/>
        <v>0</v>
      </c>
      <c r="KI110" s="290">
        <f t="shared" si="776"/>
        <v>0</v>
      </c>
      <c r="KJ110" s="290">
        <f t="shared" si="777"/>
        <v>0</v>
      </c>
      <c r="KK110" s="290">
        <f t="shared" si="778"/>
        <v>0</v>
      </c>
      <c r="KL110" s="290">
        <f t="shared" si="779"/>
        <v>0</v>
      </c>
      <c r="KM110" s="290">
        <f t="shared" si="780"/>
        <v>0</v>
      </c>
      <c r="KN110" s="290">
        <f t="shared" si="781"/>
        <v>0</v>
      </c>
      <c r="KO110" s="290">
        <f t="shared" si="782"/>
        <v>0</v>
      </c>
      <c r="KP110" s="290">
        <f t="shared" si="783"/>
        <v>0</v>
      </c>
      <c r="KQ110" s="290">
        <f t="shared" si="784"/>
        <v>0</v>
      </c>
      <c r="KR110" s="290">
        <f t="shared" si="785"/>
        <v>0</v>
      </c>
      <c r="KS110" s="290">
        <f t="shared" si="786"/>
        <v>0</v>
      </c>
      <c r="KT110" s="290">
        <f t="shared" si="787"/>
        <v>0</v>
      </c>
      <c r="KU110" s="290">
        <f t="shared" si="788"/>
        <v>0</v>
      </c>
      <c r="KV110" s="290">
        <f t="shared" si="789"/>
        <v>0</v>
      </c>
      <c r="KW110" s="290">
        <f t="shared" si="790"/>
        <v>0</v>
      </c>
      <c r="KX110" s="291">
        <f t="shared" si="791"/>
        <v>0</v>
      </c>
      <c r="KY110" s="291">
        <f t="shared" si="792"/>
        <v>0</v>
      </c>
      <c r="KZ110" s="291">
        <f t="shared" si="793"/>
        <v>0</v>
      </c>
      <c r="LA110" s="292">
        <f t="shared" si="794"/>
        <v>0</v>
      </c>
      <c r="LB110" s="999">
        <v>19</v>
      </c>
      <c r="LC110" s="286">
        <f t="shared" si="870"/>
        <v>44215</v>
      </c>
      <c r="LD110" s="293">
        <f t="shared" si="594"/>
        <v>44215</v>
      </c>
      <c r="LE110" s="288">
        <f>'दैनिक माहिती'!M311</f>
        <v>0</v>
      </c>
      <c r="LF110" s="289">
        <f>'दैनिक माहिती'!J311</f>
        <v>0</v>
      </c>
      <c r="LG110" s="289">
        <f>'दैनिक माहिती'!K311</f>
        <v>0</v>
      </c>
      <c r="LH110" s="289">
        <f>'दैनिक माहिती'!L311</f>
        <v>0</v>
      </c>
      <c r="LI110" s="290">
        <f t="shared" si="795"/>
        <v>0</v>
      </c>
      <c r="LJ110" s="290">
        <f t="shared" si="796"/>
        <v>0</v>
      </c>
      <c r="LK110" s="290">
        <f t="shared" si="797"/>
        <v>0</v>
      </c>
      <c r="LL110" s="290">
        <f t="shared" si="798"/>
        <v>0</v>
      </c>
      <c r="LM110" s="290">
        <f t="shared" si="799"/>
        <v>0</v>
      </c>
      <c r="LN110" s="290">
        <f t="shared" si="800"/>
        <v>0</v>
      </c>
      <c r="LO110" s="290">
        <f t="shared" si="801"/>
        <v>0</v>
      </c>
      <c r="LP110" s="290">
        <f t="shared" si="802"/>
        <v>0</v>
      </c>
      <c r="LQ110" s="290">
        <f t="shared" si="803"/>
        <v>0</v>
      </c>
      <c r="LR110" s="290">
        <f t="shared" si="804"/>
        <v>0</v>
      </c>
      <c r="LS110" s="290">
        <f t="shared" si="805"/>
        <v>0</v>
      </c>
      <c r="LT110" s="290">
        <f t="shared" si="806"/>
        <v>0</v>
      </c>
      <c r="LU110" s="290">
        <f t="shared" si="807"/>
        <v>0</v>
      </c>
      <c r="LV110" s="290">
        <f t="shared" si="808"/>
        <v>0</v>
      </c>
      <c r="LW110" s="290">
        <f t="shared" si="809"/>
        <v>0</v>
      </c>
      <c r="LX110" s="290">
        <f t="shared" si="810"/>
        <v>0</v>
      </c>
      <c r="LY110" s="290">
        <f t="shared" si="811"/>
        <v>0</v>
      </c>
      <c r="LZ110" s="290">
        <f t="shared" si="812"/>
        <v>0</v>
      </c>
      <c r="MA110" s="291">
        <f t="shared" si="813"/>
        <v>0</v>
      </c>
      <c r="MB110" s="291">
        <f t="shared" si="814"/>
        <v>0</v>
      </c>
      <c r="MC110" s="291">
        <f t="shared" si="815"/>
        <v>0</v>
      </c>
      <c r="MD110" s="292">
        <f t="shared" si="816"/>
        <v>0</v>
      </c>
      <c r="ME110" s="999">
        <v>19</v>
      </c>
      <c r="MF110" s="286">
        <f t="shared" si="871"/>
        <v>44246</v>
      </c>
      <c r="MG110" s="293">
        <f t="shared" si="595"/>
        <v>44246</v>
      </c>
      <c r="MH110" s="288">
        <f>'दैनिक माहिती'!M343</f>
        <v>0</v>
      </c>
      <c r="MI110" s="289">
        <f>'दैनिक माहिती'!J343</f>
        <v>0</v>
      </c>
      <c r="MJ110" s="289">
        <f>'दैनिक माहिती'!K343</f>
        <v>0</v>
      </c>
      <c r="MK110" s="289">
        <f>'दैनिक माहिती'!L343</f>
        <v>0</v>
      </c>
      <c r="ML110" s="290">
        <f t="shared" si="817"/>
        <v>0</v>
      </c>
      <c r="MM110" s="290">
        <f t="shared" si="818"/>
        <v>0</v>
      </c>
      <c r="MN110" s="290">
        <f t="shared" si="819"/>
        <v>0</v>
      </c>
      <c r="MO110" s="290">
        <f t="shared" si="820"/>
        <v>0</v>
      </c>
      <c r="MP110" s="290">
        <f t="shared" si="821"/>
        <v>0</v>
      </c>
      <c r="MQ110" s="290">
        <f t="shared" si="822"/>
        <v>0</v>
      </c>
      <c r="MR110" s="290">
        <f t="shared" si="823"/>
        <v>0</v>
      </c>
      <c r="MS110" s="290">
        <f t="shared" si="824"/>
        <v>0</v>
      </c>
      <c r="MT110" s="290">
        <f t="shared" si="825"/>
        <v>0</v>
      </c>
      <c r="MU110" s="290">
        <f t="shared" si="826"/>
        <v>0</v>
      </c>
      <c r="MV110" s="290">
        <f t="shared" si="827"/>
        <v>0</v>
      </c>
      <c r="MW110" s="290">
        <f t="shared" si="828"/>
        <v>0</v>
      </c>
      <c r="MX110" s="290">
        <f t="shared" si="829"/>
        <v>0</v>
      </c>
      <c r="MY110" s="290">
        <f t="shared" si="830"/>
        <v>0</v>
      </c>
      <c r="MZ110" s="290">
        <f t="shared" si="831"/>
        <v>0</v>
      </c>
      <c r="NA110" s="290">
        <f t="shared" si="832"/>
        <v>0</v>
      </c>
      <c r="NB110" s="290">
        <f t="shared" si="833"/>
        <v>0</v>
      </c>
      <c r="NC110" s="290">
        <f t="shared" si="834"/>
        <v>0</v>
      </c>
      <c r="ND110" s="291">
        <f t="shared" si="835"/>
        <v>0</v>
      </c>
      <c r="NE110" s="291">
        <f t="shared" si="836"/>
        <v>0</v>
      </c>
      <c r="NF110" s="291">
        <f t="shared" si="837"/>
        <v>0</v>
      </c>
      <c r="NG110" s="292">
        <f t="shared" si="838"/>
        <v>0</v>
      </c>
      <c r="NH110" s="999">
        <v>19</v>
      </c>
      <c r="NI110" s="286">
        <f t="shared" si="872"/>
        <v>44274</v>
      </c>
      <c r="NJ110" s="293">
        <f t="shared" si="596"/>
        <v>44274</v>
      </c>
      <c r="NK110" s="288">
        <f>'दैनिक माहिती'!M373</f>
        <v>0</v>
      </c>
      <c r="NL110" s="289">
        <f>'दैनिक माहिती'!J373</f>
        <v>0</v>
      </c>
      <c r="NM110" s="289">
        <f>'दैनिक माहिती'!K373</f>
        <v>0</v>
      </c>
      <c r="NN110" s="289">
        <f>'दैनिक माहिती'!L373</f>
        <v>0</v>
      </c>
      <c r="NO110" s="290">
        <f t="shared" si="839"/>
        <v>0</v>
      </c>
      <c r="NP110" s="290">
        <f t="shared" si="840"/>
        <v>0</v>
      </c>
      <c r="NQ110" s="290">
        <f t="shared" si="841"/>
        <v>0</v>
      </c>
      <c r="NR110" s="290">
        <f t="shared" si="842"/>
        <v>0</v>
      </c>
      <c r="NS110" s="290">
        <f t="shared" si="843"/>
        <v>0</v>
      </c>
      <c r="NT110" s="290">
        <f t="shared" si="844"/>
        <v>0</v>
      </c>
      <c r="NU110" s="290">
        <f t="shared" si="845"/>
        <v>0</v>
      </c>
      <c r="NV110" s="290">
        <f t="shared" si="846"/>
        <v>0</v>
      </c>
      <c r="NW110" s="290">
        <f t="shared" si="847"/>
        <v>0</v>
      </c>
      <c r="NX110" s="290">
        <f t="shared" si="848"/>
        <v>0</v>
      </c>
      <c r="NY110" s="290">
        <f t="shared" si="849"/>
        <v>0</v>
      </c>
      <c r="NZ110" s="290">
        <f t="shared" si="850"/>
        <v>0</v>
      </c>
      <c r="OA110" s="290">
        <f t="shared" si="851"/>
        <v>0</v>
      </c>
      <c r="OB110" s="290">
        <f t="shared" si="852"/>
        <v>0</v>
      </c>
      <c r="OC110" s="290">
        <f t="shared" si="853"/>
        <v>0</v>
      </c>
      <c r="OD110" s="290">
        <f t="shared" si="854"/>
        <v>0</v>
      </c>
      <c r="OE110" s="290">
        <f t="shared" si="855"/>
        <v>0</v>
      </c>
      <c r="OF110" s="290">
        <f t="shared" si="856"/>
        <v>0</v>
      </c>
      <c r="OG110" s="291">
        <f t="shared" si="857"/>
        <v>0</v>
      </c>
      <c r="OH110" s="291">
        <f t="shared" si="858"/>
        <v>0</v>
      </c>
      <c r="OI110" s="291">
        <f t="shared" si="859"/>
        <v>0</v>
      </c>
      <c r="OJ110" s="292">
        <f t="shared" si="860"/>
        <v>0</v>
      </c>
    </row>
    <row r="111" spans="53:400" ht="29.25" customHeight="1" x14ac:dyDescent="0.3">
      <c r="BA111" s="999">
        <v>20</v>
      </c>
      <c r="BB111" s="286">
        <f t="shared" si="861"/>
        <v>43941</v>
      </c>
      <c r="BC111" s="287">
        <f t="shared" si="585"/>
        <v>43941</v>
      </c>
      <c r="BD111" s="288">
        <f>'दैनिक माहिती'!M28</f>
        <v>0</v>
      </c>
      <c r="BE111" s="289">
        <f>'दैनिक माहिती'!J28</f>
        <v>0</v>
      </c>
      <c r="BF111" s="289">
        <f>'दैनिक माहिती'!K28</f>
        <v>0</v>
      </c>
      <c r="BG111" s="289">
        <f>'दैनिक माहिती'!L28</f>
        <v>0</v>
      </c>
      <c r="BH111" s="290">
        <f t="shared" si="597"/>
        <v>0</v>
      </c>
      <c r="BI111" s="290">
        <f t="shared" si="598"/>
        <v>0</v>
      </c>
      <c r="BJ111" s="290">
        <f t="shared" si="599"/>
        <v>0</v>
      </c>
      <c r="BK111" s="290">
        <f t="shared" si="600"/>
        <v>0</v>
      </c>
      <c r="BL111" s="290">
        <f t="shared" si="601"/>
        <v>0</v>
      </c>
      <c r="BM111" s="290">
        <f t="shared" si="602"/>
        <v>0</v>
      </c>
      <c r="BN111" s="290">
        <f t="shared" si="603"/>
        <v>0</v>
      </c>
      <c r="BO111" s="290">
        <f t="shared" si="604"/>
        <v>0</v>
      </c>
      <c r="BP111" s="290">
        <f t="shared" si="605"/>
        <v>0</v>
      </c>
      <c r="BQ111" s="290">
        <f t="shared" si="606"/>
        <v>0</v>
      </c>
      <c r="BR111" s="290">
        <f t="shared" si="607"/>
        <v>0</v>
      </c>
      <c r="BS111" s="290">
        <f t="shared" si="608"/>
        <v>0</v>
      </c>
      <c r="BT111" s="290">
        <f t="shared" si="609"/>
        <v>0</v>
      </c>
      <c r="BU111" s="290">
        <f t="shared" si="610"/>
        <v>0</v>
      </c>
      <c r="BV111" s="290">
        <f t="shared" si="611"/>
        <v>0</v>
      </c>
      <c r="BW111" s="290">
        <f t="shared" si="612"/>
        <v>0</v>
      </c>
      <c r="BX111" s="290">
        <f t="shared" si="613"/>
        <v>0</v>
      </c>
      <c r="BY111" s="290">
        <f t="shared" si="614"/>
        <v>0</v>
      </c>
      <c r="BZ111" s="291">
        <f t="shared" si="615"/>
        <v>0</v>
      </c>
      <c r="CA111" s="291">
        <f t="shared" si="616"/>
        <v>0</v>
      </c>
      <c r="CB111" s="291">
        <f t="shared" si="617"/>
        <v>0</v>
      </c>
      <c r="CC111" s="292">
        <f t="shared" si="618"/>
        <v>0</v>
      </c>
      <c r="CD111" s="999">
        <v>20</v>
      </c>
      <c r="CE111" s="286">
        <f t="shared" si="862"/>
        <v>43971</v>
      </c>
      <c r="CF111" s="287">
        <f t="shared" si="586"/>
        <v>43971</v>
      </c>
      <c r="CG111" s="288">
        <f>'दैनिक माहिती'!M59</f>
        <v>0</v>
      </c>
      <c r="CH111" s="289">
        <f>'दैनिक माहिती'!J59</f>
        <v>0</v>
      </c>
      <c r="CI111" s="289">
        <f>'दैनिक माहिती'!K59</f>
        <v>0</v>
      </c>
      <c r="CJ111" s="289">
        <f>'दैनिक माहिती'!L59</f>
        <v>0</v>
      </c>
      <c r="CK111" s="290">
        <f t="shared" si="619"/>
        <v>0</v>
      </c>
      <c r="CL111" s="290">
        <f t="shared" si="620"/>
        <v>0</v>
      </c>
      <c r="CM111" s="290">
        <f t="shared" si="621"/>
        <v>0</v>
      </c>
      <c r="CN111" s="290">
        <f t="shared" si="622"/>
        <v>0</v>
      </c>
      <c r="CO111" s="290">
        <f t="shared" si="623"/>
        <v>0</v>
      </c>
      <c r="CP111" s="290">
        <f t="shared" si="624"/>
        <v>0</v>
      </c>
      <c r="CQ111" s="290">
        <f t="shared" si="625"/>
        <v>0</v>
      </c>
      <c r="CR111" s="290">
        <f t="shared" si="626"/>
        <v>0</v>
      </c>
      <c r="CS111" s="290">
        <f t="shared" si="627"/>
        <v>0</v>
      </c>
      <c r="CT111" s="290">
        <f t="shared" si="628"/>
        <v>0</v>
      </c>
      <c r="CU111" s="290">
        <f t="shared" si="629"/>
        <v>0</v>
      </c>
      <c r="CV111" s="290">
        <f t="shared" si="630"/>
        <v>0</v>
      </c>
      <c r="CW111" s="290">
        <f t="shared" si="631"/>
        <v>0</v>
      </c>
      <c r="CX111" s="290">
        <f t="shared" si="632"/>
        <v>0</v>
      </c>
      <c r="CY111" s="290">
        <f t="shared" si="633"/>
        <v>0</v>
      </c>
      <c r="CZ111" s="290">
        <f t="shared" si="634"/>
        <v>0</v>
      </c>
      <c r="DA111" s="290">
        <f t="shared" si="635"/>
        <v>0</v>
      </c>
      <c r="DB111" s="290">
        <f t="shared" si="636"/>
        <v>0</v>
      </c>
      <c r="DC111" s="291">
        <f t="shared" si="637"/>
        <v>0</v>
      </c>
      <c r="DD111" s="291">
        <f t="shared" si="638"/>
        <v>0</v>
      </c>
      <c r="DE111" s="291">
        <f t="shared" si="639"/>
        <v>0</v>
      </c>
      <c r="DF111" s="292">
        <f t="shared" si="640"/>
        <v>0</v>
      </c>
      <c r="DG111" s="999">
        <v>20</v>
      </c>
      <c r="DH111" s="286">
        <f t="shared" si="863"/>
        <v>44002</v>
      </c>
      <c r="DI111" s="287">
        <f t="shared" si="587"/>
        <v>44002</v>
      </c>
      <c r="DJ111" s="288">
        <f>'दैनिक माहिती'!M91</f>
        <v>0</v>
      </c>
      <c r="DK111" s="289">
        <f>'दैनिक माहिती'!J91</f>
        <v>0</v>
      </c>
      <c r="DL111" s="289">
        <f>'दैनिक माहिती'!K91</f>
        <v>0</v>
      </c>
      <c r="DM111" s="289">
        <f>'दैनिक माहिती'!L91</f>
        <v>0</v>
      </c>
      <c r="DN111" s="290">
        <f t="shared" si="641"/>
        <v>0</v>
      </c>
      <c r="DO111" s="290">
        <f t="shared" si="642"/>
        <v>0</v>
      </c>
      <c r="DP111" s="290">
        <f t="shared" si="643"/>
        <v>0</v>
      </c>
      <c r="DQ111" s="290">
        <f t="shared" si="644"/>
        <v>0</v>
      </c>
      <c r="DR111" s="290">
        <f t="shared" si="645"/>
        <v>0</v>
      </c>
      <c r="DS111" s="290">
        <f t="shared" si="646"/>
        <v>0</v>
      </c>
      <c r="DT111" s="290">
        <f t="shared" si="647"/>
        <v>0</v>
      </c>
      <c r="DU111" s="290">
        <f t="shared" si="648"/>
        <v>0</v>
      </c>
      <c r="DV111" s="290">
        <f t="shared" si="649"/>
        <v>0</v>
      </c>
      <c r="DW111" s="290">
        <f t="shared" si="650"/>
        <v>0</v>
      </c>
      <c r="DX111" s="290">
        <f t="shared" si="651"/>
        <v>0</v>
      </c>
      <c r="DY111" s="290">
        <f t="shared" si="652"/>
        <v>0</v>
      </c>
      <c r="DZ111" s="290">
        <f t="shared" si="653"/>
        <v>0</v>
      </c>
      <c r="EA111" s="290">
        <f t="shared" si="654"/>
        <v>0</v>
      </c>
      <c r="EB111" s="290">
        <f t="shared" si="655"/>
        <v>0</v>
      </c>
      <c r="EC111" s="290">
        <f t="shared" si="656"/>
        <v>0</v>
      </c>
      <c r="ED111" s="290">
        <f t="shared" si="657"/>
        <v>0</v>
      </c>
      <c r="EE111" s="290">
        <f t="shared" si="658"/>
        <v>0</v>
      </c>
      <c r="EF111" s="291">
        <f t="shared" si="659"/>
        <v>0</v>
      </c>
      <c r="EG111" s="291">
        <f t="shared" si="660"/>
        <v>0</v>
      </c>
      <c r="EH111" s="291">
        <f t="shared" si="661"/>
        <v>0</v>
      </c>
      <c r="EI111" s="292">
        <f t="shared" si="662"/>
        <v>0</v>
      </c>
      <c r="EJ111" s="999">
        <v>20</v>
      </c>
      <c r="EK111" s="286">
        <f t="shared" si="864"/>
        <v>44032</v>
      </c>
      <c r="EL111" s="287">
        <f t="shared" si="588"/>
        <v>44032</v>
      </c>
      <c r="EM111" s="288">
        <f>'दैनिक माहिती'!M122</f>
        <v>0</v>
      </c>
      <c r="EN111" s="289">
        <f>'दैनिक माहिती'!J122</f>
        <v>0</v>
      </c>
      <c r="EO111" s="289">
        <f>'दैनिक माहिती'!K122</f>
        <v>0</v>
      </c>
      <c r="EP111" s="289">
        <f>'दैनिक माहिती'!L122</f>
        <v>0</v>
      </c>
      <c r="EQ111" s="290">
        <f t="shared" si="663"/>
        <v>0</v>
      </c>
      <c r="ER111" s="290">
        <f t="shared" si="664"/>
        <v>0</v>
      </c>
      <c r="ES111" s="290">
        <f t="shared" si="665"/>
        <v>0</v>
      </c>
      <c r="ET111" s="290">
        <f t="shared" si="666"/>
        <v>0</v>
      </c>
      <c r="EU111" s="290">
        <f t="shared" si="667"/>
        <v>0</v>
      </c>
      <c r="EV111" s="290">
        <f t="shared" si="668"/>
        <v>0</v>
      </c>
      <c r="EW111" s="290">
        <f t="shared" si="669"/>
        <v>0</v>
      </c>
      <c r="EX111" s="290">
        <f t="shared" si="670"/>
        <v>0</v>
      </c>
      <c r="EY111" s="290">
        <f t="shared" si="671"/>
        <v>0</v>
      </c>
      <c r="EZ111" s="290">
        <f t="shared" si="672"/>
        <v>0</v>
      </c>
      <c r="FA111" s="290">
        <f t="shared" si="673"/>
        <v>0</v>
      </c>
      <c r="FB111" s="290">
        <f t="shared" si="674"/>
        <v>0</v>
      </c>
      <c r="FC111" s="290">
        <f t="shared" si="675"/>
        <v>0</v>
      </c>
      <c r="FD111" s="290">
        <f t="shared" si="676"/>
        <v>0</v>
      </c>
      <c r="FE111" s="290">
        <f t="shared" si="677"/>
        <v>0</v>
      </c>
      <c r="FF111" s="290">
        <f t="shared" si="678"/>
        <v>0</v>
      </c>
      <c r="FG111" s="290">
        <f t="shared" si="679"/>
        <v>0</v>
      </c>
      <c r="FH111" s="290">
        <f t="shared" si="680"/>
        <v>0</v>
      </c>
      <c r="FI111" s="291">
        <f t="shared" si="681"/>
        <v>0</v>
      </c>
      <c r="FJ111" s="291">
        <f t="shared" si="682"/>
        <v>0</v>
      </c>
      <c r="FK111" s="291">
        <f t="shared" si="683"/>
        <v>0</v>
      </c>
      <c r="FL111" s="292">
        <f t="shared" si="684"/>
        <v>0</v>
      </c>
      <c r="FM111" s="999">
        <v>20</v>
      </c>
      <c r="FN111" s="286">
        <f t="shared" si="865"/>
        <v>44063</v>
      </c>
      <c r="FO111" s="287">
        <f t="shared" si="589"/>
        <v>44063</v>
      </c>
      <c r="FP111" s="288">
        <f>'दैनिक माहिती'!M154</f>
        <v>0</v>
      </c>
      <c r="FQ111" s="289">
        <f>'दैनिक माहिती'!J154</f>
        <v>0</v>
      </c>
      <c r="FR111" s="289">
        <f>'दैनिक माहिती'!K154</f>
        <v>0</v>
      </c>
      <c r="FS111" s="289">
        <f>'दैनिक माहिती'!L154</f>
        <v>0</v>
      </c>
      <c r="FT111" s="290">
        <f t="shared" si="685"/>
        <v>0</v>
      </c>
      <c r="FU111" s="290">
        <f t="shared" si="686"/>
        <v>0</v>
      </c>
      <c r="FV111" s="290">
        <f t="shared" si="687"/>
        <v>0</v>
      </c>
      <c r="FW111" s="290">
        <f t="shared" si="688"/>
        <v>0</v>
      </c>
      <c r="FX111" s="290">
        <f t="shared" si="689"/>
        <v>0</v>
      </c>
      <c r="FY111" s="290">
        <f t="shared" si="690"/>
        <v>0</v>
      </c>
      <c r="FZ111" s="290">
        <f t="shared" si="691"/>
        <v>0</v>
      </c>
      <c r="GA111" s="290">
        <f t="shared" si="692"/>
        <v>0</v>
      </c>
      <c r="GB111" s="290">
        <f t="shared" si="693"/>
        <v>0</v>
      </c>
      <c r="GC111" s="290">
        <f t="shared" si="694"/>
        <v>0</v>
      </c>
      <c r="GD111" s="290">
        <f t="shared" si="695"/>
        <v>0</v>
      </c>
      <c r="GE111" s="290">
        <f t="shared" si="696"/>
        <v>0</v>
      </c>
      <c r="GF111" s="290">
        <f t="shared" si="697"/>
        <v>0</v>
      </c>
      <c r="GG111" s="290">
        <f t="shared" si="698"/>
        <v>0</v>
      </c>
      <c r="GH111" s="290">
        <f t="shared" si="699"/>
        <v>0</v>
      </c>
      <c r="GI111" s="290">
        <f t="shared" si="700"/>
        <v>0</v>
      </c>
      <c r="GJ111" s="290">
        <f t="shared" si="701"/>
        <v>0</v>
      </c>
      <c r="GK111" s="290">
        <f t="shared" si="702"/>
        <v>0</v>
      </c>
      <c r="GL111" s="291">
        <f t="shared" si="703"/>
        <v>0</v>
      </c>
      <c r="GM111" s="291">
        <f t="shared" si="704"/>
        <v>0</v>
      </c>
      <c r="GN111" s="291">
        <f t="shared" si="705"/>
        <v>0</v>
      </c>
      <c r="GO111" s="292">
        <f t="shared" si="706"/>
        <v>0</v>
      </c>
      <c r="GP111" s="999">
        <v>20</v>
      </c>
      <c r="GQ111" s="286">
        <f t="shared" si="866"/>
        <v>44094</v>
      </c>
      <c r="GR111" s="287">
        <f t="shared" si="590"/>
        <v>44094</v>
      </c>
      <c r="GS111" s="288">
        <f>'दैनिक माहिती'!M186</f>
        <v>0</v>
      </c>
      <c r="GT111" s="289">
        <f>'दैनिक माहिती'!J186</f>
        <v>0</v>
      </c>
      <c r="GU111" s="289">
        <f>'दैनिक माहिती'!K186</f>
        <v>0</v>
      </c>
      <c r="GV111" s="289">
        <f>'दैनिक माहिती'!L186</f>
        <v>0</v>
      </c>
      <c r="GW111" s="290">
        <f t="shared" si="707"/>
        <v>0</v>
      </c>
      <c r="GX111" s="290">
        <f t="shared" si="708"/>
        <v>0</v>
      </c>
      <c r="GY111" s="290">
        <f t="shared" si="709"/>
        <v>0</v>
      </c>
      <c r="GZ111" s="290">
        <f t="shared" si="710"/>
        <v>0</v>
      </c>
      <c r="HA111" s="290">
        <f t="shared" si="711"/>
        <v>0</v>
      </c>
      <c r="HB111" s="290">
        <f t="shared" si="712"/>
        <v>0</v>
      </c>
      <c r="HC111" s="290">
        <f t="shared" si="713"/>
        <v>0</v>
      </c>
      <c r="HD111" s="290">
        <f t="shared" si="714"/>
        <v>0</v>
      </c>
      <c r="HE111" s="290">
        <f t="shared" si="715"/>
        <v>0</v>
      </c>
      <c r="HF111" s="290">
        <f t="shared" si="716"/>
        <v>0</v>
      </c>
      <c r="HG111" s="290">
        <f t="shared" si="717"/>
        <v>0</v>
      </c>
      <c r="HH111" s="290">
        <f t="shared" si="718"/>
        <v>0</v>
      </c>
      <c r="HI111" s="290">
        <f t="shared" si="719"/>
        <v>0</v>
      </c>
      <c r="HJ111" s="290">
        <f t="shared" si="720"/>
        <v>0</v>
      </c>
      <c r="HK111" s="290">
        <f t="shared" si="721"/>
        <v>0</v>
      </c>
      <c r="HL111" s="290">
        <f t="shared" si="722"/>
        <v>0</v>
      </c>
      <c r="HM111" s="290">
        <f t="shared" si="723"/>
        <v>0</v>
      </c>
      <c r="HN111" s="290">
        <f t="shared" si="724"/>
        <v>0</v>
      </c>
      <c r="HO111" s="291">
        <f t="shared" si="725"/>
        <v>0</v>
      </c>
      <c r="HP111" s="291">
        <f t="shared" si="726"/>
        <v>0</v>
      </c>
      <c r="HQ111" s="291">
        <f t="shared" si="727"/>
        <v>0</v>
      </c>
      <c r="HR111" s="292">
        <f t="shared" si="728"/>
        <v>0</v>
      </c>
      <c r="HS111" s="999">
        <v>20</v>
      </c>
      <c r="HT111" s="286">
        <f t="shared" si="867"/>
        <v>44124</v>
      </c>
      <c r="HU111" s="287">
        <f t="shared" si="591"/>
        <v>44124</v>
      </c>
      <c r="HV111" s="288">
        <f>'दैनिक माहिती'!M217</f>
        <v>0</v>
      </c>
      <c r="HW111" s="289">
        <f>'दैनिक माहिती'!J217</f>
        <v>0</v>
      </c>
      <c r="HX111" s="289">
        <f>'दैनिक माहिती'!K217</f>
        <v>0</v>
      </c>
      <c r="HY111" s="289">
        <f>'दैनिक माहिती'!L217</f>
        <v>0</v>
      </c>
      <c r="HZ111" s="290">
        <f t="shared" si="729"/>
        <v>0</v>
      </c>
      <c r="IA111" s="290">
        <f t="shared" si="730"/>
        <v>0</v>
      </c>
      <c r="IB111" s="290">
        <f t="shared" si="731"/>
        <v>0</v>
      </c>
      <c r="IC111" s="290">
        <f t="shared" si="732"/>
        <v>0</v>
      </c>
      <c r="ID111" s="290">
        <f t="shared" si="733"/>
        <v>0</v>
      </c>
      <c r="IE111" s="290">
        <f t="shared" si="734"/>
        <v>0</v>
      </c>
      <c r="IF111" s="290">
        <f t="shared" si="735"/>
        <v>0</v>
      </c>
      <c r="IG111" s="290">
        <f t="shared" si="736"/>
        <v>0</v>
      </c>
      <c r="IH111" s="290">
        <f t="shared" si="737"/>
        <v>0</v>
      </c>
      <c r="II111" s="290">
        <f t="shared" si="738"/>
        <v>0</v>
      </c>
      <c r="IJ111" s="290">
        <f t="shared" si="739"/>
        <v>0</v>
      </c>
      <c r="IK111" s="290">
        <f t="shared" si="740"/>
        <v>0</v>
      </c>
      <c r="IL111" s="290">
        <f t="shared" si="741"/>
        <v>0</v>
      </c>
      <c r="IM111" s="290">
        <f t="shared" si="742"/>
        <v>0</v>
      </c>
      <c r="IN111" s="290">
        <f t="shared" si="743"/>
        <v>0</v>
      </c>
      <c r="IO111" s="290">
        <f t="shared" si="744"/>
        <v>0</v>
      </c>
      <c r="IP111" s="290">
        <f t="shared" si="745"/>
        <v>0</v>
      </c>
      <c r="IQ111" s="290">
        <f t="shared" si="746"/>
        <v>0</v>
      </c>
      <c r="IR111" s="291">
        <f t="shared" si="747"/>
        <v>0</v>
      </c>
      <c r="IS111" s="291">
        <f t="shared" si="748"/>
        <v>0</v>
      </c>
      <c r="IT111" s="291">
        <f t="shared" si="749"/>
        <v>0</v>
      </c>
      <c r="IU111" s="292">
        <f t="shared" si="750"/>
        <v>0</v>
      </c>
      <c r="IV111" s="999">
        <v>20</v>
      </c>
      <c r="IW111" s="286">
        <f t="shared" si="868"/>
        <v>44155</v>
      </c>
      <c r="IX111" s="287">
        <f t="shared" si="592"/>
        <v>44155</v>
      </c>
      <c r="IY111" s="288">
        <f>'दैनिक माहिती'!M249</f>
        <v>0</v>
      </c>
      <c r="IZ111" s="289">
        <f>'दैनिक माहिती'!J249</f>
        <v>0</v>
      </c>
      <c r="JA111" s="289">
        <f>'दैनिक माहिती'!K249</f>
        <v>0</v>
      </c>
      <c r="JB111" s="289">
        <f>'दैनिक माहिती'!L249</f>
        <v>0</v>
      </c>
      <c r="JC111" s="290">
        <f t="shared" si="751"/>
        <v>0</v>
      </c>
      <c r="JD111" s="290">
        <f t="shared" si="752"/>
        <v>0</v>
      </c>
      <c r="JE111" s="290">
        <f t="shared" si="753"/>
        <v>0</v>
      </c>
      <c r="JF111" s="290">
        <f t="shared" si="754"/>
        <v>0</v>
      </c>
      <c r="JG111" s="290">
        <f t="shared" si="755"/>
        <v>0</v>
      </c>
      <c r="JH111" s="290">
        <f t="shared" si="756"/>
        <v>0</v>
      </c>
      <c r="JI111" s="290">
        <f t="shared" si="757"/>
        <v>0</v>
      </c>
      <c r="JJ111" s="290">
        <f t="shared" si="758"/>
        <v>0</v>
      </c>
      <c r="JK111" s="290">
        <f t="shared" si="759"/>
        <v>0</v>
      </c>
      <c r="JL111" s="290">
        <f t="shared" si="760"/>
        <v>0</v>
      </c>
      <c r="JM111" s="290">
        <f t="shared" si="761"/>
        <v>0</v>
      </c>
      <c r="JN111" s="290">
        <f t="shared" si="762"/>
        <v>0</v>
      </c>
      <c r="JO111" s="290">
        <f t="shared" si="763"/>
        <v>0</v>
      </c>
      <c r="JP111" s="290">
        <f t="shared" si="764"/>
        <v>0</v>
      </c>
      <c r="JQ111" s="290">
        <f t="shared" si="765"/>
        <v>0</v>
      </c>
      <c r="JR111" s="290">
        <f t="shared" si="766"/>
        <v>0</v>
      </c>
      <c r="JS111" s="290">
        <f t="shared" si="767"/>
        <v>0</v>
      </c>
      <c r="JT111" s="290">
        <f t="shared" si="768"/>
        <v>0</v>
      </c>
      <c r="JU111" s="291">
        <f t="shared" si="769"/>
        <v>0</v>
      </c>
      <c r="JV111" s="291">
        <f t="shared" si="770"/>
        <v>0</v>
      </c>
      <c r="JW111" s="291">
        <f t="shared" si="771"/>
        <v>0</v>
      </c>
      <c r="JX111" s="292">
        <f t="shared" si="772"/>
        <v>0</v>
      </c>
      <c r="JY111" s="999">
        <v>20</v>
      </c>
      <c r="JZ111" s="286">
        <f t="shared" si="869"/>
        <v>44185</v>
      </c>
      <c r="KA111" s="287">
        <f t="shared" si="593"/>
        <v>44185</v>
      </c>
      <c r="KB111" s="288">
        <f>'दैनिक माहिती'!M280</f>
        <v>0</v>
      </c>
      <c r="KC111" s="289">
        <f>'दैनिक माहिती'!J280</f>
        <v>0</v>
      </c>
      <c r="KD111" s="289">
        <f>'दैनिक माहिती'!K280</f>
        <v>0</v>
      </c>
      <c r="KE111" s="289">
        <f>'दैनिक माहिती'!L280</f>
        <v>0</v>
      </c>
      <c r="KF111" s="290">
        <f t="shared" si="773"/>
        <v>0</v>
      </c>
      <c r="KG111" s="290">
        <f t="shared" si="774"/>
        <v>0</v>
      </c>
      <c r="KH111" s="290">
        <f t="shared" si="775"/>
        <v>0</v>
      </c>
      <c r="KI111" s="290">
        <f t="shared" si="776"/>
        <v>0</v>
      </c>
      <c r="KJ111" s="290">
        <f t="shared" si="777"/>
        <v>0</v>
      </c>
      <c r="KK111" s="290">
        <f t="shared" si="778"/>
        <v>0</v>
      </c>
      <c r="KL111" s="290">
        <f t="shared" si="779"/>
        <v>0</v>
      </c>
      <c r="KM111" s="290">
        <f t="shared" si="780"/>
        <v>0</v>
      </c>
      <c r="KN111" s="290">
        <f t="shared" si="781"/>
        <v>0</v>
      </c>
      <c r="KO111" s="290">
        <f t="shared" si="782"/>
        <v>0</v>
      </c>
      <c r="KP111" s="290">
        <f t="shared" si="783"/>
        <v>0</v>
      </c>
      <c r="KQ111" s="290">
        <f t="shared" si="784"/>
        <v>0</v>
      </c>
      <c r="KR111" s="290">
        <f t="shared" si="785"/>
        <v>0</v>
      </c>
      <c r="KS111" s="290">
        <f t="shared" si="786"/>
        <v>0</v>
      </c>
      <c r="KT111" s="290">
        <f t="shared" si="787"/>
        <v>0</v>
      </c>
      <c r="KU111" s="290">
        <f t="shared" si="788"/>
        <v>0</v>
      </c>
      <c r="KV111" s="290">
        <f t="shared" si="789"/>
        <v>0</v>
      </c>
      <c r="KW111" s="290">
        <f t="shared" si="790"/>
        <v>0</v>
      </c>
      <c r="KX111" s="291">
        <f t="shared" si="791"/>
        <v>0</v>
      </c>
      <c r="KY111" s="291">
        <f t="shared" si="792"/>
        <v>0</v>
      </c>
      <c r="KZ111" s="291">
        <f t="shared" si="793"/>
        <v>0</v>
      </c>
      <c r="LA111" s="292">
        <f t="shared" si="794"/>
        <v>0</v>
      </c>
      <c r="LB111" s="999">
        <v>20</v>
      </c>
      <c r="LC111" s="286">
        <f t="shared" si="870"/>
        <v>44216</v>
      </c>
      <c r="LD111" s="287">
        <f t="shared" si="594"/>
        <v>44216</v>
      </c>
      <c r="LE111" s="288">
        <f>'दैनिक माहिती'!M312</f>
        <v>0</v>
      </c>
      <c r="LF111" s="289">
        <f>'दैनिक माहिती'!J312</f>
        <v>0</v>
      </c>
      <c r="LG111" s="289">
        <f>'दैनिक माहिती'!K312</f>
        <v>0</v>
      </c>
      <c r="LH111" s="289">
        <f>'दैनिक माहिती'!L312</f>
        <v>0</v>
      </c>
      <c r="LI111" s="290">
        <f t="shared" si="795"/>
        <v>0</v>
      </c>
      <c r="LJ111" s="290">
        <f t="shared" si="796"/>
        <v>0</v>
      </c>
      <c r="LK111" s="290">
        <f t="shared" si="797"/>
        <v>0</v>
      </c>
      <c r="LL111" s="290">
        <f t="shared" si="798"/>
        <v>0</v>
      </c>
      <c r="LM111" s="290">
        <f t="shared" si="799"/>
        <v>0</v>
      </c>
      <c r="LN111" s="290">
        <f t="shared" si="800"/>
        <v>0</v>
      </c>
      <c r="LO111" s="290">
        <f t="shared" si="801"/>
        <v>0</v>
      </c>
      <c r="LP111" s="290">
        <f t="shared" si="802"/>
        <v>0</v>
      </c>
      <c r="LQ111" s="290">
        <f t="shared" si="803"/>
        <v>0</v>
      </c>
      <c r="LR111" s="290">
        <f t="shared" si="804"/>
        <v>0</v>
      </c>
      <c r="LS111" s="290">
        <f t="shared" si="805"/>
        <v>0</v>
      </c>
      <c r="LT111" s="290">
        <f t="shared" si="806"/>
        <v>0</v>
      </c>
      <c r="LU111" s="290">
        <f t="shared" si="807"/>
        <v>0</v>
      </c>
      <c r="LV111" s="290">
        <f t="shared" si="808"/>
        <v>0</v>
      </c>
      <c r="LW111" s="290">
        <f t="shared" si="809"/>
        <v>0</v>
      </c>
      <c r="LX111" s="290">
        <f t="shared" si="810"/>
        <v>0</v>
      </c>
      <c r="LY111" s="290">
        <f t="shared" si="811"/>
        <v>0</v>
      </c>
      <c r="LZ111" s="290">
        <f t="shared" si="812"/>
        <v>0</v>
      </c>
      <c r="MA111" s="291">
        <f t="shared" si="813"/>
        <v>0</v>
      </c>
      <c r="MB111" s="291">
        <f t="shared" si="814"/>
        <v>0</v>
      </c>
      <c r="MC111" s="291">
        <f t="shared" si="815"/>
        <v>0</v>
      </c>
      <c r="MD111" s="292">
        <f t="shared" si="816"/>
        <v>0</v>
      </c>
      <c r="ME111" s="999">
        <v>20</v>
      </c>
      <c r="MF111" s="286">
        <f t="shared" si="871"/>
        <v>44247</v>
      </c>
      <c r="MG111" s="287">
        <f t="shared" si="595"/>
        <v>44247</v>
      </c>
      <c r="MH111" s="288">
        <f>'दैनिक माहिती'!M344</f>
        <v>0</v>
      </c>
      <c r="MI111" s="289">
        <f>'दैनिक माहिती'!J344</f>
        <v>0</v>
      </c>
      <c r="MJ111" s="289">
        <f>'दैनिक माहिती'!K344</f>
        <v>0</v>
      </c>
      <c r="MK111" s="289">
        <f>'दैनिक माहिती'!L344</f>
        <v>0</v>
      </c>
      <c r="ML111" s="290">
        <f t="shared" si="817"/>
        <v>0</v>
      </c>
      <c r="MM111" s="290">
        <f t="shared" si="818"/>
        <v>0</v>
      </c>
      <c r="MN111" s="290">
        <f t="shared" si="819"/>
        <v>0</v>
      </c>
      <c r="MO111" s="290">
        <f t="shared" si="820"/>
        <v>0</v>
      </c>
      <c r="MP111" s="290">
        <f t="shared" si="821"/>
        <v>0</v>
      </c>
      <c r="MQ111" s="290">
        <f t="shared" si="822"/>
        <v>0</v>
      </c>
      <c r="MR111" s="290">
        <f t="shared" si="823"/>
        <v>0</v>
      </c>
      <c r="MS111" s="290">
        <f t="shared" si="824"/>
        <v>0</v>
      </c>
      <c r="MT111" s="290">
        <f t="shared" si="825"/>
        <v>0</v>
      </c>
      <c r="MU111" s="290">
        <f t="shared" si="826"/>
        <v>0</v>
      </c>
      <c r="MV111" s="290">
        <f t="shared" si="827"/>
        <v>0</v>
      </c>
      <c r="MW111" s="290">
        <f t="shared" si="828"/>
        <v>0</v>
      </c>
      <c r="MX111" s="290">
        <f t="shared" si="829"/>
        <v>0</v>
      </c>
      <c r="MY111" s="290">
        <f t="shared" si="830"/>
        <v>0</v>
      </c>
      <c r="MZ111" s="290">
        <f t="shared" si="831"/>
        <v>0</v>
      </c>
      <c r="NA111" s="290">
        <f t="shared" si="832"/>
        <v>0</v>
      </c>
      <c r="NB111" s="290">
        <f t="shared" si="833"/>
        <v>0</v>
      </c>
      <c r="NC111" s="290">
        <f t="shared" si="834"/>
        <v>0</v>
      </c>
      <c r="ND111" s="291">
        <f t="shared" si="835"/>
        <v>0</v>
      </c>
      <c r="NE111" s="291">
        <f t="shared" si="836"/>
        <v>0</v>
      </c>
      <c r="NF111" s="291">
        <f t="shared" si="837"/>
        <v>0</v>
      </c>
      <c r="NG111" s="292">
        <f t="shared" si="838"/>
        <v>0</v>
      </c>
      <c r="NH111" s="999">
        <v>20</v>
      </c>
      <c r="NI111" s="286">
        <f t="shared" si="872"/>
        <v>44275</v>
      </c>
      <c r="NJ111" s="287">
        <f t="shared" si="596"/>
        <v>44275</v>
      </c>
      <c r="NK111" s="288">
        <f>'दैनिक माहिती'!M374</f>
        <v>0</v>
      </c>
      <c r="NL111" s="289">
        <f>'दैनिक माहिती'!J374</f>
        <v>0</v>
      </c>
      <c r="NM111" s="289">
        <f>'दैनिक माहिती'!K374</f>
        <v>0</v>
      </c>
      <c r="NN111" s="289">
        <f>'दैनिक माहिती'!L374</f>
        <v>0</v>
      </c>
      <c r="NO111" s="290">
        <f t="shared" si="839"/>
        <v>0</v>
      </c>
      <c r="NP111" s="290">
        <f t="shared" si="840"/>
        <v>0</v>
      </c>
      <c r="NQ111" s="290">
        <f t="shared" si="841"/>
        <v>0</v>
      </c>
      <c r="NR111" s="290">
        <f t="shared" si="842"/>
        <v>0</v>
      </c>
      <c r="NS111" s="290">
        <f t="shared" si="843"/>
        <v>0</v>
      </c>
      <c r="NT111" s="290">
        <f t="shared" si="844"/>
        <v>0</v>
      </c>
      <c r="NU111" s="290">
        <f t="shared" si="845"/>
        <v>0</v>
      </c>
      <c r="NV111" s="290">
        <f t="shared" si="846"/>
        <v>0</v>
      </c>
      <c r="NW111" s="290">
        <f t="shared" si="847"/>
        <v>0</v>
      </c>
      <c r="NX111" s="290">
        <f t="shared" si="848"/>
        <v>0</v>
      </c>
      <c r="NY111" s="290">
        <f t="shared" si="849"/>
        <v>0</v>
      </c>
      <c r="NZ111" s="290">
        <f t="shared" si="850"/>
        <v>0</v>
      </c>
      <c r="OA111" s="290">
        <f t="shared" si="851"/>
        <v>0</v>
      </c>
      <c r="OB111" s="290">
        <f t="shared" si="852"/>
        <v>0</v>
      </c>
      <c r="OC111" s="290">
        <f t="shared" si="853"/>
        <v>0</v>
      </c>
      <c r="OD111" s="290">
        <f t="shared" si="854"/>
        <v>0</v>
      </c>
      <c r="OE111" s="290">
        <f t="shared" si="855"/>
        <v>0</v>
      </c>
      <c r="OF111" s="290">
        <f t="shared" si="856"/>
        <v>0</v>
      </c>
      <c r="OG111" s="291">
        <f t="shared" si="857"/>
        <v>0</v>
      </c>
      <c r="OH111" s="291">
        <f t="shared" si="858"/>
        <v>0</v>
      </c>
      <c r="OI111" s="291">
        <f t="shared" si="859"/>
        <v>0</v>
      </c>
      <c r="OJ111" s="292">
        <f t="shared" si="860"/>
        <v>0</v>
      </c>
    </row>
    <row r="112" spans="53:400" ht="29.25" customHeight="1" x14ac:dyDescent="0.3">
      <c r="BA112" s="999">
        <v>21</v>
      </c>
      <c r="BB112" s="286">
        <f t="shared" si="861"/>
        <v>43942</v>
      </c>
      <c r="BC112" s="287">
        <f t="shared" si="585"/>
        <v>43942</v>
      </c>
      <c r="BD112" s="288">
        <f>'दैनिक माहिती'!M29</f>
        <v>0</v>
      </c>
      <c r="BE112" s="289">
        <f>'दैनिक माहिती'!J29</f>
        <v>0</v>
      </c>
      <c r="BF112" s="289">
        <f>'दैनिक माहिती'!K29</f>
        <v>0</v>
      </c>
      <c r="BG112" s="289">
        <f>'दैनिक माहिती'!L29</f>
        <v>0</v>
      </c>
      <c r="BH112" s="290">
        <f t="shared" si="597"/>
        <v>0</v>
      </c>
      <c r="BI112" s="290">
        <f t="shared" si="598"/>
        <v>0</v>
      </c>
      <c r="BJ112" s="290">
        <f t="shared" si="599"/>
        <v>0</v>
      </c>
      <c r="BK112" s="290">
        <f t="shared" si="600"/>
        <v>0</v>
      </c>
      <c r="BL112" s="290">
        <f t="shared" si="601"/>
        <v>0</v>
      </c>
      <c r="BM112" s="290">
        <f t="shared" si="602"/>
        <v>0</v>
      </c>
      <c r="BN112" s="290">
        <f t="shared" si="603"/>
        <v>0</v>
      </c>
      <c r="BO112" s="290">
        <f t="shared" si="604"/>
        <v>0</v>
      </c>
      <c r="BP112" s="290">
        <f t="shared" si="605"/>
        <v>0</v>
      </c>
      <c r="BQ112" s="290">
        <f t="shared" si="606"/>
        <v>0</v>
      </c>
      <c r="BR112" s="290">
        <f t="shared" si="607"/>
        <v>0</v>
      </c>
      <c r="BS112" s="290">
        <f t="shared" si="608"/>
        <v>0</v>
      </c>
      <c r="BT112" s="290">
        <f t="shared" si="609"/>
        <v>0</v>
      </c>
      <c r="BU112" s="290">
        <f t="shared" si="610"/>
        <v>0</v>
      </c>
      <c r="BV112" s="290">
        <f t="shared" si="611"/>
        <v>0</v>
      </c>
      <c r="BW112" s="290">
        <f t="shared" si="612"/>
        <v>0</v>
      </c>
      <c r="BX112" s="290">
        <f t="shared" si="613"/>
        <v>0</v>
      </c>
      <c r="BY112" s="290">
        <f t="shared" si="614"/>
        <v>0</v>
      </c>
      <c r="BZ112" s="291">
        <f t="shared" si="615"/>
        <v>0</v>
      </c>
      <c r="CA112" s="291">
        <f t="shared" si="616"/>
        <v>0</v>
      </c>
      <c r="CB112" s="291">
        <f t="shared" si="617"/>
        <v>0</v>
      </c>
      <c r="CC112" s="292">
        <f t="shared" si="618"/>
        <v>0</v>
      </c>
      <c r="CD112" s="999">
        <v>21</v>
      </c>
      <c r="CE112" s="286">
        <f t="shared" si="862"/>
        <v>43972</v>
      </c>
      <c r="CF112" s="287">
        <f t="shared" si="586"/>
        <v>43972</v>
      </c>
      <c r="CG112" s="288">
        <f>'दैनिक माहिती'!M60</f>
        <v>0</v>
      </c>
      <c r="CH112" s="289">
        <f>'दैनिक माहिती'!J60</f>
        <v>0</v>
      </c>
      <c r="CI112" s="289">
        <f>'दैनिक माहिती'!K60</f>
        <v>0</v>
      </c>
      <c r="CJ112" s="289">
        <f>'दैनिक माहिती'!L60</f>
        <v>0</v>
      </c>
      <c r="CK112" s="290">
        <f t="shared" si="619"/>
        <v>0</v>
      </c>
      <c r="CL112" s="290">
        <f t="shared" si="620"/>
        <v>0</v>
      </c>
      <c r="CM112" s="290">
        <f t="shared" si="621"/>
        <v>0</v>
      </c>
      <c r="CN112" s="290">
        <f t="shared" si="622"/>
        <v>0</v>
      </c>
      <c r="CO112" s="290">
        <f t="shared" si="623"/>
        <v>0</v>
      </c>
      <c r="CP112" s="290">
        <f t="shared" si="624"/>
        <v>0</v>
      </c>
      <c r="CQ112" s="290">
        <f t="shared" si="625"/>
        <v>0</v>
      </c>
      <c r="CR112" s="290">
        <f t="shared" si="626"/>
        <v>0</v>
      </c>
      <c r="CS112" s="290">
        <f t="shared" si="627"/>
        <v>0</v>
      </c>
      <c r="CT112" s="290">
        <f t="shared" si="628"/>
        <v>0</v>
      </c>
      <c r="CU112" s="290">
        <f t="shared" si="629"/>
        <v>0</v>
      </c>
      <c r="CV112" s="290">
        <f t="shared" si="630"/>
        <v>0</v>
      </c>
      <c r="CW112" s="290">
        <f t="shared" si="631"/>
        <v>0</v>
      </c>
      <c r="CX112" s="290">
        <f t="shared" si="632"/>
        <v>0</v>
      </c>
      <c r="CY112" s="290">
        <f t="shared" si="633"/>
        <v>0</v>
      </c>
      <c r="CZ112" s="290">
        <f t="shared" si="634"/>
        <v>0</v>
      </c>
      <c r="DA112" s="290">
        <f t="shared" si="635"/>
        <v>0</v>
      </c>
      <c r="DB112" s="290">
        <f t="shared" si="636"/>
        <v>0</v>
      </c>
      <c r="DC112" s="291">
        <f t="shared" si="637"/>
        <v>0</v>
      </c>
      <c r="DD112" s="291">
        <f t="shared" si="638"/>
        <v>0</v>
      </c>
      <c r="DE112" s="291">
        <f t="shared" si="639"/>
        <v>0</v>
      </c>
      <c r="DF112" s="292">
        <f t="shared" si="640"/>
        <v>0</v>
      </c>
      <c r="DG112" s="999">
        <v>21</v>
      </c>
      <c r="DH112" s="286">
        <f t="shared" si="863"/>
        <v>44003</v>
      </c>
      <c r="DI112" s="287">
        <f t="shared" si="587"/>
        <v>44003</v>
      </c>
      <c r="DJ112" s="288">
        <f>'दैनिक माहिती'!M92</f>
        <v>0</v>
      </c>
      <c r="DK112" s="289">
        <f>'दैनिक माहिती'!J92</f>
        <v>0</v>
      </c>
      <c r="DL112" s="289">
        <f>'दैनिक माहिती'!K92</f>
        <v>0</v>
      </c>
      <c r="DM112" s="289">
        <f>'दैनिक माहिती'!L92</f>
        <v>0</v>
      </c>
      <c r="DN112" s="290">
        <f t="shared" si="641"/>
        <v>0</v>
      </c>
      <c r="DO112" s="290">
        <f t="shared" si="642"/>
        <v>0</v>
      </c>
      <c r="DP112" s="290">
        <f t="shared" si="643"/>
        <v>0</v>
      </c>
      <c r="DQ112" s="290">
        <f t="shared" si="644"/>
        <v>0</v>
      </c>
      <c r="DR112" s="290">
        <f t="shared" si="645"/>
        <v>0</v>
      </c>
      <c r="DS112" s="290">
        <f t="shared" si="646"/>
        <v>0</v>
      </c>
      <c r="DT112" s="290">
        <f t="shared" si="647"/>
        <v>0</v>
      </c>
      <c r="DU112" s="290">
        <f t="shared" si="648"/>
        <v>0</v>
      </c>
      <c r="DV112" s="290">
        <f t="shared" si="649"/>
        <v>0</v>
      </c>
      <c r="DW112" s="290">
        <f t="shared" si="650"/>
        <v>0</v>
      </c>
      <c r="DX112" s="290">
        <f t="shared" si="651"/>
        <v>0</v>
      </c>
      <c r="DY112" s="290">
        <f t="shared" si="652"/>
        <v>0</v>
      </c>
      <c r="DZ112" s="290">
        <f t="shared" si="653"/>
        <v>0</v>
      </c>
      <c r="EA112" s="290">
        <f t="shared" si="654"/>
        <v>0</v>
      </c>
      <c r="EB112" s="290">
        <f t="shared" si="655"/>
        <v>0</v>
      </c>
      <c r="EC112" s="290">
        <f t="shared" si="656"/>
        <v>0</v>
      </c>
      <c r="ED112" s="290">
        <f t="shared" si="657"/>
        <v>0</v>
      </c>
      <c r="EE112" s="290">
        <f t="shared" si="658"/>
        <v>0</v>
      </c>
      <c r="EF112" s="291">
        <f t="shared" si="659"/>
        <v>0</v>
      </c>
      <c r="EG112" s="291">
        <f t="shared" si="660"/>
        <v>0</v>
      </c>
      <c r="EH112" s="291">
        <f t="shared" si="661"/>
        <v>0</v>
      </c>
      <c r="EI112" s="292">
        <f t="shared" si="662"/>
        <v>0</v>
      </c>
      <c r="EJ112" s="999">
        <v>21</v>
      </c>
      <c r="EK112" s="286">
        <f t="shared" si="864"/>
        <v>44033</v>
      </c>
      <c r="EL112" s="287">
        <f t="shared" si="588"/>
        <v>44033</v>
      </c>
      <c r="EM112" s="288">
        <f>'दैनिक माहिती'!M123</f>
        <v>0</v>
      </c>
      <c r="EN112" s="289">
        <f>'दैनिक माहिती'!J123</f>
        <v>0</v>
      </c>
      <c r="EO112" s="289">
        <f>'दैनिक माहिती'!K123</f>
        <v>0</v>
      </c>
      <c r="EP112" s="289">
        <f>'दैनिक माहिती'!L123</f>
        <v>0</v>
      </c>
      <c r="EQ112" s="290">
        <f t="shared" si="663"/>
        <v>0</v>
      </c>
      <c r="ER112" s="290">
        <f t="shared" si="664"/>
        <v>0</v>
      </c>
      <c r="ES112" s="290">
        <f t="shared" si="665"/>
        <v>0</v>
      </c>
      <c r="ET112" s="290">
        <f t="shared" si="666"/>
        <v>0</v>
      </c>
      <c r="EU112" s="290">
        <f t="shared" si="667"/>
        <v>0</v>
      </c>
      <c r="EV112" s="290">
        <f t="shared" si="668"/>
        <v>0</v>
      </c>
      <c r="EW112" s="290">
        <f t="shared" si="669"/>
        <v>0</v>
      </c>
      <c r="EX112" s="290">
        <f t="shared" si="670"/>
        <v>0</v>
      </c>
      <c r="EY112" s="290">
        <f t="shared" si="671"/>
        <v>0</v>
      </c>
      <c r="EZ112" s="290">
        <f t="shared" si="672"/>
        <v>0</v>
      </c>
      <c r="FA112" s="290">
        <f t="shared" si="673"/>
        <v>0</v>
      </c>
      <c r="FB112" s="290">
        <f t="shared" si="674"/>
        <v>0</v>
      </c>
      <c r="FC112" s="290">
        <f t="shared" si="675"/>
        <v>0</v>
      </c>
      <c r="FD112" s="290">
        <f t="shared" si="676"/>
        <v>0</v>
      </c>
      <c r="FE112" s="290">
        <f t="shared" si="677"/>
        <v>0</v>
      </c>
      <c r="FF112" s="290">
        <f t="shared" si="678"/>
        <v>0</v>
      </c>
      <c r="FG112" s="290">
        <f t="shared" si="679"/>
        <v>0</v>
      </c>
      <c r="FH112" s="290">
        <f t="shared" si="680"/>
        <v>0</v>
      </c>
      <c r="FI112" s="291">
        <f t="shared" si="681"/>
        <v>0</v>
      </c>
      <c r="FJ112" s="291">
        <f t="shared" si="682"/>
        <v>0</v>
      </c>
      <c r="FK112" s="291">
        <f t="shared" si="683"/>
        <v>0</v>
      </c>
      <c r="FL112" s="292">
        <f t="shared" si="684"/>
        <v>0</v>
      </c>
      <c r="FM112" s="999">
        <v>21</v>
      </c>
      <c r="FN112" s="286">
        <f t="shared" si="865"/>
        <v>44064</v>
      </c>
      <c r="FO112" s="287">
        <f t="shared" si="589"/>
        <v>44064</v>
      </c>
      <c r="FP112" s="288">
        <f>'दैनिक माहिती'!M155</f>
        <v>0</v>
      </c>
      <c r="FQ112" s="289">
        <f>'दैनिक माहिती'!J155</f>
        <v>0</v>
      </c>
      <c r="FR112" s="289">
        <f>'दैनिक माहिती'!K155</f>
        <v>0</v>
      </c>
      <c r="FS112" s="289">
        <f>'दैनिक माहिती'!L155</f>
        <v>0</v>
      </c>
      <c r="FT112" s="290">
        <f t="shared" si="685"/>
        <v>0</v>
      </c>
      <c r="FU112" s="290">
        <f t="shared" si="686"/>
        <v>0</v>
      </c>
      <c r="FV112" s="290">
        <f t="shared" si="687"/>
        <v>0</v>
      </c>
      <c r="FW112" s="290">
        <f t="shared" si="688"/>
        <v>0</v>
      </c>
      <c r="FX112" s="290">
        <f t="shared" si="689"/>
        <v>0</v>
      </c>
      <c r="FY112" s="290">
        <f t="shared" si="690"/>
        <v>0</v>
      </c>
      <c r="FZ112" s="290">
        <f t="shared" si="691"/>
        <v>0</v>
      </c>
      <c r="GA112" s="290">
        <f t="shared" si="692"/>
        <v>0</v>
      </c>
      <c r="GB112" s="290">
        <f t="shared" si="693"/>
        <v>0</v>
      </c>
      <c r="GC112" s="290">
        <f t="shared" si="694"/>
        <v>0</v>
      </c>
      <c r="GD112" s="290">
        <f t="shared" si="695"/>
        <v>0</v>
      </c>
      <c r="GE112" s="290">
        <f t="shared" si="696"/>
        <v>0</v>
      </c>
      <c r="GF112" s="290">
        <f t="shared" si="697"/>
        <v>0</v>
      </c>
      <c r="GG112" s="290">
        <f t="shared" si="698"/>
        <v>0</v>
      </c>
      <c r="GH112" s="290">
        <f t="shared" si="699"/>
        <v>0</v>
      </c>
      <c r="GI112" s="290">
        <f t="shared" si="700"/>
        <v>0</v>
      </c>
      <c r="GJ112" s="290">
        <f t="shared" si="701"/>
        <v>0</v>
      </c>
      <c r="GK112" s="290">
        <f t="shared" si="702"/>
        <v>0</v>
      </c>
      <c r="GL112" s="291">
        <f t="shared" si="703"/>
        <v>0</v>
      </c>
      <c r="GM112" s="291">
        <f t="shared" si="704"/>
        <v>0</v>
      </c>
      <c r="GN112" s="291">
        <f t="shared" si="705"/>
        <v>0</v>
      </c>
      <c r="GO112" s="292">
        <f t="shared" si="706"/>
        <v>0</v>
      </c>
      <c r="GP112" s="999">
        <v>21</v>
      </c>
      <c r="GQ112" s="286">
        <f t="shared" si="866"/>
        <v>44095</v>
      </c>
      <c r="GR112" s="287">
        <f t="shared" si="590"/>
        <v>44095</v>
      </c>
      <c r="GS112" s="288">
        <f>'दैनिक माहिती'!M187</f>
        <v>0</v>
      </c>
      <c r="GT112" s="289">
        <f>'दैनिक माहिती'!J187</f>
        <v>0</v>
      </c>
      <c r="GU112" s="289">
        <f>'दैनिक माहिती'!K187</f>
        <v>0</v>
      </c>
      <c r="GV112" s="289">
        <f>'दैनिक माहिती'!L187</f>
        <v>0</v>
      </c>
      <c r="GW112" s="290">
        <f t="shared" si="707"/>
        <v>0</v>
      </c>
      <c r="GX112" s="290">
        <f t="shared" si="708"/>
        <v>0</v>
      </c>
      <c r="GY112" s="290">
        <f t="shared" si="709"/>
        <v>0</v>
      </c>
      <c r="GZ112" s="290">
        <f t="shared" si="710"/>
        <v>0</v>
      </c>
      <c r="HA112" s="290">
        <f t="shared" si="711"/>
        <v>0</v>
      </c>
      <c r="HB112" s="290">
        <f t="shared" si="712"/>
        <v>0</v>
      </c>
      <c r="HC112" s="290">
        <f t="shared" si="713"/>
        <v>0</v>
      </c>
      <c r="HD112" s="290">
        <f t="shared" si="714"/>
        <v>0</v>
      </c>
      <c r="HE112" s="290">
        <f t="shared" si="715"/>
        <v>0</v>
      </c>
      <c r="HF112" s="290">
        <f t="shared" si="716"/>
        <v>0</v>
      </c>
      <c r="HG112" s="290">
        <f t="shared" si="717"/>
        <v>0</v>
      </c>
      <c r="HH112" s="290">
        <f t="shared" si="718"/>
        <v>0</v>
      </c>
      <c r="HI112" s="290">
        <f t="shared" si="719"/>
        <v>0</v>
      </c>
      <c r="HJ112" s="290">
        <f t="shared" si="720"/>
        <v>0</v>
      </c>
      <c r="HK112" s="290">
        <f t="shared" si="721"/>
        <v>0</v>
      </c>
      <c r="HL112" s="290">
        <f t="shared" si="722"/>
        <v>0</v>
      </c>
      <c r="HM112" s="290">
        <f t="shared" si="723"/>
        <v>0</v>
      </c>
      <c r="HN112" s="290">
        <f t="shared" si="724"/>
        <v>0</v>
      </c>
      <c r="HO112" s="291">
        <f t="shared" si="725"/>
        <v>0</v>
      </c>
      <c r="HP112" s="291">
        <f t="shared" si="726"/>
        <v>0</v>
      </c>
      <c r="HQ112" s="291">
        <f t="shared" si="727"/>
        <v>0</v>
      </c>
      <c r="HR112" s="292">
        <f t="shared" si="728"/>
        <v>0</v>
      </c>
      <c r="HS112" s="999">
        <v>21</v>
      </c>
      <c r="HT112" s="286">
        <f t="shared" si="867"/>
        <v>44125</v>
      </c>
      <c r="HU112" s="287">
        <f t="shared" si="591"/>
        <v>44125</v>
      </c>
      <c r="HV112" s="288">
        <f>'दैनिक माहिती'!M218</f>
        <v>0</v>
      </c>
      <c r="HW112" s="289">
        <f>'दैनिक माहिती'!J218</f>
        <v>0</v>
      </c>
      <c r="HX112" s="289">
        <f>'दैनिक माहिती'!K218</f>
        <v>0</v>
      </c>
      <c r="HY112" s="289">
        <f>'दैनिक माहिती'!L218</f>
        <v>0</v>
      </c>
      <c r="HZ112" s="290">
        <f t="shared" si="729"/>
        <v>0</v>
      </c>
      <c r="IA112" s="290">
        <f t="shared" si="730"/>
        <v>0</v>
      </c>
      <c r="IB112" s="290">
        <f t="shared" si="731"/>
        <v>0</v>
      </c>
      <c r="IC112" s="290">
        <f t="shared" si="732"/>
        <v>0</v>
      </c>
      <c r="ID112" s="290">
        <f t="shared" si="733"/>
        <v>0</v>
      </c>
      <c r="IE112" s="290">
        <f t="shared" si="734"/>
        <v>0</v>
      </c>
      <c r="IF112" s="290">
        <f t="shared" si="735"/>
        <v>0</v>
      </c>
      <c r="IG112" s="290">
        <f t="shared" si="736"/>
        <v>0</v>
      </c>
      <c r="IH112" s="290">
        <f t="shared" si="737"/>
        <v>0</v>
      </c>
      <c r="II112" s="290">
        <f t="shared" si="738"/>
        <v>0</v>
      </c>
      <c r="IJ112" s="290">
        <f t="shared" si="739"/>
        <v>0</v>
      </c>
      <c r="IK112" s="290">
        <f t="shared" si="740"/>
        <v>0</v>
      </c>
      <c r="IL112" s="290">
        <f t="shared" si="741"/>
        <v>0</v>
      </c>
      <c r="IM112" s="290">
        <f t="shared" si="742"/>
        <v>0</v>
      </c>
      <c r="IN112" s="290">
        <f t="shared" si="743"/>
        <v>0</v>
      </c>
      <c r="IO112" s="290">
        <f t="shared" si="744"/>
        <v>0</v>
      </c>
      <c r="IP112" s="290">
        <f t="shared" si="745"/>
        <v>0</v>
      </c>
      <c r="IQ112" s="290">
        <f t="shared" si="746"/>
        <v>0</v>
      </c>
      <c r="IR112" s="291">
        <f t="shared" si="747"/>
        <v>0</v>
      </c>
      <c r="IS112" s="291">
        <f t="shared" si="748"/>
        <v>0</v>
      </c>
      <c r="IT112" s="291">
        <f t="shared" si="749"/>
        <v>0</v>
      </c>
      <c r="IU112" s="292">
        <f t="shared" si="750"/>
        <v>0</v>
      </c>
      <c r="IV112" s="999">
        <v>21</v>
      </c>
      <c r="IW112" s="286">
        <f t="shared" si="868"/>
        <v>44156</v>
      </c>
      <c r="IX112" s="287">
        <f t="shared" si="592"/>
        <v>44156</v>
      </c>
      <c r="IY112" s="288">
        <f>'दैनिक माहिती'!M250</f>
        <v>0</v>
      </c>
      <c r="IZ112" s="289">
        <f>'दैनिक माहिती'!J250</f>
        <v>0</v>
      </c>
      <c r="JA112" s="289">
        <f>'दैनिक माहिती'!K250</f>
        <v>0</v>
      </c>
      <c r="JB112" s="289">
        <f>'दैनिक माहिती'!L250</f>
        <v>0</v>
      </c>
      <c r="JC112" s="290">
        <f t="shared" si="751"/>
        <v>0</v>
      </c>
      <c r="JD112" s="290">
        <f t="shared" si="752"/>
        <v>0</v>
      </c>
      <c r="JE112" s="290">
        <f t="shared" si="753"/>
        <v>0</v>
      </c>
      <c r="JF112" s="290">
        <f t="shared" si="754"/>
        <v>0</v>
      </c>
      <c r="JG112" s="290">
        <f t="shared" si="755"/>
        <v>0</v>
      </c>
      <c r="JH112" s="290">
        <f t="shared" si="756"/>
        <v>0</v>
      </c>
      <c r="JI112" s="290">
        <f t="shared" si="757"/>
        <v>0</v>
      </c>
      <c r="JJ112" s="290">
        <f t="shared" si="758"/>
        <v>0</v>
      </c>
      <c r="JK112" s="290">
        <f t="shared" si="759"/>
        <v>0</v>
      </c>
      <c r="JL112" s="290">
        <f t="shared" si="760"/>
        <v>0</v>
      </c>
      <c r="JM112" s="290">
        <f t="shared" si="761"/>
        <v>0</v>
      </c>
      <c r="JN112" s="290">
        <f t="shared" si="762"/>
        <v>0</v>
      </c>
      <c r="JO112" s="290">
        <f t="shared" si="763"/>
        <v>0</v>
      </c>
      <c r="JP112" s="290">
        <f t="shared" si="764"/>
        <v>0</v>
      </c>
      <c r="JQ112" s="290">
        <f t="shared" si="765"/>
        <v>0</v>
      </c>
      <c r="JR112" s="290">
        <f t="shared" si="766"/>
        <v>0</v>
      </c>
      <c r="JS112" s="290">
        <f t="shared" si="767"/>
        <v>0</v>
      </c>
      <c r="JT112" s="290">
        <f t="shared" si="768"/>
        <v>0</v>
      </c>
      <c r="JU112" s="291">
        <f t="shared" si="769"/>
        <v>0</v>
      </c>
      <c r="JV112" s="291">
        <f t="shared" si="770"/>
        <v>0</v>
      </c>
      <c r="JW112" s="291">
        <f t="shared" si="771"/>
        <v>0</v>
      </c>
      <c r="JX112" s="292">
        <f t="shared" si="772"/>
        <v>0</v>
      </c>
      <c r="JY112" s="999">
        <v>21</v>
      </c>
      <c r="JZ112" s="286">
        <f t="shared" si="869"/>
        <v>44186</v>
      </c>
      <c r="KA112" s="287">
        <f t="shared" si="593"/>
        <v>44186</v>
      </c>
      <c r="KB112" s="288">
        <f>'दैनिक माहिती'!M281</f>
        <v>0</v>
      </c>
      <c r="KC112" s="289">
        <f>'दैनिक माहिती'!J281</f>
        <v>0</v>
      </c>
      <c r="KD112" s="289">
        <f>'दैनिक माहिती'!K281</f>
        <v>0</v>
      </c>
      <c r="KE112" s="289">
        <f>'दैनिक माहिती'!L281</f>
        <v>0</v>
      </c>
      <c r="KF112" s="290">
        <f t="shared" si="773"/>
        <v>0</v>
      </c>
      <c r="KG112" s="290">
        <f t="shared" si="774"/>
        <v>0</v>
      </c>
      <c r="KH112" s="290">
        <f t="shared" si="775"/>
        <v>0</v>
      </c>
      <c r="KI112" s="290">
        <f t="shared" si="776"/>
        <v>0</v>
      </c>
      <c r="KJ112" s="290">
        <f t="shared" si="777"/>
        <v>0</v>
      </c>
      <c r="KK112" s="290">
        <f t="shared" si="778"/>
        <v>0</v>
      </c>
      <c r="KL112" s="290">
        <f t="shared" si="779"/>
        <v>0</v>
      </c>
      <c r="KM112" s="290">
        <f t="shared" si="780"/>
        <v>0</v>
      </c>
      <c r="KN112" s="290">
        <f t="shared" si="781"/>
        <v>0</v>
      </c>
      <c r="KO112" s="290">
        <f t="shared" si="782"/>
        <v>0</v>
      </c>
      <c r="KP112" s="290">
        <f t="shared" si="783"/>
        <v>0</v>
      </c>
      <c r="KQ112" s="290">
        <f t="shared" si="784"/>
        <v>0</v>
      </c>
      <c r="KR112" s="290">
        <f t="shared" si="785"/>
        <v>0</v>
      </c>
      <c r="KS112" s="290">
        <f t="shared" si="786"/>
        <v>0</v>
      </c>
      <c r="KT112" s="290">
        <f t="shared" si="787"/>
        <v>0</v>
      </c>
      <c r="KU112" s="290">
        <f t="shared" si="788"/>
        <v>0</v>
      </c>
      <c r="KV112" s="290">
        <f t="shared" si="789"/>
        <v>0</v>
      </c>
      <c r="KW112" s="290">
        <f t="shared" si="790"/>
        <v>0</v>
      </c>
      <c r="KX112" s="291">
        <f t="shared" si="791"/>
        <v>0</v>
      </c>
      <c r="KY112" s="291">
        <f t="shared" si="792"/>
        <v>0</v>
      </c>
      <c r="KZ112" s="291">
        <f t="shared" si="793"/>
        <v>0</v>
      </c>
      <c r="LA112" s="292">
        <f t="shared" si="794"/>
        <v>0</v>
      </c>
      <c r="LB112" s="999">
        <v>21</v>
      </c>
      <c r="LC112" s="286">
        <f t="shared" si="870"/>
        <v>44217</v>
      </c>
      <c r="LD112" s="287">
        <f t="shared" si="594"/>
        <v>44217</v>
      </c>
      <c r="LE112" s="288">
        <f>'दैनिक माहिती'!M313</f>
        <v>0</v>
      </c>
      <c r="LF112" s="289">
        <f>'दैनिक माहिती'!J313</f>
        <v>0</v>
      </c>
      <c r="LG112" s="289">
        <f>'दैनिक माहिती'!K313</f>
        <v>0</v>
      </c>
      <c r="LH112" s="289">
        <f>'दैनिक माहिती'!L313</f>
        <v>0</v>
      </c>
      <c r="LI112" s="290">
        <f t="shared" si="795"/>
        <v>0</v>
      </c>
      <c r="LJ112" s="290">
        <f t="shared" si="796"/>
        <v>0</v>
      </c>
      <c r="LK112" s="290">
        <f t="shared" si="797"/>
        <v>0</v>
      </c>
      <c r="LL112" s="290">
        <f t="shared" si="798"/>
        <v>0</v>
      </c>
      <c r="LM112" s="290">
        <f t="shared" si="799"/>
        <v>0</v>
      </c>
      <c r="LN112" s="290">
        <f t="shared" si="800"/>
        <v>0</v>
      </c>
      <c r="LO112" s="290">
        <f t="shared" si="801"/>
        <v>0</v>
      </c>
      <c r="LP112" s="290">
        <f t="shared" si="802"/>
        <v>0</v>
      </c>
      <c r="LQ112" s="290">
        <f t="shared" si="803"/>
        <v>0</v>
      </c>
      <c r="LR112" s="290">
        <f t="shared" si="804"/>
        <v>0</v>
      </c>
      <c r="LS112" s="290">
        <f t="shared" si="805"/>
        <v>0</v>
      </c>
      <c r="LT112" s="290">
        <f t="shared" si="806"/>
        <v>0</v>
      </c>
      <c r="LU112" s="290">
        <f t="shared" si="807"/>
        <v>0</v>
      </c>
      <c r="LV112" s="290">
        <f t="shared" si="808"/>
        <v>0</v>
      </c>
      <c r="LW112" s="290">
        <f t="shared" si="809"/>
        <v>0</v>
      </c>
      <c r="LX112" s="290">
        <f t="shared" si="810"/>
        <v>0</v>
      </c>
      <c r="LY112" s="290">
        <f t="shared" si="811"/>
        <v>0</v>
      </c>
      <c r="LZ112" s="290">
        <f t="shared" si="812"/>
        <v>0</v>
      </c>
      <c r="MA112" s="291">
        <f t="shared" si="813"/>
        <v>0</v>
      </c>
      <c r="MB112" s="291">
        <f t="shared" si="814"/>
        <v>0</v>
      </c>
      <c r="MC112" s="291">
        <f t="shared" si="815"/>
        <v>0</v>
      </c>
      <c r="MD112" s="292">
        <f t="shared" si="816"/>
        <v>0</v>
      </c>
      <c r="ME112" s="999">
        <v>21</v>
      </c>
      <c r="MF112" s="286">
        <f t="shared" si="871"/>
        <v>44248</v>
      </c>
      <c r="MG112" s="287">
        <f t="shared" si="595"/>
        <v>44248</v>
      </c>
      <c r="MH112" s="288">
        <f>'दैनिक माहिती'!M345</f>
        <v>0</v>
      </c>
      <c r="MI112" s="289">
        <f>'दैनिक माहिती'!J345</f>
        <v>0</v>
      </c>
      <c r="MJ112" s="289">
        <f>'दैनिक माहिती'!K345</f>
        <v>0</v>
      </c>
      <c r="MK112" s="289">
        <f>'दैनिक माहिती'!L345</f>
        <v>0</v>
      </c>
      <c r="ML112" s="290">
        <f t="shared" si="817"/>
        <v>0</v>
      </c>
      <c r="MM112" s="290">
        <f t="shared" si="818"/>
        <v>0</v>
      </c>
      <c r="MN112" s="290">
        <f t="shared" si="819"/>
        <v>0</v>
      </c>
      <c r="MO112" s="290">
        <f t="shared" si="820"/>
        <v>0</v>
      </c>
      <c r="MP112" s="290">
        <f t="shared" si="821"/>
        <v>0</v>
      </c>
      <c r="MQ112" s="290">
        <f t="shared" si="822"/>
        <v>0</v>
      </c>
      <c r="MR112" s="290">
        <f t="shared" si="823"/>
        <v>0</v>
      </c>
      <c r="MS112" s="290">
        <f t="shared" si="824"/>
        <v>0</v>
      </c>
      <c r="MT112" s="290">
        <f t="shared" si="825"/>
        <v>0</v>
      </c>
      <c r="MU112" s="290">
        <f t="shared" si="826"/>
        <v>0</v>
      </c>
      <c r="MV112" s="290">
        <f t="shared" si="827"/>
        <v>0</v>
      </c>
      <c r="MW112" s="290">
        <f t="shared" si="828"/>
        <v>0</v>
      </c>
      <c r="MX112" s="290">
        <f t="shared" si="829"/>
        <v>0</v>
      </c>
      <c r="MY112" s="290">
        <f t="shared" si="830"/>
        <v>0</v>
      </c>
      <c r="MZ112" s="290">
        <f t="shared" si="831"/>
        <v>0</v>
      </c>
      <c r="NA112" s="290">
        <f t="shared" si="832"/>
        <v>0</v>
      </c>
      <c r="NB112" s="290">
        <f t="shared" si="833"/>
        <v>0</v>
      </c>
      <c r="NC112" s="290">
        <f t="shared" si="834"/>
        <v>0</v>
      </c>
      <c r="ND112" s="291">
        <f t="shared" si="835"/>
        <v>0</v>
      </c>
      <c r="NE112" s="291">
        <f t="shared" si="836"/>
        <v>0</v>
      </c>
      <c r="NF112" s="291">
        <f t="shared" si="837"/>
        <v>0</v>
      </c>
      <c r="NG112" s="292">
        <f t="shared" si="838"/>
        <v>0</v>
      </c>
      <c r="NH112" s="999">
        <v>21</v>
      </c>
      <c r="NI112" s="286">
        <f t="shared" si="872"/>
        <v>44276</v>
      </c>
      <c r="NJ112" s="287">
        <f t="shared" si="596"/>
        <v>44276</v>
      </c>
      <c r="NK112" s="288">
        <f>'दैनिक माहिती'!M375</f>
        <v>0</v>
      </c>
      <c r="NL112" s="289">
        <f>'दैनिक माहिती'!J375</f>
        <v>0</v>
      </c>
      <c r="NM112" s="289">
        <f>'दैनिक माहिती'!K375</f>
        <v>0</v>
      </c>
      <c r="NN112" s="289">
        <f>'दैनिक माहिती'!L375</f>
        <v>0</v>
      </c>
      <c r="NO112" s="290">
        <f t="shared" si="839"/>
        <v>0</v>
      </c>
      <c r="NP112" s="290">
        <f t="shared" si="840"/>
        <v>0</v>
      </c>
      <c r="NQ112" s="290">
        <f t="shared" si="841"/>
        <v>0</v>
      </c>
      <c r="NR112" s="290">
        <f t="shared" si="842"/>
        <v>0</v>
      </c>
      <c r="NS112" s="290">
        <f t="shared" si="843"/>
        <v>0</v>
      </c>
      <c r="NT112" s="290">
        <f t="shared" si="844"/>
        <v>0</v>
      </c>
      <c r="NU112" s="290">
        <f t="shared" si="845"/>
        <v>0</v>
      </c>
      <c r="NV112" s="290">
        <f t="shared" si="846"/>
        <v>0</v>
      </c>
      <c r="NW112" s="290">
        <f t="shared" si="847"/>
        <v>0</v>
      </c>
      <c r="NX112" s="290">
        <f t="shared" si="848"/>
        <v>0</v>
      </c>
      <c r="NY112" s="290">
        <f t="shared" si="849"/>
        <v>0</v>
      </c>
      <c r="NZ112" s="290">
        <f t="shared" si="850"/>
        <v>0</v>
      </c>
      <c r="OA112" s="290">
        <f t="shared" si="851"/>
        <v>0</v>
      </c>
      <c r="OB112" s="290">
        <f t="shared" si="852"/>
        <v>0</v>
      </c>
      <c r="OC112" s="290">
        <f t="shared" si="853"/>
        <v>0</v>
      </c>
      <c r="OD112" s="290">
        <f t="shared" si="854"/>
        <v>0</v>
      </c>
      <c r="OE112" s="290">
        <f t="shared" si="855"/>
        <v>0</v>
      </c>
      <c r="OF112" s="290">
        <f t="shared" si="856"/>
        <v>0</v>
      </c>
      <c r="OG112" s="291">
        <f t="shared" si="857"/>
        <v>0</v>
      </c>
      <c r="OH112" s="291">
        <f t="shared" si="858"/>
        <v>0</v>
      </c>
      <c r="OI112" s="291">
        <f t="shared" si="859"/>
        <v>0</v>
      </c>
      <c r="OJ112" s="292">
        <f t="shared" si="860"/>
        <v>0</v>
      </c>
    </row>
    <row r="113" spans="53:400" ht="29.25" customHeight="1" x14ac:dyDescent="0.3">
      <c r="BA113" s="999">
        <v>22</v>
      </c>
      <c r="BB113" s="286">
        <f t="shared" si="861"/>
        <v>43943</v>
      </c>
      <c r="BC113" s="293">
        <f t="shared" si="585"/>
        <v>43943</v>
      </c>
      <c r="BD113" s="288">
        <f>'दैनिक माहिती'!M30</f>
        <v>0</v>
      </c>
      <c r="BE113" s="289">
        <f>'दैनिक माहिती'!J30</f>
        <v>0</v>
      </c>
      <c r="BF113" s="289">
        <f>'दैनिक माहिती'!K30</f>
        <v>0</v>
      </c>
      <c r="BG113" s="289">
        <f>'दैनिक माहिती'!L30</f>
        <v>0</v>
      </c>
      <c r="BH113" s="290">
        <f t="shared" si="597"/>
        <v>0</v>
      </c>
      <c r="BI113" s="290">
        <f t="shared" si="598"/>
        <v>0</v>
      </c>
      <c r="BJ113" s="290">
        <f t="shared" si="599"/>
        <v>0</v>
      </c>
      <c r="BK113" s="290">
        <f t="shared" si="600"/>
        <v>0</v>
      </c>
      <c r="BL113" s="290">
        <f t="shared" si="601"/>
        <v>0</v>
      </c>
      <c r="BM113" s="290">
        <f t="shared" si="602"/>
        <v>0</v>
      </c>
      <c r="BN113" s="290">
        <f t="shared" si="603"/>
        <v>0</v>
      </c>
      <c r="BO113" s="290">
        <f t="shared" si="604"/>
        <v>0</v>
      </c>
      <c r="BP113" s="290">
        <f t="shared" si="605"/>
        <v>0</v>
      </c>
      <c r="BQ113" s="290">
        <f t="shared" si="606"/>
        <v>0</v>
      </c>
      <c r="BR113" s="290">
        <f t="shared" si="607"/>
        <v>0</v>
      </c>
      <c r="BS113" s="290">
        <f t="shared" si="608"/>
        <v>0</v>
      </c>
      <c r="BT113" s="290">
        <f t="shared" si="609"/>
        <v>0</v>
      </c>
      <c r="BU113" s="290">
        <f t="shared" si="610"/>
        <v>0</v>
      </c>
      <c r="BV113" s="290">
        <f t="shared" si="611"/>
        <v>0</v>
      </c>
      <c r="BW113" s="290">
        <f t="shared" si="612"/>
        <v>0</v>
      </c>
      <c r="BX113" s="290">
        <f t="shared" si="613"/>
        <v>0</v>
      </c>
      <c r="BY113" s="290">
        <f t="shared" si="614"/>
        <v>0</v>
      </c>
      <c r="BZ113" s="291">
        <f t="shared" si="615"/>
        <v>0</v>
      </c>
      <c r="CA113" s="291">
        <f t="shared" si="616"/>
        <v>0</v>
      </c>
      <c r="CB113" s="291">
        <f t="shared" si="617"/>
        <v>0</v>
      </c>
      <c r="CC113" s="292">
        <f t="shared" si="618"/>
        <v>0</v>
      </c>
      <c r="CD113" s="999">
        <v>22</v>
      </c>
      <c r="CE113" s="286">
        <f t="shared" si="862"/>
        <v>43973</v>
      </c>
      <c r="CF113" s="293">
        <f t="shared" si="586"/>
        <v>43973</v>
      </c>
      <c r="CG113" s="288">
        <f>'दैनिक माहिती'!M61</f>
        <v>0</v>
      </c>
      <c r="CH113" s="289">
        <f>'दैनिक माहिती'!J61</f>
        <v>0</v>
      </c>
      <c r="CI113" s="289">
        <f>'दैनिक माहिती'!K61</f>
        <v>0</v>
      </c>
      <c r="CJ113" s="289">
        <f>'दैनिक माहिती'!L61</f>
        <v>0</v>
      </c>
      <c r="CK113" s="290">
        <f t="shared" si="619"/>
        <v>0</v>
      </c>
      <c r="CL113" s="290">
        <f t="shared" si="620"/>
        <v>0</v>
      </c>
      <c r="CM113" s="290">
        <f t="shared" si="621"/>
        <v>0</v>
      </c>
      <c r="CN113" s="290">
        <f t="shared" si="622"/>
        <v>0</v>
      </c>
      <c r="CO113" s="290">
        <f t="shared" si="623"/>
        <v>0</v>
      </c>
      <c r="CP113" s="290">
        <f t="shared" si="624"/>
        <v>0</v>
      </c>
      <c r="CQ113" s="290">
        <f t="shared" si="625"/>
        <v>0</v>
      </c>
      <c r="CR113" s="290">
        <f t="shared" si="626"/>
        <v>0</v>
      </c>
      <c r="CS113" s="290">
        <f t="shared" si="627"/>
        <v>0</v>
      </c>
      <c r="CT113" s="290">
        <f t="shared" si="628"/>
        <v>0</v>
      </c>
      <c r="CU113" s="290">
        <f t="shared" si="629"/>
        <v>0</v>
      </c>
      <c r="CV113" s="290">
        <f t="shared" si="630"/>
        <v>0</v>
      </c>
      <c r="CW113" s="290">
        <f t="shared" si="631"/>
        <v>0</v>
      </c>
      <c r="CX113" s="290">
        <f t="shared" si="632"/>
        <v>0</v>
      </c>
      <c r="CY113" s="290">
        <f t="shared" si="633"/>
        <v>0</v>
      </c>
      <c r="CZ113" s="290">
        <f t="shared" si="634"/>
        <v>0</v>
      </c>
      <c r="DA113" s="290">
        <f t="shared" si="635"/>
        <v>0</v>
      </c>
      <c r="DB113" s="290">
        <f t="shared" si="636"/>
        <v>0</v>
      </c>
      <c r="DC113" s="291">
        <f t="shared" si="637"/>
        <v>0</v>
      </c>
      <c r="DD113" s="291">
        <f t="shared" si="638"/>
        <v>0</v>
      </c>
      <c r="DE113" s="291">
        <f t="shared" si="639"/>
        <v>0</v>
      </c>
      <c r="DF113" s="292">
        <f t="shared" si="640"/>
        <v>0</v>
      </c>
      <c r="DG113" s="999">
        <v>22</v>
      </c>
      <c r="DH113" s="286">
        <f t="shared" si="863"/>
        <v>44004</v>
      </c>
      <c r="DI113" s="293">
        <f t="shared" si="587"/>
        <v>44004</v>
      </c>
      <c r="DJ113" s="288">
        <f>'दैनिक माहिती'!M93</f>
        <v>0</v>
      </c>
      <c r="DK113" s="289">
        <f>'दैनिक माहिती'!J93</f>
        <v>0</v>
      </c>
      <c r="DL113" s="289">
        <f>'दैनिक माहिती'!K93</f>
        <v>0</v>
      </c>
      <c r="DM113" s="289">
        <f>'दैनिक माहिती'!L93</f>
        <v>0</v>
      </c>
      <c r="DN113" s="290">
        <f t="shared" si="641"/>
        <v>0</v>
      </c>
      <c r="DO113" s="290">
        <f t="shared" si="642"/>
        <v>0</v>
      </c>
      <c r="DP113" s="290">
        <f t="shared" si="643"/>
        <v>0</v>
      </c>
      <c r="DQ113" s="290">
        <f t="shared" si="644"/>
        <v>0</v>
      </c>
      <c r="DR113" s="290">
        <f t="shared" si="645"/>
        <v>0</v>
      </c>
      <c r="DS113" s="290">
        <f t="shared" si="646"/>
        <v>0</v>
      </c>
      <c r="DT113" s="290">
        <f t="shared" si="647"/>
        <v>0</v>
      </c>
      <c r="DU113" s="290">
        <f t="shared" si="648"/>
        <v>0</v>
      </c>
      <c r="DV113" s="290">
        <f t="shared" si="649"/>
        <v>0</v>
      </c>
      <c r="DW113" s="290">
        <f t="shared" si="650"/>
        <v>0</v>
      </c>
      <c r="DX113" s="290">
        <f t="shared" si="651"/>
        <v>0</v>
      </c>
      <c r="DY113" s="290">
        <f t="shared" si="652"/>
        <v>0</v>
      </c>
      <c r="DZ113" s="290">
        <f t="shared" si="653"/>
        <v>0</v>
      </c>
      <c r="EA113" s="290">
        <f t="shared" si="654"/>
        <v>0</v>
      </c>
      <c r="EB113" s="290">
        <f t="shared" si="655"/>
        <v>0</v>
      </c>
      <c r="EC113" s="290">
        <f t="shared" si="656"/>
        <v>0</v>
      </c>
      <c r="ED113" s="290">
        <f t="shared" si="657"/>
        <v>0</v>
      </c>
      <c r="EE113" s="290">
        <f t="shared" si="658"/>
        <v>0</v>
      </c>
      <c r="EF113" s="291">
        <f t="shared" si="659"/>
        <v>0</v>
      </c>
      <c r="EG113" s="291">
        <f t="shared" si="660"/>
        <v>0</v>
      </c>
      <c r="EH113" s="291">
        <f t="shared" si="661"/>
        <v>0</v>
      </c>
      <c r="EI113" s="292">
        <f t="shared" si="662"/>
        <v>0</v>
      </c>
      <c r="EJ113" s="999">
        <v>22</v>
      </c>
      <c r="EK113" s="286">
        <f t="shared" si="864"/>
        <v>44034</v>
      </c>
      <c r="EL113" s="293">
        <f t="shared" si="588"/>
        <v>44034</v>
      </c>
      <c r="EM113" s="288">
        <f>'दैनिक माहिती'!M124</f>
        <v>0</v>
      </c>
      <c r="EN113" s="289">
        <f>'दैनिक माहिती'!J124</f>
        <v>0</v>
      </c>
      <c r="EO113" s="289">
        <f>'दैनिक माहिती'!K124</f>
        <v>0</v>
      </c>
      <c r="EP113" s="289">
        <f>'दैनिक माहिती'!L124</f>
        <v>0</v>
      </c>
      <c r="EQ113" s="290">
        <f t="shared" si="663"/>
        <v>0</v>
      </c>
      <c r="ER113" s="290">
        <f t="shared" si="664"/>
        <v>0</v>
      </c>
      <c r="ES113" s="290">
        <f t="shared" si="665"/>
        <v>0</v>
      </c>
      <c r="ET113" s="290">
        <f t="shared" si="666"/>
        <v>0</v>
      </c>
      <c r="EU113" s="290">
        <f t="shared" si="667"/>
        <v>0</v>
      </c>
      <c r="EV113" s="290">
        <f t="shared" si="668"/>
        <v>0</v>
      </c>
      <c r="EW113" s="290">
        <f t="shared" si="669"/>
        <v>0</v>
      </c>
      <c r="EX113" s="290">
        <f t="shared" si="670"/>
        <v>0</v>
      </c>
      <c r="EY113" s="290">
        <f t="shared" si="671"/>
        <v>0</v>
      </c>
      <c r="EZ113" s="290">
        <f t="shared" si="672"/>
        <v>0</v>
      </c>
      <c r="FA113" s="290">
        <f t="shared" si="673"/>
        <v>0</v>
      </c>
      <c r="FB113" s="290">
        <f t="shared" si="674"/>
        <v>0</v>
      </c>
      <c r="FC113" s="290">
        <f t="shared" si="675"/>
        <v>0</v>
      </c>
      <c r="FD113" s="290">
        <f t="shared" si="676"/>
        <v>0</v>
      </c>
      <c r="FE113" s="290">
        <f t="shared" si="677"/>
        <v>0</v>
      </c>
      <c r="FF113" s="290">
        <f t="shared" si="678"/>
        <v>0</v>
      </c>
      <c r="FG113" s="290">
        <f t="shared" si="679"/>
        <v>0</v>
      </c>
      <c r="FH113" s="290">
        <f t="shared" si="680"/>
        <v>0</v>
      </c>
      <c r="FI113" s="291">
        <f t="shared" si="681"/>
        <v>0</v>
      </c>
      <c r="FJ113" s="291">
        <f t="shared" si="682"/>
        <v>0</v>
      </c>
      <c r="FK113" s="291">
        <f t="shared" si="683"/>
        <v>0</v>
      </c>
      <c r="FL113" s="292">
        <f t="shared" si="684"/>
        <v>0</v>
      </c>
      <c r="FM113" s="999">
        <v>22</v>
      </c>
      <c r="FN113" s="286">
        <f t="shared" si="865"/>
        <v>44065</v>
      </c>
      <c r="FO113" s="293">
        <f t="shared" si="589"/>
        <v>44065</v>
      </c>
      <c r="FP113" s="288">
        <f>'दैनिक माहिती'!M156</f>
        <v>0</v>
      </c>
      <c r="FQ113" s="289">
        <f>'दैनिक माहिती'!J156</f>
        <v>0</v>
      </c>
      <c r="FR113" s="289">
        <f>'दैनिक माहिती'!K156</f>
        <v>0</v>
      </c>
      <c r="FS113" s="289">
        <f>'दैनिक माहिती'!L156</f>
        <v>0</v>
      </c>
      <c r="FT113" s="290">
        <f t="shared" si="685"/>
        <v>0</v>
      </c>
      <c r="FU113" s="290">
        <f t="shared" si="686"/>
        <v>0</v>
      </c>
      <c r="FV113" s="290">
        <f t="shared" si="687"/>
        <v>0</v>
      </c>
      <c r="FW113" s="290">
        <f t="shared" si="688"/>
        <v>0</v>
      </c>
      <c r="FX113" s="290">
        <f t="shared" si="689"/>
        <v>0</v>
      </c>
      <c r="FY113" s="290">
        <f t="shared" si="690"/>
        <v>0</v>
      </c>
      <c r="FZ113" s="290">
        <f t="shared" si="691"/>
        <v>0</v>
      </c>
      <c r="GA113" s="290">
        <f t="shared" si="692"/>
        <v>0</v>
      </c>
      <c r="GB113" s="290">
        <f t="shared" si="693"/>
        <v>0</v>
      </c>
      <c r="GC113" s="290">
        <f t="shared" si="694"/>
        <v>0</v>
      </c>
      <c r="GD113" s="290">
        <f t="shared" si="695"/>
        <v>0</v>
      </c>
      <c r="GE113" s="290">
        <f t="shared" si="696"/>
        <v>0</v>
      </c>
      <c r="GF113" s="290">
        <f t="shared" si="697"/>
        <v>0</v>
      </c>
      <c r="GG113" s="290">
        <f t="shared" si="698"/>
        <v>0</v>
      </c>
      <c r="GH113" s="290">
        <f t="shared" si="699"/>
        <v>0</v>
      </c>
      <c r="GI113" s="290">
        <f t="shared" si="700"/>
        <v>0</v>
      </c>
      <c r="GJ113" s="290">
        <f t="shared" si="701"/>
        <v>0</v>
      </c>
      <c r="GK113" s="290">
        <f t="shared" si="702"/>
        <v>0</v>
      </c>
      <c r="GL113" s="291">
        <f t="shared" si="703"/>
        <v>0</v>
      </c>
      <c r="GM113" s="291">
        <f t="shared" si="704"/>
        <v>0</v>
      </c>
      <c r="GN113" s="291">
        <f t="shared" si="705"/>
        <v>0</v>
      </c>
      <c r="GO113" s="292">
        <f t="shared" si="706"/>
        <v>0</v>
      </c>
      <c r="GP113" s="999">
        <v>22</v>
      </c>
      <c r="GQ113" s="286">
        <f t="shared" si="866"/>
        <v>44096</v>
      </c>
      <c r="GR113" s="293">
        <f t="shared" si="590"/>
        <v>44096</v>
      </c>
      <c r="GS113" s="288">
        <f>'दैनिक माहिती'!M188</f>
        <v>0</v>
      </c>
      <c r="GT113" s="289">
        <f>'दैनिक माहिती'!J188</f>
        <v>0</v>
      </c>
      <c r="GU113" s="289">
        <f>'दैनिक माहिती'!K188</f>
        <v>0</v>
      </c>
      <c r="GV113" s="289">
        <f>'दैनिक माहिती'!L188</f>
        <v>0</v>
      </c>
      <c r="GW113" s="290">
        <f t="shared" si="707"/>
        <v>0</v>
      </c>
      <c r="GX113" s="290">
        <f t="shared" si="708"/>
        <v>0</v>
      </c>
      <c r="GY113" s="290">
        <f t="shared" si="709"/>
        <v>0</v>
      </c>
      <c r="GZ113" s="290">
        <f t="shared" si="710"/>
        <v>0</v>
      </c>
      <c r="HA113" s="290">
        <f t="shared" si="711"/>
        <v>0</v>
      </c>
      <c r="HB113" s="290">
        <f t="shared" si="712"/>
        <v>0</v>
      </c>
      <c r="HC113" s="290">
        <f t="shared" si="713"/>
        <v>0</v>
      </c>
      <c r="HD113" s="290">
        <f t="shared" si="714"/>
        <v>0</v>
      </c>
      <c r="HE113" s="290">
        <f t="shared" si="715"/>
        <v>0</v>
      </c>
      <c r="HF113" s="290">
        <f t="shared" si="716"/>
        <v>0</v>
      </c>
      <c r="HG113" s="290">
        <f t="shared" si="717"/>
        <v>0</v>
      </c>
      <c r="HH113" s="290">
        <f t="shared" si="718"/>
        <v>0</v>
      </c>
      <c r="HI113" s="290">
        <f t="shared" si="719"/>
        <v>0</v>
      </c>
      <c r="HJ113" s="290">
        <f t="shared" si="720"/>
        <v>0</v>
      </c>
      <c r="HK113" s="290">
        <f t="shared" si="721"/>
        <v>0</v>
      </c>
      <c r="HL113" s="290">
        <f t="shared" si="722"/>
        <v>0</v>
      </c>
      <c r="HM113" s="290">
        <f t="shared" si="723"/>
        <v>0</v>
      </c>
      <c r="HN113" s="290">
        <f t="shared" si="724"/>
        <v>0</v>
      </c>
      <c r="HO113" s="291">
        <f t="shared" si="725"/>
        <v>0</v>
      </c>
      <c r="HP113" s="291">
        <f t="shared" si="726"/>
        <v>0</v>
      </c>
      <c r="HQ113" s="291">
        <f t="shared" si="727"/>
        <v>0</v>
      </c>
      <c r="HR113" s="292">
        <f t="shared" si="728"/>
        <v>0</v>
      </c>
      <c r="HS113" s="999">
        <v>22</v>
      </c>
      <c r="HT113" s="286">
        <f t="shared" si="867"/>
        <v>44126</v>
      </c>
      <c r="HU113" s="293">
        <f t="shared" si="591"/>
        <v>44126</v>
      </c>
      <c r="HV113" s="288">
        <f>'दैनिक माहिती'!M219</f>
        <v>0</v>
      </c>
      <c r="HW113" s="289">
        <f>'दैनिक माहिती'!J219</f>
        <v>0</v>
      </c>
      <c r="HX113" s="289">
        <f>'दैनिक माहिती'!K219</f>
        <v>0</v>
      </c>
      <c r="HY113" s="289">
        <f>'दैनिक माहिती'!L219</f>
        <v>0</v>
      </c>
      <c r="HZ113" s="290">
        <f t="shared" si="729"/>
        <v>0</v>
      </c>
      <c r="IA113" s="290">
        <f t="shared" si="730"/>
        <v>0</v>
      </c>
      <c r="IB113" s="290">
        <f t="shared" si="731"/>
        <v>0</v>
      </c>
      <c r="IC113" s="290">
        <f t="shared" si="732"/>
        <v>0</v>
      </c>
      <c r="ID113" s="290">
        <f t="shared" si="733"/>
        <v>0</v>
      </c>
      <c r="IE113" s="290">
        <f t="shared" si="734"/>
        <v>0</v>
      </c>
      <c r="IF113" s="290">
        <f t="shared" si="735"/>
        <v>0</v>
      </c>
      <c r="IG113" s="290">
        <f t="shared" si="736"/>
        <v>0</v>
      </c>
      <c r="IH113" s="290">
        <f t="shared" si="737"/>
        <v>0</v>
      </c>
      <c r="II113" s="290">
        <f t="shared" si="738"/>
        <v>0</v>
      </c>
      <c r="IJ113" s="290">
        <f t="shared" si="739"/>
        <v>0</v>
      </c>
      <c r="IK113" s="290">
        <f t="shared" si="740"/>
        <v>0</v>
      </c>
      <c r="IL113" s="290">
        <f t="shared" si="741"/>
        <v>0</v>
      </c>
      <c r="IM113" s="290">
        <f t="shared" si="742"/>
        <v>0</v>
      </c>
      <c r="IN113" s="290">
        <f t="shared" si="743"/>
        <v>0</v>
      </c>
      <c r="IO113" s="290">
        <f t="shared" si="744"/>
        <v>0</v>
      </c>
      <c r="IP113" s="290">
        <f t="shared" si="745"/>
        <v>0</v>
      </c>
      <c r="IQ113" s="290">
        <f t="shared" si="746"/>
        <v>0</v>
      </c>
      <c r="IR113" s="291">
        <f t="shared" si="747"/>
        <v>0</v>
      </c>
      <c r="IS113" s="291">
        <f t="shared" si="748"/>
        <v>0</v>
      </c>
      <c r="IT113" s="291">
        <f t="shared" si="749"/>
        <v>0</v>
      </c>
      <c r="IU113" s="292">
        <f t="shared" si="750"/>
        <v>0</v>
      </c>
      <c r="IV113" s="999">
        <v>22</v>
      </c>
      <c r="IW113" s="286">
        <f t="shared" si="868"/>
        <v>44157</v>
      </c>
      <c r="IX113" s="293">
        <f t="shared" si="592"/>
        <v>44157</v>
      </c>
      <c r="IY113" s="288">
        <f>'दैनिक माहिती'!M251</f>
        <v>0</v>
      </c>
      <c r="IZ113" s="289">
        <f>'दैनिक माहिती'!J251</f>
        <v>0</v>
      </c>
      <c r="JA113" s="289">
        <f>'दैनिक माहिती'!K251</f>
        <v>0</v>
      </c>
      <c r="JB113" s="289">
        <f>'दैनिक माहिती'!L251</f>
        <v>0</v>
      </c>
      <c r="JC113" s="290">
        <f t="shared" si="751"/>
        <v>0</v>
      </c>
      <c r="JD113" s="290">
        <f t="shared" si="752"/>
        <v>0</v>
      </c>
      <c r="JE113" s="290">
        <f t="shared" si="753"/>
        <v>0</v>
      </c>
      <c r="JF113" s="290">
        <f t="shared" si="754"/>
        <v>0</v>
      </c>
      <c r="JG113" s="290">
        <f t="shared" si="755"/>
        <v>0</v>
      </c>
      <c r="JH113" s="290">
        <f t="shared" si="756"/>
        <v>0</v>
      </c>
      <c r="JI113" s="290">
        <f t="shared" si="757"/>
        <v>0</v>
      </c>
      <c r="JJ113" s="290">
        <f t="shared" si="758"/>
        <v>0</v>
      </c>
      <c r="JK113" s="290">
        <f t="shared" si="759"/>
        <v>0</v>
      </c>
      <c r="JL113" s="290">
        <f t="shared" si="760"/>
        <v>0</v>
      </c>
      <c r="JM113" s="290">
        <f t="shared" si="761"/>
        <v>0</v>
      </c>
      <c r="JN113" s="290">
        <f t="shared" si="762"/>
        <v>0</v>
      </c>
      <c r="JO113" s="290">
        <f t="shared" si="763"/>
        <v>0</v>
      </c>
      <c r="JP113" s="290">
        <f t="shared" si="764"/>
        <v>0</v>
      </c>
      <c r="JQ113" s="290">
        <f t="shared" si="765"/>
        <v>0</v>
      </c>
      <c r="JR113" s="290">
        <f t="shared" si="766"/>
        <v>0</v>
      </c>
      <c r="JS113" s="290">
        <f t="shared" si="767"/>
        <v>0</v>
      </c>
      <c r="JT113" s="290">
        <f t="shared" si="768"/>
        <v>0</v>
      </c>
      <c r="JU113" s="291">
        <f t="shared" si="769"/>
        <v>0</v>
      </c>
      <c r="JV113" s="291">
        <f t="shared" si="770"/>
        <v>0</v>
      </c>
      <c r="JW113" s="291">
        <f t="shared" si="771"/>
        <v>0</v>
      </c>
      <c r="JX113" s="292">
        <f t="shared" si="772"/>
        <v>0</v>
      </c>
      <c r="JY113" s="999">
        <v>22</v>
      </c>
      <c r="JZ113" s="286">
        <f t="shared" si="869"/>
        <v>44187</v>
      </c>
      <c r="KA113" s="293">
        <f t="shared" si="593"/>
        <v>44187</v>
      </c>
      <c r="KB113" s="288">
        <f>'दैनिक माहिती'!M282</f>
        <v>0</v>
      </c>
      <c r="KC113" s="289">
        <f>'दैनिक माहिती'!J282</f>
        <v>0</v>
      </c>
      <c r="KD113" s="289">
        <f>'दैनिक माहिती'!K282</f>
        <v>0</v>
      </c>
      <c r="KE113" s="289">
        <f>'दैनिक माहिती'!L282</f>
        <v>0</v>
      </c>
      <c r="KF113" s="290">
        <f t="shared" si="773"/>
        <v>0</v>
      </c>
      <c r="KG113" s="290">
        <f t="shared" si="774"/>
        <v>0</v>
      </c>
      <c r="KH113" s="290">
        <f t="shared" si="775"/>
        <v>0</v>
      </c>
      <c r="KI113" s="290">
        <f t="shared" si="776"/>
        <v>0</v>
      </c>
      <c r="KJ113" s="290">
        <f t="shared" si="777"/>
        <v>0</v>
      </c>
      <c r="KK113" s="290">
        <f t="shared" si="778"/>
        <v>0</v>
      </c>
      <c r="KL113" s="290">
        <f t="shared" si="779"/>
        <v>0</v>
      </c>
      <c r="KM113" s="290">
        <f t="shared" si="780"/>
        <v>0</v>
      </c>
      <c r="KN113" s="290">
        <f t="shared" si="781"/>
        <v>0</v>
      </c>
      <c r="KO113" s="290">
        <f t="shared" si="782"/>
        <v>0</v>
      </c>
      <c r="KP113" s="290">
        <f t="shared" si="783"/>
        <v>0</v>
      </c>
      <c r="KQ113" s="290">
        <f t="shared" si="784"/>
        <v>0</v>
      </c>
      <c r="KR113" s="290">
        <f t="shared" si="785"/>
        <v>0</v>
      </c>
      <c r="KS113" s="290">
        <f t="shared" si="786"/>
        <v>0</v>
      </c>
      <c r="KT113" s="290">
        <f t="shared" si="787"/>
        <v>0</v>
      </c>
      <c r="KU113" s="290">
        <f t="shared" si="788"/>
        <v>0</v>
      </c>
      <c r="KV113" s="290">
        <f t="shared" si="789"/>
        <v>0</v>
      </c>
      <c r="KW113" s="290">
        <f t="shared" si="790"/>
        <v>0</v>
      </c>
      <c r="KX113" s="291">
        <f t="shared" si="791"/>
        <v>0</v>
      </c>
      <c r="KY113" s="291">
        <f t="shared" si="792"/>
        <v>0</v>
      </c>
      <c r="KZ113" s="291">
        <f t="shared" si="793"/>
        <v>0</v>
      </c>
      <c r="LA113" s="292">
        <f t="shared" si="794"/>
        <v>0</v>
      </c>
      <c r="LB113" s="999">
        <v>22</v>
      </c>
      <c r="LC113" s="286">
        <f t="shared" si="870"/>
        <v>44218</v>
      </c>
      <c r="LD113" s="293">
        <f t="shared" si="594"/>
        <v>44218</v>
      </c>
      <c r="LE113" s="288">
        <f>'दैनिक माहिती'!M314</f>
        <v>0</v>
      </c>
      <c r="LF113" s="289">
        <f>'दैनिक माहिती'!J314</f>
        <v>0</v>
      </c>
      <c r="LG113" s="289">
        <f>'दैनिक माहिती'!K314</f>
        <v>0</v>
      </c>
      <c r="LH113" s="289">
        <f>'दैनिक माहिती'!L314</f>
        <v>0</v>
      </c>
      <c r="LI113" s="290">
        <f t="shared" si="795"/>
        <v>0</v>
      </c>
      <c r="LJ113" s="290">
        <f t="shared" si="796"/>
        <v>0</v>
      </c>
      <c r="LK113" s="290">
        <f t="shared" si="797"/>
        <v>0</v>
      </c>
      <c r="LL113" s="290">
        <f t="shared" si="798"/>
        <v>0</v>
      </c>
      <c r="LM113" s="290">
        <f t="shared" si="799"/>
        <v>0</v>
      </c>
      <c r="LN113" s="290">
        <f t="shared" si="800"/>
        <v>0</v>
      </c>
      <c r="LO113" s="290">
        <f t="shared" si="801"/>
        <v>0</v>
      </c>
      <c r="LP113" s="290">
        <f t="shared" si="802"/>
        <v>0</v>
      </c>
      <c r="LQ113" s="290">
        <f t="shared" si="803"/>
        <v>0</v>
      </c>
      <c r="LR113" s="290">
        <f t="shared" si="804"/>
        <v>0</v>
      </c>
      <c r="LS113" s="290">
        <f t="shared" si="805"/>
        <v>0</v>
      </c>
      <c r="LT113" s="290">
        <f t="shared" si="806"/>
        <v>0</v>
      </c>
      <c r="LU113" s="290">
        <f t="shared" si="807"/>
        <v>0</v>
      </c>
      <c r="LV113" s="290">
        <f t="shared" si="808"/>
        <v>0</v>
      </c>
      <c r="LW113" s="290">
        <f t="shared" si="809"/>
        <v>0</v>
      </c>
      <c r="LX113" s="290">
        <f t="shared" si="810"/>
        <v>0</v>
      </c>
      <c r="LY113" s="290">
        <f t="shared" si="811"/>
        <v>0</v>
      </c>
      <c r="LZ113" s="290">
        <f t="shared" si="812"/>
        <v>0</v>
      </c>
      <c r="MA113" s="291">
        <f t="shared" si="813"/>
        <v>0</v>
      </c>
      <c r="MB113" s="291">
        <f t="shared" si="814"/>
        <v>0</v>
      </c>
      <c r="MC113" s="291">
        <f t="shared" si="815"/>
        <v>0</v>
      </c>
      <c r="MD113" s="292">
        <f t="shared" si="816"/>
        <v>0</v>
      </c>
      <c r="ME113" s="999">
        <v>22</v>
      </c>
      <c r="MF113" s="286">
        <f t="shared" si="871"/>
        <v>44249</v>
      </c>
      <c r="MG113" s="293">
        <f t="shared" si="595"/>
        <v>44249</v>
      </c>
      <c r="MH113" s="288">
        <f>'दैनिक माहिती'!M346</f>
        <v>0</v>
      </c>
      <c r="MI113" s="289">
        <f>'दैनिक माहिती'!J346</f>
        <v>0</v>
      </c>
      <c r="MJ113" s="289">
        <f>'दैनिक माहिती'!K346</f>
        <v>0</v>
      </c>
      <c r="MK113" s="289">
        <f>'दैनिक माहिती'!L346</f>
        <v>0</v>
      </c>
      <c r="ML113" s="290">
        <f t="shared" si="817"/>
        <v>0</v>
      </c>
      <c r="MM113" s="290">
        <f t="shared" si="818"/>
        <v>0</v>
      </c>
      <c r="MN113" s="290">
        <f t="shared" si="819"/>
        <v>0</v>
      </c>
      <c r="MO113" s="290">
        <f t="shared" si="820"/>
        <v>0</v>
      </c>
      <c r="MP113" s="290">
        <f t="shared" si="821"/>
        <v>0</v>
      </c>
      <c r="MQ113" s="290">
        <f t="shared" si="822"/>
        <v>0</v>
      </c>
      <c r="MR113" s="290">
        <f t="shared" si="823"/>
        <v>0</v>
      </c>
      <c r="MS113" s="290">
        <f t="shared" si="824"/>
        <v>0</v>
      </c>
      <c r="MT113" s="290">
        <f t="shared" si="825"/>
        <v>0</v>
      </c>
      <c r="MU113" s="290">
        <f t="shared" si="826"/>
        <v>0</v>
      </c>
      <c r="MV113" s="290">
        <f t="shared" si="827"/>
        <v>0</v>
      </c>
      <c r="MW113" s="290">
        <f t="shared" si="828"/>
        <v>0</v>
      </c>
      <c r="MX113" s="290">
        <f t="shared" si="829"/>
        <v>0</v>
      </c>
      <c r="MY113" s="290">
        <f t="shared" si="830"/>
        <v>0</v>
      </c>
      <c r="MZ113" s="290">
        <f t="shared" si="831"/>
        <v>0</v>
      </c>
      <c r="NA113" s="290">
        <f t="shared" si="832"/>
        <v>0</v>
      </c>
      <c r="NB113" s="290">
        <f t="shared" si="833"/>
        <v>0</v>
      </c>
      <c r="NC113" s="290">
        <f t="shared" si="834"/>
        <v>0</v>
      </c>
      <c r="ND113" s="291">
        <f t="shared" si="835"/>
        <v>0</v>
      </c>
      <c r="NE113" s="291">
        <f t="shared" si="836"/>
        <v>0</v>
      </c>
      <c r="NF113" s="291">
        <f t="shared" si="837"/>
        <v>0</v>
      </c>
      <c r="NG113" s="292">
        <f t="shared" si="838"/>
        <v>0</v>
      </c>
      <c r="NH113" s="999">
        <v>22</v>
      </c>
      <c r="NI113" s="286">
        <f t="shared" si="872"/>
        <v>44277</v>
      </c>
      <c r="NJ113" s="293">
        <f t="shared" si="596"/>
        <v>44277</v>
      </c>
      <c r="NK113" s="288">
        <f>'दैनिक माहिती'!M376</f>
        <v>0</v>
      </c>
      <c r="NL113" s="289">
        <f>'दैनिक माहिती'!J376</f>
        <v>0</v>
      </c>
      <c r="NM113" s="289">
        <f>'दैनिक माहिती'!K376</f>
        <v>0</v>
      </c>
      <c r="NN113" s="289">
        <f>'दैनिक माहिती'!L376</f>
        <v>0</v>
      </c>
      <c r="NO113" s="290">
        <f t="shared" si="839"/>
        <v>0</v>
      </c>
      <c r="NP113" s="290">
        <f t="shared" si="840"/>
        <v>0</v>
      </c>
      <c r="NQ113" s="290">
        <f t="shared" si="841"/>
        <v>0</v>
      </c>
      <c r="NR113" s="290">
        <f t="shared" si="842"/>
        <v>0</v>
      </c>
      <c r="NS113" s="290">
        <f t="shared" si="843"/>
        <v>0</v>
      </c>
      <c r="NT113" s="290">
        <f t="shared" si="844"/>
        <v>0</v>
      </c>
      <c r="NU113" s="290">
        <f t="shared" si="845"/>
        <v>0</v>
      </c>
      <c r="NV113" s="290">
        <f t="shared" si="846"/>
        <v>0</v>
      </c>
      <c r="NW113" s="290">
        <f t="shared" si="847"/>
        <v>0</v>
      </c>
      <c r="NX113" s="290">
        <f t="shared" si="848"/>
        <v>0</v>
      </c>
      <c r="NY113" s="290">
        <f t="shared" si="849"/>
        <v>0</v>
      </c>
      <c r="NZ113" s="290">
        <f t="shared" si="850"/>
        <v>0</v>
      </c>
      <c r="OA113" s="290">
        <f t="shared" si="851"/>
        <v>0</v>
      </c>
      <c r="OB113" s="290">
        <f t="shared" si="852"/>
        <v>0</v>
      </c>
      <c r="OC113" s="290">
        <f t="shared" si="853"/>
        <v>0</v>
      </c>
      <c r="OD113" s="290">
        <f t="shared" si="854"/>
        <v>0</v>
      </c>
      <c r="OE113" s="290">
        <f t="shared" si="855"/>
        <v>0</v>
      </c>
      <c r="OF113" s="290">
        <f t="shared" si="856"/>
        <v>0</v>
      </c>
      <c r="OG113" s="291">
        <f t="shared" si="857"/>
        <v>0</v>
      </c>
      <c r="OH113" s="291">
        <f t="shared" si="858"/>
        <v>0</v>
      </c>
      <c r="OI113" s="291">
        <f t="shared" si="859"/>
        <v>0</v>
      </c>
      <c r="OJ113" s="292">
        <f t="shared" si="860"/>
        <v>0</v>
      </c>
    </row>
    <row r="114" spans="53:400" ht="29.25" customHeight="1" x14ac:dyDescent="0.3">
      <c r="BA114" s="999">
        <v>23</v>
      </c>
      <c r="BB114" s="286">
        <f t="shared" si="861"/>
        <v>43944</v>
      </c>
      <c r="BC114" s="287">
        <f t="shared" si="585"/>
        <v>43944</v>
      </c>
      <c r="BD114" s="288">
        <f>'दैनिक माहिती'!M31</f>
        <v>0</v>
      </c>
      <c r="BE114" s="289">
        <f>'दैनिक माहिती'!J31</f>
        <v>0</v>
      </c>
      <c r="BF114" s="289">
        <f>'दैनिक माहिती'!K31</f>
        <v>0</v>
      </c>
      <c r="BG114" s="289">
        <f>'दैनिक माहिती'!L31</f>
        <v>0</v>
      </c>
      <c r="BH114" s="290">
        <f t="shared" si="597"/>
        <v>0</v>
      </c>
      <c r="BI114" s="290">
        <f t="shared" si="598"/>
        <v>0</v>
      </c>
      <c r="BJ114" s="290">
        <f t="shared" si="599"/>
        <v>0</v>
      </c>
      <c r="BK114" s="290">
        <f t="shared" si="600"/>
        <v>0</v>
      </c>
      <c r="BL114" s="290">
        <f t="shared" si="601"/>
        <v>0</v>
      </c>
      <c r="BM114" s="290">
        <f t="shared" si="602"/>
        <v>0</v>
      </c>
      <c r="BN114" s="290">
        <f t="shared" si="603"/>
        <v>0</v>
      </c>
      <c r="BO114" s="290">
        <f t="shared" si="604"/>
        <v>0</v>
      </c>
      <c r="BP114" s="290">
        <f t="shared" si="605"/>
        <v>0</v>
      </c>
      <c r="BQ114" s="290">
        <f t="shared" si="606"/>
        <v>0</v>
      </c>
      <c r="BR114" s="290">
        <f t="shared" si="607"/>
        <v>0</v>
      </c>
      <c r="BS114" s="290">
        <f t="shared" si="608"/>
        <v>0</v>
      </c>
      <c r="BT114" s="290">
        <f t="shared" si="609"/>
        <v>0</v>
      </c>
      <c r="BU114" s="290">
        <f t="shared" si="610"/>
        <v>0</v>
      </c>
      <c r="BV114" s="290">
        <f t="shared" si="611"/>
        <v>0</v>
      </c>
      <c r="BW114" s="290">
        <f t="shared" si="612"/>
        <v>0</v>
      </c>
      <c r="BX114" s="290">
        <f t="shared" si="613"/>
        <v>0</v>
      </c>
      <c r="BY114" s="290">
        <f t="shared" si="614"/>
        <v>0</v>
      </c>
      <c r="BZ114" s="291">
        <f t="shared" si="615"/>
        <v>0</v>
      </c>
      <c r="CA114" s="291">
        <f t="shared" si="616"/>
        <v>0</v>
      </c>
      <c r="CB114" s="291">
        <f t="shared" si="617"/>
        <v>0</v>
      </c>
      <c r="CC114" s="292">
        <f t="shared" si="618"/>
        <v>0</v>
      </c>
      <c r="CD114" s="999">
        <v>23</v>
      </c>
      <c r="CE114" s="286">
        <f t="shared" si="862"/>
        <v>43974</v>
      </c>
      <c r="CF114" s="287">
        <f t="shared" si="586"/>
        <v>43974</v>
      </c>
      <c r="CG114" s="288">
        <f>'दैनिक माहिती'!M62</f>
        <v>0</v>
      </c>
      <c r="CH114" s="289">
        <f>'दैनिक माहिती'!J62</f>
        <v>0</v>
      </c>
      <c r="CI114" s="289">
        <f>'दैनिक माहिती'!K62</f>
        <v>0</v>
      </c>
      <c r="CJ114" s="289">
        <f>'दैनिक माहिती'!L62</f>
        <v>0</v>
      </c>
      <c r="CK114" s="290">
        <f t="shared" si="619"/>
        <v>0</v>
      </c>
      <c r="CL114" s="290">
        <f t="shared" si="620"/>
        <v>0</v>
      </c>
      <c r="CM114" s="290">
        <f t="shared" si="621"/>
        <v>0</v>
      </c>
      <c r="CN114" s="290">
        <f t="shared" si="622"/>
        <v>0</v>
      </c>
      <c r="CO114" s="290">
        <f t="shared" si="623"/>
        <v>0</v>
      </c>
      <c r="CP114" s="290">
        <f t="shared" si="624"/>
        <v>0</v>
      </c>
      <c r="CQ114" s="290">
        <f t="shared" si="625"/>
        <v>0</v>
      </c>
      <c r="CR114" s="290">
        <f t="shared" si="626"/>
        <v>0</v>
      </c>
      <c r="CS114" s="290">
        <f t="shared" si="627"/>
        <v>0</v>
      </c>
      <c r="CT114" s="290">
        <f t="shared" si="628"/>
        <v>0</v>
      </c>
      <c r="CU114" s="290">
        <f t="shared" si="629"/>
        <v>0</v>
      </c>
      <c r="CV114" s="290">
        <f t="shared" si="630"/>
        <v>0</v>
      </c>
      <c r="CW114" s="290">
        <f t="shared" si="631"/>
        <v>0</v>
      </c>
      <c r="CX114" s="290">
        <f t="shared" si="632"/>
        <v>0</v>
      </c>
      <c r="CY114" s="290">
        <f t="shared" si="633"/>
        <v>0</v>
      </c>
      <c r="CZ114" s="290">
        <f t="shared" si="634"/>
        <v>0</v>
      </c>
      <c r="DA114" s="290">
        <f t="shared" si="635"/>
        <v>0</v>
      </c>
      <c r="DB114" s="290">
        <f t="shared" si="636"/>
        <v>0</v>
      </c>
      <c r="DC114" s="291">
        <f t="shared" si="637"/>
        <v>0</v>
      </c>
      <c r="DD114" s="291">
        <f t="shared" si="638"/>
        <v>0</v>
      </c>
      <c r="DE114" s="291">
        <f t="shared" si="639"/>
        <v>0</v>
      </c>
      <c r="DF114" s="292">
        <f t="shared" si="640"/>
        <v>0</v>
      </c>
      <c r="DG114" s="999">
        <v>23</v>
      </c>
      <c r="DH114" s="286">
        <f t="shared" si="863"/>
        <v>44005</v>
      </c>
      <c r="DI114" s="287">
        <f t="shared" si="587"/>
        <v>44005</v>
      </c>
      <c r="DJ114" s="288">
        <f>'दैनिक माहिती'!M94</f>
        <v>0</v>
      </c>
      <c r="DK114" s="289">
        <f>'दैनिक माहिती'!J94</f>
        <v>0</v>
      </c>
      <c r="DL114" s="289">
        <f>'दैनिक माहिती'!K94</f>
        <v>0</v>
      </c>
      <c r="DM114" s="289">
        <f>'दैनिक माहिती'!L94</f>
        <v>0</v>
      </c>
      <c r="DN114" s="290">
        <f t="shared" si="641"/>
        <v>0</v>
      </c>
      <c r="DO114" s="290">
        <f t="shared" si="642"/>
        <v>0</v>
      </c>
      <c r="DP114" s="290">
        <f t="shared" si="643"/>
        <v>0</v>
      </c>
      <c r="DQ114" s="290">
        <f t="shared" si="644"/>
        <v>0</v>
      </c>
      <c r="DR114" s="290">
        <f t="shared" si="645"/>
        <v>0</v>
      </c>
      <c r="DS114" s="290">
        <f t="shared" si="646"/>
        <v>0</v>
      </c>
      <c r="DT114" s="290">
        <f t="shared" si="647"/>
        <v>0</v>
      </c>
      <c r="DU114" s="290">
        <f t="shared" si="648"/>
        <v>0</v>
      </c>
      <c r="DV114" s="290">
        <f t="shared" si="649"/>
        <v>0</v>
      </c>
      <c r="DW114" s="290">
        <f t="shared" si="650"/>
        <v>0</v>
      </c>
      <c r="DX114" s="290">
        <f t="shared" si="651"/>
        <v>0</v>
      </c>
      <c r="DY114" s="290">
        <f t="shared" si="652"/>
        <v>0</v>
      </c>
      <c r="DZ114" s="290">
        <f t="shared" si="653"/>
        <v>0</v>
      </c>
      <c r="EA114" s="290">
        <f t="shared" si="654"/>
        <v>0</v>
      </c>
      <c r="EB114" s="290">
        <f t="shared" si="655"/>
        <v>0</v>
      </c>
      <c r="EC114" s="290">
        <f t="shared" si="656"/>
        <v>0</v>
      </c>
      <c r="ED114" s="290">
        <f t="shared" si="657"/>
        <v>0</v>
      </c>
      <c r="EE114" s="290">
        <f t="shared" si="658"/>
        <v>0</v>
      </c>
      <c r="EF114" s="291">
        <f t="shared" si="659"/>
        <v>0</v>
      </c>
      <c r="EG114" s="291">
        <f t="shared" si="660"/>
        <v>0</v>
      </c>
      <c r="EH114" s="291">
        <f t="shared" si="661"/>
        <v>0</v>
      </c>
      <c r="EI114" s="292">
        <f t="shared" si="662"/>
        <v>0</v>
      </c>
      <c r="EJ114" s="999">
        <v>23</v>
      </c>
      <c r="EK114" s="286">
        <f t="shared" si="864"/>
        <v>44035</v>
      </c>
      <c r="EL114" s="287">
        <f t="shared" si="588"/>
        <v>44035</v>
      </c>
      <c r="EM114" s="288">
        <f>'दैनिक माहिती'!M125</f>
        <v>0</v>
      </c>
      <c r="EN114" s="289">
        <f>'दैनिक माहिती'!J125</f>
        <v>0</v>
      </c>
      <c r="EO114" s="289">
        <f>'दैनिक माहिती'!K125</f>
        <v>0</v>
      </c>
      <c r="EP114" s="289">
        <f>'दैनिक माहिती'!L125</f>
        <v>0</v>
      </c>
      <c r="EQ114" s="290">
        <f t="shared" si="663"/>
        <v>0</v>
      </c>
      <c r="ER114" s="290">
        <f t="shared" si="664"/>
        <v>0</v>
      </c>
      <c r="ES114" s="290">
        <f t="shared" si="665"/>
        <v>0</v>
      </c>
      <c r="ET114" s="290">
        <f t="shared" si="666"/>
        <v>0</v>
      </c>
      <c r="EU114" s="290">
        <f t="shared" si="667"/>
        <v>0</v>
      </c>
      <c r="EV114" s="290">
        <f t="shared" si="668"/>
        <v>0</v>
      </c>
      <c r="EW114" s="290">
        <f t="shared" si="669"/>
        <v>0</v>
      </c>
      <c r="EX114" s="290">
        <f t="shared" si="670"/>
        <v>0</v>
      </c>
      <c r="EY114" s="290">
        <f t="shared" si="671"/>
        <v>0</v>
      </c>
      <c r="EZ114" s="290">
        <f t="shared" si="672"/>
        <v>0</v>
      </c>
      <c r="FA114" s="290">
        <f t="shared" si="673"/>
        <v>0</v>
      </c>
      <c r="FB114" s="290">
        <f t="shared" si="674"/>
        <v>0</v>
      </c>
      <c r="FC114" s="290">
        <f t="shared" si="675"/>
        <v>0</v>
      </c>
      <c r="FD114" s="290">
        <f t="shared" si="676"/>
        <v>0</v>
      </c>
      <c r="FE114" s="290">
        <f t="shared" si="677"/>
        <v>0</v>
      </c>
      <c r="FF114" s="290">
        <f t="shared" si="678"/>
        <v>0</v>
      </c>
      <c r="FG114" s="290">
        <f t="shared" si="679"/>
        <v>0</v>
      </c>
      <c r="FH114" s="290">
        <f t="shared" si="680"/>
        <v>0</v>
      </c>
      <c r="FI114" s="291">
        <f t="shared" si="681"/>
        <v>0</v>
      </c>
      <c r="FJ114" s="291">
        <f t="shared" si="682"/>
        <v>0</v>
      </c>
      <c r="FK114" s="291">
        <f t="shared" si="683"/>
        <v>0</v>
      </c>
      <c r="FL114" s="292">
        <f t="shared" si="684"/>
        <v>0</v>
      </c>
      <c r="FM114" s="999">
        <v>23</v>
      </c>
      <c r="FN114" s="286">
        <f t="shared" si="865"/>
        <v>44066</v>
      </c>
      <c r="FO114" s="287">
        <f t="shared" si="589"/>
        <v>44066</v>
      </c>
      <c r="FP114" s="288">
        <f>'दैनिक माहिती'!M157</f>
        <v>0</v>
      </c>
      <c r="FQ114" s="289">
        <f>'दैनिक माहिती'!J157</f>
        <v>0</v>
      </c>
      <c r="FR114" s="289">
        <f>'दैनिक माहिती'!K157</f>
        <v>0</v>
      </c>
      <c r="FS114" s="289">
        <f>'दैनिक माहिती'!L157</f>
        <v>0</v>
      </c>
      <c r="FT114" s="290">
        <f t="shared" si="685"/>
        <v>0</v>
      </c>
      <c r="FU114" s="290">
        <f t="shared" si="686"/>
        <v>0</v>
      </c>
      <c r="FV114" s="290">
        <f t="shared" si="687"/>
        <v>0</v>
      </c>
      <c r="FW114" s="290">
        <f t="shared" si="688"/>
        <v>0</v>
      </c>
      <c r="FX114" s="290">
        <f t="shared" si="689"/>
        <v>0</v>
      </c>
      <c r="FY114" s="290">
        <f t="shared" si="690"/>
        <v>0</v>
      </c>
      <c r="FZ114" s="290">
        <f t="shared" si="691"/>
        <v>0</v>
      </c>
      <c r="GA114" s="290">
        <f t="shared" si="692"/>
        <v>0</v>
      </c>
      <c r="GB114" s="290">
        <f t="shared" si="693"/>
        <v>0</v>
      </c>
      <c r="GC114" s="290">
        <f t="shared" si="694"/>
        <v>0</v>
      </c>
      <c r="GD114" s="290">
        <f t="shared" si="695"/>
        <v>0</v>
      </c>
      <c r="GE114" s="290">
        <f t="shared" si="696"/>
        <v>0</v>
      </c>
      <c r="GF114" s="290">
        <f t="shared" si="697"/>
        <v>0</v>
      </c>
      <c r="GG114" s="290">
        <f t="shared" si="698"/>
        <v>0</v>
      </c>
      <c r="GH114" s="290">
        <f t="shared" si="699"/>
        <v>0</v>
      </c>
      <c r="GI114" s="290">
        <f t="shared" si="700"/>
        <v>0</v>
      </c>
      <c r="GJ114" s="290">
        <f t="shared" si="701"/>
        <v>0</v>
      </c>
      <c r="GK114" s="290">
        <f t="shared" si="702"/>
        <v>0</v>
      </c>
      <c r="GL114" s="291">
        <f t="shared" si="703"/>
        <v>0</v>
      </c>
      <c r="GM114" s="291">
        <f t="shared" si="704"/>
        <v>0</v>
      </c>
      <c r="GN114" s="291">
        <f t="shared" si="705"/>
        <v>0</v>
      </c>
      <c r="GO114" s="292">
        <f t="shared" si="706"/>
        <v>0</v>
      </c>
      <c r="GP114" s="999">
        <v>23</v>
      </c>
      <c r="GQ114" s="286">
        <f t="shared" si="866"/>
        <v>44097</v>
      </c>
      <c r="GR114" s="287">
        <f t="shared" si="590"/>
        <v>44097</v>
      </c>
      <c r="GS114" s="288">
        <f>'दैनिक माहिती'!M189</f>
        <v>0</v>
      </c>
      <c r="GT114" s="289">
        <f>'दैनिक माहिती'!J189</f>
        <v>0</v>
      </c>
      <c r="GU114" s="289">
        <f>'दैनिक माहिती'!K189</f>
        <v>0</v>
      </c>
      <c r="GV114" s="289">
        <f>'दैनिक माहिती'!L189</f>
        <v>0</v>
      </c>
      <c r="GW114" s="290">
        <f t="shared" si="707"/>
        <v>0</v>
      </c>
      <c r="GX114" s="290">
        <f t="shared" si="708"/>
        <v>0</v>
      </c>
      <c r="GY114" s="290">
        <f t="shared" si="709"/>
        <v>0</v>
      </c>
      <c r="GZ114" s="290">
        <f t="shared" si="710"/>
        <v>0</v>
      </c>
      <c r="HA114" s="290">
        <f t="shared" si="711"/>
        <v>0</v>
      </c>
      <c r="HB114" s="290">
        <f t="shared" si="712"/>
        <v>0</v>
      </c>
      <c r="HC114" s="290">
        <f t="shared" si="713"/>
        <v>0</v>
      </c>
      <c r="HD114" s="290">
        <f t="shared" si="714"/>
        <v>0</v>
      </c>
      <c r="HE114" s="290">
        <f t="shared" si="715"/>
        <v>0</v>
      </c>
      <c r="HF114" s="290">
        <f t="shared" si="716"/>
        <v>0</v>
      </c>
      <c r="HG114" s="290">
        <f t="shared" si="717"/>
        <v>0</v>
      </c>
      <c r="HH114" s="290">
        <f t="shared" si="718"/>
        <v>0</v>
      </c>
      <c r="HI114" s="290">
        <f t="shared" si="719"/>
        <v>0</v>
      </c>
      <c r="HJ114" s="290">
        <f t="shared" si="720"/>
        <v>0</v>
      </c>
      <c r="HK114" s="290">
        <f t="shared" si="721"/>
        <v>0</v>
      </c>
      <c r="HL114" s="290">
        <f t="shared" si="722"/>
        <v>0</v>
      </c>
      <c r="HM114" s="290">
        <f t="shared" si="723"/>
        <v>0</v>
      </c>
      <c r="HN114" s="290">
        <f t="shared" si="724"/>
        <v>0</v>
      </c>
      <c r="HO114" s="291">
        <f t="shared" si="725"/>
        <v>0</v>
      </c>
      <c r="HP114" s="291">
        <f t="shared" si="726"/>
        <v>0</v>
      </c>
      <c r="HQ114" s="291">
        <f t="shared" si="727"/>
        <v>0</v>
      </c>
      <c r="HR114" s="292">
        <f t="shared" si="728"/>
        <v>0</v>
      </c>
      <c r="HS114" s="999">
        <v>23</v>
      </c>
      <c r="HT114" s="286">
        <f t="shared" si="867"/>
        <v>44127</v>
      </c>
      <c r="HU114" s="287">
        <f t="shared" si="591"/>
        <v>44127</v>
      </c>
      <c r="HV114" s="288">
        <f>'दैनिक माहिती'!M220</f>
        <v>0</v>
      </c>
      <c r="HW114" s="289">
        <f>'दैनिक माहिती'!J220</f>
        <v>0</v>
      </c>
      <c r="HX114" s="289">
        <f>'दैनिक माहिती'!K220</f>
        <v>0</v>
      </c>
      <c r="HY114" s="289">
        <f>'दैनिक माहिती'!L220</f>
        <v>0</v>
      </c>
      <c r="HZ114" s="290">
        <f t="shared" si="729"/>
        <v>0</v>
      </c>
      <c r="IA114" s="290">
        <f t="shared" si="730"/>
        <v>0</v>
      </c>
      <c r="IB114" s="290">
        <f t="shared" si="731"/>
        <v>0</v>
      </c>
      <c r="IC114" s="290">
        <f t="shared" si="732"/>
        <v>0</v>
      </c>
      <c r="ID114" s="290">
        <f t="shared" si="733"/>
        <v>0</v>
      </c>
      <c r="IE114" s="290">
        <f t="shared" si="734"/>
        <v>0</v>
      </c>
      <c r="IF114" s="290">
        <f t="shared" si="735"/>
        <v>0</v>
      </c>
      <c r="IG114" s="290">
        <f t="shared" si="736"/>
        <v>0</v>
      </c>
      <c r="IH114" s="290">
        <f t="shared" si="737"/>
        <v>0</v>
      </c>
      <c r="II114" s="290">
        <f t="shared" si="738"/>
        <v>0</v>
      </c>
      <c r="IJ114" s="290">
        <f t="shared" si="739"/>
        <v>0</v>
      </c>
      <c r="IK114" s="290">
        <f t="shared" si="740"/>
        <v>0</v>
      </c>
      <c r="IL114" s="290">
        <f t="shared" si="741"/>
        <v>0</v>
      </c>
      <c r="IM114" s="290">
        <f t="shared" si="742"/>
        <v>0</v>
      </c>
      <c r="IN114" s="290">
        <f t="shared" si="743"/>
        <v>0</v>
      </c>
      <c r="IO114" s="290">
        <f t="shared" si="744"/>
        <v>0</v>
      </c>
      <c r="IP114" s="290">
        <f t="shared" si="745"/>
        <v>0</v>
      </c>
      <c r="IQ114" s="290">
        <f t="shared" si="746"/>
        <v>0</v>
      </c>
      <c r="IR114" s="291">
        <f t="shared" si="747"/>
        <v>0</v>
      </c>
      <c r="IS114" s="291">
        <f t="shared" si="748"/>
        <v>0</v>
      </c>
      <c r="IT114" s="291">
        <f t="shared" si="749"/>
        <v>0</v>
      </c>
      <c r="IU114" s="292">
        <f t="shared" si="750"/>
        <v>0</v>
      </c>
      <c r="IV114" s="999">
        <v>23</v>
      </c>
      <c r="IW114" s="286">
        <f t="shared" si="868"/>
        <v>44158</v>
      </c>
      <c r="IX114" s="287">
        <f t="shared" si="592"/>
        <v>44158</v>
      </c>
      <c r="IY114" s="288">
        <f>'दैनिक माहिती'!M252</f>
        <v>0</v>
      </c>
      <c r="IZ114" s="289">
        <f>'दैनिक माहिती'!J252</f>
        <v>0</v>
      </c>
      <c r="JA114" s="289">
        <f>'दैनिक माहिती'!K252</f>
        <v>0</v>
      </c>
      <c r="JB114" s="289">
        <f>'दैनिक माहिती'!L252</f>
        <v>0</v>
      </c>
      <c r="JC114" s="290">
        <f t="shared" si="751"/>
        <v>0</v>
      </c>
      <c r="JD114" s="290">
        <f t="shared" si="752"/>
        <v>0</v>
      </c>
      <c r="JE114" s="290">
        <f t="shared" si="753"/>
        <v>0</v>
      </c>
      <c r="JF114" s="290">
        <f t="shared" si="754"/>
        <v>0</v>
      </c>
      <c r="JG114" s="290">
        <f t="shared" si="755"/>
        <v>0</v>
      </c>
      <c r="JH114" s="290">
        <f t="shared" si="756"/>
        <v>0</v>
      </c>
      <c r="JI114" s="290">
        <f t="shared" si="757"/>
        <v>0</v>
      </c>
      <c r="JJ114" s="290">
        <f t="shared" si="758"/>
        <v>0</v>
      </c>
      <c r="JK114" s="290">
        <f t="shared" si="759"/>
        <v>0</v>
      </c>
      <c r="JL114" s="290">
        <f t="shared" si="760"/>
        <v>0</v>
      </c>
      <c r="JM114" s="290">
        <f t="shared" si="761"/>
        <v>0</v>
      </c>
      <c r="JN114" s="290">
        <f t="shared" si="762"/>
        <v>0</v>
      </c>
      <c r="JO114" s="290">
        <f t="shared" si="763"/>
        <v>0</v>
      </c>
      <c r="JP114" s="290">
        <f t="shared" si="764"/>
        <v>0</v>
      </c>
      <c r="JQ114" s="290">
        <f t="shared" si="765"/>
        <v>0</v>
      </c>
      <c r="JR114" s="290">
        <f t="shared" si="766"/>
        <v>0</v>
      </c>
      <c r="JS114" s="290">
        <f t="shared" si="767"/>
        <v>0</v>
      </c>
      <c r="JT114" s="290">
        <f t="shared" si="768"/>
        <v>0</v>
      </c>
      <c r="JU114" s="291">
        <f t="shared" si="769"/>
        <v>0</v>
      </c>
      <c r="JV114" s="291">
        <f t="shared" si="770"/>
        <v>0</v>
      </c>
      <c r="JW114" s="291">
        <f t="shared" si="771"/>
        <v>0</v>
      </c>
      <c r="JX114" s="292">
        <f t="shared" si="772"/>
        <v>0</v>
      </c>
      <c r="JY114" s="999">
        <v>23</v>
      </c>
      <c r="JZ114" s="286">
        <f t="shared" si="869"/>
        <v>44188</v>
      </c>
      <c r="KA114" s="287">
        <f t="shared" si="593"/>
        <v>44188</v>
      </c>
      <c r="KB114" s="288">
        <f>'दैनिक माहिती'!M283</f>
        <v>0</v>
      </c>
      <c r="KC114" s="289">
        <f>'दैनिक माहिती'!J283</f>
        <v>0</v>
      </c>
      <c r="KD114" s="289">
        <f>'दैनिक माहिती'!K283</f>
        <v>0</v>
      </c>
      <c r="KE114" s="289">
        <f>'दैनिक माहिती'!L283</f>
        <v>0</v>
      </c>
      <c r="KF114" s="290">
        <f t="shared" si="773"/>
        <v>0</v>
      </c>
      <c r="KG114" s="290">
        <f t="shared" si="774"/>
        <v>0</v>
      </c>
      <c r="KH114" s="290">
        <f t="shared" si="775"/>
        <v>0</v>
      </c>
      <c r="KI114" s="290">
        <f t="shared" si="776"/>
        <v>0</v>
      </c>
      <c r="KJ114" s="290">
        <f t="shared" si="777"/>
        <v>0</v>
      </c>
      <c r="KK114" s="290">
        <f t="shared" si="778"/>
        <v>0</v>
      </c>
      <c r="KL114" s="290">
        <f t="shared" si="779"/>
        <v>0</v>
      </c>
      <c r="KM114" s="290">
        <f t="shared" si="780"/>
        <v>0</v>
      </c>
      <c r="KN114" s="290">
        <f t="shared" si="781"/>
        <v>0</v>
      </c>
      <c r="KO114" s="290">
        <f t="shared" si="782"/>
        <v>0</v>
      </c>
      <c r="KP114" s="290">
        <f t="shared" si="783"/>
        <v>0</v>
      </c>
      <c r="KQ114" s="290">
        <f t="shared" si="784"/>
        <v>0</v>
      </c>
      <c r="KR114" s="290">
        <f t="shared" si="785"/>
        <v>0</v>
      </c>
      <c r="KS114" s="290">
        <f t="shared" si="786"/>
        <v>0</v>
      </c>
      <c r="KT114" s="290">
        <f t="shared" si="787"/>
        <v>0</v>
      </c>
      <c r="KU114" s="290">
        <f t="shared" si="788"/>
        <v>0</v>
      </c>
      <c r="KV114" s="290">
        <f t="shared" si="789"/>
        <v>0</v>
      </c>
      <c r="KW114" s="290">
        <f t="shared" si="790"/>
        <v>0</v>
      </c>
      <c r="KX114" s="291">
        <f t="shared" si="791"/>
        <v>0</v>
      </c>
      <c r="KY114" s="291">
        <f t="shared" si="792"/>
        <v>0</v>
      </c>
      <c r="KZ114" s="291">
        <f t="shared" si="793"/>
        <v>0</v>
      </c>
      <c r="LA114" s="292">
        <f t="shared" si="794"/>
        <v>0</v>
      </c>
      <c r="LB114" s="999">
        <v>23</v>
      </c>
      <c r="LC114" s="286">
        <f t="shared" si="870"/>
        <v>44219</v>
      </c>
      <c r="LD114" s="287">
        <f t="shared" si="594"/>
        <v>44219</v>
      </c>
      <c r="LE114" s="288">
        <f>'दैनिक माहिती'!M315</f>
        <v>0</v>
      </c>
      <c r="LF114" s="289">
        <f>'दैनिक माहिती'!J315</f>
        <v>0</v>
      </c>
      <c r="LG114" s="289">
        <f>'दैनिक माहिती'!K315</f>
        <v>0</v>
      </c>
      <c r="LH114" s="289">
        <f>'दैनिक माहिती'!L315</f>
        <v>0</v>
      </c>
      <c r="LI114" s="290">
        <f t="shared" si="795"/>
        <v>0</v>
      </c>
      <c r="LJ114" s="290">
        <f t="shared" si="796"/>
        <v>0</v>
      </c>
      <c r="LK114" s="290">
        <f t="shared" si="797"/>
        <v>0</v>
      </c>
      <c r="LL114" s="290">
        <f t="shared" si="798"/>
        <v>0</v>
      </c>
      <c r="LM114" s="290">
        <f t="shared" si="799"/>
        <v>0</v>
      </c>
      <c r="LN114" s="290">
        <f t="shared" si="800"/>
        <v>0</v>
      </c>
      <c r="LO114" s="290">
        <f t="shared" si="801"/>
        <v>0</v>
      </c>
      <c r="LP114" s="290">
        <f t="shared" si="802"/>
        <v>0</v>
      </c>
      <c r="LQ114" s="290">
        <f t="shared" si="803"/>
        <v>0</v>
      </c>
      <c r="LR114" s="290">
        <f t="shared" si="804"/>
        <v>0</v>
      </c>
      <c r="LS114" s="290">
        <f t="shared" si="805"/>
        <v>0</v>
      </c>
      <c r="LT114" s="290">
        <f t="shared" si="806"/>
        <v>0</v>
      </c>
      <c r="LU114" s="290">
        <f t="shared" si="807"/>
        <v>0</v>
      </c>
      <c r="LV114" s="290">
        <f t="shared" si="808"/>
        <v>0</v>
      </c>
      <c r="LW114" s="290">
        <f t="shared" si="809"/>
        <v>0</v>
      </c>
      <c r="LX114" s="290">
        <f t="shared" si="810"/>
        <v>0</v>
      </c>
      <c r="LY114" s="290">
        <f t="shared" si="811"/>
        <v>0</v>
      </c>
      <c r="LZ114" s="290">
        <f t="shared" si="812"/>
        <v>0</v>
      </c>
      <c r="MA114" s="291">
        <f t="shared" si="813"/>
        <v>0</v>
      </c>
      <c r="MB114" s="291">
        <f t="shared" si="814"/>
        <v>0</v>
      </c>
      <c r="MC114" s="291">
        <f t="shared" si="815"/>
        <v>0</v>
      </c>
      <c r="MD114" s="292">
        <f t="shared" si="816"/>
        <v>0</v>
      </c>
      <c r="ME114" s="999">
        <v>23</v>
      </c>
      <c r="MF114" s="286">
        <f t="shared" si="871"/>
        <v>44250</v>
      </c>
      <c r="MG114" s="287">
        <f t="shared" si="595"/>
        <v>44250</v>
      </c>
      <c r="MH114" s="288">
        <f>'दैनिक माहिती'!M347</f>
        <v>0</v>
      </c>
      <c r="MI114" s="289">
        <f>'दैनिक माहिती'!J347</f>
        <v>0</v>
      </c>
      <c r="MJ114" s="289">
        <f>'दैनिक माहिती'!K347</f>
        <v>0</v>
      </c>
      <c r="MK114" s="289">
        <f>'दैनिक माहिती'!L347</f>
        <v>0</v>
      </c>
      <c r="ML114" s="290">
        <f t="shared" si="817"/>
        <v>0</v>
      </c>
      <c r="MM114" s="290">
        <f t="shared" si="818"/>
        <v>0</v>
      </c>
      <c r="MN114" s="290">
        <f t="shared" si="819"/>
        <v>0</v>
      </c>
      <c r="MO114" s="290">
        <f t="shared" si="820"/>
        <v>0</v>
      </c>
      <c r="MP114" s="290">
        <f t="shared" si="821"/>
        <v>0</v>
      </c>
      <c r="MQ114" s="290">
        <f t="shared" si="822"/>
        <v>0</v>
      </c>
      <c r="MR114" s="290">
        <f t="shared" si="823"/>
        <v>0</v>
      </c>
      <c r="MS114" s="290">
        <f t="shared" si="824"/>
        <v>0</v>
      </c>
      <c r="MT114" s="290">
        <f t="shared" si="825"/>
        <v>0</v>
      </c>
      <c r="MU114" s="290">
        <f t="shared" si="826"/>
        <v>0</v>
      </c>
      <c r="MV114" s="290">
        <f t="shared" si="827"/>
        <v>0</v>
      </c>
      <c r="MW114" s="290">
        <f t="shared" si="828"/>
        <v>0</v>
      </c>
      <c r="MX114" s="290">
        <f t="shared" si="829"/>
        <v>0</v>
      </c>
      <c r="MY114" s="290">
        <f t="shared" si="830"/>
        <v>0</v>
      </c>
      <c r="MZ114" s="290">
        <f t="shared" si="831"/>
        <v>0</v>
      </c>
      <c r="NA114" s="290">
        <f t="shared" si="832"/>
        <v>0</v>
      </c>
      <c r="NB114" s="290">
        <f t="shared" si="833"/>
        <v>0</v>
      </c>
      <c r="NC114" s="290">
        <f t="shared" si="834"/>
        <v>0</v>
      </c>
      <c r="ND114" s="291">
        <f t="shared" si="835"/>
        <v>0</v>
      </c>
      <c r="NE114" s="291">
        <f t="shared" si="836"/>
        <v>0</v>
      </c>
      <c r="NF114" s="291">
        <f t="shared" si="837"/>
        <v>0</v>
      </c>
      <c r="NG114" s="292">
        <f t="shared" si="838"/>
        <v>0</v>
      </c>
      <c r="NH114" s="999">
        <v>23</v>
      </c>
      <c r="NI114" s="286">
        <f t="shared" si="872"/>
        <v>44278</v>
      </c>
      <c r="NJ114" s="287">
        <f t="shared" si="596"/>
        <v>44278</v>
      </c>
      <c r="NK114" s="288">
        <f>'दैनिक माहिती'!M377</f>
        <v>0</v>
      </c>
      <c r="NL114" s="289">
        <f>'दैनिक माहिती'!J377</f>
        <v>0</v>
      </c>
      <c r="NM114" s="289">
        <f>'दैनिक माहिती'!K377</f>
        <v>0</v>
      </c>
      <c r="NN114" s="289">
        <f>'दैनिक माहिती'!L377</f>
        <v>0</v>
      </c>
      <c r="NO114" s="290">
        <f t="shared" si="839"/>
        <v>0</v>
      </c>
      <c r="NP114" s="290">
        <f t="shared" si="840"/>
        <v>0</v>
      </c>
      <c r="NQ114" s="290">
        <f t="shared" si="841"/>
        <v>0</v>
      </c>
      <c r="NR114" s="290">
        <f t="shared" si="842"/>
        <v>0</v>
      </c>
      <c r="NS114" s="290">
        <f t="shared" si="843"/>
        <v>0</v>
      </c>
      <c r="NT114" s="290">
        <f t="shared" si="844"/>
        <v>0</v>
      </c>
      <c r="NU114" s="290">
        <f t="shared" si="845"/>
        <v>0</v>
      </c>
      <c r="NV114" s="290">
        <f t="shared" si="846"/>
        <v>0</v>
      </c>
      <c r="NW114" s="290">
        <f t="shared" si="847"/>
        <v>0</v>
      </c>
      <c r="NX114" s="290">
        <f t="shared" si="848"/>
        <v>0</v>
      </c>
      <c r="NY114" s="290">
        <f t="shared" si="849"/>
        <v>0</v>
      </c>
      <c r="NZ114" s="290">
        <f t="shared" si="850"/>
        <v>0</v>
      </c>
      <c r="OA114" s="290">
        <f t="shared" si="851"/>
        <v>0</v>
      </c>
      <c r="OB114" s="290">
        <f t="shared" si="852"/>
        <v>0</v>
      </c>
      <c r="OC114" s="290">
        <f t="shared" si="853"/>
        <v>0</v>
      </c>
      <c r="OD114" s="290">
        <f t="shared" si="854"/>
        <v>0</v>
      </c>
      <c r="OE114" s="290">
        <f t="shared" si="855"/>
        <v>0</v>
      </c>
      <c r="OF114" s="290">
        <f t="shared" si="856"/>
        <v>0</v>
      </c>
      <c r="OG114" s="291">
        <f t="shared" si="857"/>
        <v>0</v>
      </c>
      <c r="OH114" s="291">
        <f t="shared" si="858"/>
        <v>0</v>
      </c>
      <c r="OI114" s="291">
        <f t="shared" si="859"/>
        <v>0</v>
      </c>
      <c r="OJ114" s="292">
        <f t="shared" si="860"/>
        <v>0</v>
      </c>
    </row>
    <row r="115" spans="53:400" ht="29.25" customHeight="1" x14ac:dyDescent="0.3">
      <c r="BA115" s="999">
        <v>24</v>
      </c>
      <c r="BB115" s="286">
        <f t="shared" si="861"/>
        <v>43945</v>
      </c>
      <c r="BC115" s="293">
        <f t="shared" si="585"/>
        <v>43945</v>
      </c>
      <c r="BD115" s="288">
        <f>'दैनिक माहिती'!M32</f>
        <v>0</v>
      </c>
      <c r="BE115" s="289">
        <f>'दैनिक माहिती'!J32</f>
        <v>0</v>
      </c>
      <c r="BF115" s="289">
        <f>'दैनिक माहिती'!K32</f>
        <v>0</v>
      </c>
      <c r="BG115" s="289">
        <f>'दैनिक माहिती'!L32</f>
        <v>0</v>
      </c>
      <c r="BH115" s="290">
        <f t="shared" si="597"/>
        <v>0</v>
      </c>
      <c r="BI115" s="290">
        <f t="shared" si="598"/>
        <v>0</v>
      </c>
      <c r="BJ115" s="290">
        <f t="shared" si="599"/>
        <v>0</v>
      </c>
      <c r="BK115" s="290">
        <f t="shared" si="600"/>
        <v>0</v>
      </c>
      <c r="BL115" s="290">
        <f t="shared" si="601"/>
        <v>0</v>
      </c>
      <c r="BM115" s="290">
        <f t="shared" si="602"/>
        <v>0</v>
      </c>
      <c r="BN115" s="290">
        <f t="shared" si="603"/>
        <v>0</v>
      </c>
      <c r="BO115" s="290">
        <f t="shared" si="604"/>
        <v>0</v>
      </c>
      <c r="BP115" s="290">
        <f t="shared" si="605"/>
        <v>0</v>
      </c>
      <c r="BQ115" s="290">
        <f t="shared" si="606"/>
        <v>0</v>
      </c>
      <c r="BR115" s="290">
        <f t="shared" si="607"/>
        <v>0</v>
      </c>
      <c r="BS115" s="290">
        <f t="shared" si="608"/>
        <v>0</v>
      </c>
      <c r="BT115" s="290">
        <f t="shared" si="609"/>
        <v>0</v>
      </c>
      <c r="BU115" s="290">
        <f t="shared" si="610"/>
        <v>0</v>
      </c>
      <c r="BV115" s="290">
        <f t="shared" si="611"/>
        <v>0</v>
      </c>
      <c r="BW115" s="290">
        <f t="shared" si="612"/>
        <v>0</v>
      </c>
      <c r="BX115" s="290">
        <f t="shared" si="613"/>
        <v>0</v>
      </c>
      <c r="BY115" s="290">
        <f t="shared" si="614"/>
        <v>0</v>
      </c>
      <c r="BZ115" s="291">
        <f t="shared" si="615"/>
        <v>0</v>
      </c>
      <c r="CA115" s="291">
        <f t="shared" si="616"/>
        <v>0</v>
      </c>
      <c r="CB115" s="291">
        <f t="shared" si="617"/>
        <v>0</v>
      </c>
      <c r="CC115" s="292">
        <f t="shared" si="618"/>
        <v>0</v>
      </c>
      <c r="CD115" s="999">
        <v>24</v>
      </c>
      <c r="CE115" s="286">
        <f t="shared" si="862"/>
        <v>43975</v>
      </c>
      <c r="CF115" s="293">
        <f t="shared" si="586"/>
        <v>43975</v>
      </c>
      <c r="CG115" s="288">
        <f>'दैनिक माहिती'!M63</f>
        <v>0</v>
      </c>
      <c r="CH115" s="289">
        <f>'दैनिक माहिती'!J63</f>
        <v>0</v>
      </c>
      <c r="CI115" s="289">
        <f>'दैनिक माहिती'!K63</f>
        <v>0</v>
      </c>
      <c r="CJ115" s="289">
        <f>'दैनिक माहिती'!L63</f>
        <v>0</v>
      </c>
      <c r="CK115" s="290">
        <f t="shared" si="619"/>
        <v>0</v>
      </c>
      <c r="CL115" s="290">
        <f t="shared" si="620"/>
        <v>0</v>
      </c>
      <c r="CM115" s="290">
        <f t="shared" si="621"/>
        <v>0</v>
      </c>
      <c r="CN115" s="290">
        <f t="shared" si="622"/>
        <v>0</v>
      </c>
      <c r="CO115" s="290">
        <f t="shared" si="623"/>
        <v>0</v>
      </c>
      <c r="CP115" s="290">
        <f t="shared" si="624"/>
        <v>0</v>
      </c>
      <c r="CQ115" s="290">
        <f t="shared" si="625"/>
        <v>0</v>
      </c>
      <c r="CR115" s="290">
        <f t="shared" si="626"/>
        <v>0</v>
      </c>
      <c r="CS115" s="290">
        <f t="shared" si="627"/>
        <v>0</v>
      </c>
      <c r="CT115" s="290">
        <f t="shared" si="628"/>
        <v>0</v>
      </c>
      <c r="CU115" s="290">
        <f t="shared" si="629"/>
        <v>0</v>
      </c>
      <c r="CV115" s="290">
        <f t="shared" si="630"/>
        <v>0</v>
      </c>
      <c r="CW115" s="290">
        <f t="shared" si="631"/>
        <v>0</v>
      </c>
      <c r="CX115" s="290">
        <f t="shared" si="632"/>
        <v>0</v>
      </c>
      <c r="CY115" s="290">
        <f t="shared" si="633"/>
        <v>0</v>
      </c>
      <c r="CZ115" s="290">
        <f t="shared" si="634"/>
        <v>0</v>
      </c>
      <c r="DA115" s="290">
        <f t="shared" si="635"/>
        <v>0</v>
      </c>
      <c r="DB115" s="290">
        <f t="shared" si="636"/>
        <v>0</v>
      </c>
      <c r="DC115" s="291">
        <f t="shared" si="637"/>
        <v>0</v>
      </c>
      <c r="DD115" s="291">
        <f t="shared" si="638"/>
        <v>0</v>
      </c>
      <c r="DE115" s="291">
        <f t="shared" si="639"/>
        <v>0</v>
      </c>
      <c r="DF115" s="292">
        <f t="shared" si="640"/>
        <v>0</v>
      </c>
      <c r="DG115" s="999">
        <v>24</v>
      </c>
      <c r="DH115" s="286">
        <f t="shared" si="863"/>
        <v>44006</v>
      </c>
      <c r="DI115" s="293">
        <f t="shared" si="587"/>
        <v>44006</v>
      </c>
      <c r="DJ115" s="288">
        <f>'दैनिक माहिती'!M95</f>
        <v>0</v>
      </c>
      <c r="DK115" s="289">
        <f>'दैनिक माहिती'!J95</f>
        <v>0</v>
      </c>
      <c r="DL115" s="289">
        <f>'दैनिक माहिती'!K95</f>
        <v>0</v>
      </c>
      <c r="DM115" s="289">
        <f>'दैनिक माहिती'!L95</f>
        <v>0</v>
      </c>
      <c r="DN115" s="290">
        <f t="shared" si="641"/>
        <v>0</v>
      </c>
      <c r="DO115" s="290">
        <f t="shared" si="642"/>
        <v>0</v>
      </c>
      <c r="DP115" s="290">
        <f t="shared" si="643"/>
        <v>0</v>
      </c>
      <c r="DQ115" s="290">
        <f t="shared" si="644"/>
        <v>0</v>
      </c>
      <c r="DR115" s="290">
        <f t="shared" si="645"/>
        <v>0</v>
      </c>
      <c r="DS115" s="290">
        <f t="shared" si="646"/>
        <v>0</v>
      </c>
      <c r="DT115" s="290">
        <f t="shared" si="647"/>
        <v>0</v>
      </c>
      <c r="DU115" s="290">
        <f t="shared" si="648"/>
        <v>0</v>
      </c>
      <c r="DV115" s="290">
        <f t="shared" si="649"/>
        <v>0</v>
      </c>
      <c r="DW115" s="290">
        <f t="shared" si="650"/>
        <v>0</v>
      </c>
      <c r="DX115" s="290">
        <f t="shared" si="651"/>
        <v>0</v>
      </c>
      <c r="DY115" s="290">
        <f t="shared" si="652"/>
        <v>0</v>
      </c>
      <c r="DZ115" s="290">
        <f t="shared" si="653"/>
        <v>0</v>
      </c>
      <c r="EA115" s="290">
        <f t="shared" si="654"/>
        <v>0</v>
      </c>
      <c r="EB115" s="290">
        <f t="shared" si="655"/>
        <v>0</v>
      </c>
      <c r="EC115" s="290">
        <f t="shared" si="656"/>
        <v>0</v>
      </c>
      <c r="ED115" s="290">
        <f t="shared" si="657"/>
        <v>0</v>
      </c>
      <c r="EE115" s="290">
        <f t="shared" si="658"/>
        <v>0</v>
      </c>
      <c r="EF115" s="291">
        <f t="shared" si="659"/>
        <v>0</v>
      </c>
      <c r="EG115" s="291">
        <f t="shared" si="660"/>
        <v>0</v>
      </c>
      <c r="EH115" s="291">
        <f t="shared" si="661"/>
        <v>0</v>
      </c>
      <c r="EI115" s="292">
        <f t="shared" si="662"/>
        <v>0</v>
      </c>
      <c r="EJ115" s="999">
        <v>24</v>
      </c>
      <c r="EK115" s="286">
        <f t="shared" si="864"/>
        <v>44036</v>
      </c>
      <c r="EL115" s="293">
        <f t="shared" si="588"/>
        <v>44036</v>
      </c>
      <c r="EM115" s="288">
        <f>'दैनिक माहिती'!M126</f>
        <v>0</v>
      </c>
      <c r="EN115" s="289">
        <f>'दैनिक माहिती'!J126</f>
        <v>0</v>
      </c>
      <c r="EO115" s="289">
        <f>'दैनिक माहिती'!K126</f>
        <v>0</v>
      </c>
      <c r="EP115" s="289">
        <f>'दैनिक माहिती'!L126</f>
        <v>0</v>
      </c>
      <c r="EQ115" s="290">
        <f t="shared" si="663"/>
        <v>0</v>
      </c>
      <c r="ER115" s="290">
        <f t="shared" si="664"/>
        <v>0</v>
      </c>
      <c r="ES115" s="290">
        <f t="shared" si="665"/>
        <v>0</v>
      </c>
      <c r="ET115" s="290">
        <f t="shared" si="666"/>
        <v>0</v>
      </c>
      <c r="EU115" s="290">
        <f t="shared" si="667"/>
        <v>0</v>
      </c>
      <c r="EV115" s="290">
        <f t="shared" si="668"/>
        <v>0</v>
      </c>
      <c r="EW115" s="290">
        <f t="shared" si="669"/>
        <v>0</v>
      </c>
      <c r="EX115" s="290">
        <f t="shared" si="670"/>
        <v>0</v>
      </c>
      <c r="EY115" s="290">
        <f t="shared" si="671"/>
        <v>0</v>
      </c>
      <c r="EZ115" s="290">
        <f t="shared" si="672"/>
        <v>0</v>
      </c>
      <c r="FA115" s="290">
        <f t="shared" si="673"/>
        <v>0</v>
      </c>
      <c r="FB115" s="290">
        <f t="shared" si="674"/>
        <v>0</v>
      </c>
      <c r="FC115" s="290">
        <f t="shared" si="675"/>
        <v>0</v>
      </c>
      <c r="FD115" s="290">
        <f t="shared" si="676"/>
        <v>0</v>
      </c>
      <c r="FE115" s="290">
        <f t="shared" si="677"/>
        <v>0</v>
      </c>
      <c r="FF115" s="290">
        <f t="shared" si="678"/>
        <v>0</v>
      </c>
      <c r="FG115" s="290">
        <f t="shared" si="679"/>
        <v>0</v>
      </c>
      <c r="FH115" s="290">
        <f t="shared" si="680"/>
        <v>0</v>
      </c>
      <c r="FI115" s="291">
        <f t="shared" si="681"/>
        <v>0</v>
      </c>
      <c r="FJ115" s="291">
        <f t="shared" si="682"/>
        <v>0</v>
      </c>
      <c r="FK115" s="291">
        <f t="shared" si="683"/>
        <v>0</v>
      </c>
      <c r="FL115" s="292">
        <f t="shared" si="684"/>
        <v>0</v>
      </c>
      <c r="FM115" s="999">
        <v>24</v>
      </c>
      <c r="FN115" s="286">
        <f t="shared" si="865"/>
        <v>44067</v>
      </c>
      <c r="FO115" s="293">
        <f t="shared" si="589"/>
        <v>44067</v>
      </c>
      <c r="FP115" s="288">
        <f>'दैनिक माहिती'!M158</f>
        <v>0</v>
      </c>
      <c r="FQ115" s="289">
        <f>'दैनिक माहिती'!J158</f>
        <v>0</v>
      </c>
      <c r="FR115" s="289">
        <f>'दैनिक माहिती'!K158</f>
        <v>0</v>
      </c>
      <c r="FS115" s="289">
        <f>'दैनिक माहिती'!L158</f>
        <v>0</v>
      </c>
      <c r="FT115" s="290">
        <f t="shared" si="685"/>
        <v>0</v>
      </c>
      <c r="FU115" s="290">
        <f t="shared" si="686"/>
        <v>0</v>
      </c>
      <c r="FV115" s="290">
        <f t="shared" si="687"/>
        <v>0</v>
      </c>
      <c r="FW115" s="290">
        <f t="shared" si="688"/>
        <v>0</v>
      </c>
      <c r="FX115" s="290">
        <f t="shared" si="689"/>
        <v>0</v>
      </c>
      <c r="FY115" s="290">
        <f t="shared" si="690"/>
        <v>0</v>
      </c>
      <c r="FZ115" s="290">
        <f t="shared" si="691"/>
        <v>0</v>
      </c>
      <c r="GA115" s="290">
        <f t="shared" si="692"/>
        <v>0</v>
      </c>
      <c r="GB115" s="290">
        <f t="shared" si="693"/>
        <v>0</v>
      </c>
      <c r="GC115" s="290">
        <f t="shared" si="694"/>
        <v>0</v>
      </c>
      <c r="GD115" s="290">
        <f t="shared" si="695"/>
        <v>0</v>
      </c>
      <c r="GE115" s="290">
        <f t="shared" si="696"/>
        <v>0</v>
      </c>
      <c r="GF115" s="290">
        <f t="shared" si="697"/>
        <v>0</v>
      </c>
      <c r="GG115" s="290">
        <f t="shared" si="698"/>
        <v>0</v>
      </c>
      <c r="GH115" s="290">
        <f t="shared" si="699"/>
        <v>0</v>
      </c>
      <c r="GI115" s="290">
        <f t="shared" si="700"/>
        <v>0</v>
      </c>
      <c r="GJ115" s="290">
        <f t="shared" si="701"/>
        <v>0</v>
      </c>
      <c r="GK115" s="290">
        <f t="shared" si="702"/>
        <v>0</v>
      </c>
      <c r="GL115" s="291">
        <f t="shared" si="703"/>
        <v>0</v>
      </c>
      <c r="GM115" s="291">
        <f t="shared" si="704"/>
        <v>0</v>
      </c>
      <c r="GN115" s="291">
        <f t="shared" si="705"/>
        <v>0</v>
      </c>
      <c r="GO115" s="292">
        <f t="shared" si="706"/>
        <v>0</v>
      </c>
      <c r="GP115" s="999">
        <v>24</v>
      </c>
      <c r="GQ115" s="286">
        <f t="shared" si="866"/>
        <v>44098</v>
      </c>
      <c r="GR115" s="293">
        <f t="shared" si="590"/>
        <v>44098</v>
      </c>
      <c r="GS115" s="288">
        <f>'दैनिक माहिती'!M190</f>
        <v>0</v>
      </c>
      <c r="GT115" s="289">
        <f>'दैनिक माहिती'!J190</f>
        <v>0</v>
      </c>
      <c r="GU115" s="289">
        <f>'दैनिक माहिती'!K190</f>
        <v>0</v>
      </c>
      <c r="GV115" s="289">
        <f>'दैनिक माहिती'!L190</f>
        <v>0</v>
      </c>
      <c r="GW115" s="290">
        <f t="shared" si="707"/>
        <v>0</v>
      </c>
      <c r="GX115" s="290">
        <f t="shared" si="708"/>
        <v>0</v>
      </c>
      <c r="GY115" s="290">
        <f t="shared" si="709"/>
        <v>0</v>
      </c>
      <c r="GZ115" s="290">
        <f t="shared" si="710"/>
        <v>0</v>
      </c>
      <c r="HA115" s="290">
        <f t="shared" si="711"/>
        <v>0</v>
      </c>
      <c r="HB115" s="290">
        <f t="shared" si="712"/>
        <v>0</v>
      </c>
      <c r="HC115" s="290">
        <f t="shared" si="713"/>
        <v>0</v>
      </c>
      <c r="HD115" s="290">
        <f t="shared" si="714"/>
        <v>0</v>
      </c>
      <c r="HE115" s="290">
        <f t="shared" si="715"/>
        <v>0</v>
      </c>
      <c r="HF115" s="290">
        <f t="shared" si="716"/>
        <v>0</v>
      </c>
      <c r="HG115" s="290">
        <f t="shared" si="717"/>
        <v>0</v>
      </c>
      <c r="HH115" s="290">
        <f t="shared" si="718"/>
        <v>0</v>
      </c>
      <c r="HI115" s="290">
        <f t="shared" si="719"/>
        <v>0</v>
      </c>
      <c r="HJ115" s="290">
        <f t="shared" si="720"/>
        <v>0</v>
      </c>
      <c r="HK115" s="290">
        <f t="shared" si="721"/>
        <v>0</v>
      </c>
      <c r="HL115" s="290">
        <f t="shared" si="722"/>
        <v>0</v>
      </c>
      <c r="HM115" s="290">
        <f t="shared" si="723"/>
        <v>0</v>
      </c>
      <c r="HN115" s="290">
        <f t="shared" si="724"/>
        <v>0</v>
      </c>
      <c r="HO115" s="291">
        <f t="shared" si="725"/>
        <v>0</v>
      </c>
      <c r="HP115" s="291">
        <f t="shared" si="726"/>
        <v>0</v>
      </c>
      <c r="HQ115" s="291">
        <f t="shared" si="727"/>
        <v>0</v>
      </c>
      <c r="HR115" s="292">
        <f t="shared" si="728"/>
        <v>0</v>
      </c>
      <c r="HS115" s="999">
        <v>24</v>
      </c>
      <c r="HT115" s="286">
        <f t="shared" si="867"/>
        <v>44128</v>
      </c>
      <c r="HU115" s="293">
        <f t="shared" si="591"/>
        <v>44128</v>
      </c>
      <c r="HV115" s="288">
        <f>'दैनिक माहिती'!M221</f>
        <v>0</v>
      </c>
      <c r="HW115" s="289">
        <f>'दैनिक माहिती'!J221</f>
        <v>0</v>
      </c>
      <c r="HX115" s="289">
        <f>'दैनिक माहिती'!K221</f>
        <v>0</v>
      </c>
      <c r="HY115" s="289">
        <f>'दैनिक माहिती'!L221</f>
        <v>0</v>
      </c>
      <c r="HZ115" s="290">
        <f t="shared" si="729"/>
        <v>0</v>
      </c>
      <c r="IA115" s="290">
        <f t="shared" si="730"/>
        <v>0</v>
      </c>
      <c r="IB115" s="290">
        <f t="shared" si="731"/>
        <v>0</v>
      </c>
      <c r="IC115" s="290">
        <f t="shared" si="732"/>
        <v>0</v>
      </c>
      <c r="ID115" s="290">
        <f t="shared" si="733"/>
        <v>0</v>
      </c>
      <c r="IE115" s="290">
        <f t="shared" si="734"/>
        <v>0</v>
      </c>
      <c r="IF115" s="290">
        <f t="shared" si="735"/>
        <v>0</v>
      </c>
      <c r="IG115" s="290">
        <f t="shared" si="736"/>
        <v>0</v>
      </c>
      <c r="IH115" s="290">
        <f t="shared" si="737"/>
        <v>0</v>
      </c>
      <c r="II115" s="290">
        <f t="shared" si="738"/>
        <v>0</v>
      </c>
      <c r="IJ115" s="290">
        <f t="shared" si="739"/>
        <v>0</v>
      </c>
      <c r="IK115" s="290">
        <f t="shared" si="740"/>
        <v>0</v>
      </c>
      <c r="IL115" s="290">
        <f t="shared" si="741"/>
        <v>0</v>
      </c>
      <c r="IM115" s="290">
        <f t="shared" si="742"/>
        <v>0</v>
      </c>
      <c r="IN115" s="290">
        <f t="shared" si="743"/>
        <v>0</v>
      </c>
      <c r="IO115" s="290">
        <f t="shared" si="744"/>
        <v>0</v>
      </c>
      <c r="IP115" s="290">
        <f t="shared" si="745"/>
        <v>0</v>
      </c>
      <c r="IQ115" s="290">
        <f t="shared" si="746"/>
        <v>0</v>
      </c>
      <c r="IR115" s="291">
        <f t="shared" si="747"/>
        <v>0</v>
      </c>
      <c r="IS115" s="291">
        <f t="shared" si="748"/>
        <v>0</v>
      </c>
      <c r="IT115" s="291">
        <f t="shared" si="749"/>
        <v>0</v>
      </c>
      <c r="IU115" s="292">
        <f t="shared" si="750"/>
        <v>0</v>
      </c>
      <c r="IV115" s="999">
        <v>24</v>
      </c>
      <c r="IW115" s="286">
        <f t="shared" si="868"/>
        <v>44159</v>
      </c>
      <c r="IX115" s="293">
        <f t="shared" si="592"/>
        <v>44159</v>
      </c>
      <c r="IY115" s="288">
        <f>'दैनिक माहिती'!M253</f>
        <v>0</v>
      </c>
      <c r="IZ115" s="289">
        <f>'दैनिक माहिती'!J253</f>
        <v>0</v>
      </c>
      <c r="JA115" s="289">
        <f>'दैनिक माहिती'!K253</f>
        <v>0</v>
      </c>
      <c r="JB115" s="289">
        <f>'दैनिक माहिती'!L253</f>
        <v>0</v>
      </c>
      <c r="JC115" s="290">
        <f t="shared" si="751"/>
        <v>0</v>
      </c>
      <c r="JD115" s="290">
        <f t="shared" si="752"/>
        <v>0</v>
      </c>
      <c r="JE115" s="290">
        <f t="shared" si="753"/>
        <v>0</v>
      </c>
      <c r="JF115" s="290">
        <f t="shared" si="754"/>
        <v>0</v>
      </c>
      <c r="JG115" s="290">
        <f t="shared" si="755"/>
        <v>0</v>
      </c>
      <c r="JH115" s="290">
        <f t="shared" si="756"/>
        <v>0</v>
      </c>
      <c r="JI115" s="290">
        <f t="shared" si="757"/>
        <v>0</v>
      </c>
      <c r="JJ115" s="290">
        <f t="shared" si="758"/>
        <v>0</v>
      </c>
      <c r="JK115" s="290">
        <f t="shared" si="759"/>
        <v>0</v>
      </c>
      <c r="JL115" s="290">
        <f t="shared" si="760"/>
        <v>0</v>
      </c>
      <c r="JM115" s="290">
        <f t="shared" si="761"/>
        <v>0</v>
      </c>
      <c r="JN115" s="290">
        <f t="shared" si="762"/>
        <v>0</v>
      </c>
      <c r="JO115" s="290">
        <f t="shared" si="763"/>
        <v>0</v>
      </c>
      <c r="JP115" s="290">
        <f t="shared" si="764"/>
        <v>0</v>
      </c>
      <c r="JQ115" s="290">
        <f t="shared" si="765"/>
        <v>0</v>
      </c>
      <c r="JR115" s="290">
        <f t="shared" si="766"/>
        <v>0</v>
      </c>
      <c r="JS115" s="290">
        <f t="shared" si="767"/>
        <v>0</v>
      </c>
      <c r="JT115" s="290">
        <f t="shared" si="768"/>
        <v>0</v>
      </c>
      <c r="JU115" s="291">
        <f t="shared" si="769"/>
        <v>0</v>
      </c>
      <c r="JV115" s="291">
        <f t="shared" si="770"/>
        <v>0</v>
      </c>
      <c r="JW115" s="291">
        <f t="shared" si="771"/>
        <v>0</v>
      </c>
      <c r="JX115" s="292">
        <f t="shared" si="772"/>
        <v>0</v>
      </c>
      <c r="JY115" s="999">
        <v>24</v>
      </c>
      <c r="JZ115" s="286">
        <f t="shared" si="869"/>
        <v>44189</v>
      </c>
      <c r="KA115" s="293">
        <f t="shared" si="593"/>
        <v>44189</v>
      </c>
      <c r="KB115" s="288">
        <f>'दैनिक माहिती'!M284</f>
        <v>0</v>
      </c>
      <c r="KC115" s="289">
        <f>'दैनिक माहिती'!J284</f>
        <v>0</v>
      </c>
      <c r="KD115" s="289">
        <f>'दैनिक माहिती'!K284</f>
        <v>0</v>
      </c>
      <c r="KE115" s="289">
        <f>'दैनिक माहिती'!L284</f>
        <v>0</v>
      </c>
      <c r="KF115" s="290">
        <f t="shared" si="773"/>
        <v>0</v>
      </c>
      <c r="KG115" s="290">
        <f t="shared" si="774"/>
        <v>0</v>
      </c>
      <c r="KH115" s="290">
        <f t="shared" si="775"/>
        <v>0</v>
      </c>
      <c r="KI115" s="290">
        <f t="shared" si="776"/>
        <v>0</v>
      </c>
      <c r="KJ115" s="290">
        <f t="shared" si="777"/>
        <v>0</v>
      </c>
      <c r="KK115" s="290">
        <f t="shared" si="778"/>
        <v>0</v>
      </c>
      <c r="KL115" s="290">
        <f t="shared" si="779"/>
        <v>0</v>
      </c>
      <c r="KM115" s="290">
        <f t="shared" si="780"/>
        <v>0</v>
      </c>
      <c r="KN115" s="290">
        <f t="shared" si="781"/>
        <v>0</v>
      </c>
      <c r="KO115" s="290">
        <f t="shared" si="782"/>
        <v>0</v>
      </c>
      <c r="KP115" s="290">
        <f t="shared" si="783"/>
        <v>0</v>
      </c>
      <c r="KQ115" s="290">
        <f t="shared" si="784"/>
        <v>0</v>
      </c>
      <c r="KR115" s="290">
        <f t="shared" si="785"/>
        <v>0</v>
      </c>
      <c r="KS115" s="290">
        <f t="shared" si="786"/>
        <v>0</v>
      </c>
      <c r="KT115" s="290">
        <f t="shared" si="787"/>
        <v>0</v>
      </c>
      <c r="KU115" s="290">
        <f t="shared" si="788"/>
        <v>0</v>
      </c>
      <c r="KV115" s="290">
        <f t="shared" si="789"/>
        <v>0</v>
      </c>
      <c r="KW115" s="290">
        <f t="shared" si="790"/>
        <v>0</v>
      </c>
      <c r="KX115" s="291">
        <f t="shared" si="791"/>
        <v>0</v>
      </c>
      <c r="KY115" s="291">
        <f t="shared" si="792"/>
        <v>0</v>
      </c>
      <c r="KZ115" s="291">
        <f t="shared" si="793"/>
        <v>0</v>
      </c>
      <c r="LA115" s="292">
        <f t="shared" si="794"/>
        <v>0</v>
      </c>
      <c r="LB115" s="999">
        <v>24</v>
      </c>
      <c r="LC115" s="286">
        <f t="shared" si="870"/>
        <v>44220</v>
      </c>
      <c r="LD115" s="293">
        <f t="shared" si="594"/>
        <v>44220</v>
      </c>
      <c r="LE115" s="288">
        <f>'दैनिक माहिती'!M316</f>
        <v>0</v>
      </c>
      <c r="LF115" s="289">
        <f>'दैनिक माहिती'!J316</f>
        <v>0</v>
      </c>
      <c r="LG115" s="289">
        <f>'दैनिक माहिती'!K316</f>
        <v>0</v>
      </c>
      <c r="LH115" s="289">
        <f>'दैनिक माहिती'!L316</f>
        <v>0</v>
      </c>
      <c r="LI115" s="290">
        <f t="shared" si="795"/>
        <v>0</v>
      </c>
      <c r="LJ115" s="290">
        <f t="shared" si="796"/>
        <v>0</v>
      </c>
      <c r="LK115" s="290">
        <f t="shared" si="797"/>
        <v>0</v>
      </c>
      <c r="LL115" s="290">
        <f t="shared" si="798"/>
        <v>0</v>
      </c>
      <c r="LM115" s="290">
        <f t="shared" si="799"/>
        <v>0</v>
      </c>
      <c r="LN115" s="290">
        <f t="shared" si="800"/>
        <v>0</v>
      </c>
      <c r="LO115" s="290">
        <f t="shared" si="801"/>
        <v>0</v>
      </c>
      <c r="LP115" s="290">
        <f t="shared" si="802"/>
        <v>0</v>
      </c>
      <c r="LQ115" s="290">
        <f t="shared" si="803"/>
        <v>0</v>
      </c>
      <c r="LR115" s="290">
        <f t="shared" si="804"/>
        <v>0</v>
      </c>
      <c r="LS115" s="290">
        <f t="shared" si="805"/>
        <v>0</v>
      </c>
      <c r="LT115" s="290">
        <f t="shared" si="806"/>
        <v>0</v>
      </c>
      <c r="LU115" s="290">
        <f t="shared" si="807"/>
        <v>0</v>
      </c>
      <c r="LV115" s="290">
        <f t="shared" si="808"/>
        <v>0</v>
      </c>
      <c r="LW115" s="290">
        <f t="shared" si="809"/>
        <v>0</v>
      </c>
      <c r="LX115" s="290">
        <f t="shared" si="810"/>
        <v>0</v>
      </c>
      <c r="LY115" s="290">
        <f t="shared" si="811"/>
        <v>0</v>
      </c>
      <c r="LZ115" s="290">
        <f t="shared" si="812"/>
        <v>0</v>
      </c>
      <c r="MA115" s="291">
        <f t="shared" si="813"/>
        <v>0</v>
      </c>
      <c r="MB115" s="291">
        <f t="shared" si="814"/>
        <v>0</v>
      </c>
      <c r="MC115" s="291">
        <f t="shared" si="815"/>
        <v>0</v>
      </c>
      <c r="MD115" s="292">
        <f t="shared" si="816"/>
        <v>0</v>
      </c>
      <c r="ME115" s="999">
        <v>24</v>
      </c>
      <c r="MF115" s="286">
        <f t="shared" si="871"/>
        <v>44251</v>
      </c>
      <c r="MG115" s="293">
        <f t="shared" si="595"/>
        <v>44251</v>
      </c>
      <c r="MH115" s="288">
        <f>'दैनिक माहिती'!M348</f>
        <v>0</v>
      </c>
      <c r="MI115" s="289">
        <f>'दैनिक माहिती'!J348</f>
        <v>0</v>
      </c>
      <c r="MJ115" s="289">
        <f>'दैनिक माहिती'!K348</f>
        <v>0</v>
      </c>
      <c r="MK115" s="289">
        <f>'दैनिक माहिती'!L348</f>
        <v>0</v>
      </c>
      <c r="ML115" s="290">
        <f t="shared" si="817"/>
        <v>0</v>
      </c>
      <c r="MM115" s="290">
        <f t="shared" si="818"/>
        <v>0</v>
      </c>
      <c r="MN115" s="290">
        <f t="shared" si="819"/>
        <v>0</v>
      </c>
      <c r="MO115" s="290">
        <f t="shared" si="820"/>
        <v>0</v>
      </c>
      <c r="MP115" s="290">
        <f t="shared" si="821"/>
        <v>0</v>
      </c>
      <c r="MQ115" s="290">
        <f t="shared" si="822"/>
        <v>0</v>
      </c>
      <c r="MR115" s="290">
        <f t="shared" si="823"/>
        <v>0</v>
      </c>
      <c r="MS115" s="290">
        <f t="shared" si="824"/>
        <v>0</v>
      </c>
      <c r="MT115" s="290">
        <f t="shared" si="825"/>
        <v>0</v>
      </c>
      <c r="MU115" s="290">
        <f t="shared" si="826"/>
        <v>0</v>
      </c>
      <c r="MV115" s="290">
        <f t="shared" si="827"/>
        <v>0</v>
      </c>
      <c r="MW115" s="290">
        <f t="shared" si="828"/>
        <v>0</v>
      </c>
      <c r="MX115" s="290">
        <f t="shared" si="829"/>
        <v>0</v>
      </c>
      <c r="MY115" s="290">
        <f t="shared" si="830"/>
        <v>0</v>
      </c>
      <c r="MZ115" s="290">
        <f t="shared" si="831"/>
        <v>0</v>
      </c>
      <c r="NA115" s="290">
        <f t="shared" si="832"/>
        <v>0</v>
      </c>
      <c r="NB115" s="290">
        <f t="shared" si="833"/>
        <v>0</v>
      </c>
      <c r="NC115" s="290">
        <f t="shared" si="834"/>
        <v>0</v>
      </c>
      <c r="ND115" s="291">
        <f t="shared" si="835"/>
        <v>0</v>
      </c>
      <c r="NE115" s="291">
        <f t="shared" si="836"/>
        <v>0</v>
      </c>
      <c r="NF115" s="291">
        <f t="shared" si="837"/>
        <v>0</v>
      </c>
      <c r="NG115" s="292">
        <f t="shared" si="838"/>
        <v>0</v>
      </c>
      <c r="NH115" s="999">
        <v>24</v>
      </c>
      <c r="NI115" s="286">
        <f t="shared" si="872"/>
        <v>44279</v>
      </c>
      <c r="NJ115" s="293">
        <f t="shared" si="596"/>
        <v>44279</v>
      </c>
      <c r="NK115" s="288">
        <f>'दैनिक माहिती'!M378</f>
        <v>0</v>
      </c>
      <c r="NL115" s="289">
        <f>'दैनिक माहिती'!J378</f>
        <v>0</v>
      </c>
      <c r="NM115" s="289">
        <f>'दैनिक माहिती'!K378</f>
        <v>0</v>
      </c>
      <c r="NN115" s="289">
        <f>'दैनिक माहिती'!L378</f>
        <v>0</v>
      </c>
      <c r="NO115" s="290">
        <f t="shared" si="839"/>
        <v>0</v>
      </c>
      <c r="NP115" s="290">
        <f t="shared" si="840"/>
        <v>0</v>
      </c>
      <c r="NQ115" s="290">
        <f t="shared" si="841"/>
        <v>0</v>
      </c>
      <c r="NR115" s="290">
        <f t="shared" si="842"/>
        <v>0</v>
      </c>
      <c r="NS115" s="290">
        <f t="shared" si="843"/>
        <v>0</v>
      </c>
      <c r="NT115" s="290">
        <f t="shared" si="844"/>
        <v>0</v>
      </c>
      <c r="NU115" s="290">
        <f t="shared" si="845"/>
        <v>0</v>
      </c>
      <c r="NV115" s="290">
        <f t="shared" si="846"/>
        <v>0</v>
      </c>
      <c r="NW115" s="290">
        <f t="shared" si="847"/>
        <v>0</v>
      </c>
      <c r="NX115" s="290">
        <f t="shared" si="848"/>
        <v>0</v>
      </c>
      <c r="NY115" s="290">
        <f t="shared" si="849"/>
        <v>0</v>
      </c>
      <c r="NZ115" s="290">
        <f t="shared" si="850"/>
        <v>0</v>
      </c>
      <c r="OA115" s="290">
        <f t="shared" si="851"/>
        <v>0</v>
      </c>
      <c r="OB115" s="290">
        <f t="shared" si="852"/>
        <v>0</v>
      </c>
      <c r="OC115" s="290">
        <f t="shared" si="853"/>
        <v>0</v>
      </c>
      <c r="OD115" s="290">
        <f t="shared" si="854"/>
        <v>0</v>
      </c>
      <c r="OE115" s="290">
        <f t="shared" si="855"/>
        <v>0</v>
      </c>
      <c r="OF115" s="290">
        <f t="shared" si="856"/>
        <v>0</v>
      </c>
      <c r="OG115" s="291">
        <f t="shared" si="857"/>
        <v>0</v>
      </c>
      <c r="OH115" s="291">
        <f t="shared" si="858"/>
        <v>0</v>
      </c>
      <c r="OI115" s="291">
        <f t="shared" si="859"/>
        <v>0</v>
      </c>
      <c r="OJ115" s="292">
        <f t="shared" si="860"/>
        <v>0</v>
      </c>
    </row>
    <row r="116" spans="53:400" ht="29.25" customHeight="1" x14ac:dyDescent="0.3">
      <c r="BA116" s="999">
        <v>25</v>
      </c>
      <c r="BB116" s="286">
        <f t="shared" si="861"/>
        <v>43946</v>
      </c>
      <c r="BC116" s="287">
        <f t="shared" si="585"/>
        <v>43946</v>
      </c>
      <c r="BD116" s="288">
        <f>'दैनिक माहिती'!M33</f>
        <v>0</v>
      </c>
      <c r="BE116" s="289">
        <f>'दैनिक माहिती'!J33</f>
        <v>0</v>
      </c>
      <c r="BF116" s="289">
        <f>'दैनिक माहिती'!K33</f>
        <v>0</v>
      </c>
      <c r="BG116" s="289">
        <f>'दैनिक माहिती'!L33</f>
        <v>0</v>
      </c>
      <c r="BH116" s="290">
        <f t="shared" si="597"/>
        <v>0</v>
      </c>
      <c r="BI116" s="290">
        <f t="shared" si="598"/>
        <v>0</v>
      </c>
      <c r="BJ116" s="290">
        <f t="shared" si="599"/>
        <v>0</v>
      </c>
      <c r="BK116" s="290">
        <f t="shared" si="600"/>
        <v>0</v>
      </c>
      <c r="BL116" s="290">
        <f t="shared" si="601"/>
        <v>0</v>
      </c>
      <c r="BM116" s="290">
        <f t="shared" si="602"/>
        <v>0</v>
      </c>
      <c r="BN116" s="290">
        <f t="shared" si="603"/>
        <v>0</v>
      </c>
      <c r="BO116" s="290">
        <f t="shared" si="604"/>
        <v>0</v>
      </c>
      <c r="BP116" s="290">
        <f t="shared" si="605"/>
        <v>0</v>
      </c>
      <c r="BQ116" s="290">
        <f t="shared" si="606"/>
        <v>0</v>
      </c>
      <c r="BR116" s="290">
        <f t="shared" si="607"/>
        <v>0</v>
      </c>
      <c r="BS116" s="290">
        <f t="shared" si="608"/>
        <v>0</v>
      </c>
      <c r="BT116" s="290">
        <f t="shared" si="609"/>
        <v>0</v>
      </c>
      <c r="BU116" s="290">
        <f t="shared" si="610"/>
        <v>0</v>
      </c>
      <c r="BV116" s="290">
        <f t="shared" si="611"/>
        <v>0</v>
      </c>
      <c r="BW116" s="290">
        <f t="shared" si="612"/>
        <v>0</v>
      </c>
      <c r="BX116" s="290">
        <f t="shared" si="613"/>
        <v>0</v>
      </c>
      <c r="BY116" s="290">
        <f t="shared" si="614"/>
        <v>0</v>
      </c>
      <c r="BZ116" s="291">
        <f t="shared" si="615"/>
        <v>0</v>
      </c>
      <c r="CA116" s="291">
        <f t="shared" si="616"/>
        <v>0</v>
      </c>
      <c r="CB116" s="291">
        <f t="shared" si="617"/>
        <v>0</v>
      </c>
      <c r="CC116" s="292">
        <f t="shared" si="618"/>
        <v>0</v>
      </c>
      <c r="CD116" s="999">
        <v>25</v>
      </c>
      <c r="CE116" s="286">
        <f t="shared" si="862"/>
        <v>43976</v>
      </c>
      <c r="CF116" s="287">
        <f t="shared" si="586"/>
        <v>43976</v>
      </c>
      <c r="CG116" s="288">
        <f>'दैनिक माहिती'!M64</f>
        <v>0</v>
      </c>
      <c r="CH116" s="289">
        <f>'दैनिक माहिती'!J64</f>
        <v>0</v>
      </c>
      <c r="CI116" s="289">
        <f>'दैनिक माहिती'!K64</f>
        <v>0</v>
      </c>
      <c r="CJ116" s="289">
        <f>'दैनिक माहिती'!L64</f>
        <v>0</v>
      </c>
      <c r="CK116" s="290">
        <f t="shared" si="619"/>
        <v>0</v>
      </c>
      <c r="CL116" s="290">
        <f t="shared" si="620"/>
        <v>0</v>
      </c>
      <c r="CM116" s="290">
        <f t="shared" si="621"/>
        <v>0</v>
      </c>
      <c r="CN116" s="290">
        <f t="shared" si="622"/>
        <v>0</v>
      </c>
      <c r="CO116" s="290">
        <f t="shared" si="623"/>
        <v>0</v>
      </c>
      <c r="CP116" s="290">
        <f t="shared" si="624"/>
        <v>0</v>
      </c>
      <c r="CQ116" s="290">
        <f t="shared" si="625"/>
        <v>0</v>
      </c>
      <c r="CR116" s="290">
        <f t="shared" si="626"/>
        <v>0</v>
      </c>
      <c r="CS116" s="290">
        <f t="shared" si="627"/>
        <v>0</v>
      </c>
      <c r="CT116" s="290">
        <f t="shared" si="628"/>
        <v>0</v>
      </c>
      <c r="CU116" s="290">
        <f t="shared" si="629"/>
        <v>0</v>
      </c>
      <c r="CV116" s="290">
        <f t="shared" si="630"/>
        <v>0</v>
      </c>
      <c r="CW116" s="290">
        <f t="shared" si="631"/>
        <v>0</v>
      </c>
      <c r="CX116" s="290">
        <f t="shared" si="632"/>
        <v>0</v>
      </c>
      <c r="CY116" s="290">
        <f t="shared" si="633"/>
        <v>0</v>
      </c>
      <c r="CZ116" s="290">
        <f t="shared" si="634"/>
        <v>0</v>
      </c>
      <c r="DA116" s="290">
        <f t="shared" si="635"/>
        <v>0</v>
      </c>
      <c r="DB116" s="290">
        <f t="shared" si="636"/>
        <v>0</v>
      </c>
      <c r="DC116" s="291">
        <f t="shared" si="637"/>
        <v>0</v>
      </c>
      <c r="DD116" s="291">
        <f t="shared" si="638"/>
        <v>0</v>
      </c>
      <c r="DE116" s="291">
        <f t="shared" si="639"/>
        <v>0</v>
      </c>
      <c r="DF116" s="292">
        <f t="shared" si="640"/>
        <v>0</v>
      </c>
      <c r="DG116" s="999">
        <v>25</v>
      </c>
      <c r="DH116" s="286">
        <f t="shared" si="863"/>
        <v>44007</v>
      </c>
      <c r="DI116" s="287">
        <f t="shared" si="587"/>
        <v>44007</v>
      </c>
      <c r="DJ116" s="288">
        <f>'दैनिक माहिती'!M96</f>
        <v>0</v>
      </c>
      <c r="DK116" s="289">
        <f>'दैनिक माहिती'!J96</f>
        <v>0</v>
      </c>
      <c r="DL116" s="289">
        <f>'दैनिक माहिती'!K96</f>
        <v>0</v>
      </c>
      <c r="DM116" s="289">
        <f>'दैनिक माहिती'!L96</f>
        <v>0</v>
      </c>
      <c r="DN116" s="290">
        <f t="shared" si="641"/>
        <v>0</v>
      </c>
      <c r="DO116" s="290">
        <f t="shared" si="642"/>
        <v>0</v>
      </c>
      <c r="DP116" s="290">
        <f t="shared" si="643"/>
        <v>0</v>
      </c>
      <c r="DQ116" s="290">
        <f t="shared" si="644"/>
        <v>0</v>
      </c>
      <c r="DR116" s="290">
        <f t="shared" si="645"/>
        <v>0</v>
      </c>
      <c r="DS116" s="290">
        <f t="shared" si="646"/>
        <v>0</v>
      </c>
      <c r="DT116" s="290">
        <f t="shared" si="647"/>
        <v>0</v>
      </c>
      <c r="DU116" s="290">
        <f t="shared" si="648"/>
        <v>0</v>
      </c>
      <c r="DV116" s="290">
        <f t="shared" si="649"/>
        <v>0</v>
      </c>
      <c r="DW116" s="290">
        <f t="shared" si="650"/>
        <v>0</v>
      </c>
      <c r="DX116" s="290">
        <f t="shared" si="651"/>
        <v>0</v>
      </c>
      <c r="DY116" s="290">
        <f t="shared" si="652"/>
        <v>0</v>
      </c>
      <c r="DZ116" s="290">
        <f t="shared" si="653"/>
        <v>0</v>
      </c>
      <c r="EA116" s="290">
        <f t="shared" si="654"/>
        <v>0</v>
      </c>
      <c r="EB116" s="290">
        <f t="shared" si="655"/>
        <v>0</v>
      </c>
      <c r="EC116" s="290">
        <f t="shared" si="656"/>
        <v>0</v>
      </c>
      <c r="ED116" s="290">
        <f t="shared" si="657"/>
        <v>0</v>
      </c>
      <c r="EE116" s="290">
        <f t="shared" si="658"/>
        <v>0</v>
      </c>
      <c r="EF116" s="291">
        <f t="shared" si="659"/>
        <v>0</v>
      </c>
      <c r="EG116" s="291">
        <f t="shared" si="660"/>
        <v>0</v>
      </c>
      <c r="EH116" s="291">
        <f t="shared" si="661"/>
        <v>0</v>
      </c>
      <c r="EI116" s="292">
        <f t="shared" si="662"/>
        <v>0</v>
      </c>
      <c r="EJ116" s="999">
        <v>25</v>
      </c>
      <c r="EK116" s="286">
        <f t="shared" si="864"/>
        <v>44037</v>
      </c>
      <c r="EL116" s="287">
        <f t="shared" si="588"/>
        <v>44037</v>
      </c>
      <c r="EM116" s="288">
        <f>'दैनिक माहिती'!M127</f>
        <v>0</v>
      </c>
      <c r="EN116" s="289">
        <f>'दैनिक माहिती'!J127</f>
        <v>0</v>
      </c>
      <c r="EO116" s="289">
        <f>'दैनिक माहिती'!K127</f>
        <v>0</v>
      </c>
      <c r="EP116" s="289">
        <f>'दैनिक माहिती'!L127</f>
        <v>0</v>
      </c>
      <c r="EQ116" s="290">
        <f t="shared" si="663"/>
        <v>0</v>
      </c>
      <c r="ER116" s="290">
        <f t="shared" si="664"/>
        <v>0</v>
      </c>
      <c r="ES116" s="290">
        <f t="shared" si="665"/>
        <v>0</v>
      </c>
      <c r="ET116" s="290">
        <f t="shared" si="666"/>
        <v>0</v>
      </c>
      <c r="EU116" s="290">
        <f t="shared" si="667"/>
        <v>0</v>
      </c>
      <c r="EV116" s="290">
        <f t="shared" si="668"/>
        <v>0</v>
      </c>
      <c r="EW116" s="290">
        <f t="shared" si="669"/>
        <v>0</v>
      </c>
      <c r="EX116" s="290">
        <f t="shared" si="670"/>
        <v>0</v>
      </c>
      <c r="EY116" s="290">
        <f t="shared" si="671"/>
        <v>0</v>
      </c>
      <c r="EZ116" s="290">
        <f t="shared" si="672"/>
        <v>0</v>
      </c>
      <c r="FA116" s="290">
        <f t="shared" si="673"/>
        <v>0</v>
      </c>
      <c r="FB116" s="290">
        <f t="shared" si="674"/>
        <v>0</v>
      </c>
      <c r="FC116" s="290">
        <f t="shared" si="675"/>
        <v>0</v>
      </c>
      <c r="FD116" s="290">
        <f t="shared" si="676"/>
        <v>0</v>
      </c>
      <c r="FE116" s="290">
        <f t="shared" si="677"/>
        <v>0</v>
      </c>
      <c r="FF116" s="290">
        <f t="shared" si="678"/>
        <v>0</v>
      </c>
      <c r="FG116" s="290">
        <f t="shared" si="679"/>
        <v>0</v>
      </c>
      <c r="FH116" s="290">
        <f t="shared" si="680"/>
        <v>0</v>
      </c>
      <c r="FI116" s="291">
        <f t="shared" si="681"/>
        <v>0</v>
      </c>
      <c r="FJ116" s="291">
        <f t="shared" si="682"/>
        <v>0</v>
      </c>
      <c r="FK116" s="291">
        <f t="shared" si="683"/>
        <v>0</v>
      </c>
      <c r="FL116" s="292">
        <f t="shared" si="684"/>
        <v>0</v>
      </c>
      <c r="FM116" s="999">
        <v>25</v>
      </c>
      <c r="FN116" s="286">
        <f t="shared" si="865"/>
        <v>44068</v>
      </c>
      <c r="FO116" s="287">
        <f t="shared" si="589"/>
        <v>44068</v>
      </c>
      <c r="FP116" s="288">
        <f>'दैनिक माहिती'!M159</f>
        <v>0</v>
      </c>
      <c r="FQ116" s="289">
        <f>'दैनिक माहिती'!J159</f>
        <v>0</v>
      </c>
      <c r="FR116" s="289">
        <f>'दैनिक माहिती'!K159</f>
        <v>0</v>
      </c>
      <c r="FS116" s="289">
        <f>'दैनिक माहिती'!L159</f>
        <v>0</v>
      </c>
      <c r="FT116" s="290">
        <f t="shared" si="685"/>
        <v>0</v>
      </c>
      <c r="FU116" s="290">
        <f t="shared" si="686"/>
        <v>0</v>
      </c>
      <c r="FV116" s="290">
        <f t="shared" si="687"/>
        <v>0</v>
      </c>
      <c r="FW116" s="290">
        <f t="shared" si="688"/>
        <v>0</v>
      </c>
      <c r="FX116" s="290">
        <f t="shared" si="689"/>
        <v>0</v>
      </c>
      <c r="FY116" s="290">
        <f t="shared" si="690"/>
        <v>0</v>
      </c>
      <c r="FZ116" s="290">
        <f t="shared" si="691"/>
        <v>0</v>
      </c>
      <c r="GA116" s="290">
        <f t="shared" si="692"/>
        <v>0</v>
      </c>
      <c r="GB116" s="290">
        <f t="shared" si="693"/>
        <v>0</v>
      </c>
      <c r="GC116" s="290">
        <f t="shared" si="694"/>
        <v>0</v>
      </c>
      <c r="GD116" s="290">
        <f t="shared" si="695"/>
        <v>0</v>
      </c>
      <c r="GE116" s="290">
        <f t="shared" si="696"/>
        <v>0</v>
      </c>
      <c r="GF116" s="290">
        <f t="shared" si="697"/>
        <v>0</v>
      </c>
      <c r="GG116" s="290">
        <f t="shared" si="698"/>
        <v>0</v>
      </c>
      <c r="GH116" s="290">
        <f t="shared" si="699"/>
        <v>0</v>
      </c>
      <c r="GI116" s="290">
        <f t="shared" si="700"/>
        <v>0</v>
      </c>
      <c r="GJ116" s="290">
        <f t="shared" si="701"/>
        <v>0</v>
      </c>
      <c r="GK116" s="290">
        <f t="shared" si="702"/>
        <v>0</v>
      </c>
      <c r="GL116" s="291">
        <f t="shared" si="703"/>
        <v>0</v>
      </c>
      <c r="GM116" s="291">
        <f t="shared" si="704"/>
        <v>0</v>
      </c>
      <c r="GN116" s="291">
        <f t="shared" si="705"/>
        <v>0</v>
      </c>
      <c r="GO116" s="292">
        <f t="shared" si="706"/>
        <v>0</v>
      </c>
      <c r="GP116" s="999">
        <v>25</v>
      </c>
      <c r="GQ116" s="286">
        <f t="shared" si="866"/>
        <v>44099</v>
      </c>
      <c r="GR116" s="287">
        <f t="shared" si="590"/>
        <v>44099</v>
      </c>
      <c r="GS116" s="288">
        <f>'दैनिक माहिती'!M191</f>
        <v>0</v>
      </c>
      <c r="GT116" s="289">
        <f>'दैनिक माहिती'!J191</f>
        <v>0</v>
      </c>
      <c r="GU116" s="289">
        <f>'दैनिक माहिती'!K191</f>
        <v>0</v>
      </c>
      <c r="GV116" s="289">
        <f>'दैनिक माहिती'!L191</f>
        <v>0</v>
      </c>
      <c r="GW116" s="290">
        <f t="shared" si="707"/>
        <v>0</v>
      </c>
      <c r="GX116" s="290">
        <f t="shared" si="708"/>
        <v>0</v>
      </c>
      <c r="GY116" s="290">
        <f t="shared" si="709"/>
        <v>0</v>
      </c>
      <c r="GZ116" s="290">
        <f t="shared" si="710"/>
        <v>0</v>
      </c>
      <c r="HA116" s="290">
        <f t="shared" si="711"/>
        <v>0</v>
      </c>
      <c r="HB116" s="290">
        <f t="shared" si="712"/>
        <v>0</v>
      </c>
      <c r="HC116" s="290">
        <f t="shared" si="713"/>
        <v>0</v>
      </c>
      <c r="HD116" s="290">
        <f t="shared" si="714"/>
        <v>0</v>
      </c>
      <c r="HE116" s="290">
        <f t="shared" si="715"/>
        <v>0</v>
      </c>
      <c r="HF116" s="290">
        <f t="shared" si="716"/>
        <v>0</v>
      </c>
      <c r="HG116" s="290">
        <f t="shared" si="717"/>
        <v>0</v>
      </c>
      <c r="HH116" s="290">
        <f t="shared" si="718"/>
        <v>0</v>
      </c>
      <c r="HI116" s="290">
        <f t="shared" si="719"/>
        <v>0</v>
      </c>
      <c r="HJ116" s="290">
        <f t="shared" si="720"/>
        <v>0</v>
      </c>
      <c r="HK116" s="290">
        <f t="shared" si="721"/>
        <v>0</v>
      </c>
      <c r="HL116" s="290">
        <f t="shared" si="722"/>
        <v>0</v>
      </c>
      <c r="HM116" s="290">
        <f t="shared" si="723"/>
        <v>0</v>
      </c>
      <c r="HN116" s="290">
        <f t="shared" si="724"/>
        <v>0</v>
      </c>
      <c r="HO116" s="291">
        <f t="shared" si="725"/>
        <v>0</v>
      </c>
      <c r="HP116" s="291">
        <f t="shared" si="726"/>
        <v>0</v>
      </c>
      <c r="HQ116" s="291">
        <f t="shared" si="727"/>
        <v>0</v>
      </c>
      <c r="HR116" s="292">
        <f t="shared" si="728"/>
        <v>0</v>
      </c>
      <c r="HS116" s="999">
        <v>25</v>
      </c>
      <c r="HT116" s="286">
        <f t="shared" si="867"/>
        <v>44129</v>
      </c>
      <c r="HU116" s="287">
        <f t="shared" si="591"/>
        <v>44129</v>
      </c>
      <c r="HV116" s="288">
        <f>'दैनिक माहिती'!M222</f>
        <v>0</v>
      </c>
      <c r="HW116" s="289">
        <f>'दैनिक माहिती'!J222</f>
        <v>0</v>
      </c>
      <c r="HX116" s="289">
        <f>'दैनिक माहिती'!K222</f>
        <v>0</v>
      </c>
      <c r="HY116" s="289">
        <f>'दैनिक माहिती'!L222</f>
        <v>0</v>
      </c>
      <c r="HZ116" s="290">
        <f t="shared" si="729"/>
        <v>0</v>
      </c>
      <c r="IA116" s="290">
        <f t="shared" si="730"/>
        <v>0</v>
      </c>
      <c r="IB116" s="290">
        <f t="shared" si="731"/>
        <v>0</v>
      </c>
      <c r="IC116" s="290">
        <f t="shared" si="732"/>
        <v>0</v>
      </c>
      <c r="ID116" s="290">
        <f t="shared" si="733"/>
        <v>0</v>
      </c>
      <c r="IE116" s="290">
        <f t="shared" si="734"/>
        <v>0</v>
      </c>
      <c r="IF116" s="290">
        <f t="shared" si="735"/>
        <v>0</v>
      </c>
      <c r="IG116" s="290">
        <f t="shared" si="736"/>
        <v>0</v>
      </c>
      <c r="IH116" s="290">
        <f t="shared" si="737"/>
        <v>0</v>
      </c>
      <c r="II116" s="290">
        <f t="shared" si="738"/>
        <v>0</v>
      </c>
      <c r="IJ116" s="290">
        <f t="shared" si="739"/>
        <v>0</v>
      </c>
      <c r="IK116" s="290">
        <f t="shared" si="740"/>
        <v>0</v>
      </c>
      <c r="IL116" s="290">
        <f t="shared" si="741"/>
        <v>0</v>
      </c>
      <c r="IM116" s="290">
        <f t="shared" si="742"/>
        <v>0</v>
      </c>
      <c r="IN116" s="290">
        <f t="shared" si="743"/>
        <v>0</v>
      </c>
      <c r="IO116" s="290">
        <f t="shared" si="744"/>
        <v>0</v>
      </c>
      <c r="IP116" s="290">
        <f t="shared" si="745"/>
        <v>0</v>
      </c>
      <c r="IQ116" s="290">
        <f t="shared" si="746"/>
        <v>0</v>
      </c>
      <c r="IR116" s="291">
        <f t="shared" si="747"/>
        <v>0</v>
      </c>
      <c r="IS116" s="291">
        <f t="shared" si="748"/>
        <v>0</v>
      </c>
      <c r="IT116" s="291">
        <f t="shared" si="749"/>
        <v>0</v>
      </c>
      <c r="IU116" s="292">
        <f t="shared" si="750"/>
        <v>0</v>
      </c>
      <c r="IV116" s="999">
        <v>25</v>
      </c>
      <c r="IW116" s="286">
        <f t="shared" si="868"/>
        <v>44160</v>
      </c>
      <c r="IX116" s="287">
        <f t="shared" si="592"/>
        <v>44160</v>
      </c>
      <c r="IY116" s="288">
        <f>'दैनिक माहिती'!M254</f>
        <v>0</v>
      </c>
      <c r="IZ116" s="289">
        <f>'दैनिक माहिती'!J254</f>
        <v>0</v>
      </c>
      <c r="JA116" s="289">
        <f>'दैनिक माहिती'!K254</f>
        <v>0</v>
      </c>
      <c r="JB116" s="289">
        <f>'दैनिक माहिती'!L254</f>
        <v>0</v>
      </c>
      <c r="JC116" s="290">
        <f t="shared" si="751"/>
        <v>0</v>
      </c>
      <c r="JD116" s="290">
        <f t="shared" si="752"/>
        <v>0</v>
      </c>
      <c r="JE116" s="290">
        <f t="shared" si="753"/>
        <v>0</v>
      </c>
      <c r="JF116" s="290">
        <f t="shared" si="754"/>
        <v>0</v>
      </c>
      <c r="JG116" s="290">
        <f t="shared" si="755"/>
        <v>0</v>
      </c>
      <c r="JH116" s="290">
        <f t="shared" si="756"/>
        <v>0</v>
      </c>
      <c r="JI116" s="290">
        <f t="shared" si="757"/>
        <v>0</v>
      </c>
      <c r="JJ116" s="290">
        <f t="shared" si="758"/>
        <v>0</v>
      </c>
      <c r="JK116" s="290">
        <f t="shared" si="759"/>
        <v>0</v>
      </c>
      <c r="JL116" s="290">
        <f t="shared" si="760"/>
        <v>0</v>
      </c>
      <c r="JM116" s="290">
        <f t="shared" si="761"/>
        <v>0</v>
      </c>
      <c r="JN116" s="290">
        <f t="shared" si="762"/>
        <v>0</v>
      </c>
      <c r="JO116" s="290">
        <f t="shared" si="763"/>
        <v>0</v>
      </c>
      <c r="JP116" s="290">
        <f t="shared" si="764"/>
        <v>0</v>
      </c>
      <c r="JQ116" s="290">
        <f t="shared" si="765"/>
        <v>0</v>
      </c>
      <c r="JR116" s="290">
        <f t="shared" si="766"/>
        <v>0</v>
      </c>
      <c r="JS116" s="290">
        <f t="shared" si="767"/>
        <v>0</v>
      </c>
      <c r="JT116" s="290">
        <f t="shared" si="768"/>
        <v>0</v>
      </c>
      <c r="JU116" s="291">
        <f t="shared" si="769"/>
        <v>0</v>
      </c>
      <c r="JV116" s="291">
        <f t="shared" si="770"/>
        <v>0</v>
      </c>
      <c r="JW116" s="291">
        <f t="shared" si="771"/>
        <v>0</v>
      </c>
      <c r="JX116" s="292">
        <f t="shared" si="772"/>
        <v>0</v>
      </c>
      <c r="JY116" s="999">
        <v>25</v>
      </c>
      <c r="JZ116" s="286">
        <f t="shared" si="869"/>
        <v>44190</v>
      </c>
      <c r="KA116" s="287">
        <f t="shared" si="593"/>
        <v>44190</v>
      </c>
      <c r="KB116" s="288">
        <f>'दैनिक माहिती'!M285</f>
        <v>0</v>
      </c>
      <c r="KC116" s="289">
        <f>'दैनिक माहिती'!J285</f>
        <v>0</v>
      </c>
      <c r="KD116" s="289">
        <f>'दैनिक माहिती'!K285</f>
        <v>0</v>
      </c>
      <c r="KE116" s="289">
        <f>'दैनिक माहिती'!L285</f>
        <v>0</v>
      </c>
      <c r="KF116" s="290">
        <f t="shared" si="773"/>
        <v>0</v>
      </c>
      <c r="KG116" s="290">
        <f t="shared" si="774"/>
        <v>0</v>
      </c>
      <c r="KH116" s="290">
        <f t="shared" si="775"/>
        <v>0</v>
      </c>
      <c r="KI116" s="290">
        <f t="shared" si="776"/>
        <v>0</v>
      </c>
      <c r="KJ116" s="290">
        <f t="shared" si="777"/>
        <v>0</v>
      </c>
      <c r="KK116" s="290">
        <f t="shared" si="778"/>
        <v>0</v>
      </c>
      <c r="KL116" s="290">
        <f t="shared" si="779"/>
        <v>0</v>
      </c>
      <c r="KM116" s="290">
        <f t="shared" si="780"/>
        <v>0</v>
      </c>
      <c r="KN116" s="290">
        <f t="shared" si="781"/>
        <v>0</v>
      </c>
      <c r="KO116" s="290">
        <f t="shared" si="782"/>
        <v>0</v>
      </c>
      <c r="KP116" s="290">
        <f t="shared" si="783"/>
        <v>0</v>
      </c>
      <c r="KQ116" s="290">
        <f t="shared" si="784"/>
        <v>0</v>
      </c>
      <c r="KR116" s="290">
        <f t="shared" si="785"/>
        <v>0</v>
      </c>
      <c r="KS116" s="290">
        <f t="shared" si="786"/>
        <v>0</v>
      </c>
      <c r="KT116" s="290">
        <f t="shared" si="787"/>
        <v>0</v>
      </c>
      <c r="KU116" s="290">
        <f t="shared" si="788"/>
        <v>0</v>
      </c>
      <c r="KV116" s="290">
        <f t="shared" si="789"/>
        <v>0</v>
      </c>
      <c r="KW116" s="290">
        <f t="shared" si="790"/>
        <v>0</v>
      </c>
      <c r="KX116" s="291">
        <f t="shared" si="791"/>
        <v>0</v>
      </c>
      <c r="KY116" s="291">
        <f t="shared" si="792"/>
        <v>0</v>
      </c>
      <c r="KZ116" s="291">
        <f t="shared" si="793"/>
        <v>0</v>
      </c>
      <c r="LA116" s="292">
        <f t="shared" si="794"/>
        <v>0</v>
      </c>
      <c r="LB116" s="999">
        <v>25</v>
      </c>
      <c r="LC116" s="286">
        <f t="shared" si="870"/>
        <v>44221</v>
      </c>
      <c r="LD116" s="287">
        <f t="shared" si="594"/>
        <v>44221</v>
      </c>
      <c r="LE116" s="288">
        <f>'दैनिक माहिती'!M317</f>
        <v>0</v>
      </c>
      <c r="LF116" s="289">
        <f>'दैनिक माहिती'!J317</f>
        <v>0</v>
      </c>
      <c r="LG116" s="289">
        <f>'दैनिक माहिती'!K317</f>
        <v>0</v>
      </c>
      <c r="LH116" s="289">
        <f>'दैनिक माहिती'!L317</f>
        <v>0</v>
      </c>
      <c r="LI116" s="290">
        <f t="shared" si="795"/>
        <v>0</v>
      </c>
      <c r="LJ116" s="290">
        <f t="shared" si="796"/>
        <v>0</v>
      </c>
      <c r="LK116" s="290">
        <f t="shared" si="797"/>
        <v>0</v>
      </c>
      <c r="LL116" s="290">
        <f t="shared" si="798"/>
        <v>0</v>
      </c>
      <c r="LM116" s="290">
        <f t="shared" si="799"/>
        <v>0</v>
      </c>
      <c r="LN116" s="290">
        <f t="shared" si="800"/>
        <v>0</v>
      </c>
      <c r="LO116" s="290">
        <f t="shared" si="801"/>
        <v>0</v>
      </c>
      <c r="LP116" s="290">
        <f t="shared" si="802"/>
        <v>0</v>
      </c>
      <c r="LQ116" s="290">
        <f t="shared" si="803"/>
        <v>0</v>
      </c>
      <c r="LR116" s="290">
        <f t="shared" si="804"/>
        <v>0</v>
      </c>
      <c r="LS116" s="290">
        <f t="shared" si="805"/>
        <v>0</v>
      </c>
      <c r="LT116" s="290">
        <f t="shared" si="806"/>
        <v>0</v>
      </c>
      <c r="LU116" s="290">
        <f t="shared" si="807"/>
        <v>0</v>
      </c>
      <c r="LV116" s="290">
        <f t="shared" si="808"/>
        <v>0</v>
      </c>
      <c r="LW116" s="290">
        <f t="shared" si="809"/>
        <v>0</v>
      </c>
      <c r="LX116" s="290">
        <f t="shared" si="810"/>
        <v>0</v>
      </c>
      <c r="LY116" s="290">
        <f t="shared" si="811"/>
        <v>0</v>
      </c>
      <c r="LZ116" s="290">
        <f t="shared" si="812"/>
        <v>0</v>
      </c>
      <c r="MA116" s="291">
        <f t="shared" si="813"/>
        <v>0</v>
      </c>
      <c r="MB116" s="291">
        <f t="shared" si="814"/>
        <v>0</v>
      </c>
      <c r="MC116" s="291">
        <f t="shared" si="815"/>
        <v>0</v>
      </c>
      <c r="MD116" s="292">
        <f t="shared" si="816"/>
        <v>0</v>
      </c>
      <c r="ME116" s="999">
        <v>25</v>
      </c>
      <c r="MF116" s="286">
        <f t="shared" si="871"/>
        <v>44252</v>
      </c>
      <c r="MG116" s="287">
        <f t="shared" si="595"/>
        <v>44252</v>
      </c>
      <c r="MH116" s="288">
        <f>'दैनिक माहिती'!M349</f>
        <v>0</v>
      </c>
      <c r="MI116" s="289">
        <f>'दैनिक माहिती'!J349</f>
        <v>0</v>
      </c>
      <c r="MJ116" s="289">
        <f>'दैनिक माहिती'!K349</f>
        <v>0</v>
      </c>
      <c r="MK116" s="289">
        <f>'दैनिक माहिती'!L349</f>
        <v>0</v>
      </c>
      <c r="ML116" s="290">
        <f t="shared" si="817"/>
        <v>0</v>
      </c>
      <c r="MM116" s="290">
        <f t="shared" si="818"/>
        <v>0</v>
      </c>
      <c r="MN116" s="290">
        <f t="shared" si="819"/>
        <v>0</v>
      </c>
      <c r="MO116" s="290">
        <f t="shared" si="820"/>
        <v>0</v>
      </c>
      <c r="MP116" s="290">
        <f t="shared" si="821"/>
        <v>0</v>
      </c>
      <c r="MQ116" s="290">
        <f t="shared" si="822"/>
        <v>0</v>
      </c>
      <c r="MR116" s="290">
        <f t="shared" si="823"/>
        <v>0</v>
      </c>
      <c r="MS116" s="290">
        <f t="shared" si="824"/>
        <v>0</v>
      </c>
      <c r="MT116" s="290">
        <f t="shared" si="825"/>
        <v>0</v>
      </c>
      <c r="MU116" s="290">
        <f t="shared" si="826"/>
        <v>0</v>
      </c>
      <c r="MV116" s="290">
        <f t="shared" si="827"/>
        <v>0</v>
      </c>
      <c r="MW116" s="290">
        <f t="shared" si="828"/>
        <v>0</v>
      </c>
      <c r="MX116" s="290">
        <f t="shared" si="829"/>
        <v>0</v>
      </c>
      <c r="MY116" s="290">
        <f t="shared" si="830"/>
        <v>0</v>
      </c>
      <c r="MZ116" s="290">
        <f t="shared" si="831"/>
        <v>0</v>
      </c>
      <c r="NA116" s="290">
        <f t="shared" si="832"/>
        <v>0</v>
      </c>
      <c r="NB116" s="290">
        <f t="shared" si="833"/>
        <v>0</v>
      </c>
      <c r="NC116" s="290">
        <f t="shared" si="834"/>
        <v>0</v>
      </c>
      <c r="ND116" s="291">
        <f t="shared" si="835"/>
        <v>0</v>
      </c>
      <c r="NE116" s="291">
        <f t="shared" si="836"/>
        <v>0</v>
      </c>
      <c r="NF116" s="291">
        <f t="shared" si="837"/>
        <v>0</v>
      </c>
      <c r="NG116" s="292">
        <f t="shared" si="838"/>
        <v>0</v>
      </c>
      <c r="NH116" s="999">
        <v>25</v>
      </c>
      <c r="NI116" s="286">
        <f t="shared" si="872"/>
        <v>44280</v>
      </c>
      <c r="NJ116" s="287">
        <f t="shared" si="596"/>
        <v>44280</v>
      </c>
      <c r="NK116" s="288">
        <f>'दैनिक माहिती'!M379</f>
        <v>0</v>
      </c>
      <c r="NL116" s="289">
        <f>'दैनिक माहिती'!J379</f>
        <v>0</v>
      </c>
      <c r="NM116" s="289">
        <f>'दैनिक माहिती'!K379</f>
        <v>0</v>
      </c>
      <c r="NN116" s="289">
        <f>'दैनिक माहिती'!L379</f>
        <v>0</v>
      </c>
      <c r="NO116" s="290">
        <f t="shared" si="839"/>
        <v>0</v>
      </c>
      <c r="NP116" s="290">
        <f t="shared" si="840"/>
        <v>0</v>
      </c>
      <c r="NQ116" s="290">
        <f t="shared" si="841"/>
        <v>0</v>
      </c>
      <c r="NR116" s="290">
        <f t="shared" si="842"/>
        <v>0</v>
      </c>
      <c r="NS116" s="290">
        <f t="shared" si="843"/>
        <v>0</v>
      </c>
      <c r="NT116" s="290">
        <f t="shared" si="844"/>
        <v>0</v>
      </c>
      <c r="NU116" s="290">
        <f t="shared" si="845"/>
        <v>0</v>
      </c>
      <c r="NV116" s="290">
        <f t="shared" si="846"/>
        <v>0</v>
      </c>
      <c r="NW116" s="290">
        <f t="shared" si="847"/>
        <v>0</v>
      </c>
      <c r="NX116" s="290">
        <f t="shared" si="848"/>
        <v>0</v>
      </c>
      <c r="NY116" s="290">
        <f t="shared" si="849"/>
        <v>0</v>
      </c>
      <c r="NZ116" s="290">
        <f t="shared" si="850"/>
        <v>0</v>
      </c>
      <c r="OA116" s="290">
        <f t="shared" si="851"/>
        <v>0</v>
      </c>
      <c r="OB116" s="290">
        <f t="shared" si="852"/>
        <v>0</v>
      </c>
      <c r="OC116" s="290">
        <f t="shared" si="853"/>
        <v>0</v>
      </c>
      <c r="OD116" s="290">
        <f t="shared" si="854"/>
        <v>0</v>
      </c>
      <c r="OE116" s="290">
        <f t="shared" si="855"/>
        <v>0</v>
      </c>
      <c r="OF116" s="290">
        <f t="shared" si="856"/>
        <v>0</v>
      </c>
      <c r="OG116" s="291">
        <f t="shared" si="857"/>
        <v>0</v>
      </c>
      <c r="OH116" s="291">
        <f t="shared" si="858"/>
        <v>0</v>
      </c>
      <c r="OI116" s="291">
        <f t="shared" si="859"/>
        <v>0</v>
      </c>
      <c r="OJ116" s="292">
        <f t="shared" si="860"/>
        <v>0</v>
      </c>
    </row>
    <row r="117" spans="53:400" ht="29.25" customHeight="1" x14ac:dyDescent="0.3">
      <c r="BA117" s="999">
        <v>26</v>
      </c>
      <c r="BB117" s="286">
        <f t="shared" si="861"/>
        <v>43947</v>
      </c>
      <c r="BC117" s="287">
        <f t="shared" si="585"/>
        <v>43947</v>
      </c>
      <c r="BD117" s="288">
        <f>'दैनिक माहिती'!M34</f>
        <v>0</v>
      </c>
      <c r="BE117" s="289">
        <f>'दैनिक माहिती'!J34</f>
        <v>0</v>
      </c>
      <c r="BF117" s="289">
        <f>'दैनिक माहिती'!K34</f>
        <v>0</v>
      </c>
      <c r="BG117" s="289">
        <f>'दैनिक माहिती'!L34</f>
        <v>0</v>
      </c>
      <c r="BH117" s="290">
        <f t="shared" si="597"/>
        <v>0</v>
      </c>
      <c r="BI117" s="290">
        <f t="shared" si="598"/>
        <v>0</v>
      </c>
      <c r="BJ117" s="290">
        <f t="shared" si="599"/>
        <v>0</v>
      </c>
      <c r="BK117" s="290">
        <f t="shared" si="600"/>
        <v>0</v>
      </c>
      <c r="BL117" s="290">
        <f t="shared" si="601"/>
        <v>0</v>
      </c>
      <c r="BM117" s="290">
        <f t="shared" si="602"/>
        <v>0</v>
      </c>
      <c r="BN117" s="290">
        <f t="shared" si="603"/>
        <v>0</v>
      </c>
      <c r="BO117" s="290">
        <f t="shared" si="604"/>
        <v>0</v>
      </c>
      <c r="BP117" s="290">
        <f t="shared" si="605"/>
        <v>0</v>
      </c>
      <c r="BQ117" s="290">
        <f t="shared" si="606"/>
        <v>0</v>
      </c>
      <c r="BR117" s="290">
        <f t="shared" si="607"/>
        <v>0</v>
      </c>
      <c r="BS117" s="290">
        <f t="shared" si="608"/>
        <v>0</v>
      </c>
      <c r="BT117" s="290">
        <f t="shared" si="609"/>
        <v>0</v>
      </c>
      <c r="BU117" s="290">
        <f t="shared" si="610"/>
        <v>0</v>
      </c>
      <c r="BV117" s="290">
        <f t="shared" si="611"/>
        <v>0</v>
      </c>
      <c r="BW117" s="290">
        <f t="shared" si="612"/>
        <v>0</v>
      </c>
      <c r="BX117" s="290">
        <f t="shared" si="613"/>
        <v>0</v>
      </c>
      <c r="BY117" s="290">
        <f t="shared" si="614"/>
        <v>0</v>
      </c>
      <c r="BZ117" s="291">
        <f t="shared" si="615"/>
        <v>0</v>
      </c>
      <c r="CA117" s="291">
        <f t="shared" si="616"/>
        <v>0</v>
      </c>
      <c r="CB117" s="291">
        <f t="shared" si="617"/>
        <v>0</v>
      </c>
      <c r="CC117" s="292">
        <f t="shared" si="618"/>
        <v>0</v>
      </c>
      <c r="CD117" s="999">
        <v>26</v>
      </c>
      <c r="CE117" s="286">
        <f t="shared" si="862"/>
        <v>43977</v>
      </c>
      <c r="CF117" s="287">
        <f t="shared" si="586"/>
        <v>43977</v>
      </c>
      <c r="CG117" s="288">
        <f>'दैनिक माहिती'!M65</f>
        <v>0</v>
      </c>
      <c r="CH117" s="289">
        <f>'दैनिक माहिती'!J65</f>
        <v>0</v>
      </c>
      <c r="CI117" s="289">
        <f>'दैनिक माहिती'!K65</f>
        <v>0</v>
      </c>
      <c r="CJ117" s="289">
        <f>'दैनिक माहिती'!L65</f>
        <v>0</v>
      </c>
      <c r="CK117" s="290">
        <f t="shared" si="619"/>
        <v>0</v>
      </c>
      <c r="CL117" s="290">
        <f t="shared" si="620"/>
        <v>0</v>
      </c>
      <c r="CM117" s="290">
        <f t="shared" si="621"/>
        <v>0</v>
      </c>
      <c r="CN117" s="290">
        <f t="shared" si="622"/>
        <v>0</v>
      </c>
      <c r="CO117" s="290">
        <f t="shared" si="623"/>
        <v>0</v>
      </c>
      <c r="CP117" s="290">
        <f t="shared" si="624"/>
        <v>0</v>
      </c>
      <c r="CQ117" s="290">
        <f t="shared" si="625"/>
        <v>0</v>
      </c>
      <c r="CR117" s="290">
        <f t="shared" si="626"/>
        <v>0</v>
      </c>
      <c r="CS117" s="290">
        <f t="shared" si="627"/>
        <v>0</v>
      </c>
      <c r="CT117" s="290">
        <f t="shared" si="628"/>
        <v>0</v>
      </c>
      <c r="CU117" s="290">
        <f t="shared" si="629"/>
        <v>0</v>
      </c>
      <c r="CV117" s="290">
        <f t="shared" si="630"/>
        <v>0</v>
      </c>
      <c r="CW117" s="290">
        <f t="shared" si="631"/>
        <v>0</v>
      </c>
      <c r="CX117" s="290">
        <f t="shared" si="632"/>
        <v>0</v>
      </c>
      <c r="CY117" s="290">
        <f t="shared" si="633"/>
        <v>0</v>
      </c>
      <c r="CZ117" s="290">
        <f t="shared" si="634"/>
        <v>0</v>
      </c>
      <c r="DA117" s="290">
        <f t="shared" si="635"/>
        <v>0</v>
      </c>
      <c r="DB117" s="290">
        <f t="shared" si="636"/>
        <v>0</v>
      </c>
      <c r="DC117" s="291">
        <f t="shared" si="637"/>
        <v>0</v>
      </c>
      <c r="DD117" s="291">
        <f t="shared" si="638"/>
        <v>0</v>
      </c>
      <c r="DE117" s="291">
        <f t="shared" si="639"/>
        <v>0</v>
      </c>
      <c r="DF117" s="292">
        <f t="shared" si="640"/>
        <v>0</v>
      </c>
      <c r="DG117" s="999">
        <v>26</v>
      </c>
      <c r="DH117" s="286">
        <f t="shared" si="863"/>
        <v>44008</v>
      </c>
      <c r="DI117" s="287">
        <f t="shared" si="587"/>
        <v>44008</v>
      </c>
      <c r="DJ117" s="288">
        <f>'दैनिक माहिती'!M97</f>
        <v>0</v>
      </c>
      <c r="DK117" s="289">
        <f>'दैनिक माहिती'!J97</f>
        <v>0</v>
      </c>
      <c r="DL117" s="289">
        <f>'दैनिक माहिती'!K97</f>
        <v>0</v>
      </c>
      <c r="DM117" s="289">
        <f>'दैनिक माहिती'!L97</f>
        <v>0</v>
      </c>
      <c r="DN117" s="290">
        <f t="shared" si="641"/>
        <v>0</v>
      </c>
      <c r="DO117" s="290">
        <f t="shared" si="642"/>
        <v>0</v>
      </c>
      <c r="DP117" s="290">
        <f t="shared" si="643"/>
        <v>0</v>
      </c>
      <c r="DQ117" s="290">
        <f t="shared" si="644"/>
        <v>0</v>
      </c>
      <c r="DR117" s="290">
        <f t="shared" si="645"/>
        <v>0</v>
      </c>
      <c r="DS117" s="290">
        <f t="shared" si="646"/>
        <v>0</v>
      </c>
      <c r="DT117" s="290">
        <f t="shared" si="647"/>
        <v>0</v>
      </c>
      <c r="DU117" s="290">
        <f t="shared" si="648"/>
        <v>0</v>
      </c>
      <c r="DV117" s="290">
        <f t="shared" si="649"/>
        <v>0</v>
      </c>
      <c r="DW117" s="290">
        <f t="shared" si="650"/>
        <v>0</v>
      </c>
      <c r="DX117" s="290">
        <f t="shared" si="651"/>
        <v>0</v>
      </c>
      <c r="DY117" s="290">
        <f t="shared" si="652"/>
        <v>0</v>
      </c>
      <c r="DZ117" s="290">
        <f t="shared" si="653"/>
        <v>0</v>
      </c>
      <c r="EA117" s="290">
        <f t="shared" si="654"/>
        <v>0</v>
      </c>
      <c r="EB117" s="290">
        <f t="shared" si="655"/>
        <v>0</v>
      </c>
      <c r="EC117" s="290">
        <f t="shared" si="656"/>
        <v>0</v>
      </c>
      <c r="ED117" s="290">
        <f t="shared" si="657"/>
        <v>0</v>
      </c>
      <c r="EE117" s="290">
        <f t="shared" si="658"/>
        <v>0</v>
      </c>
      <c r="EF117" s="291">
        <f t="shared" si="659"/>
        <v>0</v>
      </c>
      <c r="EG117" s="291">
        <f t="shared" si="660"/>
        <v>0</v>
      </c>
      <c r="EH117" s="291">
        <f t="shared" si="661"/>
        <v>0</v>
      </c>
      <c r="EI117" s="292">
        <f t="shared" si="662"/>
        <v>0</v>
      </c>
      <c r="EJ117" s="999">
        <v>26</v>
      </c>
      <c r="EK117" s="286">
        <f t="shared" si="864"/>
        <v>44038</v>
      </c>
      <c r="EL117" s="287">
        <f t="shared" si="588"/>
        <v>44038</v>
      </c>
      <c r="EM117" s="288">
        <f>'दैनिक माहिती'!M128</f>
        <v>0</v>
      </c>
      <c r="EN117" s="289">
        <f>'दैनिक माहिती'!J128</f>
        <v>0</v>
      </c>
      <c r="EO117" s="289">
        <f>'दैनिक माहिती'!K128</f>
        <v>0</v>
      </c>
      <c r="EP117" s="289">
        <f>'दैनिक माहिती'!L128</f>
        <v>0</v>
      </c>
      <c r="EQ117" s="290">
        <f t="shared" si="663"/>
        <v>0</v>
      </c>
      <c r="ER117" s="290">
        <f t="shared" si="664"/>
        <v>0</v>
      </c>
      <c r="ES117" s="290">
        <f t="shared" si="665"/>
        <v>0</v>
      </c>
      <c r="ET117" s="290">
        <f t="shared" si="666"/>
        <v>0</v>
      </c>
      <c r="EU117" s="290">
        <f t="shared" si="667"/>
        <v>0</v>
      </c>
      <c r="EV117" s="290">
        <f t="shared" si="668"/>
        <v>0</v>
      </c>
      <c r="EW117" s="290">
        <f t="shared" si="669"/>
        <v>0</v>
      </c>
      <c r="EX117" s="290">
        <f t="shared" si="670"/>
        <v>0</v>
      </c>
      <c r="EY117" s="290">
        <f t="shared" si="671"/>
        <v>0</v>
      </c>
      <c r="EZ117" s="290">
        <f t="shared" si="672"/>
        <v>0</v>
      </c>
      <c r="FA117" s="290">
        <f t="shared" si="673"/>
        <v>0</v>
      </c>
      <c r="FB117" s="290">
        <f t="shared" si="674"/>
        <v>0</v>
      </c>
      <c r="FC117" s="290">
        <f t="shared" si="675"/>
        <v>0</v>
      </c>
      <c r="FD117" s="290">
        <f t="shared" si="676"/>
        <v>0</v>
      </c>
      <c r="FE117" s="290">
        <f t="shared" si="677"/>
        <v>0</v>
      </c>
      <c r="FF117" s="290">
        <f t="shared" si="678"/>
        <v>0</v>
      </c>
      <c r="FG117" s="290">
        <f t="shared" si="679"/>
        <v>0</v>
      </c>
      <c r="FH117" s="290">
        <f t="shared" si="680"/>
        <v>0</v>
      </c>
      <c r="FI117" s="291">
        <f t="shared" si="681"/>
        <v>0</v>
      </c>
      <c r="FJ117" s="291">
        <f t="shared" si="682"/>
        <v>0</v>
      </c>
      <c r="FK117" s="291">
        <f t="shared" si="683"/>
        <v>0</v>
      </c>
      <c r="FL117" s="292">
        <f t="shared" si="684"/>
        <v>0</v>
      </c>
      <c r="FM117" s="999">
        <v>26</v>
      </c>
      <c r="FN117" s="286">
        <f t="shared" si="865"/>
        <v>44069</v>
      </c>
      <c r="FO117" s="287">
        <f t="shared" si="589"/>
        <v>44069</v>
      </c>
      <c r="FP117" s="288">
        <f>'दैनिक माहिती'!M160</f>
        <v>0</v>
      </c>
      <c r="FQ117" s="289">
        <f>'दैनिक माहिती'!J160</f>
        <v>0</v>
      </c>
      <c r="FR117" s="289">
        <f>'दैनिक माहिती'!K160</f>
        <v>0</v>
      </c>
      <c r="FS117" s="289">
        <f>'दैनिक माहिती'!L160</f>
        <v>0</v>
      </c>
      <c r="FT117" s="290">
        <f t="shared" si="685"/>
        <v>0</v>
      </c>
      <c r="FU117" s="290">
        <f t="shared" si="686"/>
        <v>0</v>
      </c>
      <c r="FV117" s="290">
        <f t="shared" si="687"/>
        <v>0</v>
      </c>
      <c r="FW117" s="290">
        <f t="shared" si="688"/>
        <v>0</v>
      </c>
      <c r="FX117" s="290">
        <f t="shared" si="689"/>
        <v>0</v>
      </c>
      <c r="FY117" s="290">
        <f t="shared" si="690"/>
        <v>0</v>
      </c>
      <c r="FZ117" s="290">
        <f t="shared" si="691"/>
        <v>0</v>
      </c>
      <c r="GA117" s="290">
        <f t="shared" si="692"/>
        <v>0</v>
      </c>
      <c r="GB117" s="290">
        <f t="shared" si="693"/>
        <v>0</v>
      </c>
      <c r="GC117" s="290">
        <f t="shared" si="694"/>
        <v>0</v>
      </c>
      <c r="GD117" s="290">
        <f t="shared" si="695"/>
        <v>0</v>
      </c>
      <c r="GE117" s="290">
        <f t="shared" si="696"/>
        <v>0</v>
      </c>
      <c r="GF117" s="290">
        <f t="shared" si="697"/>
        <v>0</v>
      </c>
      <c r="GG117" s="290">
        <f t="shared" si="698"/>
        <v>0</v>
      </c>
      <c r="GH117" s="290">
        <f t="shared" si="699"/>
        <v>0</v>
      </c>
      <c r="GI117" s="290">
        <f t="shared" si="700"/>
        <v>0</v>
      </c>
      <c r="GJ117" s="290">
        <f t="shared" si="701"/>
        <v>0</v>
      </c>
      <c r="GK117" s="290">
        <f t="shared" si="702"/>
        <v>0</v>
      </c>
      <c r="GL117" s="291">
        <f t="shared" si="703"/>
        <v>0</v>
      </c>
      <c r="GM117" s="291">
        <f t="shared" si="704"/>
        <v>0</v>
      </c>
      <c r="GN117" s="291">
        <f t="shared" si="705"/>
        <v>0</v>
      </c>
      <c r="GO117" s="292">
        <f t="shared" si="706"/>
        <v>0</v>
      </c>
      <c r="GP117" s="999">
        <v>26</v>
      </c>
      <c r="GQ117" s="286">
        <f t="shared" si="866"/>
        <v>44100</v>
      </c>
      <c r="GR117" s="287">
        <f t="shared" si="590"/>
        <v>44100</v>
      </c>
      <c r="GS117" s="288">
        <f>'दैनिक माहिती'!M192</f>
        <v>0</v>
      </c>
      <c r="GT117" s="289">
        <f>'दैनिक माहिती'!J192</f>
        <v>0</v>
      </c>
      <c r="GU117" s="289">
        <f>'दैनिक माहिती'!K192</f>
        <v>0</v>
      </c>
      <c r="GV117" s="289">
        <f>'दैनिक माहिती'!L192</f>
        <v>0</v>
      </c>
      <c r="GW117" s="290">
        <f t="shared" si="707"/>
        <v>0</v>
      </c>
      <c r="GX117" s="290">
        <f t="shared" si="708"/>
        <v>0</v>
      </c>
      <c r="GY117" s="290">
        <f t="shared" si="709"/>
        <v>0</v>
      </c>
      <c r="GZ117" s="290">
        <f t="shared" si="710"/>
        <v>0</v>
      </c>
      <c r="HA117" s="290">
        <f t="shared" si="711"/>
        <v>0</v>
      </c>
      <c r="HB117" s="290">
        <f t="shared" si="712"/>
        <v>0</v>
      </c>
      <c r="HC117" s="290">
        <f t="shared" si="713"/>
        <v>0</v>
      </c>
      <c r="HD117" s="290">
        <f t="shared" si="714"/>
        <v>0</v>
      </c>
      <c r="HE117" s="290">
        <f t="shared" si="715"/>
        <v>0</v>
      </c>
      <c r="HF117" s="290">
        <f t="shared" si="716"/>
        <v>0</v>
      </c>
      <c r="HG117" s="290">
        <f t="shared" si="717"/>
        <v>0</v>
      </c>
      <c r="HH117" s="290">
        <f t="shared" si="718"/>
        <v>0</v>
      </c>
      <c r="HI117" s="290">
        <f t="shared" si="719"/>
        <v>0</v>
      </c>
      <c r="HJ117" s="290">
        <f t="shared" si="720"/>
        <v>0</v>
      </c>
      <c r="HK117" s="290">
        <f t="shared" si="721"/>
        <v>0</v>
      </c>
      <c r="HL117" s="290">
        <f t="shared" si="722"/>
        <v>0</v>
      </c>
      <c r="HM117" s="290">
        <f t="shared" si="723"/>
        <v>0</v>
      </c>
      <c r="HN117" s="290">
        <f t="shared" si="724"/>
        <v>0</v>
      </c>
      <c r="HO117" s="291">
        <f t="shared" si="725"/>
        <v>0</v>
      </c>
      <c r="HP117" s="291">
        <f t="shared" si="726"/>
        <v>0</v>
      </c>
      <c r="HQ117" s="291">
        <f t="shared" si="727"/>
        <v>0</v>
      </c>
      <c r="HR117" s="292">
        <f t="shared" si="728"/>
        <v>0</v>
      </c>
      <c r="HS117" s="999">
        <v>26</v>
      </c>
      <c r="HT117" s="286">
        <f t="shared" si="867"/>
        <v>44130</v>
      </c>
      <c r="HU117" s="287">
        <f t="shared" si="591"/>
        <v>44130</v>
      </c>
      <c r="HV117" s="288">
        <f>'दैनिक माहिती'!M223</f>
        <v>0</v>
      </c>
      <c r="HW117" s="289">
        <f>'दैनिक माहिती'!J223</f>
        <v>0</v>
      </c>
      <c r="HX117" s="289">
        <f>'दैनिक माहिती'!K223</f>
        <v>0</v>
      </c>
      <c r="HY117" s="289">
        <f>'दैनिक माहिती'!L223</f>
        <v>0</v>
      </c>
      <c r="HZ117" s="290">
        <f t="shared" si="729"/>
        <v>0</v>
      </c>
      <c r="IA117" s="290">
        <f t="shared" si="730"/>
        <v>0</v>
      </c>
      <c r="IB117" s="290">
        <f t="shared" si="731"/>
        <v>0</v>
      </c>
      <c r="IC117" s="290">
        <f t="shared" si="732"/>
        <v>0</v>
      </c>
      <c r="ID117" s="290">
        <f t="shared" si="733"/>
        <v>0</v>
      </c>
      <c r="IE117" s="290">
        <f t="shared" si="734"/>
        <v>0</v>
      </c>
      <c r="IF117" s="290">
        <f t="shared" si="735"/>
        <v>0</v>
      </c>
      <c r="IG117" s="290">
        <f t="shared" si="736"/>
        <v>0</v>
      </c>
      <c r="IH117" s="290">
        <f t="shared" si="737"/>
        <v>0</v>
      </c>
      <c r="II117" s="290">
        <f t="shared" si="738"/>
        <v>0</v>
      </c>
      <c r="IJ117" s="290">
        <f t="shared" si="739"/>
        <v>0</v>
      </c>
      <c r="IK117" s="290">
        <f t="shared" si="740"/>
        <v>0</v>
      </c>
      <c r="IL117" s="290">
        <f t="shared" si="741"/>
        <v>0</v>
      </c>
      <c r="IM117" s="290">
        <f t="shared" si="742"/>
        <v>0</v>
      </c>
      <c r="IN117" s="290">
        <f t="shared" si="743"/>
        <v>0</v>
      </c>
      <c r="IO117" s="290">
        <f t="shared" si="744"/>
        <v>0</v>
      </c>
      <c r="IP117" s="290">
        <f t="shared" si="745"/>
        <v>0</v>
      </c>
      <c r="IQ117" s="290">
        <f t="shared" si="746"/>
        <v>0</v>
      </c>
      <c r="IR117" s="291">
        <f t="shared" si="747"/>
        <v>0</v>
      </c>
      <c r="IS117" s="291">
        <f t="shared" si="748"/>
        <v>0</v>
      </c>
      <c r="IT117" s="291">
        <f t="shared" si="749"/>
        <v>0</v>
      </c>
      <c r="IU117" s="292">
        <f t="shared" si="750"/>
        <v>0</v>
      </c>
      <c r="IV117" s="999">
        <v>26</v>
      </c>
      <c r="IW117" s="286">
        <f t="shared" si="868"/>
        <v>44161</v>
      </c>
      <c r="IX117" s="287">
        <f t="shared" si="592"/>
        <v>44161</v>
      </c>
      <c r="IY117" s="288">
        <f>'दैनिक माहिती'!M255</f>
        <v>0</v>
      </c>
      <c r="IZ117" s="289">
        <f>'दैनिक माहिती'!J255</f>
        <v>0</v>
      </c>
      <c r="JA117" s="289">
        <f>'दैनिक माहिती'!K255</f>
        <v>0</v>
      </c>
      <c r="JB117" s="289">
        <f>'दैनिक माहिती'!L255</f>
        <v>0</v>
      </c>
      <c r="JC117" s="290">
        <f t="shared" si="751"/>
        <v>0</v>
      </c>
      <c r="JD117" s="290">
        <f t="shared" si="752"/>
        <v>0</v>
      </c>
      <c r="JE117" s="290">
        <f t="shared" si="753"/>
        <v>0</v>
      </c>
      <c r="JF117" s="290">
        <f t="shared" si="754"/>
        <v>0</v>
      </c>
      <c r="JG117" s="290">
        <f t="shared" si="755"/>
        <v>0</v>
      </c>
      <c r="JH117" s="290">
        <f t="shared" si="756"/>
        <v>0</v>
      </c>
      <c r="JI117" s="290">
        <f t="shared" si="757"/>
        <v>0</v>
      </c>
      <c r="JJ117" s="290">
        <f t="shared" si="758"/>
        <v>0</v>
      </c>
      <c r="JK117" s="290">
        <f t="shared" si="759"/>
        <v>0</v>
      </c>
      <c r="JL117" s="290">
        <f t="shared" si="760"/>
        <v>0</v>
      </c>
      <c r="JM117" s="290">
        <f t="shared" si="761"/>
        <v>0</v>
      </c>
      <c r="JN117" s="290">
        <f t="shared" si="762"/>
        <v>0</v>
      </c>
      <c r="JO117" s="290">
        <f t="shared" si="763"/>
        <v>0</v>
      </c>
      <c r="JP117" s="290">
        <f t="shared" si="764"/>
        <v>0</v>
      </c>
      <c r="JQ117" s="290">
        <f t="shared" si="765"/>
        <v>0</v>
      </c>
      <c r="JR117" s="290">
        <f t="shared" si="766"/>
        <v>0</v>
      </c>
      <c r="JS117" s="290">
        <f t="shared" si="767"/>
        <v>0</v>
      </c>
      <c r="JT117" s="290">
        <f t="shared" si="768"/>
        <v>0</v>
      </c>
      <c r="JU117" s="291">
        <f t="shared" si="769"/>
        <v>0</v>
      </c>
      <c r="JV117" s="291">
        <f t="shared" si="770"/>
        <v>0</v>
      </c>
      <c r="JW117" s="291">
        <f t="shared" si="771"/>
        <v>0</v>
      </c>
      <c r="JX117" s="292">
        <f t="shared" si="772"/>
        <v>0</v>
      </c>
      <c r="JY117" s="999">
        <v>26</v>
      </c>
      <c r="JZ117" s="286">
        <f t="shared" si="869"/>
        <v>44191</v>
      </c>
      <c r="KA117" s="287">
        <f t="shared" si="593"/>
        <v>44191</v>
      </c>
      <c r="KB117" s="288">
        <f>'दैनिक माहिती'!M286</f>
        <v>0</v>
      </c>
      <c r="KC117" s="289">
        <f>'दैनिक माहिती'!J286</f>
        <v>0</v>
      </c>
      <c r="KD117" s="289">
        <f>'दैनिक माहिती'!K286</f>
        <v>0</v>
      </c>
      <c r="KE117" s="289">
        <f>'दैनिक माहिती'!L286</f>
        <v>0</v>
      </c>
      <c r="KF117" s="290">
        <f t="shared" si="773"/>
        <v>0</v>
      </c>
      <c r="KG117" s="290">
        <f t="shared" si="774"/>
        <v>0</v>
      </c>
      <c r="KH117" s="290">
        <f t="shared" si="775"/>
        <v>0</v>
      </c>
      <c r="KI117" s="290">
        <f t="shared" si="776"/>
        <v>0</v>
      </c>
      <c r="KJ117" s="290">
        <f t="shared" si="777"/>
        <v>0</v>
      </c>
      <c r="KK117" s="290">
        <f t="shared" si="778"/>
        <v>0</v>
      </c>
      <c r="KL117" s="290">
        <f t="shared" si="779"/>
        <v>0</v>
      </c>
      <c r="KM117" s="290">
        <f t="shared" si="780"/>
        <v>0</v>
      </c>
      <c r="KN117" s="290">
        <f t="shared" si="781"/>
        <v>0</v>
      </c>
      <c r="KO117" s="290">
        <f t="shared" si="782"/>
        <v>0</v>
      </c>
      <c r="KP117" s="290">
        <f t="shared" si="783"/>
        <v>0</v>
      </c>
      <c r="KQ117" s="290">
        <f t="shared" si="784"/>
        <v>0</v>
      </c>
      <c r="KR117" s="290">
        <f t="shared" si="785"/>
        <v>0</v>
      </c>
      <c r="KS117" s="290">
        <f t="shared" si="786"/>
        <v>0</v>
      </c>
      <c r="KT117" s="290">
        <f t="shared" si="787"/>
        <v>0</v>
      </c>
      <c r="KU117" s="290">
        <f t="shared" si="788"/>
        <v>0</v>
      </c>
      <c r="KV117" s="290">
        <f t="shared" si="789"/>
        <v>0</v>
      </c>
      <c r="KW117" s="290">
        <f t="shared" si="790"/>
        <v>0</v>
      </c>
      <c r="KX117" s="291">
        <f t="shared" si="791"/>
        <v>0</v>
      </c>
      <c r="KY117" s="291">
        <f t="shared" si="792"/>
        <v>0</v>
      </c>
      <c r="KZ117" s="291">
        <f t="shared" si="793"/>
        <v>0</v>
      </c>
      <c r="LA117" s="292">
        <f t="shared" si="794"/>
        <v>0</v>
      </c>
      <c r="LB117" s="999">
        <v>26</v>
      </c>
      <c r="LC117" s="286">
        <f t="shared" si="870"/>
        <v>44222</v>
      </c>
      <c r="LD117" s="287">
        <f t="shared" si="594"/>
        <v>44222</v>
      </c>
      <c r="LE117" s="288">
        <f>'दैनिक माहिती'!M318</f>
        <v>0</v>
      </c>
      <c r="LF117" s="289">
        <f>'दैनिक माहिती'!J318</f>
        <v>0</v>
      </c>
      <c r="LG117" s="289">
        <f>'दैनिक माहिती'!K318</f>
        <v>0</v>
      </c>
      <c r="LH117" s="289">
        <f>'दैनिक माहिती'!L318</f>
        <v>0</v>
      </c>
      <c r="LI117" s="290">
        <f t="shared" si="795"/>
        <v>0</v>
      </c>
      <c r="LJ117" s="290">
        <f t="shared" si="796"/>
        <v>0</v>
      </c>
      <c r="LK117" s="290">
        <f t="shared" si="797"/>
        <v>0</v>
      </c>
      <c r="LL117" s="290">
        <f t="shared" si="798"/>
        <v>0</v>
      </c>
      <c r="LM117" s="290">
        <f t="shared" si="799"/>
        <v>0</v>
      </c>
      <c r="LN117" s="290">
        <f t="shared" si="800"/>
        <v>0</v>
      </c>
      <c r="LO117" s="290">
        <f t="shared" si="801"/>
        <v>0</v>
      </c>
      <c r="LP117" s="290">
        <f t="shared" si="802"/>
        <v>0</v>
      </c>
      <c r="LQ117" s="290">
        <f t="shared" si="803"/>
        <v>0</v>
      </c>
      <c r="LR117" s="290">
        <f t="shared" si="804"/>
        <v>0</v>
      </c>
      <c r="LS117" s="290">
        <f t="shared" si="805"/>
        <v>0</v>
      </c>
      <c r="LT117" s="290">
        <f t="shared" si="806"/>
        <v>0</v>
      </c>
      <c r="LU117" s="290">
        <f t="shared" si="807"/>
        <v>0</v>
      </c>
      <c r="LV117" s="290">
        <f t="shared" si="808"/>
        <v>0</v>
      </c>
      <c r="LW117" s="290">
        <f t="shared" si="809"/>
        <v>0</v>
      </c>
      <c r="LX117" s="290">
        <f t="shared" si="810"/>
        <v>0</v>
      </c>
      <c r="LY117" s="290">
        <f t="shared" si="811"/>
        <v>0</v>
      </c>
      <c r="LZ117" s="290">
        <f t="shared" si="812"/>
        <v>0</v>
      </c>
      <c r="MA117" s="291">
        <f t="shared" si="813"/>
        <v>0</v>
      </c>
      <c r="MB117" s="291">
        <f t="shared" si="814"/>
        <v>0</v>
      </c>
      <c r="MC117" s="291">
        <f t="shared" si="815"/>
        <v>0</v>
      </c>
      <c r="MD117" s="292">
        <f t="shared" si="816"/>
        <v>0</v>
      </c>
      <c r="ME117" s="999">
        <v>26</v>
      </c>
      <c r="MF117" s="286">
        <f t="shared" si="871"/>
        <v>44253</v>
      </c>
      <c r="MG117" s="287">
        <f t="shared" si="595"/>
        <v>44253</v>
      </c>
      <c r="MH117" s="288">
        <f>'दैनिक माहिती'!M350</f>
        <v>0</v>
      </c>
      <c r="MI117" s="289">
        <f>'दैनिक माहिती'!J350</f>
        <v>0</v>
      </c>
      <c r="MJ117" s="289">
        <f>'दैनिक माहिती'!K350</f>
        <v>0</v>
      </c>
      <c r="MK117" s="289">
        <f>'दैनिक माहिती'!L350</f>
        <v>0</v>
      </c>
      <c r="ML117" s="290">
        <f t="shared" si="817"/>
        <v>0</v>
      </c>
      <c r="MM117" s="290">
        <f t="shared" si="818"/>
        <v>0</v>
      </c>
      <c r="MN117" s="290">
        <f t="shared" si="819"/>
        <v>0</v>
      </c>
      <c r="MO117" s="290">
        <f t="shared" si="820"/>
        <v>0</v>
      </c>
      <c r="MP117" s="290">
        <f t="shared" si="821"/>
        <v>0</v>
      </c>
      <c r="MQ117" s="290">
        <f t="shared" si="822"/>
        <v>0</v>
      </c>
      <c r="MR117" s="290">
        <f t="shared" si="823"/>
        <v>0</v>
      </c>
      <c r="MS117" s="290">
        <f t="shared" si="824"/>
        <v>0</v>
      </c>
      <c r="MT117" s="290">
        <f t="shared" si="825"/>
        <v>0</v>
      </c>
      <c r="MU117" s="290">
        <f t="shared" si="826"/>
        <v>0</v>
      </c>
      <c r="MV117" s="290">
        <f t="shared" si="827"/>
        <v>0</v>
      </c>
      <c r="MW117" s="290">
        <f t="shared" si="828"/>
        <v>0</v>
      </c>
      <c r="MX117" s="290">
        <f t="shared" si="829"/>
        <v>0</v>
      </c>
      <c r="MY117" s="290">
        <f t="shared" si="830"/>
        <v>0</v>
      </c>
      <c r="MZ117" s="290">
        <f t="shared" si="831"/>
        <v>0</v>
      </c>
      <c r="NA117" s="290">
        <f t="shared" si="832"/>
        <v>0</v>
      </c>
      <c r="NB117" s="290">
        <f t="shared" si="833"/>
        <v>0</v>
      </c>
      <c r="NC117" s="290">
        <f t="shared" si="834"/>
        <v>0</v>
      </c>
      <c r="ND117" s="291">
        <f t="shared" si="835"/>
        <v>0</v>
      </c>
      <c r="NE117" s="291">
        <f t="shared" si="836"/>
        <v>0</v>
      </c>
      <c r="NF117" s="291">
        <f t="shared" si="837"/>
        <v>0</v>
      </c>
      <c r="NG117" s="292">
        <f t="shared" si="838"/>
        <v>0</v>
      </c>
      <c r="NH117" s="999">
        <v>26</v>
      </c>
      <c r="NI117" s="286">
        <f t="shared" si="872"/>
        <v>44281</v>
      </c>
      <c r="NJ117" s="287">
        <f t="shared" si="596"/>
        <v>44281</v>
      </c>
      <c r="NK117" s="288">
        <f>'दैनिक माहिती'!M380</f>
        <v>0</v>
      </c>
      <c r="NL117" s="289">
        <f>'दैनिक माहिती'!J380</f>
        <v>0</v>
      </c>
      <c r="NM117" s="289">
        <f>'दैनिक माहिती'!K380</f>
        <v>0</v>
      </c>
      <c r="NN117" s="289">
        <f>'दैनिक माहिती'!L380</f>
        <v>0</v>
      </c>
      <c r="NO117" s="290">
        <f t="shared" si="839"/>
        <v>0</v>
      </c>
      <c r="NP117" s="290">
        <f t="shared" si="840"/>
        <v>0</v>
      </c>
      <c r="NQ117" s="290">
        <f t="shared" si="841"/>
        <v>0</v>
      </c>
      <c r="NR117" s="290">
        <f t="shared" si="842"/>
        <v>0</v>
      </c>
      <c r="NS117" s="290">
        <f t="shared" si="843"/>
        <v>0</v>
      </c>
      <c r="NT117" s="290">
        <f t="shared" si="844"/>
        <v>0</v>
      </c>
      <c r="NU117" s="290">
        <f t="shared" si="845"/>
        <v>0</v>
      </c>
      <c r="NV117" s="290">
        <f t="shared" si="846"/>
        <v>0</v>
      </c>
      <c r="NW117" s="290">
        <f t="shared" si="847"/>
        <v>0</v>
      </c>
      <c r="NX117" s="290">
        <f t="shared" si="848"/>
        <v>0</v>
      </c>
      <c r="NY117" s="290">
        <f t="shared" si="849"/>
        <v>0</v>
      </c>
      <c r="NZ117" s="290">
        <f t="shared" si="850"/>
        <v>0</v>
      </c>
      <c r="OA117" s="290">
        <f t="shared" si="851"/>
        <v>0</v>
      </c>
      <c r="OB117" s="290">
        <f t="shared" si="852"/>
        <v>0</v>
      </c>
      <c r="OC117" s="290">
        <f t="shared" si="853"/>
        <v>0</v>
      </c>
      <c r="OD117" s="290">
        <f t="shared" si="854"/>
        <v>0</v>
      </c>
      <c r="OE117" s="290">
        <f t="shared" si="855"/>
        <v>0</v>
      </c>
      <c r="OF117" s="290">
        <f t="shared" si="856"/>
        <v>0</v>
      </c>
      <c r="OG117" s="291">
        <f t="shared" si="857"/>
        <v>0</v>
      </c>
      <c r="OH117" s="291">
        <f t="shared" si="858"/>
        <v>0</v>
      </c>
      <c r="OI117" s="291">
        <f t="shared" si="859"/>
        <v>0</v>
      </c>
      <c r="OJ117" s="292">
        <f t="shared" si="860"/>
        <v>0</v>
      </c>
    </row>
    <row r="118" spans="53:400" ht="29.25" customHeight="1" x14ac:dyDescent="0.3">
      <c r="BA118" s="999">
        <v>27</v>
      </c>
      <c r="BB118" s="286">
        <f t="shared" si="861"/>
        <v>43948</v>
      </c>
      <c r="BC118" s="293">
        <f t="shared" si="585"/>
        <v>43948</v>
      </c>
      <c r="BD118" s="288">
        <f>'दैनिक माहिती'!M35</f>
        <v>0</v>
      </c>
      <c r="BE118" s="289">
        <f>'दैनिक माहिती'!J35</f>
        <v>0</v>
      </c>
      <c r="BF118" s="289">
        <f>'दैनिक माहिती'!K35</f>
        <v>0</v>
      </c>
      <c r="BG118" s="289">
        <f>'दैनिक माहिती'!L35</f>
        <v>0</v>
      </c>
      <c r="BH118" s="290">
        <f t="shared" si="597"/>
        <v>0</v>
      </c>
      <c r="BI118" s="290">
        <f t="shared" si="598"/>
        <v>0</v>
      </c>
      <c r="BJ118" s="290">
        <f t="shared" si="599"/>
        <v>0</v>
      </c>
      <c r="BK118" s="290">
        <f t="shared" si="600"/>
        <v>0</v>
      </c>
      <c r="BL118" s="290">
        <f t="shared" si="601"/>
        <v>0</v>
      </c>
      <c r="BM118" s="290">
        <f t="shared" si="602"/>
        <v>0</v>
      </c>
      <c r="BN118" s="290">
        <f t="shared" si="603"/>
        <v>0</v>
      </c>
      <c r="BO118" s="290">
        <f t="shared" si="604"/>
        <v>0</v>
      </c>
      <c r="BP118" s="290">
        <f t="shared" si="605"/>
        <v>0</v>
      </c>
      <c r="BQ118" s="290">
        <f t="shared" si="606"/>
        <v>0</v>
      </c>
      <c r="BR118" s="290">
        <f t="shared" si="607"/>
        <v>0</v>
      </c>
      <c r="BS118" s="290">
        <f t="shared" si="608"/>
        <v>0</v>
      </c>
      <c r="BT118" s="290">
        <f t="shared" si="609"/>
        <v>0</v>
      </c>
      <c r="BU118" s="290">
        <f t="shared" si="610"/>
        <v>0</v>
      </c>
      <c r="BV118" s="290">
        <f t="shared" si="611"/>
        <v>0</v>
      </c>
      <c r="BW118" s="290">
        <f t="shared" si="612"/>
        <v>0</v>
      </c>
      <c r="BX118" s="290">
        <f t="shared" si="613"/>
        <v>0</v>
      </c>
      <c r="BY118" s="290">
        <f t="shared" si="614"/>
        <v>0</v>
      </c>
      <c r="BZ118" s="291">
        <f t="shared" si="615"/>
        <v>0</v>
      </c>
      <c r="CA118" s="291">
        <f t="shared" si="616"/>
        <v>0</v>
      </c>
      <c r="CB118" s="291">
        <f t="shared" si="617"/>
        <v>0</v>
      </c>
      <c r="CC118" s="292">
        <f t="shared" si="618"/>
        <v>0</v>
      </c>
      <c r="CD118" s="999">
        <v>27</v>
      </c>
      <c r="CE118" s="286">
        <f t="shared" si="862"/>
        <v>43978</v>
      </c>
      <c r="CF118" s="293">
        <f t="shared" si="586"/>
        <v>43978</v>
      </c>
      <c r="CG118" s="288">
        <f>'दैनिक माहिती'!M66</f>
        <v>0</v>
      </c>
      <c r="CH118" s="289">
        <f>'दैनिक माहिती'!J66</f>
        <v>0</v>
      </c>
      <c r="CI118" s="289">
        <f>'दैनिक माहिती'!K66</f>
        <v>0</v>
      </c>
      <c r="CJ118" s="289">
        <f>'दैनिक माहिती'!L66</f>
        <v>0</v>
      </c>
      <c r="CK118" s="290">
        <f t="shared" si="619"/>
        <v>0</v>
      </c>
      <c r="CL118" s="290">
        <f t="shared" si="620"/>
        <v>0</v>
      </c>
      <c r="CM118" s="290">
        <f t="shared" si="621"/>
        <v>0</v>
      </c>
      <c r="CN118" s="290">
        <f t="shared" si="622"/>
        <v>0</v>
      </c>
      <c r="CO118" s="290">
        <f t="shared" si="623"/>
        <v>0</v>
      </c>
      <c r="CP118" s="290">
        <f t="shared" si="624"/>
        <v>0</v>
      </c>
      <c r="CQ118" s="290">
        <f t="shared" si="625"/>
        <v>0</v>
      </c>
      <c r="CR118" s="290">
        <f t="shared" si="626"/>
        <v>0</v>
      </c>
      <c r="CS118" s="290">
        <f t="shared" si="627"/>
        <v>0</v>
      </c>
      <c r="CT118" s="290">
        <f t="shared" si="628"/>
        <v>0</v>
      </c>
      <c r="CU118" s="290">
        <f t="shared" si="629"/>
        <v>0</v>
      </c>
      <c r="CV118" s="290">
        <f t="shared" si="630"/>
        <v>0</v>
      </c>
      <c r="CW118" s="290">
        <f t="shared" si="631"/>
        <v>0</v>
      </c>
      <c r="CX118" s="290">
        <f t="shared" si="632"/>
        <v>0</v>
      </c>
      <c r="CY118" s="290">
        <f t="shared" si="633"/>
        <v>0</v>
      </c>
      <c r="CZ118" s="290">
        <f t="shared" si="634"/>
        <v>0</v>
      </c>
      <c r="DA118" s="290">
        <f t="shared" si="635"/>
        <v>0</v>
      </c>
      <c r="DB118" s="290">
        <f t="shared" si="636"/>
        <v>0</v>
      </c>
      <c r="DC118" s="291">
        <f t="shared" si="637"/>
        <v>0</v>
      </c>
      <c r="DD118" s="291">
        <f t="shared" si="638"/>
        <v>0</v>
      </c>
      <c r="DE118" s="291">
        <f t="shared" si="639"/>
        <v>0</v>
      </c>
      <c r="DF118" s="292">
        <f t="shared" si="640"/>
        <v>0</v>
      </c>
      <c r="DG118" s="999">
        <v>27</v>
      </c>
      <c r="DH118" s="286">
        <f t="shared" si="863"/>
        <v>44009</v>
      </c>
      <c r="DI118" s="293">
        <f t="shared" si="587"/>
        <v>44009</v>
      </c>
      <c r="DJ118" s="288">
        <f>'दैनिक माहिती'!M98</f>
        <v>0</v>
      </c>
      <c r="DK118" s="289">
        <f>'दैनिक माहिती'!J98</f>
        <v>0</v>
      </c>
      <c r="DL118" s="289">
        <f>'दैनिक माहिती'!K98</f>
        <v>0</v>
      </c>
      <c r="DM118" s="289">
        <f>'दैनिक माहिती'!L98</f>
        <v>0</v>
      </c>
      <c r="DN118" s="290">
        <f t="shared" si="641"/>
        <v>0</v>
      </c>
      <c r="DO118" s="290">
        <f t="shared" si="642"/>
        <v>0</v>
      </c>
      <c r="DP118" s="290">
        <f t="shared" si="643"/>
        <v>0</v>
      </c>
      <c r="DQ118" s="290">
        <f t="shared" si="644"/>
        <v>0</v>
      </c>
      <c r="DR118" s="290">
        <f t="shared" si="645"/>
        <v>0</v>
      </c>
      <c r="DS118" s="290">
        <f t="shared" si="646"/>
        <v>0</v>
      </c>
      <c r="DT118" s="290">
        <f t="shared" si="647"/>
        <v>0</v>
      </c>
      <c r="DU118" s="290">
        <f t="shared" si="648"/>
        <v>0</v>
      </c>
      <c r="DV118" s="290">
        <f t="shared" si="649"/>
        <v>0</v>
      </c>
      <c r="DW118" s="290">
        <f t="shared" si="650"/>
        <v>0</v>
      </c>
      <c r="DX118" s="290">
        <f t="shared" si="651"/>
        <v>0</v>
      </c>
      <c r="DY118" s="290">
        <f t="shared" si="652"/>
        <v>0</v>
      </c>
      <c r="DZ118" s="290">
        <f t="shared" si="653"/>
        <v>0</v>
      </c>
      <c r="EA118" s="290">
        <f t="shared" si="654"/>
        <v>0</v>
      </c>
      <c r="EB118" s="290">
        <f t="shared" si="655"/>
        <v>0</v>
      </c>
      <c r="EC118" s="290">
        <f t="shared" si="656"/>
        <v>0</v>
      </c>
      <c r="ED118" s="290">
        <f t="shared" si="657"/>
        <v>0</v>
      </c>
      <c r="EE118" s="290">
        <f t="shared" si="658"/>
        <v>0</v>
      </c>
      <c r="EF118" s="291">
        <f t="shared" si="659"/>
        <v>0</v>
      </c>
      <c r="EG118" s="291">
        <f t="shared" si="660"/>
        <v>0</v>
      </c>
      <c r="EH118" s="291">
        <f t="shared" si="661"/>
        <v>0</v>
      </c>
      <c r="EI118" s="292">
        <f t="shared" si="662"/>
        <v>0</v>
      </c>
      <c r="EJ118" s="999">
        <v>27</v>
      </c>
      <c r="EK118" s="286">
        <f t="shared" si="864"/>
        <v>44039</v>
      </c>
      <c r="EL118" s="293">
        <f t="shared" si="588"/>
        <v>44039</v>
      </c>
      <c r="EM118" s="288">
        <f>'दैनिक माहिती'!M129</f>
        <v>0</v>
      </c>
      <c r="EN118" s="289">
        <f>'दैनिक माहिती'!J129</f>
        <v>0</v>
      </c>
      <c r="EO118" s="289">
        <f>'दैनिक माहिती'!K129</f>
        <v>0</v>
      </c>
      <c r="EP118" s="289">
        <f>'दैनिक माहिती'!L129</f>
        <v>0</v>
      </c>
      <c r="EQ118" s="290">
        <f t="shared" si="663"/>
        <v>0</v>
      </c>
      <c r="ER118" s="290">
        <f t="shared" si="664"/>
        <v>0</v>
      </c>
      <c r="ES118" s="290">
        <f t="shared" si="665"/>
        <v>0</v>
      </c>
      <c r="ET118" s="290">
        <f t="shared" si="666"/>
        <v>0</v>
      </c>
      <c r="EU118" s="290">
        <f t="shared" si="667"/>
        <v>0</v>
      </c>
      <c r="EV118" s="290">
        <f t="shared" si="668"/>
        <v>0</v>
      </c>
      <c r="EW118" s="290">
        <f t="shared" si="669"/>
        <v>0</v>
      </c>
      <c r="EX118" s="290">
        <f t="shared" si="670"/>
        <v>0</v>
      </c>
      <c r="EY118" s="290">
        <f t="shared" si="671"/>
        <v>0</v>
      </c>
      <c r="EZ118" s="290">
        <f t="shared" si="672"/>
        <v>0</v>
      </c>
      <c r="FA118" s="290">
        <f t="shared" si="673"/>
        <v>0</v>
      </c>
      <c r="FB118" s="290">
        <f t="shared" si="674"/>
        <v>0</v>
      </c>
      <c r="FC118" s="290">
        <f t="shared" si="675"/>
        <v>0</v>
      </c>
      <c r="FD118" s="290">
        <f t="shared" si="676"/>
        <v>0</v>
      </c>
      <c r="FE118" s="290">
        <f t="shared" si="677"/>
        <v>0</v>
      </c>
      <c r="FF118" s="290">
        <f t="shared" si="678"/>
        <v>0</v>
      </c>
      <c r="FG118" s="290">
        <f t="shared" si="679"/>
        <v>0</v>
      </c>
      <c r="FH118" s="290">
        <f t="shared" si="680"/>
        <v>0</v>
      </c>
      <c r="FI118" s="291">
        <f t="shared" si="681"/>
        <v>0</v>
      </c>
      <c r="FJ118" s="291">
        <f t="shared" si="682"/>
        <v>0</v>
      </c>
      <c r="FK118" s="291">
        <f t="shared" si="683"/>
        <v>0</v>
      </c>
      <c r="FL118" s="292">
        <f t="shared" si="684"/>
        <v>0</v>
      </c>
      <c r="FM118" s="999">
        <v>27</v>
      </c>
      <c r="FN118" s="286">
        <f t="shared" si="865"/>
        <v>44070</v>
      </c>
      <c r="FO118" s="293">
        <f t="shared" si="589"/>
        <v>44070</v>
      </c>
      <c r="FP118" s="288">
        <f>'दैनिक माहिती'!M161</f>
        <v>0</v>
      </c>
      <c r="FQ118" s="289">
        <f>'दैनिक माहिती'!J161</f>
        <v>0</v>
      </c>
      <c r="FR118" s="289">
        <f>'दैनिक माहिती'!K161</f>
        <v>0</v>
      </c>
      <c r="FS118" s="289">
        <f>'दैनिक माहिती'!L161</f>
        <v>0</v>
      </c>
      <c r="FT118" s="290">
        <f t="shared" si="685"/>
        <v>0</v>
      </c>
      <c r="FU118" s="290">
        <f t="shared" si="686"/>
        <v>0</v>
      </c>
      <c r="FV118" s="290">
        <f t="shared" si="687"/>
        <v>0</v>
      </c>
      <c r="FW118" s="290">
        <f t="shared" si="688"/>
        <v>0</v>
      </c>
      <c r="FX118" s="290">
        <f t="shared" si="689"/>
        <v>0</v>
      </c>
      <c r="FY118" s="290">
        <f t="shared" si="690"/>
        <v>0</v>
      </c>
      <c r="FZ118" s="290">
        <f t="shared" si="691"/>
        <v>0</v>
      </c>
      <c r="GA118" s="290">
        <f t="shared" si="692"/>
        <v>0</v>
      </c>
      <c r="GB118" s="290">
        <f t="shared" si="693"/>
        <v>0</v>
      </c>
      <c r="GC118" s="290">
        <f t="shared" si="694"/>
        <v>0</v>
      </c>
      <c r="GD118" s="290">
        <f t="shared" si="695"/>
        <v>0</v>
      </c>
      <c r="GE118" s="290">
        <f t="shared" si="696"/>
        <v>0</v>
      </c>
      <c r="GF118" s="290">
        <f t="shared" si="697"/>
        <v>0</v>
      </c>
      <c r="GG118" s="290">
        <f t="shared" si="698"/>
        <v>0</v>
      </c>
      <c r="GH118" s="290">
        <f t="shared" si="699"/>
        <v>0</v>
      </c>
      <c r="GI118" s="290">
        <f t="shared" si="700"/>
        <v>0</v>
      </c>
      <c r="GJ118" s="290">
        <f t="shared" si="701"/>
        <v>0</v>
      </c>
      <c r="GK118" s="290">
        <f t="shared" si="702"/>
        <v>0</v>
      </c>
      <c r="GL118" s="291">
        <f t="shared" si="703"/>
        <v>0</v>
      </c>
      <c r="GM118" s="291">
        <f t="shared" si="704"/>
        <v>0</v>
      </c>
      <c r="GN118" s="291">
        <f t="shared" si="705"/>
        <v>0</v>
      </c>
      <c r="GO118" s="292">
        <f t="shared" si="706"/>
        <v>0</v>
      </c>
      <c r="GP118" s="999">
        <v>27</v>
      </c>
      <c r="GQ118" s="286">
        <f t="shared" si="866"/>
        <v>44101</v>
      </c>
      <c r="GR118" s="293">
        <f t="shared" si="590"/>
        <v>44101</v>
      </c>
      <c r="GS118" s="288">
        <f>'दैनिक माहिती'!M193</f>
        <v>0</v>
      </c>
      <c r="GT118" s="289">
        <f>'दैनिक माहिती'!J193</f>
        <v>0</v>
      </c>
      <c r="GU118" s="289">
        <f>'दैनिक माहिती'!K193</f>
        <v>0</v>
      </c>
      <c r="GV118" s="289">
        <f>'दैनिक माहिती'!L193</f>
        <v>0</v>
      </c>
      <c r="GW118" s="290">
        <f t="shared" si="707"/>
        <v>0</v>
      </c>
      <c r="GX118" s="290">
        <f t="shared" si="708"/>
        <v>0</v>
      </c>
      <c r="GY118" s="290">
        <f t="shared" si="709"/>
        <v>0</v>
      </c>
      <c r="GZ118" s="290">
        <f t="shared" si="710"/>
        <v>0</v>
      </c>
      <c r="HA118" s="290">
        <f t="shared" si="711"/>
        <v>0</v>
      </c>
      <c r="HB118" s="290">
        <f t="shared" si="712"/>
        <v>0</v>
      </c>
      <c r="HC118" s="290">
        <f t="shared" si="713"/>
        <v>0</v>
      </c>
      <c r="HD118" s="290">
        <f t="shared" si="714"/>
        <v>0</v>
      </c>
      <c r="HE118" s="290">
        <f t="shared" si="715"/>
        <v>0</v>
      </c>
      <c r="HF118" s="290">
        <f t="shared" si="716"/>
        <v>0</v>
      </c>
      <c r="HG118" s="290">
        <f t="shared" si="717"/>
        <v>0</v>
      </c>
      <c r="HH118" s="290">
        <f t="shared" si="718"/>
        <v>0</v>
      </c>
      <c r="HI118" s="290">
        <f t="shared" si="719"/>
        <v>0</v>
      </c>
      <c r="HJ118" s="290">
        <f t="shared" si="720"/>
        <v>0</v>
      </c>
      <c r="HK118" s="290">
        <f t="shared" si="721"/>
        <v>0</v>
      </c>
      <c r="HL118" s="290">
        <f t="shared" si="722"/>
        <v>0</v>
      </c>
      <c r="HM118" s="290">
        <f t="shared" si="723"/>
        <v>0</v>
      </c>
      <c r="HN118" s="290">
        <f t="shared" si="724"/>
        <v>0</v>
      </c>
      <c r="HO118" s="291">
        <f t="shared" si="725"/>
        <v>0</v>
      </c>
      <c r="HP118" s="291">
        <f t="shared" si="726"/>
        <v>0</v>
      </c>
      <c r="HQ118" s="291">
        <f t="shared" si="727"/>
        <v>0</v>
      </c>
      <c r="HR118" s="292">
        <f t="shared" si="728"/>
        <v>0</v>
      </c>
      <c r="HS118" s="999">
        <v>27</v>
      </c>
      <c r="HT118" s="286">
        <f t="shared" si="867"/>
        <v>44131</v>
      </c>
      <c r="HU118" s="293">
        <f t="shared" si="591"/>
        <v>44131</v>
      </c>
      <c r="HV118" s="288">
        <f>'दैनिक माहिती'!M224</f>
        <v>0</v>
      </c>
      <c r="HW118" s="289">
        <f>'दैनिक माहिती'!J224</f>
        <v>0</v>
      </c>
      <c r="HX118" s="289">
        <f>'दैनिक माहिती'!K224</f>
        <v>0</v>
      </c>
      <c r="HY118" s="289">
        <f>'दैनिक माहिती'!L224</f>
        <v>0</v>
      </c>
      <c r="HZ118" s="290">
        <f t="shared" si="729"/>
        <v>0</v>
      </c>
      <c r="IA118" s="290">
        <f t="shared" si="730"/>
        <v>0</v>
      </c>
      <c r="IB118" s="290">
        <f t="shared" si="731"/>
        <v>0</v>
      </c>
      <c r="IC118" s="290">
        <f t="shared" si="732"/>
        <v>0</v>
      </c>
      <c r="ID118" s="290">
        <f t="shared" si="733"/>
        <v>0</v>
      </c>
      <c r="IE118" s="290">
        <f t="shared" si="734"/>
        <v>0</v>
      </c>
      <c r="IF118" s="290">
        <f t="shared" si="735"/>
        <v>0</v>
      </c>
      <c r="IG118" s="290">
        <f t="shared" si="736"/>
        <v>0</v>
      </c>
      <c r="IH118" s="290">
        <f t="shared" si="737"/>
        <v>0</v>
      </c>
      <c r="II118" s="290">
        <f t="shared" si="738"/>
        <v>0</v>
      </c>
      <c r="IJ118" s="290">
        <f t="shared" si="739"/>
        <v>0</v>
      </c>
      <c r="IK118" s="290">
        <f t="shared" si="740"/>
        <v>0</v>
      </c>
      <c r="IL118" s="290">
        <f t="shared" si="741"/>
        <v>0</v>
      </c>
      <c r="IM118" s="290">
        <f t="shared" si="742"/>
        <v>0</v>
      </c>
      <c r="IN118" s="290">
        <f t="shared" si="743"/>
        <v>0</v>
      </c>
      <c r="IO118" s="290">
        <f t="shared" si="744"/>
        <v>0</v>
      </c>
      <c r="IP118" s="290">
        <f t="shared" si="745"/>
        <v>0</v>
      </c>
      <c r="IQ118" s="290">
        <f t="shared" si="746"/>
        <v>0</v>
      </c>
      <c r="IR118" s="291">
        <f t="shared" si="747"/>
        <v>0</v>
      </c>
      <c r="IS118" s="291">
        <f t="shared" si="748"/>
        <v>0</v>
      </c>
      <c r="IT118" s="291">
        <f t="shared" si="749"/>
        <v>0</v>
      </c>
      <c r="IU118" s="292">
        <f t="shared" si="750"/>
        <v>0</v>
      </c>
      <c r="IV118" s="999">
        <v>27</v>
      </c>
      <c r="IW118" s="286">
        <f t="shared" si="868"/>
        <v>44162</v>
      </c>
      <c r="IX118" s="293">
        <f t="shared" si="592"/>
        <v>44162</v>
      </c>
      <c r="IY118" s="288">
        <f>'दैनिक माहिती'!M256</f>
        <v>0</v>
      </c>
      <c r="IZ118" s="289">
        <f>'दैनिक माहिती'!J256</f>
        <v>0</v>
      </c>
      <c r="JA118" s="289">
        <f>'दैनिक माहिती'!K256</f>
        <v>0</v>
      </c>
      <c r="JB118" s="289">
        <f>'दैनिक माहिती'!L256</f>
        <v>0</v>
      </c>
      <c r="JC118" s="290">
        <f t="shared" si="751"/>
        <v>0</v>
      </c>
      <c r="JD118" s="290">
        <f t="shared" si="752"/>
        <v>0</v>
      </c>
      <c r="JE118" s="290">
        <f t="shared" si="753"/>
        <v>0</v>
      </c>
      <c r="JF118" s="290">
        <f t="shared" si="754"/>
        <v>0</v>
      </c>
      <c r="JG118" s="290">
        <f t="shared" si="755"/>
        <v>0</v>
      </c>
      <c r="JH118" s="290">
        <f t="shared" si="756"/>
        <v>0</v>
      </c>
      <c r="JI118" s="290">
        <f t="shared" si="757"/>
        <v>0</v>
      </c>
      <c r="JJ118" s="290">
        <f t="shared" si="758"/>
        <v>0</v>
      </c>
      <c r="JK118" s="290">
        <f t="shared" si="759"/>
        <v>0</v>
      </c>
      <c r="JL118" s="290">
        <f t="shared" si="760"/>
        <v>0</v>
      </c>
      <c r="JM118" s="290">
        <f t="shared" si="761"/>
        <v>0</v>
      </c>
      <c r="JN118" s="290">
        <f t="shared" si="762"/>
        <v>0</v>
      </c>
      <c r="JO118" s="290">
        <f t="shared" si="763"/>
        <v>0</v>
      </c>
      <c r="JP118" s="290">
        <f t="shared" si="764"/>
        <v>0</v>
      </c>
      <c r="JQ118" s="290">
        <f t="shared" si="765"/>
        <v>0</v>
      </c>
      <c r="JR118" s="290">
        <f t="shared" si="766"/>
        <v>0</v>
      </c>
      <c r="JS118" s="290">
        <f t="shared" si="767"/>
        <v>0</v>
      </c>
      <c r="JT118" s="290">
        <f t="shared" si="768"/>
        <v>0</v>
      </c>
      <c r="JU118" s="291">
        <f t="shared" si="769"/>
        <v>0</v>
      </c>
      <c r="JV118" s="291">
        <f t="shared" si="770"/>
        <v>0</v>
      </c>
      <c r="JW118" s="291">
        <f t="shared" si="771"/>
        <v>0</v>
      </c>
      <c r="JX118" s="292">
        <f t="shared" si="772"/>
        <v>0</v>
      </c>
      <c r="JY118" s="999">
        <v>27</v>
      </c>
      <c r="JZ118" s="286">
        <f t="shared" si="869"/>
        <v>44192</v>
      </c>
      <c r="KA118" s="293">
        <f t="shared" si="593"/>
        <v>44192</v>
      </c>
      <c r="KB118" s="288">
        <f>'दैनिक माहिती'!M287</f>
        <v>0</v>
      </c>
      <c r="KC118" s="289">
        <f>'दैनिक माहिती'!J287</f>
        <v>0</v>
      </c>
      <c r="KD118" s="289">
        <f>'दैनिक माहिती'!K287</f>
        <v>0</v>
      </c>
      <c r="KE118" s="289">
        <f>'दैनिक माहिती'!L287</f>
        <v>0</v>
      </c>
      <c r="KF118" s="290">
        <f t="shared" si="773"/>
        <v>0</v>
      </c>
      <c r="KG118" s="290">
        <f t="shared" si="774"/>
        <v>0</v>
      </c>
      <c r="KH118" s="290">
        <f t="shared" si="775"/>
        <v>0</v>
      </c>
      <c r="KI118" s="290">
        <f t="shared" si="776"/>
        <v>0</v>
      </c>
      <c r="KJ118" s="290">
        <f t="shared" si="777"/>
        <v>0</v>
      </c>
      <c r="KK118" s="290">
        <f t="shared" si="778"/>
        <v>0</v>
      </c>
      <c r="KL118" s="290">
        <f t="shared" si="779"/>
        <v>0</v>
      </c>
      <c r="KM118" s="290">
        <f t="shared" si="780"/>
        <v>0</v>
      </c>
      <c r="KN118" s="290">
        <f t="shared" si="781"/>
        <v>0</v>
      </c>
      <c r="KO118" s="290">
        <f t="shared" si="782"/>
        <v>0</v>
      </c>
      <c r="KP118" s="290">
        <f t="shared" si="783"/>
        <v>0</v>
      </c>
      <c r="KQ118" s="290">
        <f t="shared" si="784"/>
        <v>0</v>
      </c>
      <c r="KR118" s="290">
        <f t="shared" si="785"/>
        <v>0</v>
      </c>
      <c r="KS118" s="290">
        <f t="shared" si="786"/>
        <v>0</v>
      </c>
      <c r="KT118" s="290">
        <f t="shared" si="787"/>
        <v>0</v>
      </c>
      <c r="KU118" s="290">
        <f t="shared" si="788"/>
        <v>0</v>
      </c>
      <c r="KV118" s="290">
        <f t="shared" si="789"/>
        <v>0</v>
      </c>
      <c r="KW118" s="290">
        <f t="shared" si="790"/>
        <v>0</v>
      </c>
      <c r="KX118" s="291">
        <f t="shared" si="791"/>
        <v>0</v>
      </c>
      <c r="KY118" s="291">
        <f t="shared" si="792"/>
        <v>0</v>
      </c>
      <c r="KZ118" s="291">
        <f t="shared" si="793"/>
        <v>0</v>
      </c>
      <c r="LA118" s="292">
        <f t="shared" si="794"/>
        <v>0</v>
      </c>
      <c r="LB118" s="999">
        <v>27</v>
      </c>
      <c r="LC118" s="286">
        <f t="shared" si="870"/>
        <v>44223</v>
      </c>
      <c r="LD118" s="293">
        <f t="shared" si="594"/>
        <v>44223</v>
      </c>
      <c r="LE118" s="288">
        <f>'दैनिक माहिती'!M319</f>
        <v>0</v>
      </c>
      <c r="LF118" s="289">
        <f>'दैनिक माहिती'!J319</f>
        <v>0</v>
      </c>
      <c r="LG118" s="289">
        <f>'दैनिक माहिती'!K319</f>
        <v>0</v>
      </c>
      <c r="LH118" s="289">
        <f>'दैनिक माहिती'!L319</f>
        <v>0</v>
      </c>
      <c r="LI118" s="290">
        <f t="shared" si="795"/>
        <v>0</v>
      </c>
      <c r="LJ118" s="290">
        <f t="shared" si="796"/>
        <v>0</v>
      </c>
      <c r="LK118" s="290">
        <f t="shared" si="797"/>
        <v>0</v>
      </c>
      <c r="LL118" s="290">
        <f t="shared" si="798"/>
        <v>0</v>
      </c>
      <c r="LM118" s="290">
        <f t="shared" si="799"/>
        <v>0</v>
      </c>
      <c r="LN118" s="290">
        <f t="shared" si="800"/>
        <v>0</v>
      </c>
      <c r="LO118" s="290">
        <f t="shared" si="801"/>
        <v>0</v>
      </c>
      <c r="LP118" s="290">
        <f t="shared" si="802"/>
        <v>0</v>
      </c>
      <c r="LQ118" s="290">
        <f t="shared" si="803"/>
        <v>0</v>
      </c>
      <c r="LR118" s="290">
        <f t="shared" si="804"/>
        <v>0</v>
      </c>
      <c r="LS118" s="290">
        <f t="shared" si="805"/>
        <v>0</v>
      </c>
      <c r="LT118" s="290">
        <f t="shared" si="806"/>
        <v>0</v>
      </c>
      <c r="LU118" s="290">
        <f t="shared" si="807"/>
        <v>0</v>
      </c>
      <c r="LV118" s="290">
        <f t="shared" si="808"/>
        <v>0</v>
      </c>
      <c r="LW118" s="290">
        <f t="shared" si="809"/>
        <v>0</v>
      </c>
      <c r="LX118" s="290">
        <f t="shared" si="810"/>
        <v>0</v>
      </c>
      <c r="LY118" s="290">
        <f t="shared" si="811"/>
        <v>0</v>
      </c>
      <c r="LZ118" s="290">
        <f t="shared" si="812"/>
        <v>0</v>
      </c>
      <c r="MA118" s="291">
        <f t="shared" si="813"/>
        <v>0</v>
      </c>
      <c r="MB118" s="291">
        <f t="shared" si="814"/>
        <v>0</v>
      </c>
      <c r="MC118" s="291">
        <f t="shared" si="815"/>
        <v>0</v>
      </c>
      <c r="MD118" s="292">
        <f t="shared" si="816"/>
        <v>0</v>
      </c>
      <c r="ME118" s="999">
        <v>27</v>
      </c>
      <c r="MF118" s="286">
        <f t="shared" si="871"/>
        <v>44254</v>
      </c>
      <c r="MG118" s="293">
        <f t="shared" si="595"/>
        <v>44254</v>
      </c>
      <c r="MH118" s="288">
        <f>'दैनिक माहिती'!M351</f>
        <v>0</v>
      </c>
      <c r="MI118" s="289">
        <f>'दैनिक माहिती'!J351</f>
        <v>0</v>
      </c>
      <c r="MJ118" s="289">
        <f>'दैनिक माहिती'!K351</f>
        <v>0</v>
      </c>
      <c r="MK118" s="289">
        <f>'दैनिक माहिती'!L351</f>
        <v>0</v>
      </c>
      <c r="ML118" s="290">
        <f t="shared" si="817"/>
        <v>0</v>
      </c>
      <c r="MM118" s="290">
        <f t="shared" si="818"/>
        <v>0</v>
      </c>
      <c r="MN118" s="290">
        <f t="shared" si="819"/>
        <v>0</v>
      </c>
      <c r="MO118" s="290">
        <f t="shared" si="820"/>
        <v>0</v>
      </c>
      <c r="MP118" s="290">
        <f t="shared" si="821"/>
        <v>0</v>
      </c>
      <c r="MQ118" s="290">
        <f t="shared" si="822"/>
        <v>0</v>
      </c>
      <c r="MR118" s="290">
        <f t="shared" si="823"/>
        <v>0</v>
      </c>
      <c r="MS118" s="290">
        <f t="shared" si="824"/>
        <v>0</v>
      </c>
      <c r="MT118" s="290">
        <f t="shared" si="825"/>
        <v>0</v>
      </c>
      <c r="MU118" s="290">
        <f t="shared" si="826"/>
        <v>0</v>
      </c>
      <c r="MV118" s="290">
        <f t="shared" si="827"/>
        <v>0</v>
      </c>
      <c r="MW118" s="290">
        <f t="shared" si="828"/>
        <v>0</v>
      </c>
      <c r="MX118" s="290">
        <f t="shared" si="829"/>
        <v>0</v>
      </c>
      <c r="MY118" s="290">
        <f t="shared" si="830"/>
        <v>0</v>
      </c>
      <c r="MZ118" s="290">
        <f t="shared" si="831"/>
        <v>0</v>
      </c>
      <c r="NA118" s="290">
        <f t="shared" si="832"/>
        <v>0</v>
      </c>
      <c r="NB118" s="290">
        <f t="shared" si="833"/>
        <v>0</v>
      </c>
      <c r="NC118" s="290">
        <f t="shared" si="834"/>
        <v>0</v>
      </c>
      <c r="ND118" s="291">
        <f t="shared" si="835"/>
        <v>0</v>
      </c>
      <c r="NE118" s="291">
        <f t="shared" si="836"/>
        <v>0</v>
      </c>
      <c r="NF118" s="291">
        <f t="shared" si="837"/>
        <v>0</v>
      </c>
      <c r="NG118" s="292">
        <f t="shared" si="838"/>
        <v>0</v>
      </c>
      <c r="NH118" s="999">
        <v>27</v>
      </c>
      <c r="NI118" s="286">
        <f t="shared" si="872"/>
        <v>44282</v>
      </c>
      <c r="NJ118" s="293">
        <f t="shared" si="596"/>
        <v>44282</v>
      </c>
      <c r="NK118" s="288">
        <f>'दैनिक माहिती'!M381</f>
        <v>0</v>
      </c>
      <c r="NL118" s="289">
        <f>'दैनिक माहिती'!J381</f>
        <v>0</v>
      </c>
      <c r="NM118" s="289">
        <f>'दैनिक माहिती'!K381</f>
        <v>0</v>
      </c>
      <c r="NN118" s="289">
        <f>'दैनिक माहिती'!L381</f>
        <v>0</v>
      </c>
      <c r="NO118" s="290">
        <f t="shared" si="839"/>
        <v>0</v>
      </c>
      <c r="NP118" s="290">
        <f t="shared" si="840"/>
        <v>0</v>
      </c>
      <c r="NQ118" s="290">
        <f t="shared" si="841"/>
        <v>0</v>
      </c>
      <c r="NR118" s="290">
        <f t="shared" si="842"/>
        <v>0</v>
      </c>
      <c r="NS118" s="290">
        <f t="shared" si="843"/>
        <v>0</v>
      </c>
      <c r="NT118" s="290">
        <f t="shared" si="844"/>
        <v>0</v>
      </c>
      <c r="NU118" s="290">
        <f t="shared" si="845"/>
        <v>0</v>
      </c>
      <c r="NV118" s="290">
        <f t="shared" si="846"/>
        <v>0</v>
      </c>
      <c r="NW118" s="290">
        <f t="shared" si="847"/>
        <v>0</v>
      </c>
      <c r="NX118" s="290">
        <f t="shared" si="848"/>
        <v>0</v>
      </c>
      <c r="NY118" s="290">
        <f t="shared" si="849"/>
        <v>0</v>
      </c>
      <c r="NZ118" s="290">
        <f t="shared" si="850"/>
        <v>0</v>
      </c>
      <c r="OA118" s="290">
        <f t="shared" si="851"/>
        <v>0</v>
      </c>
      <c r="OB118" s="290">
        <f t="shared" si="852"/>
        <v>0</v>
      </c>
      <c r="OC118" s="290">
        <f t="shared" si="853"/>
        <v>0</v>
      </c>
      <c r="OD118" s="290">
        <f t="shared" si="854"/>
        <v>0</v>
      </c>
      <c r="OE118" s="290">
        <f t="shared" si="855"/>
        <v>0</v>
      </c>
      <c r="OF118" s="290">
        <f t="shared" si="856"/>
        <v>0</v>
      </c>
      <c r="OG118" s="291">
        <f t="shared" si="857"/>
        <v>0</v>
      </c>
      <c r="OH118" s="291">
        <f t="shared" si="858"/>
        <v>0</v>
      </c>
      <c r="OI118" s="291">
        <f t="shared" si="859"/>
        <v>0</v>
      </c>
      <c r="OJ118" s="292">
        <f t="shared" si="860"/>
        <v>0</v>
      </c>
    </row>
    <row r="119" spans="53:400" ht="29.25" customHeight="1" x14ac:dyDescent="0.3">
      <c r="BA119" s="999">
        <v>28</v>
      </c>
      <c r="BB119" s="286">
        <f t="shared" si="861"/>
        <v>43949</v>
      </c>
      <c r="BC119" s="287">
        <f t="shared" si="585"/>
        <v>43949</v>
      </c>
      <c r="BD119" s="288">
        <f>'दैनिक माहिती'!M36</f>
        <v>0</v>
      </c>
      <c r="BE119" s="289">
        <f>'दैनिक माहिती'!J36</f>
        <v>0</v>
      </c>
      <c r="BF119" s="289">
        <f>'दैनिक माहिती'!K36</f>
        <v>0</v>
      </c>
      <c r="BG119" s="289">
        <f>'दैनिक माहिती'!L36</f>
        <v>0</v>
      </c>
      <c r="BH119" s="290">
        <f t="shared" si="597"/>
        <v>0</v>
      </c>
      <c r="BI119" s="290">
        <f t="shared" si="598"/>
        <v>0</v>
      </c>
      <c r="BJ119" s="290">
        <f t="shared" si="599"/>
        <v>0</v>
      </c>
      <c r="BK119" s="290">
        <f t="shared" si="600"/>
        <v>0</v>
      </c>
      <c r="BL119" s="290">
        <f t="shared" si="601"/>
        <v>0</v>
      </c>
      <c r="BM119" s="290">
        <f t="shared" si="602"/>
        <v>0</v>
      </c>
      <c r="BN119" s="290">
        <f t="shared" si="603"/>
        <v>0</v>
      </c>
      <c r="BO119" s="290">
        <f t="shared" si="604"/>
        <v>0</v>
      </c>
      <c r="BP119" s="290">
        <f t="shared" si="605"/>
        <v>0</v>
      </c>
      <c r="BQ119" s="290">
        <f t="shared" si="606"/>
        <v>0</v>
      </c>
      <c r="BR119" s="290">
        <f t="shared" si="607"/>
        <v>0</v>
      </c>
      <c r="BS119" s="290">
        <f t="shared" si="608"/>
        <v>0</v>
      </c>
      <c r="BT119" s="290">
        <f t="shared" si="609"/>
        <v>0</v>
      </c>
      <c r="BU119" s="290">
        <f t="shared" si="610"/>
        <v>0</v>
      </c>
      <c r="BV119" s="290">
        <f t="shared" si="611"/>
        <v>0</v>
      </c>
      <c r="BW119" s="290">
        <f t="shared" si="612"/>
        <v>0</v>
      </c>
      <c r="BX119" s="290">
        <f t="shared" si="613"/>
        <v>0</v>
      </c>
      <c r="BY119" s="290">
        <f t="shared" si="614"/>
        <v>0</v>
      </c>
      <c r="BZ119" s="291">
        <f t="shared" si="615"/>
        <v>0</v>
      </c>
      <c r="CA119" s="291">
        <f t="shared" si="616"/>
        <v>0</v>
      </c>
      <c r="CB119" s="291">
        <f t="shared" si="617"/>
        <v>0</v>
      </c>
      <c r="CC119" s="292">
        <f t="shared" si="618"/>
        <v>0</v>
      </c>
      <c r="CD119" s="999">
        <v>28</v>
      </c>
      <c r="CE119" s="286">
        <f t="shared" si="862"/>
        <v>43979</v>
      </c>
      <c r="CF119" s="287">
        <f t="shared" si="586"/>
        <v>43979</v>
      </c>
      <c r="CG119" s="288">
        <f>'दैनिक माहिती'!M67</f>
        <v>0</v>
      </c>
      <c r="CH119" s="289">
        <f>'दैनिक माहिती'!J67</f>
        <v>0</v>
      </c>
      <c r="CI119" s="289">
        <f>'दैनिक माहिती'!K67</f>
        <v>0</v>
      </c>
      <c r="CJ119" s="289">
        <f>'दैनिक माहिती'!L67</f>
        <v>0</v>
      </c>
      <c r="CK119" s="290">
        <f t="shared" si="619"/>
        <v>0</v>
      </c>
      <c r="CL119" s="290">
        <f t="shared" si="620"/>
        <v>0</v>
      </c>
      <c r="CM119" s="290">
        <f t="shared" si="621"/>
        <v>0</v>
      </c>
      <c r="CN119" s="290">
        <f t="shared" si="622"/>
        <v>0</v>
      </c>
      <c r="CO119" s="290">
        <f t="shared" si="623"/>
        <v>0</v>
      </c>
      <c r="CP119" s="290">
        <f t="shared" si="624"/>
        <v>0</v>
      </c>
      <c r="CQ119" s="290">
        <f t="shared" si="625"/>
        <v>0</v>
      </c>
      <c r="CR119" s="290">
        <f t="shared" si="626"/>
        <v>0</v>
      </c>
      <c r="CS119" s="290">
        <f t="shared" si="627"/>
        <v>0</v>
      </c>
      <c r="CT119" s="290">
        <f t="shared" si="628"/>
        <v>0</v>
      </c>
      <c r="CU119" s="290">
        <f t="shared" si="629"/>
        <v>0</v>
      </c>
      <c r="CV119" s="290">
        <f t="shared" si="630"/>
        <v>0</v>
      </c>
      <c r="CW119" s="290">
        <f t="shared" si="631"/>
        <v>0</v>
      </c>
      <c r="CX119" s="290">
        <f t="shared" si="632"/>
        <v>0</v>
      </c>
      <c r="CY119" s="290">
        <f t="shared" si="633"/>
        <v>0</v>
      </c>
      <c r="CZ119" s="290">
        <f t="shared" si="634"/>
        <v>0</v>
      </c>
      <c r="DA119" s="290">
        <f t="shared" si="635"/>
        <v>0</v>
      </c>
      <c r="DB119" s="290">
        <f t="shared" si="636"/>
        <v>0</v>
      </c>
      <c r="DC119" s="291">
        <f t="shared" si="637"/>
        <v>0</v>
      </c>
      <c r="DD119" s="291">
        <f t="shared" si="638"/>
        <v>0</v>
      </c>
      <c r="DE119" s="291">
        <f t="shared" si="639"/>
        <v>0</v>
      </c>
      <c r="DF119" s="292">
        <f t="shared" si="640"/>
        <v>0</v>
      </c>
      <c r="DG119" s="999">
        <v>28</v>
      </c>
      <c r="DH119" s="286">
        <f t="shared" si="863"/>
        <v>44010</v>
      </c>
      <c r="DI119" s="287">
        <f t="shared" si="587"/>
        <v>44010</v>
      </c>
      <c r="DJ119" s="288">
        <f>'दैनिक माहिती'!M99</f>
        <v>0</v>
      </c>
      <c r="DK119" s="289">
        <f>'दैनिक माहिती'!J99</f>
        <v>0</v>
      </c>
      <c r="DL119" s="289">
        <f>'दैनिक माहिती'!K99</f>
        <v>0</v>
      </c>
      <c r="DM119" s="289">
        <f>'दैनिक माहिती'!L99</f>
        <v>0</v>
      </c>
      <c r="DN119" s="290">
        <f t="shared" si="641"/>
        <v>0</v>
      </c>
      <c r="DO119" s="290">
        <f t="shared" si="642"/>
        <v>0</v>
      </c>
      <c r="DP119" s="290">
        <f t="shared" si="643"/>
        <v>0</v>
      </c>
      <c r="DQ119" s="290">
        <f t="shared" si="644"/>
        <v>0</v>
      </c>
      <c r="DR119" s="290">
        <f t="shared" si="645"/>
        <v>0</v>
      </c>
      <c r="DS119" s="290">
        <f t="shared" si="646"/>
        <v>0</v>
      </c>
      <c r="DT119" s="290">
        <f t="shared" si="647"/>
        <v>0</v>
      </c>
      <c r="DU119" s="290">
        <f t="shared" si="648"/>
        <v>0</v>
      </c>
      <c r="DV119" s="290">
        <f t="shared" si="649"/>
        <v>0</v>
      </c>
      <c r="DW119" s="290">
        <f t="shared" si="650"/>
        <v>0</v>
      </c>
      <c r="DX119" s="290">
        <f t="shared" si="651"/>
        <v>0</v>
      </c>
      <c r="DY119" s="290">
        <f t="shared" si="652"/>
        <v>0</v>
      </c>
      <c r="DZ119" s="290">
        <f t="shared" si="653"/>
        <v>0</v>
      </c>
      <c r="EA119" s="290">
        <f t="shared" si="654"/>
        <v>0</v>
      </c>
      <c r="EB119" s="290">
        <f t="shared" si="655"/>
        <v>0</v>
      </c>
      <c r="EC119" s="290">
        <f t="shared" si="656"/>
        <v>0</v>
      </c>
      <c r="ED119" s="290">
        <f t="shared" si="657"/>
        <v>0</v>
      </c>
      <c r="EE119" s="290">
        <f t="shared" si="658"/>
        <v>0</v>
      </c>
      <c r="EF119" s="291">
        <f t="shared" si="659"/>
        <v>0</v>
      </c>
      <c r="EG119" s="291">
        <f t="shared" si="660"/>
        <v>0</v>
      </c>
      <c r="EH119" s="291">
        <f t="shared" si="661"/>
        <v>0</v>
      </c>
      <c r="EI119" s="292">
        <f t="shared" si="662"/>
        <v>0</v>
      </c>
      <c r="EJ119" s="999">
        <v>28</v>
      </c>
      <c r="EK119" s="286">
        <f t="shared" si="864"/>
        <v>44040</v>
      </c>
      <c r="EL119" s="287">
        <f t="shared" si="588"/>
        <v>44040</v>
      </c>
      <c r="EM119" s="288">
        <f>'दैनिक माहिती'!M130</f>
        <v>0</v>
      </c>
      <c r="EN119" s="289">
        <f>'दैनिक माहिती'!J130</f>
        <v>0</v>
      </c>
      <c r="EO119" s="289">
        <f>'दैनिक माहिती'!K130</f>
        <v>0</v>
      </c>
      <c r="EP119" s="289">
        <f>'दैनिक माहिती'!L130</f>
        <v>0</v>
      </c>
      <c r="EQ119" s="290">
        <f t="shared" si="663"/>
        <v>0</v>
      </c>
      <c r="ER119" s="290">
        <f t="shared" si="664"/>
        <v>0</v>
      </c>
      <c r="ES119" s="290">
        <f t="shared" si="665"/>
        <v>0</v>
      </c>
      <c r="ET119" s="290">
        <f t="shared" si="666"/>
        <v>0</v>
      </c>
      <c r="EU119" s="290">
        <f t="shared" si="667"/>
        <v>0</v>
      </c>
      <c r="EV119" s="290">
        <f t="shared" si="668"/>
        <v>0</v>
      </c>
      <c r="EW119" s="290">
        <f t="shared" si="669"/>
        <v>0</v>
      </c>
      <c r="EX119" s="290">
        <f t="shared" si="670"/>
        <v>0</v>
      </c>
      <c r="EY119" s="290">
        <f t="shared" si="671"/>
        <v>0</v>
      </c>
      <c r="EZ119" s="290">
        <f t="shared" si="672"/>
        <v>0</v>
      </c>
      <c r="FA119" s="290">
        <f t="shared" si="673"/>
        <v>0</v>
      </c>
      <c r="FB119" s="290">
        <f t="shared" si="674"/>
        <v>0</v>
      </c>
      <c r="FC119" s="290">
        <f t="shared" si="675"/>
        <v>0</v>
      </c>
      <c r="FD119" s="290">
        <f t="shared" si="676"/>
        <v>0</v>
      </c>
      <c r="FE119" s="290">
        <f t="shared" si="677"/>
        <v>0</v>
      </c>
      <c r="FF119" s="290">
        <f t="shared" si="678"/>
        <v>0</v>
      </c>
      <c r="FG119" s="290">
        <f t="shared" si="679"/>
        <v>0</v>
      </c>
      <c r="FH119" s="290">
        <f t="shared" si="680"/>
        <v>0</v>
      </c>
      <c r="FI119" s="291">
        <f t="shared" si="681"/>
        <v>0</v>
      </c>
      <c r="FJ119" s="291">
        <f t="shared" si="682"/>
        <v>0</v>
      </c>
      <c r="FK119" s="291">
        <f t="shared" si="683"/>
        <v>0</v>
      </c>
      <c r="FL119" s="292">
        <f t="shared" si="684"/>
        <v>0</v>
      </c>
      <c r="FM119" s="999">
        <v>28</v>
      </c>
      <c r="FN119" s="286">
        <f t="shared" si="865"/>
        <v>44071</v>
      </c>
      <c r="FO119" s="287">
        <f t="shared" si="589"/>
        <v>44071</v>
      </c>
      <c r="FP119" s="288">
        <f>'दैनिक माहिती'!M162</f>
        <v>0</v>
      </c>
      <c r="FQ119" s="289">
        <f>'दैनिक माहिती'!J162</f>
        <v>0</v>
      </c>
      <c r="FR119" s="289">
        <f>'दैनिक माहिती'!K162</f>
        <v>0</v>
      </c>
      <c r="FS119" s="289">
        <f>'दैनिक माहिती'!L162</f>
        <v>0</v>
      </c>
      <c r="FT119" s="290">
        <f t="shared" si="685"/>
        <v>0</v>
      </c>
      <c r="FU119" s="290">
        <f t="shared" si="686"/>
        <v>0</v>
      </c>
      <c r="FV119" s="290">
        <f t="shared" si="687"/>
        <v>0</v>
      </c>
      <c r="FW119" s="290">
        <f t="shared" si="688"/>
        <v>0</v>
      </c>
      <c r="FX119" s="290">
        <f t="shared" si="689"/>
        <v>0</v>
      </c>
      <c r="FY119" s="290">
        <f t="shared" si="690"/>
        <v>0</v>
      </c>
      <c r="FZ119" s="290">
        <f t="shared" si="691"/>
        <v>0</v>
      </c>
      <c r="GA119" s="290">
        <f t="shared" si="692"/>
        <v>0</v>
      </c>
      <c r="GB119" s="290">
        <f t="shared" si="693"/>
        <v>0</v>
      </c>
      <c r="GC119" s="290">
        <f t="shared" si="694"/>
        <v>0</v>
      </c>
      <c r="GD119" s="290">
        <f t="shared" si="695"/>
        <v>0</v>
      </c>
      <c r="GE119" s="290">
        <f t="shared" si="696"/>
        <v>0</v>
      </c>
      <c r="GF119" s="290">
        <f t="shared" si="697"/>
        <v>0</v>
      </c>
      <c r="GG119" s="290">
        <f t="shared" si="698"/>
        <v>0</v>
      </c>
      <c r="GH119" s="290">
        <f t="shared" si="699"/>
        <v>0</v>
      </c>
      <c r="GI119" s="290">
        <f t="shared" si="700"/>
        <v>0</v>
      </c>
      <c r="GJ119" s="290">
        <f t="shared" si="701"/>
        <v>0</v>
      </c>
      <c r="GK119" s="290">
        <f t="shared" si="702"/>
        <v>0</v>
      </c>
      <c r="GL119" s="291">
        <f t="shared" si="703"/>
        <v>0</v>
      </c>
      <c r="GM119" s="291">
        <f t="shared" si="704"/>
        <v>0</v>
      </c>
      <c r="GN119" s="291">
        <f t="shared" si="705"/>
        <v>0</v>
      </c>
      <c r="GO119" s="292">
        <f t="shared" si="706"/>
        <v>0</v>
      </c>
      <c r="GP119" s="999">
        <v>28</v>
      </c>
      <c r="GQ119" s="286">
        <f t="shared" si="866"/>
        <v>44102</v>
      </c>
      <c r="GR119" s="287">
        <f t="shared" si="590"/>
        <v>44102</v>
      </c>
      <c r="GS119" s="288">
        <f>'दैनिक माहिती'!M194</f>
        <v>0</v>
      </c>
      <c r="GT119" s="289">
        <f>'दैनिक माहिती'!J194</f>
        <v>0</v>
      </c>
      <c r="GU119" s="289">
        <f>'दैनिक माहिती'!K194</f>
        <v>0</v>
      </c>
      <c r="GV119" s="289">
        <f>'दैनिक माहिती'!L194</f>
        <v>0</v>
      </c>
      <c r="GW119" s="290">
        <f t="shared" si="707"/>
        <v>0</v>
      </c>
      <c r="GX119" s="290">
        <f t="shared" si="708"/>
        <v>0</v>
      </c>
      <c r="GY119" s="290">
        <f t="shared" si="709"/>
        <v>0</v>
      </c>
      <c r="GZ119" s="290">
        <f t="shared" si="710"/>
        <v>0</v>
      </c>
      <c r="HA119" s="290">
        <f t="shared" si="711"/>
        <v>0</v>
      </c>
      <c r="HB119" s="290">
        <f t="shared" si="712"/>
        <v>0</v>
      </c>
      <c r="HC119" s="290">
        <f t="shared" si="713"/>
        <v>0</v>
      </c>
      <c r="HD119" s="290">
        <f t="shared" si="714"/>
        <v>0</v>
      </c>
      <c r="HE119" s="290">
        <f t="shared" si="715"/>
        <v>0</v>
      </c>
      <c r="HF119" s="290">
        <f t="shared" si="716"/>
        <v>0</v>
      </c>
      <c r="HG119" s="290">
        <f t="shared" si="717"/>
        <v>0</v>
      </c>
      <c r="HH119" s="290">
        <f t="shared" si="718"/>
        <v>0</v>
      </c>
      <c r="HI119" s="290">
        <f t="shared" si="719"/>
        <v>0</v>
      </c>
      <c r="HJ119" s="290">
        <f t="shared" si="720"/>
        <v>0</v>
      </c>
      <c r="HK119" s="290">
        <f t="shared" si="721"/>
        <v>0</v>
      </c>
      <c r="HL119" s="290">
        <f t="shared" si="722"/>
        <v>0</v>
      </c>
      <c r="HM119" s="290">
        <f t="shared" si="723"/>
        <v>0</v>
      </c>
      <c r="HN119" s="290">
        <f t="shared" si="724"/>
        <v>0</v>
      </c>
      <c r="HO119" s="291">
        <f t="shared" si="725"/>
        <v>0</v>
      </c>
      <c r="HP119" s="291">
        <f t="shared" si="726"/>
        <v>0</v>
      </c>
      <c r="HQ119" s="291">
        <f t="shared" si="727"/>
        <v>0</v>
      </c>
      <c r="HR119" s="292">
        <f t="shared" si="728"/>
        <v>0</v>
      </c>
      <c r="HS119" s="999">
        <v>28</v>
      </c>
      <c r="HT119" s="286">
        <f t="shared" si="867"/>
        <v>44132</v>
      </c>
      <c r="HU119" s="287">
        <f t="shared" si="591"/>
        <v>44132</v>
      </c>
      <c r="HV119" s="288">
        <f>'दैनिक माहिती'!M225</f>
        <v>0</v>
      </c>
      <c r="HW119" s="289">
        <f>'दैनिक माहिती'!J225</f>
        <v>0</v>
      </c>
      <c r="HX119" s="289">
        <f>'दैनिक माहिती'!K225</f>
        <v>0</v>
      </c>
      <c r="HY119" s="289">
        <f>'दैनिक माहिती'!L225</f>
        <v>0</v>
      </c>
      <c r="HZ119" s="290">
        <f t="shared" si="729"/>
        <v>0</v>
      </c>
      <c r="IA119" s="290">
        <f t="shared" si="730"/>
        <v>0</v>
      </c>
      <c r="IB119" s="290">
        <f t="shared" si="731"/>
        <v>0</v>
      </c>
      <c r="IC119" s="290">
        <f t="shared" si="732"/>
        <v>0</v>
      </c>
      <c r="ID119" s="290">
        <f t="shared" si="733"/>
        <v>0</v>
      </c>
      <c r="IE119" s="290">
        <f t="shared" si="734"/>
        <v>0</v>
      </c>
      <c r="IF119" s="290">
        <f t="shared" si="735"/>
        <v>0</v>
      </c>
      <c r="IG119" s="290">
        <f t="shared" si="736"/>
        <v>0</v>
      </c>
      <c r="IH119" s="290">
        <f t="shared" si="737"/>
        <v>0</v>
      </c>
      <c r="II119" s="290">
        <f t="shared" si="738"/>
        <v>0</v>
      </c>
      <c r="IJ119" s="290">
        <f t="shared" si="739"/>
        <v>0</v>
      </c>
      <c r="IK119" s="290">
        <f t="shared" si="740"/>
        <v>0</v>
      </c>
      <c r="IL119" s="290">
        <f t="shared" si="741"/>
        <v>0</v>
      </c>
      <c r="IM119" s="290">
        <f t="shared" si="742"/>
        <v>0</v>
      </c>
      <c r="IN119" s="290">
        <f t="shared" si="743"/>
        <v>0</v>
      </c>
      <c r="IO119" s="290">
        <f t="shared" si="744"/>
        <v>0</v>
      </c>
      <c r="IP119" s="290">
        <f t="shared" si="745"/>
        <v>0</v>
      </c>
      <c r="IQ119" s="290">
        <f t="shared" si="746"/>
        <v>0</v>
      </c>
      <c r="IR119" s="291">
        <f t="shared" si="747"/>
        <v>0</v>
      </c>
      <c r="IS119" s="291">
        <f t="shared" si="748"/>
        <v>0</v>
      </c>
      <c r="IT119" s="291">
        <f t="shared" si="749"/>
        <v>0</v>
      </c>
      <c r="IU119" s="292">
        <f t="shared" si="750"/>
        <v>0</v>
      </c>
      <c r="IV119" s="999">
        <v>28</v>
      </c>
      <c r="IW119" s="286">
        <f t="shared" si="868"/>
        <v>44163</v>
      </c>
      <c r="IX119" s="287">
        <f t="shared" si="592"/>
        <v>44163</v>
      </c>
      <c r="IY119" s="288">
        <f>'दैनिक माहिती'!M257</f>
        <v>0</v>
      </c>
      <c r="IZ119" s="289">
        <f>'दैनिक माहिती'!J257</f>
        <v>0</v>
      </c>
      <c r="JA119" s="289">
        <f>'दैनिक माहिती'!K257</f>
        <v>0</v>
      </c>
      <c r="JB119" s="289">
        <f>'दैनिक माहिती'!L257</f>
        <v>0</v>
      </c>
      <c r="JC119" s="290">
        <f t="shared" si="751"/>
        <v>0</v>
      </c>
      <c r="JD119" s="290">
        <f t="shared" si="752"/>
        <v>0</v>
      </c>
      <c r="JE119" s="290">
        <f t="shared" si="753"/>
        <v>0</v>
      </c>
      <c r="JF119" s="290">
        <f t="shared" si="754"/>
        <v>0</v>
      </c>
      <c r="JG119" s="290">
        <f t="shared" si="755"/>
        <v>0</v>
      </c>
      <c r="JH119" s="290">
        <f t="shared" si="756"/>
        <v>0</v>
      </c>
      <c r="JI119" s="290">
        <f t="shared" si="757"/>
        <v>0</v>
      </c>
      <c r="JJ119" s="290">
        <f t="shared" si="758"/>
        <v>0</v>
      </c>
      <c r="JK119" s="290">
        <f t="shared" si="759"/>
        <v>0</v>
      </c>
      <c r="JL119" s="290">
        <f t="shared" si="760"/>
        <v>0</v>
      </c>
      <c r="JM119" s="290">
        <f t="shared" si="761"/>
        <v>0</v>
      </c>
      <c r="JN119" s="290">
        <f t="shared" si="762"/>
        <v>0</v>
      </c>
      <c r="JO119" s="290">
        <f t="shared" si="763"/>
        <v>0</v>
      </c>
      <c r="JP119" s="290">
        <f t="shared" si="764"/>
        <v>0</v>
      </c>
      <c r="JQ119" s="290">
        <f t="shared" si="765"/>
        <v>0</v>
      </c>
      <c r="JR119" s="290">
        <f t="shared" si="766"/>
        <v>0</v>
      </c>
      <c r="JS119" s="290">
        <f t="shared" si="767"/>
        <v>0</v>
      </c>
      <c r="JT119" s="290">
        <f t="shared" si="768"/>
        <v>0</v>
      </c>
      <c r="JU119" s="291">
        <f t="shared" si="769"/>
        <v>0</v>
      </c>
      <c r="JV119" s="291">
        <f t="shared" si="770"/>
        <v>0</v>
      </c>
      <c r="JW119" s="291">
        <f t="shared" si="771"/>
        <v>0</v>
      </c>
      <c r="JX119" s="292">
        <f t="shared" si="772"/>
        <v>0</v>
      </c>
      <c r="JY119" s="999">
        <v>28</v>
      </c>
      <c r="JZ119" s="286">
        <f t="shared" si="869"/>
        <v>44193</v>
      </c>
      <c r="KA119" s="287">
        <f t="shared" si="593"/>
        <v>44193</v>
      </c>
      <c r="KB119" s="288">
        <f>'दैनिक माहिती'!M288</f>
        <v>0</v>
      </c>
      <c r="KC119" s="289">
        <f>'दैनिक माहिती'!J288</f>
        <v>0</v>
      </c>
      <c r="KD119" s="289">
        <f>'दैनिक माहिती'!K288</f>
        <v>0</v>
      </c>
      <c r="KE119" s="289">
        <f>'दैनिक माहिती'!L288</f>
        <v>0</v>
      </c>
      <c r="KF119" s="290">
        <f t="shared" si="773"/>
        <v>0</v>
      </c>
      <c r="KG119" s="290">
        <f t="shared" si="774"/>
        <v>0</v>
      </c>
      <c r="KH119" s="290">
        <f t="shared" si="775"/>
        <v>0</v>
      </c>
      <c r="KI119" s="290">
        <f t="shared" si="776"/>
        <v>0</v>
      </c>
      <c r="KJ119" s="290">
        <f t="shared" si="777"/>
        <v>0</v>
      </c>
      <c r="KK119" s="290">
        <f t="shared" si="778"/>
        <v>0</v>
      </c>
      <c r="KL119" s="290">
        <f t="shared" si="779"/>
        <v>0</v>
      </c>
      <c r="KM119" s="290">
        <f t="shared" si="780"/>
        <v>0</v>
      </c>
      <c r="KN119" s="290">
        <f t="shared" si="781"/>
        <v>0</v>
      </c>
      <c r="KO119" s="290">
        <f t="shared" si="782"/>
        <v>0</v>
      </c>
      <c r="KP119" s="290">
        <f t="shared" si="783"/>
        <v>0</v>
      </c>
      <c r="KQ119" s="290">
        <f t="shared" si="784"/>
        <v>0</v>
      </c>
      <c r="KR119" s="290">
        <f t="shared" si="785"/>
        <v>0</v>
      </c>
      <c r="KS119" s="290">
        <f t="shared" si="786"/>
        <v>0</v>
      </c>
      <c r="KT119" s="290">
        <f t="shared" si="787"/>
        <v>0</v>
      </c>
      <c r="KU119" s="290">
        <f t="shared" si="788"/>
        <v>0</v>
      </c>
      <c r="KV119" s="290">
        <f t="shared" si="789"/>
        <v>0</v>
      </c>
      <c r="KW119" s="290">
        <f t="shared" si="790"/>
        <v>0</v>
      </c>
      <c r="KX119" s="291">
        <f t="shared" si="791"/>
        <v>0</v>
      </c>
      <c r="KY119" s="291">
        <f t="shared" si="792"/>
        <v>0</v>
      </c>
      <c r="KZ119" s="291">
        <f t="shared" si="793"/>
        <v>0</v>
      </c>
      <c r="LA119" s="292">
        <f t="shared" si="794"/>
        <v>0</v>
      </c>
      <c r="LB119" s="999">
        <v>28</v>
      </c>
      <c r="LC119" s="286">
        <f t="shared" si="870"/>
        <v>44224</v>
      </c>
      <c r="LD119" s="287">
        <f t="shared" si="594"/>
        <v>44224</v>
      </c>
      <c r="LE119" s="288">
        <f>'दैनिक माहिती'!M320</f>
        <v>0</v>
      </c>
      <c r="LF119" s="289">
        <f>'दैनिक माहिती'!J320</f>
        <v>0</v>
      </c>
      <c r="LG119" s="289">
        <f>'दैनिक माहिती'!K320</f>
        <v>0</v>
      </c>
      <c r="LH119" s="289">
        <f>'दैनिक माहिती'!L320</f>
        <v>0</v>
      </c>
      <c r="LI119" s="290">
        <f t="shared" si="795"/>
        <v>0</v>
      </c>
      <c r="LJ119" s="290">
        <f t="shared" si="796"/>
        <v>0</v>
      </c>
      <c r="LK119" s="290">
        <f t="shared" si="797"/>
        <v>0</v>
      </c>
      <c r="LL119" s="290">
        <f t="shared" si="798"/>
        <v>0</v>
      </c>
      <c r="LM119" s="290">
        <f t="shared" si="799"/>
        <v>0</v>
      </c>
      <c r="LN119" s="290">
        <f t="shared" si="800"/>
        <v>0</v>
      </c>
      <c r="LO119" s="290">
        <f t="shared" si="801"/>
        <v>0</v>
      </c>
      <c r="LP119" s="290">
        <f t="shared" si="802"/>
        <v>0</v>
      </c>
      <c r="LQ119" s="290">
        <f t="shared" si="803"/>
        <v>0</v>
      </c>
      <c r="LR119" s="290">
        <f t="shared" si="804"/>
        <v>0</v>
      </c>
      <c r="LS119" s="290">
        <f t="shared" si="805"/>
        <v>0</v>
      </c>
      <c r="LT119" s="290">
        <f t="shared" si="806"/>
        <v>0</v>
      </c>
      <c r="LU119" s="290">
        <f t="shared" si="807"/>
        <v>0</v>
      </c>
      <c r="LV119" s="290">
        <f t="shared" si="808"/>
        <v>0</v>
      </c>
      <c r="LW119" s="290">
        <f t="shared" si="809"/>
        <v>0</v>
      </c>
      <c r="LX119" s="290">
        <f t="shared" si="810"/>
        <v>0</v>
      </c>
      <c r="LY119" s="290">
        <f t="shared" si="811"/>
        <v>0</v>
      </c>
      <c r="LZ119" s="290">
        <f t="shared" si="812"/>
        <v>0</v>
      </c>
      <c r="MA119" s="291">
        <f t="shared" si="813"/>
        <v>0</v>
      </c>
      <c r="MB119" s="291">
        <f t="shared" si="814"/>
        <v>0</v>
      </c>
      <c r="MC119" s="291">
        <f t="shared" si="815"/>
        <v>0</v>
      </c>
      <c r="MD119" s="292">
        <f t="shared" si="816"/>
        <v>0</v>
      </c>
      <c r="ME119" s="999">
        <v>28</v>
      </c>
      <c r="MF119" s="286">
        <f t="shared" si="871"/>
        <v>44255</v>
      </c>
      <c r="MG119" s="287">
        <f t="shared" si="595"/>
        <v>44255</v>
      </c>
      <c r="MH119" s="288">
        <f>'दैनिक माहिती'!M352</f>
        <v>0</v>
      </c>
      <c r="MI119" s="289">
        <f>'दैनिक माहिती'!J352</f>
        <v>0</v>
      </c>
      <c r="MJ119" s="289">
        <f>'दैनिक माहिती'!K352</f>
        <v>0</v>
      </c>
      <c r="MK119" s="289">
        <f>'दैनिक माहिती'!L352</f>
        <v>0</v>
      </c>
      <c r="ML119" s="290">
        <f t="shared" si="817"/>
        <v>0</v>
      </c>
      <c r="MM119" s="290">
        <f t="shared" si="818"/>
        <v>0</v>
      </c>
      <c r="MN119" s="290">
        <f t="shared" si="819"/>
        <v>0</v>
      </c>
      <c r="MO119" s="290">
        <f t="shared" si="820"/>
        <v>0</v>
      </c>
      <c r="MP119" s="290">
        <f t="shared" si="821"/>
        <v>0</v>
      </c>
      <c r="MQ119" s="290">
        <f t="shared" si="822"/>
        <v>0</v>
      </c>
      <c r="MR119" s="290">
        <f t="shared" si="823"/>
        <v>0</v>
      </c>
      <c r="MS119" s="290">
        <f t="shared" si="824"/>
        <v>0</v>
      </c>
      <c r="MT119" s="290">
        <f t="shared" si="825"/>
        <v>0</v>
      </c>
      <c r="MU119" s="290">
        <f t="shared" si="826"/>
        <v>0</v>
      </c>
      <c r="MV119" s="290">
        <f t="shared" si="827"/>
        <v>0</v>
      </c>
      <c r="MW119" s="290">
        <f t="shared" si="828"/>
        <v>0</v>
      </c>
      <c r="MX119" s="290">
        <f t="shared" si="829"/>
        <v>0</v>
      </c>
      <c r="MY119" s="290">
        <f t="shared" si="830"/>
        <v>0</v>
      </c>
      <c r="MZ119" s="290">
        <f t="shared" si="831"/>
        <v>0</v>
      </c>
      <c r="NA119" s="290">
        <f t="shared" si="832"/>
        <v>0</v>
      </c>
      <c r="NB119" s="290">
        <f t="shared" si="833"/>
        <v>0</v>
      </c>
      <c r="NC119" s="290">
        <f t="shared" si="834"/>
        <v>0</v>
      </c>
      <c r="ND119" s="291">
        <f t="shared" si="835"/>
        <v>0</v>
      </c>
      <c r="NE119" s="291">
        <f t="shared" si="836"/>
        <v>0</v>
      </c>
      <c r="NF119" s="291">
        <f t="shared" si="837"/>
        <v>0</v>
      </c>
      <c r="NG119" s="292">
        <f t="shared" si="838"/>
        <v>0</v>
      </c>
      <c r="NH119" s="999">
        <v>28</v>
      </c>
      <c r="NI119" s="286">
        <f t="shared" si="872"/>
        <v>44283</v>
      </c>
      <c r="NJ119" s="287">
        <f t="shared" si="596"/>
        <v>44283</v>
      </c>
      <c r="NK119" s="288">
        <f>'दैनिक माहिती'!M382</f>
        <v>0</v>
      </c>
      <c r="NL119" s="289">
        <f>'दैनिक माहिती'!J382</f>
        <v>0</v>
      </c>
      <c r="NM119" s="289">
        <f>'दैनिक माहिती'!K382</f>
        <v>0</v>
      </c>
      <c r="NN119" s="289">
        <f>'दैनिक माहिती'!L382</f>
        <v>0</v>
      </c>
      <c r="NO119" s="290">
        <f t="shared" si="839"/>
        <v>0</v>
      </c>
      <c r="NP119" s="290">
        <f t="shared" si="840"/>
        <v>0</v>
      </c>
      <c r="NQ119" s="290">
        <f t="shared" si="841"/>
        <v>0</v>
      </c>
      <c r="NR119" s="290">
        <f t="shared" si="842"/>
        <v>0</v>
      </c>
      <c r="NS119" s="290">
        <f t="shared" si="843"/>
        <v>0</v>
      </c>
      <c r="NT119" s="290">
        <f t="shared" si="844"/>
        <v>0</v>
      </c>
      <c r="NU119" s="290">
        <f t="shared" si="845"/>
        <v>0</v>
      </c>
      <c r="NV119" s="290">
        <f t="shared" si="846"/>
        <v>0</v>
      </c>
      <c r="NW119" s="290">
        <f t="shared" si="847"/>
        <v>0</v>
      </c>
      <c r="NX119" s="290">
        <f t="shared" si="848"/>
        <v>0</v>
      </c>
      <c r="NY119" s="290">
        <f t="shared" si="849"/>
        <v>0</v>
      </c>
      <c r="NZ119" s="290">
        <f t="shared" si="850"/>
        <v>0</v>
      </c>
      <c r="OA119" s="290">
        <f t="shared" si="851"/>
        <v>0</v>
      </c>
      <c r="OB119" s="290">
        <f t="shared" si="852"/>
        <v>0</v>
      </c>
      <c r="OC119" s="290">
        <f t="shared" si="853"/>
        <v>0</v>
      </c>
      <c r="OD119" s="290">
        <f t="shared" si="854"/>
        <v>0</v>
      </c>
      <c r="OE119" s="290">
        <f t="shared" si="855"/>
        <v>0</v>
      </c>
      <c r="OF119" s="290">
        <f t="shared" si="856"/>
        <v>0</v>
      </c>
      <c r="OG119" s="291">
        <f t="shared" si="857"/>
        <v>0</v>
      </c>
      <c r="OH119" s="291">
        <f t="shared" si="858"/>
        <v>0</v>
      </c>
      <c r="OI119" s="291">
        <f t="shared" si="859"/>
        <v>0</v>
      </c>
      <c r="OJ119" s="292">
        <f t="shared" si="860"/>
        <v>0</v>
      </c>
    </row>
    <row r="120" spans="53:400" ht="29.25" customHeight="1" x14ac:dyDescent="0.3">
      <c r="BA120" s="999">
        <v>29</v>
      </c>
      <c r="BB120" s="286">
        <f t="shared" si="861"/>
        <v>43950</v>
      </c>
      <c r="BC120" s="293">
        <f t="shared" si="585"/>
        <v>43950</v>
      </c>
      <c r="BD120" s="288">
        <f>'दैनिक माहिती'!M37</f>
        <v>0</v>
      </c>
      <c r="BE120" s="289">
        <f>'दैनिक माहिती'!J37</f>
        <v>0</v>
      </c>
      <c r="BF120" s="289">
        <f>'दैनिक माहिती'!K37</f>
        <v>0</v>
      </c>
      <c r="BG120" s="289">
        <f>'दैनिक माहिती'!L37</f>
        <v>0</v>
      </c>
      <c r="BH120" s="290">
        <f t="shared" si="597"/>
        <v>0</v>
      </c>
      <c r="BI120" s="290">
        <f t="shared" si="598"/>
        <v>0</v>
      </c>
      <c r="BJ120" s="290">
        <f t="shared" si="599"/>
        <v>0</v>
      </c>
      <c r="BK120" s="290">
        <f t="shared" si="600"/>
        <v>0</v>
      </c>
      <c r="BL120" s="290">
        <f t="shared" si="601"/>
        <v>0</v>
      </c>
      <c r="BM120" s="290">
        <f t="shared" si="602"/>
        <v>0</v>
      </c>
      <c r="BN120" s="290">
        <f t="shared" si="603"/>
        <v>0</v>
      </c>
      <c r="BO120" s="290">
        <f t="shared" si="604"/>
        <v>0</v>
      </c>
      <c r="BP120" s="290">
        <f t="shared" si="605"/>
        <v>0</v>
      </c>
      <c r="BQ120" s="290">
        <f t="shared" si="606"/>
        <v>0</v>
      </c>
      <c r="BR120" s="290">
        <f t="shared" si="607"/>
        <v>0</v>
      </c>
      <c r="BS120" s="290">
        <f t="shared" si="608"/>
        <v>0</v>
      </c>
      <c r="BT120" s="290">
        <f t="shared" si="609"/>
        <v>0</v>
      </c>
      <c r="BU120" s="290">
        <f t="shared" si="610"/>
        <v>0</v>
      </c>
      <c r="BV120" s="290">
        <f t="shared" si="611"/>
        <v>0</v>
      </c>
      <c r="BW120" s="290">
        <f t="shared" si="612"/>
        <v>0</v>
      </c>
      <c r="BX120" s="290">
        <f t="shared" si="613"/>
        <v>0</v>
      </c>
      <c r="BY120" s="290">
        <f t="shared" si="614"/>
        <v>0</v>
      </c>
      <c r="BZ120" s="291">
        <f t="shared" si="615"/>
        <v>0</v>
      </c>
      <c r="CA120" s="291">
        <f t="shared" si="616"/>
        <v>0</v>
      </c>
      <c r="CB120" s="291">
        <f t="shared" si="617"/>
        <v>0</v>
      </c>
      <c r="CC120" s="292">
        <f t="shared" si="618"/>
        <v>0</v>
      </c>
      <c r="CD120" s="999">
        <v>29</v>
      </c>
      <c r="CE120" s="286">
        <f t="shared" si="862"/>
        <v>43980</v>
      </c>
      <c r="CF120" s="293">
        <f t="shared" si="586"/>
        <v>43980</v>
      </c>
      <c r="CG120" s="288">
        <f>'दैनिक माहिती'!M68</f>
        <v>0</v>
      </c>
      <c r="CH120" s="289">
        <f>'दैनिक माहिती'!J68</f>
        <v>0</v>
      </c>
      <c r="CI120" s="289">
        <f>'दैनिक माहिती'!K68</f>
        <v>0</v>
      </c>
      <c r="CJ120" s="289">
        <f>'दैनिक माहिती'!L68</f>
        <v>0</v>
      </c>
      <c r="CK120" s="290">
        <f t="shared" si="619"/>
        <v>0</v>
      </c>
      <c r="CL120" s="290">
        <f t="shared" si="620"/>
        <v>0</v>
      </c>
      <c r="CM120" s="290">
        <f t="shared" si="621"/>
        <v>0</v>
      </c>
      <c r="CN120" s="290">
        <f t="shared" si="622"/>
        <v>0</v>
      </c>
      <c r="CO120" s="290">
        <f t="shared" si="623"/>
        <v>0</v>
      </c>
      <c r="CP120" s="290">
        <f t="shared" si="624"/>
        <v>0</v>
      </c>
      <c r="CQ120" s="290">
        <f t="shared" si="625"/>
        <v>0</v>
      </c>
      <c r="CR120" s="290">
        <f t="shared" si="626"/>
        <v>0</v>
      </c>
      <c r="CS120" s="290">
        <f t="shared" si="627"/>
        <v>0</v>
      </c>
      <c r="CT120" s="290">
        <f t="shared" si="628"/>
        <v>0</v>
      </c>
      <c r="CU120" s="290">
        <f t="shared" si="629"/>
        <v>0</v>
      </c>
      <c r="CV120" s="290">
        <f t="shared" si="630"/>
        <v>0</v>
      </c>
      <c r="CW120" s="290">
        <f t="shared" si="631"/>
        <v>0</v>
      </c>
      <c r="CX120" s="290">
        <f t="shared" si="632"/>
        <v>0</v>
      </c>
      <c r="CY120" s="290">
        <f t="shared" si="633"/>
        <v>0</v>
      </c>
      <c r="CZ120" s="290">
        <f t="shared" si="634"/>
        <v>0</v>
      </c>
      <c r="DA120" s="290">
        <f t="shared" si="635"/>
        <v>0</v>
      </c>
      <c r="DB120" s="290">
        <f t="shared" si="636"/>
        <v>0</v>
      </c>
      <c r="DC120" s="291">
        <f t="shared" si="637"/>
        <v>0</v>
      </c>
      <c r="DD120" s="291">
        <f t="shared" si="638"/>
        <v>0</v>
      </c>
      <c r="DE120" s="291">
        <f t="shared" si="639"/>
        <v>0</v>
      </c>
      <c r="DF120" s="292">
        <f t="shared" si="640"/>
        <v>0</v>
      </c>
      <c r="DG120" s="999">
        <v>29</v>
      </c>
      <c r="DH120" s="286">
        <f t="shared" si="863"/>
        <v>44011</v>
      </c>
      <c r="DI120" s="293">
        <f t="shared" si="587"/>
        <v>44011</v>
      </c>
      <c r="DJ120" s="288">
        <f>'दैनिक माहिती'!M100</f>
        <v>0</v>
      </c>
      <c r="DK120" s="289">
        <f>'दैनिक माहिती'!J100</f>
        <v>0</v>
      </c>
      <c r="DL120" s="289">
        <f>'दैनिक माहिती'!K100</f>
        <v>0</v>
      </c>
      <c r="DM120" s="289">
        <f>'दैनिक माहिती'!L100</f>
        <v>0</v>
      </c>
      <c r="DN120" s="290">
        <f t="shared" si="641"/>
        <v>0</v>
      </c>
      <c r="DO120" s="290">
        <f t="shared" si="642"/>
        <v>0</v>
      </c>
      <c r="DP120" s="290">
        <f t="shared" si="643"/>
        <v>0</v>
      </c>
      <c r="DQ120" s="290">
        <f t="shared" si="644"/>
        <v>0</v>
      </c>
      <c r="DR120" s="290">
        <f t="shared" si="645"/>
        <v>0</v>
      </c>
      <c r="DS120" s="290">
        <f t="shared" si="646"/>
        <v>0</v>
      </c>
      <c r="DT120" s="290">
        <f t="shared" si="647"/>
        <v>0</v>
      </c>
      <c r="DU120" s="290">
        <f t="shared" si="648"/>
        <v>0</v>
      </c>
      <c r="DV120" s="290">
        <f t="shared" si="649"/>
        <v>0</v>
      </c>
      <c r="DW120" s="290">
        <f t="shared" si="650"/>
        <v>0</v>
      </c>
      <c r="DX120" s="290">
        <f t="shared" si="651"/>
        <v>0</v>
      </c>
      <c r="DY120" s="290">
        <f t="shared" si="652"/>
        <v>0</v>
      </c>
      <c r="DZ120" s="290">
        <f t="shared" si="653"/>
        <v>0</v>
      </c>
      <c r="EA120" s="290">
        <f t="shared" si="654"/>
        <v>0</v>
      </c>
      <c r="EB120" s="290">
        <f t="shared" si="655"/>
        <v>0</v>
      </c>
      <c r="EC120" s="290">
        <f t="shared" si="656"/>
        <v>0</v>
      </c>
      <c r="ED120" s="290">
        <f t="shared" si="657"/>
        <v>0</v>
      </c>
      <c r="EE120" s="290">
        <f t="shared" si="658"/>
        <v>0</v>
      </c>
      <c r="EF120" s="291">
        <f t="shared" si="659"/>
        <v>0</v>
      </c>
      <c r="EG120" s="291">
        <f t="shared" si="660"/>
        <v>0</v>
      </c>
      <c r="EH120" s="291">
        <f t="shared" si="661"/>
        <v>0</v>
      </c>
      <c r="EI120" s="292">
        <f t="shared" si="662"/>
        <v>0</v>
      </c>
      <c r="EJ120" s="999">
        <v>29</v>
      </c>
      <c r="EK120" s="286">
        <f t="shared" si="864"/>
        <v>44041</v>
      </c>
      <c r="EL120" s="293">
        <f t="shared" si="588"/>
        <v>44041</v>
      </c>
      <c r="EM120" s="288">
        <f>'दैनिक माहिती'!M131</f>
        <v>0</v>
      </c>
      <c r="EN120" s="289">
        <f>'दैनिक माहिती'!J131</f>
        <v>0</v>
      </c>
      <c r="EO120" s="289">
        <f>'दैनिक माहिती'!K131</f>
        <v>0</v>
      </c>
      <c r="EP120" s="289">
        <f>'दैनिक माहिती'!L131</f>
        <v>0</v>
      </c>
      <c r="EQ120" s="290">
        <f t="shared" si="663"/>
        <v>0</v>
      </c>
      <c r="ER120" s="290">
        <f t="shared" si="664"/>
        <v>0</v>
      </c>
      <c r="ES120" s="290">
        <f t="shared" si="665"/>
        <v>0</v>
      </c>
      <c r="ET120" s="290">
        <f t="shared" si="666"/>
        <v>0</v>
      </c>
      <c r="EU120" s="290">
        <f t="shared" si="667"/>
        <v>0</v>
      </c>
      <c r="EV120" s="290">
        <f t="shared" si="668"/>
        <v>0</v>
      </c>
      <c r="EW120" s="290">
        <f t="shared" si="669"/>
        <v>0</v>
      </c>
      <c r="EX120" s="290">
        <f t="shared" si="670"/>
        <v>0</v>
      </c>
      <c r="EY120" s="290">
        <f t="shared" si="671"/>
        <v>0</v>
      </c>
      <c r="EZ120" s="290">
        <f t="shared" si="672"/>
        <v>0</v>
      </c>
      <c r="FA120" s="290">
        <f t="shared" si="673"/>
        <v>0</v>
      </c>
      <c r="FB120" s="290">
        <f t="shared" si="674"/>
        <v>0</v>
      </c>
      <c r="FC120" s="290">
        <f t="shared" si="675"/>
        <v>0</v>
      </c>
      <c r="FD120" s="290">
        <f t="shared" si="676"/>
        <v>0</v>
      </c>
      <c r="FE120" s="290">
        <f t="shared" si="677"/>
        <v>0</v>
      </c>
      <c r="FF120" s="290">
        <f t="shared" si="678"/>
        <v>0</v>
      </c>
      <c r="FG120" s="290">
        <f t="shared" si="679"/>
        <v>0</v>
      </c>
      <c r="FH120" s="290">
        <f t="shared" si="680"/>
        <v>0</v>
      </c>
      <c r="FI120" s="291">
        <f t="shared" si="681"/>
        <v>0</v>
      </c>
      <c r="FJ120" s="291">
        <f t="shared" si="682"/>
        <v>0</v>
      </c>
      <c r="FK120" s="291">
        <f t="shared" si="683"/>
        <v>0</v>
      </c>
      <c r="FL120" s="292">
        <f t="shared" si="684"/>
        <v>0</v>
      </c>
      <c r="FM120" s="999">
        <v>29</v>
      </c>
      <c r="FN120" s="286">
        <f t="shared" si="865"/>
        <v>44072</v>
      </c>
      <c r="FO120" s="293">
        <f t="shared" si="589"/>
        <v>44072</v>
      </c>
      <c r="FP120" s="288">
        <f>'दैनिक माहिती'!M163</f>
        <v>0</v>
      </c>
      <c r="FQ120" s="289">
        <f>'दैनिक माहिती'!J163</f>
        <v>0</v>
      </c>
      <c r="FR120" s="289">
        <f>'दैनिक माहिती'!K163</f>
        <v>0</v>
      </c>
      <c r="FS120" s="289">
        <f>'दैनिक माहिती'!L163</f>
        <v>0</v>
      </c>
      <c r="FT120" s="290">
        <f t="shared" si="685"/>
        <v>0</v>
      </c>
      <c r="FU120" s="290">
        <f t="shared" si="686"/>
        <v>0</v>
      </c>
      <c r="FV120" s="290">
        <f t="shared" si="687"/>
        <v>0</v>
      </c>
      <c r="FW120" s="290">
        <f t="shared" si="688"/>
        <v>0</v>
      </c>
      <c r="FX120" s="290">
        <f t="shared" si="689"/>
        <v>0</v>
      </c>
      <c r="FY120" s="290">
        <f t="shared" si="690"/>
        <v>0</v>
      </c>
      <c r="FZ120" s="290">
        <f t="shared" si="691"/>
        <v>0</v>
      </c>
      <c r="GA120" s="290">
        <f t="shared" si="692"/>
        <v>0</v>
      </c>
      <c r="GB120" s="290">
        <f t="shared" si="693"/>
        <v>0</v>
      </c>
      <c r="GC120" s="290">
        <f t="shared" si="694"/>
        <v>0</v>
      </c>
      <c r="GD120" s="290">
        <f t="shared" si="695"/>
        <v>0</v>
      </c>
      <c r="GE120" s="290">
        <f t="shared" si="696"/>
        <v>0</v>
      </c>
      <c r="GF120" s="290">
        <f t="shared" si="697"/>
        <v>0</v>
      </c>
      <c r="GG120" s="290">
        <f t="shared" si="698"/>
        <v>0</v>
      </c>
      <c r="GH120" s="290">
        <f t="shared" si="699"/>
        <v>0</v>
      </c>
      <c r="GI120" s="290">
        <f t="shared" si="700"/>
        <v>0</v>
      </c>
      <c r="GJ120" s="290">
        <f t="shared" si="701"/>
        <v>0</v>
      </c>
      <c r="GK120" s="290">
        <f t="shared" si="702"/>
        <v>0</v>
      </c>
      <c r="GL120" s="291">
        <f t="shared" si="703"/>
        <v>0</v>
      </c>
      <c r="GM120" s="291">
        <f t="shared" si="704"/>
        <v>0</v>
      </c>
      <c r="GN120" s="291">
        <f t="shared" si="705"/>
        <v>0</v>
      </c>
      <c r="GO120" s="292">
        <f t="shared" si="706"/>
        <v>0</v>
      </c>
      <c r="GP120" s="999">
        <v>29</v>
      </c>
      <c r="GQ120" s="286">
        <f t="shared" si="866"/>
        <v>44103</v>
      </c>
      <c r="GR120" s="293">
        <f t="shared" si="590"/>
        <v>44103</v>
      </c>
      <c r="GS120" s="288">
        <f>'दैनिक माहिती'!M195</f>
        <v>0</v>
      </c>
      <c r="GT120" s="289">
        <f>'दैनिक माहिती'!J195</f>
        <v>0</v>
      </c>
      <c r="GU120" s="289">
        <f>'दैनिक माहिती'!K195</f>
        <v>0</v>
      </c>
      <c r="GV120" s="289">
        <f>'दैनिक माहिती'!L195</f>
        <v>0</v>
      </c>
      <c r="GW120" s="290">
        <f t="shared" si="707"/>
        <v>0</v>
      </c>
      <c r="GX120" s="290">
        <f t="shared" si="708"/>
        <v>0</v>
      </c>
      <c r="GY120" s="290">
        <f t="shared" si="709"/>
        <v>0</v>
      </c>
      <c r="GZ120" s="290">
        <f t="shared" si="710"/>
        <v>0</v>
      </c>
      <c r="HA120" s="290">
        <f t="shared" si="711"/>
        <v>0</v>
      </c>
      <c r="HB120" s="290">
        <f t="shared" si="712"/>
        <v>0</v>
      </c>
      <c r="HC120" s="290">
        <f t="shared" si="713"/>
        <v>0</v>
      </c>
      <c r="HD120" s="290">
        <f t="shared" si="714"/>
        <v>0</v>
      </c>
      <c r="HE120" s="290">
        <f t="shared" si="715"/>
        <v>0</v>
      </c>
      <c r="HF120" s="290">
        <f t="shared" si="716"/>
        <v>0</v>
      </c>
      <c r="HG120" s="290">
        <f t="shared" si="717"/>
        <v>0</v>
      </c>
      <c r="HH120" s="290">
        <f t="shared" si="718"/>
        <v>0</v>
      </c>
      <c r="HI120" s="290">
        <f t="shared" si="719"/>
        <v>0</v>
      </c>
      <c r="HJ120" s="290">
        <f t="shared" si="720"/>
        <v>0</v>
      </c>
      <c r="HK120" s="290">
        <f t="shared" si="721"/>
        <v>0</v>
      </c>
      <c r="HL120" s="290">
        <f t="shared" si="722"/>
        <v>0</v>
      </c>
      <c r="HM120" s="290">
        <f t="shared" si="723"/>
        <v>0</v>
      </c>
      <c r="HN120" s="290">
        <f t="shared" si="724"/>
        <v>0</v>
      </c>
      <c r="HO120" s="291">
        <f t="shared" si="725"/>
        <v>0</v>
      </c>
      <c r="HP120" s="291">
        <f t="shared" si="726"/>
        <v>0</v>
      </c>
      <c r="HQ120" s="291">
        <f t="shared" si="727"/>
        <v>0</v>
      </c>
      <c r="HR120" s="292">
        <f t="shared" si="728"/>
        <v>0</v>
      </c>
      <c r="HS120" s="999">
        <v>29</v>
      </c>
      <c r="HT120" s="286">
        <f t="shared" si="867"/>
        <v>44133</v>
      </c>
      <c r="HU120" s="293">
        <f t="shared" si="591"/>
        <v>44133</v>
      </c>
      <c r="HV120" s="288">
        <f>'दैनिक माहिती'!M226</f>
        <v>0</v>
      </c>
      <c r="HW120" s="289">
        <f>'दैनिक माहिती'!J226</f>
        <v>0</v>
      </c>
      <c r="HX120" s="289">
        <f>'दैनिक माहिती'!K226</f>
        <v>0</v>
      </c>
      <c r="HY120" s="289">
        <f>'दैनिक माहिती'!L226</f>
        <v>0</v>
      </c>
      <c r="HZ120" s="290">
        <f t="shared" si="729"/>
        <v>0</v>
      </c>
      <c r="IA120" s="290">
        <f t="shared" si="730"/>
        <v>0</v>
      </c>
      <c r="IB120" s="290">
        <f t="shared" si="731"/>
        <v>0</v>
      </c>
      <c r="IC120" s="290">
        <f t="shared" si="732"/>
        <v>0</v>
      </c>
      <c r="ID120" s="290">
        <f t="shared" si="733"/>
        <v>0</v>
      </c>
      <c r="IE120" s="290">
        <f t="shared" si="734"/>
        <v>0</v>
      </c>
      <c r="IF120" s="290">
        <f t="shared" si="735"/>
        <v>0</v>
      </c>
      <c r="IG120" s="290">
        <f t="shared" si="736"/>
        <v>0</v>
      </c>
      <c r="IH120" s="290">
        <f t="shared" si="737"/>
        <v>0</v>
      </c>
      <c r="II120" s="290">
        <f t="shared" si="738"/>
        <v>0</v>
      </c>
      <c r="IJ120" s="290">
        <f t="shared" si="739"/>
        <v>0</v>
      </c>
      <c r="IK120" s="290">
        <f t="shared" si="740"/>
        <v>0</v>
      </c>
      <c r="IL120" s="290">
        <f t="shared" si="741"/>
        <v>0</v>
      </c>
      <c r="IM120" s="290">
        <f t="shared" si="742"/>
        <v>0</v>
      </c>
      <c r="IN120" s="290">
        <f t="shared" si="743"/>
        <v>0</v>
      </c>
      <c r="IO120" s="290">
        <f t="shared" si="744"/>
        <v>0</v>
      </c>
      <c r="IP120" s="290">
        <f t="shared" si="745"/>
        <v>0</v>
      </c>
      <c r="IQ120" s="290">
        <f t="shared" si="746"/>
        <v>0</v>
      </c>
      <c r="IR120" s="291">
        <f t="shared" si="747"/>
        <v>0</v>
      </c>
      <c r="IS120" s="291">
        <f t="shared" si="748"/>
        <v>0</v>
      </c>
      <c r="IT120" s="291">
        <f t="shared" si="749"/>
        <v>0</v>
      </c>
      <c r="IU120" s="292">
        <f t="shared" si="750"/>
        <v>0</v>
      </c>
      <c r="IV120" s="999">
        <v>29</v>
      </c>
      <c r="IW120" s="286">
        <f t="shared" si="868"/>
        <v>44164</v>
      </c>
      <c r="IX120" s="293">
        <f t="shared" si="592"/>
        <v>44164</v>
      </c>
      <c r="IY120" s="288">
        <f>'दैनिक माहिती'!M258</f>
        <v>0</v>
      </c>
      <c r="IZ120" s="289">
        <f>'दैनिक माहिती'!J258</f>
        <v>0</v>
      </c>
      <c r="JA120" s="289">
        <f>'दैनिक माहिती'!K258</f>
        <v>0</v>
      </c>
      <c r="JB120" s="289">
        <f>'दैनिक माहिती'!L258</f>
        <v>0</v>
      </c>
      <c r="JC120" s="290">
        <f t="shared" si="751"/>
        <v>0</v>
      </c>
      <c r="JD120" s="290">
        <f t="shared" si="752"/>
        <v>0</v>
      </c>
      <c r="JE120" s="290">
        <f t="shared" si="753"/>
        <v>0</v>
      </c>
      <c r="JF120" s="290">
        <f t="shared" si="754"/>
        <v>0</v>
      </c>
      <c r="JG120" s="290">
        <f t="shared" si="755"/>
        <v>0</v>
      </c>
      <c r="JH120" s="290">
        <f t="shared" si="756"/>
        <v>0</v>
      </c>
      <c r="JI120" s="290">
        <f t="shared" si="757"/>
        <v>0</v>
      </c>
      <c r="JJ120" s="290">
        <f t="shared" si="758"/>
        <v>0</v>
      </c>
      <c r="JK120" s="290">
        <f t="shared" si="759"/>
        <v>0</v>
      </c>
      <c r="JL120" s="290">
        <f t="shared" si="760"/>
        <v>0</v>
      </c>
      <c r="JM120" s="290">
        <f t="shared" si="761"/>
        <v>0</v>
      </c>
      <c r="JN120" s="290">
        <f t="shared" si="762"/>
        <v>0</v>
      </c>
      <c r="JO120" s="290">
        <f t="shared" si="763"/>
        <v>0</v>
      </c>
      <c r="JP120" s="290">
        <f t="shared" si="764"/>
        <v>0</v>
      </c>
      <c r="JQ120" s="290">
        <f t="shared" si="765"/>
        <v>0</v>
      </c>
      <c r="JR120" s="290">
        <f t="shared" si="766"/>
        <v>0</v>
      </c>
      <c r="JS120" s="290">
        <f t="shared" si="767"/>
        <v>0</v>
      </c>
      <c r="JT120" s="290">
        <f t="shared" si="768"/>
        <v>0</v>
      </c>
      <c r="JU120" s="291">
        <f t="shared" si="769"/>
        <v>0</v>
      </c>
      <c r="JV120" s="291">
        <f t="shared" si="770"/>
        <v>0</v>
      </c>
      <c r="JW120" s="291">
        <f t="shared" si="771"/>
        <v>0</v>
      </c>
      <c r="JX120" s="292">
        <f t="shared" si="772"/>
        <v>0</v>
      </c>
      <c r="JY120" s="999">
        <v>29</v>
      </c>
      <c r="JZ120" s="286">
        <f t="shared" si="869"/>
        <v>44194</v>
      </c>
      <c r="KA120" s="293">
        <f t="shared" si="593"/>
        <v>44194</v>
      </c>
      <c r="KB120" s="288">
        <f>'दैनिक माहिती'!M289</f>
        <v>0</v>
      </c>
      <c r="KC120" s="289">
        <f>'दैनिक माहिती'!J289</f>
        <v>0</v>
      </c>
      <c r="KD120" s="289">
        <f>'दैनिक माहिती'!K289</f>
        <v>0</v>
      </c>
      <c r="KE120" s="289">
        <f>'दैनिक माहिती'!L289</f>
        <v>0</v>
      </c>
      <c r="KF120" s="290">
        <f t="shared" si="773"/>
        <v>0</v>
      </c>
      <c r="KG120" s="290">
        <f t="shared" si="774"/>
        <v>0</v>
      </c>
      <c r="KH120" s="290">
        <f t="shared" si="775"/>
        <v>0</v>
      </c>
      <c r="KI120" s="290">
        <f t="shared" si="776"/>
        <v>0</v>
      </c>
      <c r="KJ120" s="290">
        <f t="shared" si="777"/>
        <v>0</v>
      </c>
      <c r="KK120" s="290">
        <f t="shared" si="778"/>
        <v>0</v>
      </c>
      <c r="KL120" s="290">
        <f t="shared" si="779"/>
        <v>0</v>
      </c>
      <c r="KM120" s="290">
        <f t="shared" si="780"/>
        <v>0</v>
      </c>
      <c r="KN120" s="290">
        <f t="shared" si="781"/>
        <v>0</v>
      </c>
      <c r="KO120" s="290">
        <f t="shared" si="782"/>
        <v>0</v>
      </c>
      <c r="KP120" s="290">
        <f t="shared" si="783"/>
        <v>0</v>
      </c>
      <c r="KQ120" s="290">
        <f t="shared" si="784"/>
        <v>0</v>
      </c>
      <c r="KR120" s="290">
        <f t="shared" si="785"/>
        <v>0</v>
      </c>
      <c r="KS120" s="290">
        <f t="shared" si="786"/>
        <v>0</v>
      </c>
      <c r="KT120" s="290">
        <f t="shared" si="787"/>
        <v>0</v>
      </c>
      <c r="KU120" s="290">
        <f t="shared" si="788"/>
        <v>0</v>
      </c>
      <c r="KV120" s="290">
        <f t="shared" si="789"/>
        <v>0</v>
      </c>
      <c r="KW120" s="290">
        <f t="shared" si="790"/>
        <v>0</v>
      </c>
      <c r="KX120" s="291">
        <f t="shared" si="791"/>
        <v>0</v>
      </c>
      <c r="KY120" s="291">
        <f t="shared" si="792"/>
        <v>0</v>
      </c>
      <c r="KZ120" s="291">
        <f t="shared" si="793"/>
        <v>0</v>
      </c>
      <c r="LA120" s="292">
        <f t="shared" si="794"/>
        <v>0</v>
      </c>
      <c r="LB120" s="999">
        <v>29</v>
      </c>
      <c r="LC120" s="286">
        <f t="shared" si="870"/>
        <v>44225</v>
      </c>
      <c r="LD120" s="293">
        <f t="shared" si="594"/>
        <v>44225</v>
      </c>
      <c r="LE120" s="288">
        <f>'दैनिक माहिती'!M321</f>
        <v>0</v>
      </c>
      <c r="LF120" s="289">
        <f>'दैनिक माहिती'!J321</f>
        <v>0</v>
      </c>
      <c r="LG120" s="289">
        <f>'दैनिक माहिती'!K321</f>
        <v>0</v>
      </c>
      <c r="LH120" s="289">
        <f>'दैनिक माहिती'!L321</f>
        <v>0</v>
      </c>
      <c r="LI120" s="290">
        <f t="shared" si="795"/>
        <v>0</v>
      </c>
      <c r="LJ120" s="290">
        <f t="shared" si="796"/>
        <v>0</v>
      </c>
      <c r="LK120" s="290">
        <f t="shared" si="797"/>
        <v>0</v>
      </c>
      <c r="LL120" s="290">
        <f t="shared" si="798"/>
        <v>0</v>
      </c>
      <c r="LM120" s="290">
        <f t="shared" si="799"/>
        <v>0</v>
      </c>
      <c r="LN120" s="290">
        <f t="shared" si="800"/>
        <v>0</v>
      </c>
      <c r="LO120" s="290">
        <f t="shared" si="801"/>
        <v>0</v>
      </c>
      <c r="LP120" s="290">
        <f t="shared" si="802"/>
        <v>0</v>
      </c>
      <c r="LQ120" s="290">
        <f t="shared" si="803"/>
        <v>0</v>
      </c>
      <c r="LR120" s="290">
        <f t="shared" si="804"/>
        <v>0</v>
      </c>
      <c r="LS120" s="290">
        <f t="shared" si="805"/>
        <v>0</v>
      </c>
      <c r="LT120" s="290">
        <f t="shared" si="806"/>
        <v>0</v>
      </c>
      <c r="LU120" s="290">
        <f t="shared" si="807"/>
        <v>0</v>
      </c>
      <c r="LV120" s="290">
        <f t="shared" si="808"/>
        <v>0</v>
      </c>
      <c r="LW120" s="290">
        <f t="shared" si="809"/>
        <v>0</v>
      </c>
      <c r="LX120" s="290">
        <f t="shared" si="810"/>
        <v>0</v>
      </c>
      <c r="LY120" s="290">
        <f t="shared" si="811"/>
        <v>0</v>
      </c>
      <c r="LZ120" s="290">
        <f t="shared" si="812"/>
        <v>0</v>
      </c>
      <c r="MA120" s="291">
        <f t="shared" si="813"/>
        <v>0</v>
      </c>
      <c r="MB120" s="291">
        <f t="shared" si="814"/>
        <v>0</v>
      </c>
      <c r="MC120" s="291">
        <f t="shared" si="815"/>
        <v>0</v>
      </c>
      <c r="MD120" s="292">
        <f t="shared" si="816"/>
        <v>0</v>
      </c>
      <c r="ME120" s="999">
        <v>29</v>
      </c>
      <c r="MF120" s="286">
        <f t="shared" si="871"/>
        <v>44256</v>
      </c>
      <c r="MG120" s="293">
        <f t="shared" si="595"/>
        <v>44256</v>
      </c>
      <c r="MH120" s="288">
        <f>'दैनिक माहिती'!M353</f>
        <v>0</v>
      </c>
      <c r="MI120" s="289">
        <f>'दैनिक माहिती'!J353</f>
        <v>0</v>
      </c>
      <c r="MJ120" s="289">
        <f>'दैनिक माहिती'!K353</f>
        <v>0</v>
      </c>
      <c r="MK120" s="289">
        <f>'दैनिक माहिती'!L353</f>
        <v>0</v>
      </c>
      <c r="ML120" s="290">
        <f t="shared" si="817"/>
        <v>0</v>
      </c>
      <c r="MM120" s="290">
        <f t="shared" si="818"/>
        <v>0</v>
      </c>
      <c r="MN120" s="290">
        <f t="shared" si="819"/>
        <v>0</v>
      </c>
      <c r="MO120" s="290">
        <f t="shared" si="820"/>
        <v>0</v>
      </c>
      <c r="MP120" s="290">
        <f t="shared" si="821"/>
        <v>0</v>
      </c>
      <c r="MQ120" s="290">
        <f t="shared" si="822"/>
        <v>0</v>
      </c>
      <c r="MR120" s="290">
        <f t="shared" si="823"/>
        <v>0</v>
      </c>
      <c r="MS120" s="290">
        <f t="shared" si="824"/>
        <v>0</v>
      </c>
      <c r="MT120" s="290">
        <f t="shared" si="825"/>
        <v>0</v>
      </c>
      <c r="MU120" s="290">
        <f t="shared" si="826"/>
        <v>0</v>
      </c>
      <c r="MV120" s="290">
        <f t="shared" si="827"/>
        <v>0</v>
      </c>
      <c r="MW120" s="290">
        <f t="shared" si="828"/>
        <v>0</v>
      </c>
      <c r="MX120" s="290">
        <f t="shared" si="829"/>
        <v>0</v>
      </c>
      <c r="MY120" s="290">
        <f t="shared" si="830"/>
        <v>0</v>
      </c>
      <c r="MZ120" s="290">
        <f t="shared" si="831"/>
        <v>0</v>
      </c>
      <c r="NA120" s="290">
        <f t="shared" si="832"/>
        <v>0</v>
      </c>
      <c r="NB120" s="290">
        <f t="shared" si="833"/>
        <v>0</v>
      </c>
      <c r="NC120" s="290">
        <f t="shared" si="834"/>
        <v>0</v>
      </c>
      <c r="ND120" s="291">
        <f t="shared" si="835"/>
        <v>0</v>
      </c>
      <c r="NE120" s="291">
        <f t="shared" si="836"/>
        <v>0</v>
      </c>
      <c r="NF120" s="291">
        <f t="shared" si="837"/>
        <v>0</v>
      </c>
      <c r="NG120" s="292">
        <f t="shared" si="838"/>
        <v>0</v>
      </c>
      <c r="NH120" s="999">
        <v>29</v>
      </c>
      <c r="NI120" s="286">
        <f t="shared" si="872"/>
        <v>44284</v>
      </c>
      <c r="NJ120" s="293">
        <f t="shared" si="596"/>
        <v>44284</v>
      </c>
      <c r="NK120" s="288">
        <f>'दैनिक माहिती'!M383</f>
        <v>0</v>
      </c>
      <c r="NL120" s="289">
        <f>'दैनिक माहिती'!J383</f>
        <v>0</v>
      </c>
      <c r="NM120" s="289">
        <f>'दैनिक माहिती'!K383</f>
        <v>0</v>
      </c>
      <c r="NN120" s="289">
        <f>'दैनिक माहिती'!L383</f>
        <v>0</v>
      </c>
      <c r="NO120" s="290">
        <f t="shared" si="839"/>
        <v>0</v>
      </c>
      <c r="NP120" s="290">
        <f t="shared" si="840"/>
        <v>0</v>
      </c>
      <c r="NQ120" s="290">
        <f t="shared" si="841"/>
        <v>0</v>
      </c>
      <c r="NR120" s="290">
        <f t="shared" si="842"/>
        <v>0</v>
      </c>
      <c r="NS120" s="290">
        <f t="shared" si="843"/>
        <v>0</v>
      </c>
      <c r="NT120" s="290">
        <f t="shared" si="844"/>
        <v>0</v>
      </c>
      <c r="NU120" s="290">
        <f t="shared" si="845"/>
        <v>0</v>
      </c>
      <c r="NV120" s="290">
        <f t="shared" si="846"/>
        <v>0</v>
      </c>
      <c r="NW120" s="290">
        <f t="shared" si="847"/>
        <v>0</v>
      </c>
      <c r="NX120" s="290">
        <f t="shared" si="848"/>
        <v>0</v>
      </c>
      <c r="NY120" s="290">
        <f t="shared" si="849"/>
        <v>0</v>
      </c>
      <c r="NZ120" s="290">
        <f t="shared" si="850"/>
        <v>0</v>
      </c>
      <c r="OA120" s="290">
        <f t="shared" si="851"/>
        <v>0</v>
      </c>
      <c r="OB120" s="290">
        <f t="shared" si="852"/>
        <v>0</v>
      </c>
      <c r="OC120" s="290">
        <f t="shared" si="853"/>
        <v>0</v>
      </c>
      <c r="OD120" s="290">
        <f t="shared" si="854"/>
        <v>0</v>
      </c>
      <c r="OE120" s="290">
        <f t="shared" si="855"/>
        <v>0</v>
      </c>
      <c r="OF120" s="290">
        <f t="shared" si="856"/>
        <v>0</v>
      </c>
      <c r="OG120" s="291">
        <f t="shared" si="857"/>
        <v>0</v>
      </c>
      <c r="OH120" s="291">
        <f t="shared" si="858"/>
        <v>0</v>
      </c>
      <c r="OI120" s="291">
        <f t="shared" si="859"/>
        <v>0</v>
      </c>
      <c r="OJ120" s="292">
        <f t="shared" si="860"/>
        <v>0</v>
      </c>
    </row>
    <row r="121" spans="53:400" ht="29.25" customHeight="1" x14ac:dyDescent="0.3">
      <c r="BA121" s="999">
        <v>30</v>
      </c>
      <c r="BB121" s="286">
        <f t="shared" si="861"/>
        <v>43951</v>
      </c>
      <c r="BC121" s="287">
        <f t="shared" si="585"/>
        <v>43951</v>
      </c>
      <c r="BD121" s="288">
        <f>'दैनिक माहिती'!M38</f>
        <v>0</v>
      </c>
      <c r="BE121" s="289">
        <f>'दैनिक माहिती'!J38</f>
        <v>0</v>
      </c>
      <c r="BF121" s="289">
        <f>'दैनिक माहिती'!K38</f>
        <v>0</v>
      </c>
      <c r="BG121" s="289">
        <f>'दैनिक माहिती'!L38</f>
        <v>0</v>
      </c>
      <c r="BH121" s="290">
        <f t="shared" si="597"/>
        <v>0</v>
      </c>
      <c r="BI121" s="290">
        <f t="shared" si="598"/>
        <v>0</v>
      </c>
      <c r="BJ121" s="290">
        <f t="shared" si="599"/>
        <v>0</v>
      </c>
      <c r="BK121" s="290">
        <f t="shared" si="600"/>
        <v>0</v>
      </c>
      <c r="BL121" s="290">
        <f t="shared" si="601"/>
        <v>0</v>
      </c>
      <c r="BM121" s="290">
        <f t="shared" si="602"/>
        <v>0</v>
      </c>
      <c r="BN121" s="290">
        <f t="shared" si="603"/>
        <v>0</v>
      </c>
      <c r="BO121" s="290">
        <f t="shared" si="604"/>
        <v>0</v>
      </c>
      <c r="BP121" s="290">
        <f t="shared" si="605"/>
        <v>0</v>
      </c>
      <c r="BQ121" s="290">
        <f t="shared" si="606"/>
        <v>0</v>
      </c>
      <c r="BR121" s="290">
        <f t="shared" si="607"/>
        <v>0</v>
      </c>
      <c r="BS121" s="290">
        <f t="shared" si="608"/>
        <v>0</v>
      </c>
      <c r="BT121" s="290">
        <f t="shared" si="609"/>
        <v>0</v>
      </c>
      <c r="BU121" s="290">
        <f t="shared" si="610"/>
        <v>0</v>
      </c>
      <c r="BV121" s="290">
        <f t="shared" si="611"/>
        <v>0</v>
      </c>
      <c r="BW121" s="290">
        <f t="shared" si="612"/>
        <v>0</v>
      </c>
      <c r="BX121" s="290">
        <f t="shared" si="613"/>
        <v>0</v>
      </c>
      <c r="BY121" s="290">
        <f t="shared" si="614"/>
        <v>0</v>
      </c>
      <c r="BZ121" s="291">
        <f t="shared" si="615"/>
        <v>0</v>
      </c>
      <c r="CA121" s="291">
        <f t="shared" si="616"/>
        <v>0</v>
      </c>
      <c r="CB121" s="291">
        <f t="shared" si="617"/>
        <v>0</v>
      </c>
      <c r="CC121" s="292">
        <f t="shared" si="618"/>
        <v>0</v>
      </c>
      <c r="CD121" s="999">
        <v>30</v>
      </c>
      <c r="CE121" s="286">
        <f t="shared" si="862"/>
        <v>43981</v>
      </c>
      <c r="CF121" s="287">
        <f t="shared" si="586"/>
        <v>43981</v>
      </c>
      <c r="CG121" s="288">
        <f>'दैनिक माहिती'!M69</f>
        <v>0</v>
      </c>
      <c r="CH121" s="289">
        <f>'दैनिक माहिती'!J69</f>
        <v>0</v>
      </c>
      <c r="CI121" s="289">
        <f>'दैनिक माहिती'!K69</f>
        <v>0</v>
      </c>
      <c r="CJ121" s="289">
        <f>'दैनिक माहिती'!L69</f>
        <v>0</v>
      </c>
      <c r="CK121" s="290">
        <f t="shared" si="619"/>
        <v>0</v>
      </c>
      <c r="CL121" s="290">
        <f t="shared" si="620"/>
        <v>0</v>
      </c>
      <c r="CM121" s="290">
        <f t="shared" si="621"/>
        <v>0</v>
      </c>
      <c r="CN121" s="290">
        <f t="shared" si="622"/>
        <v>0</v>
      </c>
      <c r="CO121" s="290">
        <f t="shared" si="623"/>
        <v>0</v>
      </c>
      <c r="CP121" s="290">
        <f t="shared" si="624"/>
        <v>0</v>
      </c>
      <c r="CQ121" s="290">
        <f t="shared" si="625"/>
        <v>0</v>
      </c>
      <c r="CR121" s="290">
        <f t="shared" si="626"/>
        <v>0</v>
      </c>
      <c r="CS121" s="290">
        <f t="shared" si="627"/>
        <v>0</v>
      </c>
      <c r="CT121" s="290">
        <f t="shared" si="628"/>
        <v>0</v>
      </c>
      <c r="CU121" s="290">
        <f t="shared" si="629"/>
        <v>0</v>
      </c>
      <c r="CV121" s="290">
        <f t="shared" si="630"/>
        <v>0</v>
      </c>
      <c r="CW121" s="290">
        <f t="shared" si="631"/>
        <v>0</v>
      </c>
      <c r="CX121" s="290">
        <f t="shared" si="632"/>
        <v>0</v>
      </c>
      <c r="CY121" s="290">
        <f t="shared" si="633"/>
        <v>0</v>
      </c>
      <c r="CZ121" s="290">
        <f t="shared" si="634"/>
        <v>0</v>
      </c>
      <c r="DA121" s="290">
        <f t="shared" si="635"/>
        <v>0</v>
      </c>
      <c r="DB121" s="290">
        <f t="shared" si="636"/>
        <v>0</v>
      </c>
      <c r="DC121" s="291">
        <f t="shared" si="637"/>
        <v>0</v>
      </c>
      <c r="DD121" s="291">
        <f t="shared" si="638"/>
        <v>0</v>
      </c>
      <c r="DE121" s="291">
        <f t="shared" si="639"/>
        <v>0</v>
      </c>
      <c r="DF121" s="292">
        <f t="shared" si="640"/>
        <v>0</v>
      </c>
      <c r="DG121" s="999">
        <v>30</v>
      </c>
      <c r="DH121" s="286">
        <f t="shared" si="863"/>
        <v>44012</v>
      </c>
      <c r="DI121" s="287">
        <f t="shared" si="587"/>
        <v>44012</v>
      </c>
      <c r="DJ121" s="288">
        <f>'दैनिक माहिती'!M101</f>
        <v>0</v>
      </c>
      <c r="DK121" s="289">
        <f>'दैनिक माहिती'!J101</f>
        <v>0</v>
      </c>
      <c r="DL121" s="289">
        <f>'दैनिक माहिती'!K101</f>
        <v>0</v>
      </c>
      <c r="DM121" s="289">
        <f>'दैनिक माहिती'!L101</f>
        <v>0</v>
      </c>
      <c r="DN121" s="290">
        <f t="shared" si="641"/>
        <v>0</v>
      </c>
      <c r="DO121" s="290">
        <f t="shared" si="642"/>
        <v>0</v>
      </c>
      <c r="DP121" s="290">
        <f t="shared" si="643"/>
        <v>0</v>
      </c>
      <c r="DQ121" s="290">
        <f t="shared" si="644"/>
        <v>0</v>
      </c>
      <c r="DR121" s="290">
        <f t="shared" si="645"/>
        <v>0</v>
      </c>
      <c r="DS121" s="290">
        <f t="shared" si="646"/>
        <v>0</v>
      </c>
      <c r="DT121" s="290">
        <f t="shared" si="647"/>
        <v>0</v>
      </c>
      <c r="DU121" s="290">
        <f t="shared" si="648"/>
        <v>0</v>
      </c>
      <c r="DV121" s="290">
        <f t="shared" si="649"/>
        <v>0</v>
      </c>
      <c r="DW121" s="290">
        <f t="shared" si="650"/>
        <v>0</v>
      </c>
      <c r="DX121" s="290">
        <f t="shared" si="651"/>
        <v>0</v>
      </c>
      <c r="DY121" s="290">
        <f t="shared" si="652"/>
        <v>0</v>
      </c>
      <c r="DZ121" s="290">
        <f t="shared" si="653"/>
        <v>0</v>
      </c>
      <c r="EA121" s="290">
        <f t="shared" si="654"/>
        <v>0</v>
      </c>
      <c r="EB121" s="290">
        <f t="shared" si="655"/>
        <v>0</v>
      </c>
      <c r="EC121" s="290">
        <f t="shared" si="656"/>
        <v>0</v>
      </c>
      <c r="ED121" s="290">
        <f t="shared" si="657"/>
        <v>0</v>
      </c>
      <c r="EE121" s="290">
        <f t="shared" si="658"/>
        <v>0</v>
      </c>
      <c r="EF121" s="291">
        <f t="shared" si="659"/>
        <v>0</v>
      </c>
      <c r="EG121" s="291">
        <f t="shared" si="660"/>
        <v>0</v>
      </c>
      <c r="EH121" s="291">
        <f t="shared" si="661"/>
        <v>0</v>
      </c>
      <c r="EI121" s="292">
        <f t="shared" si="662"/>
        <v>0</v>
      </c>
      <c r="EJ121" s="999">
        <v>30</v>
      </c>
      <c r="EK121" s="286">
        <f t="shared" si="864"/>
        <v>44042</v>
      </c>
      <c r="EL121" s="287">
        <f t="shared" si="588"/>
        <v>44042</v>
      </c>
      <c r="EM121" s="288">
        <f>'दैनिक माहिती'!M132</f>
        <v>0</v>
      </c>
      <c r="EN121" s="289">
        <f>'दैनिक माहिती'!J132</f>
        <v>0</v>
      </c>
      <c r="EO121" s="289">
        <f>'दैनिक माहिती'!K132</f>
        <v>0</v>
      </c>
      <c r="EP121" s="289">
        <f>'दैनिक माहिती'!L132</f>
        <v>0</v>
      </c>
      <c r="EQ121" s="290">
        <f t="shared" si="663"/>
        <v>0</v>
      </c>
      <c r="ER121" s="290">
        <f t="shared" si="664"/>
        <v>0</v>
      </c>
      <c r="ES121" s="290">
        <f t="shared" si="665"/>
        <v>0</v>
      </c>
      <c r="ET121" s="290">
        <f t="shared" si="666"/>
        <v>0</v>
      </c>
      <c r="EU121" s="290">
        <f t="shared" si="667"/>
        <v>0</v>
      </c>
      <c r="EV121" s="290">
        <f t="shared" si="668"/>
        <v>0</v>
      </c>
      <c r="EW121" s="290">
        <f t="shared" si="669"/>
        <v>0</v>
      </c>
      <c r="EX121" s="290">
        <f t="shared" si="670"/>
        <v>0</v>
      </c>
      <c r="EY121" s="290">
        <f t="shared" si="671"/>
        <v>0</v>
      </c>
      <c r="EZ121" s="290">
        <f t="shared" si="672"/>
        <v>0</v>
      </c>
      <c r="FA121" s="290">
        <f t="shared" si="673"/>
        <v>0</v>
      </c>
      <c r="FB121" s="290">
        <f t="shared" si="674"/>
        <v>0</v>
      </c>
      <c r="FC121" s="290">
        <f t="shared" si="675"/>
        <v>0</v>
      </c>
      <c r="FD121" s="290">
        <f t="shared" si="676"/>
        <v>0</v>
      </c>
      <c r="FE121" s="290">
        <f t="shared" si="677"/>
        <v>0</v>
      </c>
      <c r="FF121" s="290">
        <f t="shared" si="678"/>
        <v>0</v>
      </c>
      <c r="FG121" s="290">
        <f t="shared" si="679"/>
        <v>0</v>
      </c>
      <c r="FH121" s="290">
        <f t="shared" si="680"/>
        <v>0</v>
      </c>
      <c r="FI121" s="291">
        <f t="shared" si="681"/>
        <v>0</v>
      </c>
      <c r="FJ121" s="291">
        <f t="shared" si="682"/>
        <v>0</v>
      </c>
      <c r="FK121" s="291">
        <f t="shared" si="683"/>
        <v>0</v>
      </c>
      <c r="FL121" s="292">
        <f t="shared" si="684"/>
        <v>0</v>
      </c>
      <c r="FM121" s="999">
        <v>30</v>
      </c>
      <c r="FN121" s="286">
        <f t="shared" si="865"/>
        <v>44073</v>
      </c>
      <c r="FO121" s="287">
        <f t="shared" si="589"/>
        <v>44073</v>
      </c>
      <c r="FP121" s="288">
        <f>'दैनिक माहिती'!M164</f>
        <v>0</v>
      </c>
      <c r="FQ121" s="289">
        <f>'दैनिक माहिती'!J164</f>
        <v>0</v>
      </c>
      <c r="FR121" s="289">
        <f>'दैनिक माहिती'!K164</f>
        <v>0</v>
      </c>
      <c r="FS121" s="289">
        <f>'दैनिक माहिती'!L164</f>
        <v>0</v>
      </c>
      <c r="FT121" s="290">
        <f t="shared" si="685"/>
        <v>0</v>
      </c>
      <c r="FU121" s="290">
        <f t="shared" si="686"/>
        <v>0</v>
      </c>
      <c r="FV121" s="290">
        <f t="shared" si="687"/>
        <v>0</v>
      </c>
      <c r="FW121" s="290">
        <f t="shared" si="688"/>
        <v>0</v>
      </c>
      <c r="FX121" s="290">
        <f t="shared" si="689"/>
        <v>0</v>
      </c>
      <c r="FY121" s="290">
        <f t="shared" si="690"/>
        <v>0</v>
      </c>
      <c r="FZ121" s="290">
        <f t="shared" si="691"/>
        <v>0</v>
      </c>
      <c r="GA121" s="290">
        <f t="shared" si="692"/>
        <v>0</v>
      </c>
      <c r="GB121" s="290">
        <f t="shared" si="693"/>
        <v>0</v>
      </c>
      <c r="GC121" s="290">
        <f t="shared" si="694"/>
        <v>0</v>
      </c>
      <c r="GD121" s="290">
        <f t="shared" si="695"/>
        <v>0</v>
      </c>
      <c r="GE121" s="290">
        <f t="shared" si="696"/>
        <v>0</v>
      </c>
      <c r="GF121" s="290">
        <f t="shared" si="697"/>
        <v>0</v>
      </c>
      <c r="GG121" s="290">
        <f t="shared" si="698"/>
        <v>0</v>
      </c>
      <c r="GH121" s="290">
        <f t="shared" si="699"/>
        <v>0</v>
      </c>
      <c r="GI121" s="290">
        <f t="shared" si="700"/>
        <v>0</v>
      </c>
      <c r="GJ121" s="290">
        <f t="shared" si="701"/>
        <v>0</v>
      </c>
      <c r="GK121" s="290">
        <f t="shared" si="702"/>
        <v>0</v>
      </c>
      <c r="GL121" s="291">
        <f t="shared" si="703"/>
        <v>0</v>
      </c>
      <c r="GM121" s="291">
        <f t="shared" si="704"/>
        <v>0</v>
      </c>
      <c r="GN121" s="291">
        <f t="shared" si="705"/>
        <v>0</v>
      </c>
      <c r="GO121" s="292">
        <f t="shared" si="706"/>
        <v>0</v>
      </c>
      <c r="GP121" s="999">
        <v>30</v>
      </c>
      <c r="GQ121" s="286">
        <f t="shared" si="866"/>
        <v>44104</v>
      </c>
      <c r="GR121" s="287">
        <f t="shared" si="590"/>
        <v>44104</v>
      </c>
      <c r="GS121" s="288">
        <f>'दैनिक माहिती'!M196</f>
        <v>0</v>
      </c>
      <c r="GT121" s="289">
        <f>'दैनिक माहिती'!J196</f>
        <v>0</v>
      </c>
      <c r="GU121" s="289">
        <f>'दैनिक माहिती'!K196</f>
        <v>0</v>
      </c>
      <c r="GV121" s="289">
        <f>'दैनिक माहिती'!L196</f>
        <v>0</v>
      </c>
      <c r="GW121" s="290">
        <f t="shared" si="707"/>
        <v>0</v>
      </c>
      <c r="GX121" s="290">
        <f t="shared" si="708"/>
        <v>0</v>
      </c>
      <c r="GY121" s="290">
        <f t="shared" si="709"/>
        <v>0</v>
      </c>
      <c r="GZ121" s="290">
        <f t="shared" si="710"/>
        <v>0</v>
      </c>
      <c r="HA121" s="290">
        <f t="shared" si="711"/>
        <v>0</v>
      </c>
      <c r="HB121" s="290">
        <f t="shared" si="712"/>
        <v>0</v>
      </c>
      <c r="HC121" s="290">
        <f t="shared" si="713"/>
        <v>0</v>
      </c>
      <c r="HD121" s="290">
        <f t="shared" si="714"/>
        <v>0</v>
      </c>
      <c r="HE121" s="290">
        <f t="shared" si="715"/>
        <v>0</v>
      </c>
      <c r="HF121" s="290">
        <f t="shared" si="716"/>
        <v>0</v>
      </c>
      <c r="HG121" s="290">
        <f t="shared" si="717"/>
        <v>0</v>
      </c>
      <c r="HH121" s="290">
        <f t="shared" si="718"/>
        <v>0</v>
      </c>
      <c r="HI121" s="290">
        <f t="shared" si="719"/>
        <v>0</v>
      </c>
      <c r="HJ121" s="290">
        <f t="shared" si="720"/>
        <v>0</v>
      </c>
      <c r="HK121" s="290">
        <f t="shared" si="721"/>
        <v>0</v>
      </c>
      <c r="HL121" s="290">
        <f t="shared" si="722"/>
        <v>0</v>
      </c>
      <c r="HM121" s="290">
        <f t="shared" si="723"/>
        <v>0</v>
      </c>
      <c r="HN121" s="290">
        <f t="shared" si="724"/>
        <v>0</v>
      </c>
      <c r="HO121" s="291">
        <f t="shared" si="725"/>
        <v>0</v>
      </c>
      <c r="HP121" s="291">
        <f t="shared" si="726"/>
        <v>0</v>
      </c>
      <c r="HQ121" s="291">
        <f t="shared" si="727"/>
        <v>0</v>
      </c>
      <c r="HR121" s="292">
        <f t="shared" si="728"/>
        <v>0</v>
      </c>
      <c r="HS121" s="999">
        <v>30</v>
      </c>
      <c r="HT121" s="286">
        <f t="shared" si="867"/>
        <v>44134</v>
      </c>
      <c r="HU121" s="287">
        <f t="shared" si="591"/>
        <v>44134</v>
      </c>
      <c r="HV121" s="288">
        <f>'दैनिक माहिती'!M227</f>
        <v>0</v>
      </c>
      <c r="HW121" s="289">
        <f>'दैनिक माहिती'!J227</f>
        <v>0</v>
      </c>
      <c r="HX121" s="289">
        <f>'दैनिक माहिती'!K227</f>
        <v>0</v>
      </c>
      <c r="HY121" s="289">
        <f>'दैनिक माहिती'!L227</f>
        <v>0</v>
      </c>
      <c r="HZ121" s="290">
        <f t="shared" si="729"/>
        <v>0</v>
      </c>
      <c r="IA121" s="290">
        <f t="shared" si="730"/>
        <v>0</v>
      </c>
      <c r="IB121" s="290">
        <f t="shared" si="731"/>
        <v>0</v>
      </c>
      <c r="IC121" s="290">
        <f t="shared" si="732"/>
        <v>0</v>
      </c>
      <c r="ID121" s="290">
        <f t="shared" si="733"/>
        <v>0</v>
      </c>
      <c r="IE121" s="290">
        <f t="shared" si="734"/>
        <v>0</v>
      </c>
      <c r="IF121" s="290">
        <f t="shared" si="735"/>
        <v>0</v>
      </c>
      <c r="IG121" s="290">
        <f t="shared" si="736"/>
        <v>0</v>
      </c>
      <c r="IH121" s="290">
        <f t="shared" si="737"/>
        <v>0</v>
      </c>
      <c r="II121" s="290">
        <f t="shared" si="738"/>
        <v>0</v>
      </c>
      <c r="IJ121" s="290">
        <f t="shared" si="739"/>
        <v>0</v>
      </c>
      <c r="IK121" s="290">
        <f t="shared" si="740"/>
        <v>0</v>
      </c>
      <c r="IL121" s="290">
        <f t="shared" si="741"/>
        <v>0</v>
      </c>
      <c r="IM121" s="290">
        <f t="shared" si="742"/>
        <v>0</v>
      </c>
      <c r="IN121" s="290">
        <f t="shared" si="743"/>
        <v>0</v>
      </c>
      <c r="IO121" s="290">
        <f t="shared" si="744"/>
        <v>0</v>
      </c>
      <c r="IP121" s="290">
        <f t="shared" si="745"/>
        <v>0</v>
      </c>
      <c r="IQ121" s="290">
        <f t="shared" si="746"/>
        <v>0</v>
      </c>
      <c r="IR121" s="291">
        <f t="shared" si="747"/>
        <v>0</v>
      </c>
      <c r="IS121" s="291">
        <f t="shared" si="748"/>
        <v>0</v>
      </c>
      <c r="IT121" s="291">
        <f t="shared" si="749"/>
        <v>0</v>
      </c>
      <c r="IU121" s="292">
        <f t="shared" si="750"/>
        <v>0</v>
      </c>
      <c r="IV121" s="999">
        <v>30</v>
      </c>
      <c r="IW121" s="286">
        <f t="shared" si="868"/>
        <v>44165</v>
      </c>
      <c r="IX121" s="287">
        <f t="shared" si="592"/>
        <v>44165</v>
      </c>
      <c r="IY121" s="288">
        <f>'दैनिक माहिती'!M259</f>
        <v>0</v>
      </c>
      <c r="IZ121" s="289">
        <f>'दैनिक माहिती'!J259</f>
        <v>0</v>
      </c>
      <c r="JA121" s="289">
        <f>'दैनिक माहिती'!K259</f>
        <v>0</v>
      </c>
      <c r="JB121" s="289">
        <f>'दैनिक माहिती'!L259</f>
        <v>0</v>
      </c>
      <c r="JC121" s="290">
        <f t="shared" si="751"/>
        <v>0</v>
      </c>
      <c r="JD121" s="290">
        <f t="shared" si="752"/>
        <v>0</v>
      </c>
      <c r="JE121" s="290">
        <f t="shared" si="753"/>
        <v>0</v>
      </c>
      <c r="JF121" s="290">
        <f t="shared" si="754"/>
        <v>0</v>
      </c>
      <c r="JG121" s="290">
        <f t="shared" si="755"/>
        <v>0</v>
      </c>
      <c r="JH121" s="290">
        <f t="shared" si="756"/>
        <v>0</v>
      </c>
      <c r="JI121" s="290">
        <f t="shared" si="757"/>
        <v>0</v>
      </c>
      <c r="JJ121" s="290">
        <f t="shared" si="758"/>
        <v>0</v>
      </c>
      <c r="JK121" s="290">
        <f t="shared" si="759"/>
        <v>0</v>
      </c>
      <c r="JL121" s="290">
        <f t="shared" si="760"/>
        <v>0</v>
      </c>
      <c r="JM121" s="290">
        <f t="shared" si="761"/>
        <v>0</v>
      </c>
      <c r="JN121" s="290">
        <f t="shared" si="762"/>
        <v>0</v>
      </c>
      <c r="JO121" s="290">
        <f t="shared" si="763"/>
        <v>0</v>
      </c>
      <c r="JP121" s="290">
        <f t="shared" si="764"/>
        <v>0</v>
      </c>
      <c r="JQ121" s="290">
        <f t="shared" si="765"/>
        <v>0</v>
      </c>
      <c r="JR121" s="290">
        <f t="shared" si="766"/>
        <v>0</v>
      </c>
      <c r="JS121" s="290">
        <f t="shared" si="767"/>
        <v>0</v>
      </c>
      <c r="JT121" s="290">
        <f t="shared" si="768"/>
        <v>0</v>
      </c>
      <c r="JU121" s="291">
        <f t="shared" si="769"/>
        <v>0</v>
      </c>
      <c r="JV121" s="291">
        <f t="shared" si="770"/>
        <v>0</v>
      </c>
      <c r="JW121" s="291">
        <f t="shared" si="771"/>
        <v>0</v>
      </c>
      <c r="JX121" s="292">
        <f t="shared" si="772"/>
        <v>0</v>
      </c>
      <c r="JY121" s="999">
        <v>30</v>
      </c>
      <c r="JZ121" s="286">
        <f t="shared" si="869"/>
        <v>44195</v>
      </c>
      <c r="KA121" s="287">
        <f t="shared" si="593"/>
        <v>44195</v>
      </c>
      <c r="KB121" s="288">
        <f>'दैनिक माहिती'!M290</f>
        <v>0</v>
      </c>
      <c r="KC121" s="289">
        <f>'दैनिक माहिती'!J290</f>
        <v>0</v>
      </c>
      <c r="KD121" s="289">
        <f>'दैनिक माहिती'!K290</f>
        <v>0</v>
      </c>
      <c r="KE121" s="289">
        <f>'दैनिक माहिती'!L290</f>
        <v>0</v>
      </c>
      <c r="KF121" s="290">
        <f t="shared" si="773"/>
        <v>0</v>
      </c>
      <c r="KG121" s="290">
        <f t="shared" si="774"/>
        <v>0</v>
      </c>
      <c r="KH121" s="290">
        <f t="shared" si="775"/>
        <v>0</v>
      </c>
      <c r="KI121" s="290">
        <f t="shared" si="776"/>
        <v>0</v>
      </c>
      <c r="KJ121" s="290">
        <f t="shared" si="777"/>
        <v>0</v>
      </c>
      <c r="KK121" s="290">
        <f t="shared" si="778"/>
        <v>0</v>
      </c>
      <c r="KL121" s="290">
        <f t="shared" si="779"/>
        <v>0</v>
      </c>
      <c r="KM121" s="290">
        <f t="shared" si="780"/>
        <v>0</v>
      </c>
      <c r="KN121" s="290">
        <f t="shared" si="781"/>
        <v>0</v>
      </c>
      <c r="KO121" s="290">
        <f t="shared" si="782"/>
        <v>0</v>
      </c>
      <c r="KP121" s="290">
        <f t="shared" si="783"/>
        <v>0</v>
      </c>
      <c r="KQ121" s="290">
        <f t="shared" si="784"/>
        <v>0</v>
      </c>
      <c r="KR121" s="290">
        <f t="shared" si="785"/>
        <v>0</v>
      </c>
      <c r="KS121" s="290">
        <f t="shared" si="786"/>
        <v>0</v>
      </c>
      <c r="KT121" s="290">
        <f t="shared" si="787"/>
        <v>0</v>
      </c>
      <c r="KU121" s="290">
        <f t="shared" si="788"/>
        <v>0</v>
      </c>
      <c r="KV121" s="290">
        <f t="shared" si="789"/>
        <v>0</v>
      </c>
      <c r="KW121" s="290">
        <f t="shared" si="790"/>
        <v>0</v>
      </c>
      <c r="KX121" s="291">
        <f t="shared" si="791"/>
        <v>0</v>
      </c>
      <c r="KY121" s="291">
        <f t="shared" si="792"/>
        <v>0</v>
      </c>
      <c r="KZ121" s="291">
        <f t="shared" si="793"/>
        <v>0</v>
      </c>
      <c r="LA121" s="292">
        <f t="shared" si="794"/>
        <v>0</v>
      </c>
      <c r="LB121" s="999">
        <v>30</v>
      </c>
      <c r="LC121" s="286">
        <f t="shared" si="870"/>
        <v>44226</v>
      </c>
      <c r="LD121" s="287">
        <f t="shared" si="594"/>
        <v>44226</v>
      </c>
      <c r="LE121" s="288">
        <f>'दैनिक माहिती'!M322</f>
        <v>0</v>
      </c>
      <c r="LF121" s="289">
        <f>'दैनिक माहिती'!J322</f>
        <v>0</v>
      </c>
      <c r="LG121" s="289">
        <f>'दैनिक माहिती'!K322</f>
        <v>0</v>
      </c>
      <c r="LH121" s="289">
        <f>'दैनिक माहिती'!L322</f>
        <v>0</v>
      </c>
      <c r="LI121" s="290">
        <f t="shared" si="795"/>
        <v>0</v>
      </c>
      <c r="LJ121" s="290">
        <f t="shared" si="796"/>
        <v>0</v>
      </c>
      <c r="LK121" s="290">
        <f t="shared" si="797"/>
        <v>0</v>
      </c>
      <c r="LL121" s="290">
        <f t="shared" si="798"/>
        <v>0</v>
      </c>
      <c r="LM121" s="290">
        <f t="shared" si="799"/>
        <v>0</v>
      </c>
      <c r="LN121" s="290">
        <f t="shared" si="800"/>
        <v>0</v>
      </c>
      <c r="LO121" s="290">
        <f t="shared" si="801"/>
        <v>0</v>
      </c>
      <c r="LP121" s="290">
        <f t="shared" si="802"/>
        <v>0</v>
      </c>
      <c r="LQ121" s="290">
        <f t="shared" si="803"/>
        <v>0</v>
      </c>
      <c r="LR121" s="290">
        <f t="shared" si="804"/>
        <v>0</v>
      </c>
      <c r="LS121" s="290">
        <f t="shared" si="805"/>
        <v>0</v>
      </c>
      <c r="LT121" s="290">
        <f t="shared" si="806"/>
        <v>0</v>
      </c>
      <c r="LU121" s="290">
        <f t="shared" si="807"/>
        <v>0</v>
      </c>
      <c r="LV121" s="290">
        <f t="shared" si="808"/>
        <v>0</v>
      </c>
      <c r="LW121" s="290">
        <f t="shared" si="809"/>
        <v>0</v>
      </c>
      <c r="LX121" s="290">
        <f t="shared" si="810"/>
        <v>0</v>
      </c>
      <c r="LY121" s="290">
        <f t="shared" si="811"/>
        <v>0</v>
      </c>
      <c r="LZ121" s="290">
        <f t="shared" si="812"/>
        <v>0</v>
      </c>
      <c r="MA121" s="291">
        <f t="shared" si="813"/>
        <v>0</v>
      </c>
      <c r="MB121" s="291">
        <f t="shared" si="814"/>
        <v>0</v>
      </c>
      <c r="MC121" s="291">
        <f t="shared" si="815"/>
        <v>0</v>
      </c>
      <c r="MD121" s="292">
        <f t="shared" si="816"/>
        <v>0</v>
      </c>
      <c r="ME121" s="999">
        <v>30</v>
      </c>
      <c r="MF121" s="286">
        <f t="shared" si="871"/>
        <v>44257</v>
      </c>
      <c r="MG121" s="287">
        <f t="shared" si="595"/>
        <v>44257</v>
      </c>
      <c r="MH121" s="288"/>
      <c r="MI121" s="289"/>
      <c r="MJ121" s="289"/>
      <c r="MK121" s="289"/>
      <c r="ML121" s="290">
        <f t="shared" si="817"/>
        <v>0</v>
      </c>
      <c r="MM121" s="290">
        <f t="shared" si="818"/>
        <v>0</v>
      </c>
      <c r="MN121" s="290">
        <f t="shared" si="819"/>
        <v>0</v>
      </c>
      <c r="MO121" s="290">
        <f t="shared" si="820"/>
        <v>0</v>
      </c>
      <c r="MP121" s="290">
        <f t="shared" si="821"/>
        <v>0</v>
      </c>
      <c r="MQ121" s="290">
        <f t="shared" si="822"/>
        <v>0</v>
      </c>
      <c r="MR121" s="290">
        <f t="shared" si="823"/>
        <v>0</v>
      </c>
      <c r="MS121" s="290">
        <f t="shared" si="824"/>
        <v>0</v>
      </c>
      <c r="MT121" s="290">
        <f t="shared" si="825"/>
        <v>0</v>
      </c>
      <c r="MU121" s="290">
        <f t="shared" si="826"/>
        <v>0</v>
      </c>
      <c r="MV121" s="290">
        <f t="shared" si="827"/>
        <v>0</v>
      </c>
      <c r="MW121" s="290">
        <f t="shared" si="828"/>
        <v>0</v>
      </c>
      <c r="MX121" s="290">
        <f t="shared" si="829"/>
        <v>0</v>
      </c>
      <c r="MY121" s="290">
        <f t="shared" si="830"/>
        <v>0</v>
      </c>
      <c r="MZ121" s="290">
        <f t="shared" si="831"/>
        <v>0</v>
      </c>
      <c r="NA121" s="290">
        <f t="shared" si="832"/>
        <v>0</v>
      </c>
      <c r="NB121" s="290">
        <f t="shared" si="833"/>
        <v>0</v>
      </c>
      <c r="NC121" s="290">
        <f t="shared" si="834"/>
        <v>0</v>
      </c>
      <c r="ND121" s="291">
        <f t="shared" si="835"/>
        <v>0</v>
      </c>
      <c r="NE121" s="291">
        <f t="shared" si="836"/>
        <v>0</v>
      </c>
      <c r="NF121" s="291">
        <f t="shared" si="837"/>
        <v>0</v>
      </c>
      <c r="NG121" s="292">
        <f t="shared" si="838"/>
        <v>0</v>
      </c>
      <c r="NH121" s="999">
        <v>30</v>
      </c>
      <c r="NI121" s="286">
        <f t="shared" si="872"/>
        <v>44285</v>
      </c>
      <c r="NJ121" s="287">
        <f t="shared" si="596"/>
        <v>44285</v>
      </c>
      <c r="NK121" s="288">
        <f>'दैनिक माहिती'!M384</f>
        <v>0</v>
      </c>
      <c r="NL121" s="289">
        <f>'दैनिक माहिती'!J384</f>
        <v>0</v>
      </c>
      <c r="NM121" s="289">
        <f>'दैनिक माहिती'!K384</f>
        <v>0</v>
      </c>
      <c r="NN121" s="289">
        <f>'दैनिक माहिती'!L384</f>
        <v>0</v>
      </c>
      <c r="NO121" s="290">
        <f t="shared" si="839"/>
        <v>0</v>
      </c>
      <c r="NP121" s="290">
        <f t="shared" si="840"/>
        <v>0</v>
      </c>
      <c r="NQ121" s="290">
        <f t="shared" si="841"/>
        <v>0</v>
      </c>
      <c r="NR121" s="290">
        <f t="shared" si="842"/>
        <v>0</v>
      </c>
      <c r="NS121" s="290">
        <f t="shared" si="843"/>
        <v>0</v>
      </c>
      <c r="NT121" s="290">
        <f t="shared" si="844"/>
        <v>0</v>
      </c>
      <c r="NU121" s="290">
        <f t="shared" si="845"/>
        <v>0</v>
      </c>
      <c r="NV121" s="290">
        <f t="shared" si="846"/>
        <v>0</v>
      </c>
      <c r="NW121" s="290">
        <f t="shared" si="847"/>
        <v>0</v>
      </c>
      <c r="NX121" s="290">
        <f t="shared" si="848"/>
        <v>0</v>
      </c>
      <c r="NY121" s="290">
        <f t="shared" si="849"/>
        <v>0</v>
      </c>
      <c r="NZ121" s="290">
        <f t="shared" si="850"/>
        <v>0</v>
      </c>
      <c r="OA121" s="290">
        <f t="shared" si="851"/>
        <v>0</v>
      </c>
      <c r="OB121" s="290">
        <f t="shared" si="852"/>
        <v>0</v>
      </c>
      <c r="OC121" s="290">
        <f t="shared" si="853"/>
        <v>0</v>
      </c>
      <c r="OD121" s="290">
        <f t="shared" si="854"/>
        <v>0</v>
      </c>
      <c r="OE121" s="290">
        <f t="shared" si="855"/>
        <v>0</v>
      </c>
      <c r="OF121" s="290">
        <f t="shared" si="856"/>
        <v>0</v>
      </c>
      <c r="OG121" s="291">
        <f t="shared" si="857"/>
        <v>0</v>
      </c>
      <c r="OH121" s="291">
        <f t="shared" si="858"/>
        <v>0</v>
      </c>
      <c r="OI121" s="291">
        <f t="shared" si="859"/>
        <v>0</v>
      </c>
      <c r="OJ121" s="292">
        <f t="shared" si="860"/>
        <v>0</v>
      </c>
    </row>
    <row r="122" spans="53:400" ht="29.25" customHeight="1" x14ac:dyDescent="0.3">
      <c r="BA122" s="999">
        <v>31</v>
      </c>
      <c r="BB122" s="286">
        <f t="shared" si="861"/>
        <v>43952</v>
      </c>
      <c r="BC122" s="287">
        <f t="shared" si="585"/>
        <v>43952</v>
      </c>
      <c r="BD122" s="288"/>
      <c r="BE122" s="289"/>
      <c r="BF122" s="289"/>
      <c r="BG122" s="289"/>
      <c r="BH122" s="290">
        <f t="shared" si="597"/>
        <v>0</v>
      </c>
      <c r="BI122" s="290">
        <f t="shared" si="598"/>
        <v>0</v>
      </c>
      <c r="BJ122" s="290">
        <f t="shared" si="599"/>
        <v>0</v>
      </c>
      <c r="BK122" s="290">
        <f t="shared" si="600"/>
        <v>0</v>
      </c>
      <c r="BL122" s="290">
        <f t="shared" si="601"/>
        <v>0</v>
      </c>
      <c r="BM122" s="290">
        <f t="shared" si="602"/>
        <v>0</v>
      </c>
      <c r="BN122" s="290">
        <f t="shared" si="603"/>
        <v>0</v>
      </c>
      <c r="BO122" s="290">
        <f t="shared" si="604"/>
        <v>0</v>
      </c>
      <c r="BP122" s="290">
        <f t="shared" si="605"/>
        <v>0</v>
      </c>
      <c r="BQ122" s="290">
        <f t="shared" si="606"/>
        <v>0</v>
      </c>
      <c r="BR122" s="290">
        <f t="shared" si="607"/>
        <v>0</v>
      </c>
      <c r="BS122" s="290">
        <f t="shared" si="608"/>
        <v>0</v>
      </c>
      <c r="BT122" s="290">
        <f t="shared" si="609"/>
        <v>0</v>
      </c>
      <c r="BU122" s="290">
        <f t="shared" si="610"/>
        <v>0</v>
      </c>
      <c r="BV122" s="290">
        <f t="shared" si="611"/>
        <v>0</v>
      </c>
      <c r="BW122" s="290">
        <f t="shared" si="612"/>
        <v>0</v>
      </c>
      <c r="BX122" s="290">
        <f t="shared" si="613"/>
        <v>0</v>
      </c>
      <c r="BY122" s="290">
        <f t="shared" si="614"/>
        <v>0</v>
      </c>
      <c r="BZ122" s="291">
        <f t="shared" si="615"/>
        <v>0</v>
      </c>
      <c r="CA122" s="291">
        <f t="shared" si="616"/>
        <v>0</v>
      </c>
      <c r="CB122" s="291">
        <f t="shared" si="617"/>
        <v>0</v>
      </c>
      <c r="CC122" s="292">
        <f t="shared" si="618"/>
        <v>0</v>
      </c>
      <c r="CD122" s="999">
        <v>31</v>
      </c>
      <c r="CE122" s="286">
        <f t="shared" si="862"/>
        <v>43982</v>
      </c>
      <c r="CF122" s="287">
        <f t="shared" si="586"/>
        <v>43982</v>
      </c>
      <c r="CG122" s="288">
        <f>'दैनिक माहिती'!M70</f>
        <v>0</v>
      </c>
      <c r="CH122" s="289">
        <f>'दैनिक माहिती'!J70</f>
        <v>0</v>
      </c>
      <c r="CI122" s="289">
        <f>'दैनिक माहिती'!K70</f>
        <v>0</v>
      </c>
      <c r="CJ122" s="289">
        <f>'दैनिक माहिती'!L70</f>
        <v>0</v>
      </c>
      <c r="CK122" s="290">
        <f t="shared" si="619"/>
        <v>0</v>
      </c>
      <c r="CL122" s="290">
        <f t="shared" si="620"/>
        <v>0</v>
      </c>
      <c r="CM122" s="290">
        <f t="shared" si="621"/>
        <v>0</v>
      </c>
      <c r="CN122" s="290">
        <f t="shared" si="622"/>
        <v>0</v>
      </c>
      <c r="CO122" s="290">
        <f t="shared" si="623"/>
        <v>0</v>
      </c>
      <c r="CP122" s="290">
        <f t="shared" si="624"/>
        <v>0</v>
      </c>
      <c r="CQ122" s="290">
        <f t="shared" si="625"/>
        <v>0</v>
      </c>
      <c r="CR122" s="290">
        <f t="shared" si="626"/>
        <v>0</v>
      </c>
      <c r="CS122" s="290">
        <f t="shared" si="627"/>
        <v>0</v>
      </c>
      <c r="CT122" s="290">
        <f t="shared" si="628"/>
        <v>0</v>
      </c>
      <c r="CU122" s="290">
        <f t="shared" si="629"/>
        <v>0</v>
      </c>
      <c r="CV122" s="290">
        <f t="shared" si="630"/>
        <v>0</v>
      </c>
      <c r="CW122" s="290">
        <f t="shared" si="631"/>
        <v>0</v>
      </c>
      <c r="CX122" s="290">
        <f t="shared" si="632"/>
        <v>0</v>
      </c>
      <c r="CY122" s="290">
        <f t="shared" si="633"/>
        <v>0</v>
      </c>
      <c r="CZ122" s="290">
        <f t="shared" si="634"/>
        <v>0</v>
      </c>
      <c r="DA122" s="290">
        <f t="shared" si="635"/>
        <v>0</v>
      </c>
      <c r="DB122" s="290">
        <f t="shared" si="636"/>
        <v>0</v>
      </c>
      <c r="DC122" s="291">
        <f t="shared" si="637"/>
        <v>0</v>
      </c>
      <c r="DD122" s="291">
        <f t="shared" si="638"/>
        <v>0</v>
      </c>
      <c r="DE122" s="291">
        <f t="shared" si="639"/>
        <v>0</v>
      </c>
      <c r="DF122" s="292">
        <f t="shared" si="640"/>
        <v>0</v>
      </c>
      <c r="DG122" s="999">
        <v>31</v>
      </c>
      <c r="DH122" s="286">
        <f t="shared" si="863"/>
        <v>44013</v>
      </c>
      <c r="DI122" s="287">
        <f t="shared" si="587"/>
        <v>44013</v>
      </c>
      <c r="DJ122" s="288"/>
      <c r="DK122" s="289"/>
      <c r="DL122" s="289"/>
      <c r="DM122" s="289"/>
      <c r="DN122" s="290">
        <f t="shared" si="641"/>
        <v>0</v>
      </c>
      <c r="DO122" s="290">
        <f t="shared" si="642"/>
        <v>0</v>
      </c>
      <c r="DP122" s="290">
        <f t="shared" si="643"/>
        <v>0</v>
      </c>
      <c r="DQ122" s="290">
        <f t="shared" si="644"/>
        <v>0</v>
      </c>
      <c r="DR122" s="290">
        <f t="shared" si="645"/>
        <v>0</v>
      </c>
      <c r="DS122" s="290">
        <f t="shared" si="646"/>
        <v>0</v>
      </c>
      <c r="DT122" s="290">
        <f t="shared" si="647"/>
        <v>0</v>
      </c>
      <c r="DU122" s="290">
        <f t="shared" si="648"/>
        <v>0</v>
      </c>
      <c r="DV122" s="290">
        <f t="shared" si="649"/>
        <v>0</v>
      </c>
      <c r="DW122" s="290">
        <f t="shared" si="650"/>
        <v>0</v>
      </c>
      <c r="DX122" s="290">
        <f t="shared" si="651"/>
        <v>0</v>
      </c>
      <c r="DY122" s="290">
        <f t="shared" si="652"/>
        <v>0</v>
      </c>
      <c r="DZ122" s="290">
        <f t="shared" si="653"/>
        <v>0</v>
      </c>
      <c r="EA122" s="290">
        <f t="shared" si="654"/>
        <v>0</v>
      </c>
      <c r="EB122" s="290">
        <f t="shared" si="655"/>
        <v>0</v>
      </c>
      <c r="EC122" s="290">
        <f t="shared" si="656"/>
        <v>0</v>
      </c>
      <c r="ED122" s="290">
        <f t="shared" si="657"/>
        <v>0</v>
      </c>
      <c r="EE122" s="290">
        <f t="shared" si="658"/>
        <v>0</v>
      </c>
      <c r="EF122" s="291">
        <f t="shared" si="659"/>
        <v>0</v>
      </c>
      <c r="EG122" s="291">
        <f t="shared" si="660"/>
        <v>0</v>
      </c>
      <c r="EH122" s="291">
        <f t="shared" si="661"/>
        <v>0</v>
      </c>
      <c r="EI122" s="292">
        <f t="shared" si="662"/>
        <v>0</v>
      </c>
      <c r="EJ122" s="999">
        <v>31</v>
      </c>
      <c r="EK122" s="286">
        <f t="shared" si="864"/>
        <v>44043</v>
      </c>
      <c r="EL122" s="287">
        <f t="shared" si="588"/>
        <v>44043</v>
      </c>
      <c r="EM122" s="288">
        <f>'दैनिक माहिती'!M133</f>
        <v>0</v>
      </c>
      <c r="EN122" s="289">
        <f>'दैनिक माहिती'!J133</f>
        <v>0</v>
      </c>
      <c r="EO122" s="289">
        <f>'दैनिक माहिती'!K133</f>
        <v>0</v>
      </c>
      <c r="EP122" s="289">
        <f>'दैनिक माहिती'!L133</f>
        <v>0</v>
      </c>
      <c r="EQ122" s="290">
        <f t="shared" si="663"/>
        <v>0</v>
      </c>
      <c r="ER122" s="290">
        <f t="shared" si="664"/>
        <v>0</v>
      </c>
      <c r="ES122" s="290">
        <f t="shared" si="665"/>
        <v>0</v>
      </c>
      <c r="ET122" s="290">
        <f t="shared" si="666"/>
        <v>0</v>
      </c>
      <c r="EU122" s="290">
        <f t="shared" si="667"/>
        <v>0</v>
      </c>
      <c r="EV122" s="290">
        <f t="shared" si="668"/>
        <v>0</v>
      </c>
      <c r="EW122" s="290">
        <f t="shared" si="669"/>
        <v>0</v>
      </c>
      <c r="EX122" s="290">
        <f t="shared" si="670"/>
        <v>0</v>
      </c>
      <c r="EY122" s="290">
        <f t="shared" si="671"/>
        <v>0</v>
      </c>
      <c r="EZ122" s="290">
        <f t="shared" si="672"/>
        <v>0</v>
      </c>
      <c r="FA122" s="290">
        <f t="shared" si="673"/>
        <v>0</v>
      </c>
      <c r="FB122" s="290">
        <f t="shared" si="674"/>
        <v>0</v>
      </c>
      <c r="FC122" s="290">
        <f t="shared" si="675"/>
        <v>0</v>
      </c>
      <c r="FD122" s="290">
        <f t="shared" si="676"/>
        <v>0</v>
      </c>
      <c r="FE122" s="290">
        <f t="shared" si="677"/>
        <v>0</v>
      </c>
      <c r="FF122" s="290">
        <f t="shared" si="678"/>
        <v>0</v>
      </c>
      <c r="FG122" s="290">
        <f t="shared" si="679"/>
        <v>0</v>
      </c>
      <c r="FH122" s="290">
        <f t="shared" si="680"/>
        <v>0</v>
      </c>
      <c r="FI122" s="291">
        <f t="shared" si="681"/>
        <v>0</v>
      </c>
      <c r="FJ122" s="291">
        <f t="shared" si="682"/>
        <v>0</v>
      </c>
      <c r="FK122" s="291">
        <f t="shared" si="683"/>
        <v>0</v>
      </c>
      <c r="FL122" s="292">
        <f t="shared" si="684"/>
        <v>0</v>
      </c>
      <c r="FM122" s="999">
        <v>31</v>
      </c>
      <c r="FN122" s="286">
        <f t="shared" si="865"/>
        <v>44074</v>
      </c>
      <c r="FO122" s="287">
        <f t="shared" si="589"/>
        <v>44074</v>
      </c>
      <c r="FP122" s="288">
        <f>'दैनिक माहिती'!M165</f>
        <v>0</v>
      </c>
      <c r="FQ122" s="289">
        <f>'दैनिक माहिती'!J165</f>
        <v>0</v>
      </c>
      <c r="FR122" s="289">
        <f>'दैनिक माहिती'!K165</f>
        <v>0</v>
      </c>
      <c r="FS122" s="289">
        <f>'दैनिक माहिती'!L165</f>
        <v>0</v>
      </c>
      <c r="FT122" s="290">
        <f t="shared" si="685"/>
        <v>0</v>
      </c>
      <c r="FU122" s="290">
        <f t="shared" si="686"/>
        <v>0</v>
      </c>
      <c r="FV122" s="290">
        <f t="shared" si="687"/>
        <v>0</v>
      </c>
      <c r="FW122" s="290">
        <f t="shared" si="688"/>
        <v>0</v>
      </c>
      <c r="FX122" s="290">
        <f t="shared" si="689"/>
        <v>0</v>
      </c>
      <c r="FY122" s="290">
        <f t="shared" si="690"/>
        <v>0</v>
      </c>
      <c r="FZ122" s="290">
        <f t="shared" si="691"/>
        <v>0</v>
      </c>
      <c r="GA122" s="290">
        <f t="shared" si="692"/>
        <v>0</v>
      </c>
      <c r="GB122" s="290">
        <f t="shared" si="693"/>
        <v>0</v>
      </c>
      <c r="GC122" s="290">
        <f t="shared" si="694"/>
        <v>0</v>
      </c>
      <c r="GD122" s="290">
        <f t="shared" si="695"/>
        <v>0</v>
      </c>
      <c r="GE122" s="290">
        <f t="shared" si="696"/>
        <v>0</v>
      </c>
      <c r="GF122" s="290">
        <f t="shared" si="697"/>
        <v>0</v>
      </c>
      <c r="GG122" s="290">
        <f t="shared" si="698"/>
        <v>0</v>
      </c>
      <c r="GH122" s="290">
        <f t="shared" si="699"/>
        <v>0</v>
      </c>
      <c r="GI122" s="290">
        <f t="shared" si="700"/>
        <v>0</v>
      </c>
      <c r="GJ122" s="290">
        <f t="shared" si="701"/>
        <v>0</v>
      </c>
      <c r="GK122" s="290">
        <f t="shared" si="702"/>
        <v>0</v>
      </c>
      <c r="GL122" s="291">
        <f t="shared" si="703"/>
        <v>0</v>
      </c>
      <c r="GM122" s="291">
        <f t="shared" si="704"/>
        <v>0</v>
      </c>
      <c r="GN122" s="291">
        <f t="shared" si="705"/>
        <v>0</v>
      </c>
      <c r="GO122" s="292">
        <f t="shared" si="706"/>
        <v>0</v>
      </c>
      <c r="GP122" s="999">
        <v>31</v>
      </c>
      <c r="GQ122" s="286">
        <f t="shared" si="866"/>
        <v>44105</v>
      </c>
      <c r="GR122" s="287">
        <f t="shared" si="590"/>
        <v>44105</v>
      </c>
      <c r="GS122" s="288"/>
      <c r="GT122" s="289"/>
      <c r="GU122" s="289"/>
      <c r="GV122" s="289"/>
      <c r="GW122" s="290">
        <f t="shared" si="707"/>
        <v>0</v>
      </c>
      <c r="GX122" s="290">
        <f t="shared" si="708"/>
        <v>0</v>
      </c>
      <c r="GY122" s="290">
        <f t="shared" si="709"/>
        <v>0</v>
      </c>
      <c r="GZ122" s="290">
        <f t="shared" si="710"/>
        <v>0</v>
      </c>
      <c r="HA122" s="290">
        <f t="shared" si="711"/>
        <v>0</v>
      </c>
      <c r="HB122" s="290">
        <f t="shared" si="712"/>
        <v>0</v>
      </c>
      <c r="HC122" s="290">
        <f t="shared" si="713"/>
        <v>0</v>
      </c>
      <c r="HD122" s="290">
        <f t="shared" si="714"/>
        <v>0</v>
      </c>
      <c r="HE122" s="290">
        <f t="shared" si="715"/>
        <v>0</v>
      </c>
      <c r="HF122" s="290">
        <f t="shared" si="716"/>
        <v>0</v>
      </c>
      <c r="HG122" s="290">
        <f t="shared" si="717"/>
        <v>0</v>
      </c>
      <c r="HH122" s="290">
        <f t="shared" si="718"/>
        <v>0</v>
      </c>
      <c r="HI122" s="290">
        <f t="shared" si="719"/>
        <v>0</v>
      </c>
      <c r="HJ122" s="290">
        <f t="shared" si="720"/>
        <v>0</v>
      </c>
      <c r="HK122" s="290">
        <f t="shared" si="721"/>
        <v>0</v>
      </c>
      <c r="HL122" s="290">
        <f t="shared" si="722"/>
        <v>0</v>
      </c>
      <c r="HM122" s="290">
        <f t="shared" si="723"/>
        <v>0</v>
      </c>
      <c r="HN122" s="290">
        <f t="shared" si="724"/>
        <v>0</v>
      </c>
      <c r="HO122" s="291">
        <f t="shared" si="725"/>
        <v>0</v>
      </c>
      <c r="HP122" s="291">
        <f t="shared" si="726"/>
        <v>0</v>
      </c>
      <c r="HQ122" s="291">
        <f t="shared" si="727"/>
        <v>0</v>
      </c>
      <c r="HR122" s="292">
        <f t="shared" si="728"/>
        <v>0</v>
      </c>
      <c r="HS122" s="999">
        <v>31</v>
      </c>
      <c r="HT122" s="286">
        <f t="shared" si="867"/>
        <v>44135</v>
      </c>
      <c r="HU122" s="287">
        <f t="shared" si="591"/>
        <v>44135</v>
      </c>
      <c r="HV122" s="288">
        <f>'दैनिक माहिती'!M228</f>
        <v>0</v>
      </c>
      <c r="HW122" s="289">
        <f>'दैनिक माहिती'!J228</f>
        <v>0</v>
      </c>
      <c r="HX122" s="289">
        <f>'दैनिक माहिती'!K228</f>
        <v>0</v>
      </c>
      <c r="HY122" s="289">
        <f>'दैनिक माहिती'!L228</f>
        <v>0</v>
      </c>
      <c r="HZ122" s="290">
        <f t="shared" si="729"/>
        <v>0</v>
      </c>
      <c r="IA122" s="290">
        <f t="shared" si="730"/>
        <v>0</v>
      </c>
      <c r="IB122" s="290">
        <f t="shared" si="731"/>
        <v>0</v>
      </c>
      <c r="IC122" s="290">
        <f t="shared" si="732"/>
        <v>0</v>
      </c>
      <c r="ID122" s="290">
        <f t="shared" si="733"/>
        <v>0</v>
      </c>
      <c r="IE122" s="290">
        <f t="shared" si="734"/>
        <v>0</v>
      </c>
      <c r="IF122" s="290">
        <f t="shared" si="735"/>
        <v>0</v>
      </c>
      <c r="IG122" s="290">
        <f t="shared" si="736"/>
        <v>0</v>
      </c>
      <c r="IH122" s="290">
        <f t="shared" si="737"/>
        <v>0</v>
      </c>
      <c r="II122" s="290">
        <f t="shared" si="738"/>
        <v>0</v>
      </c>
      <c r="IJ122" s="290">
        <f t="shared" si="739"/>
        <v>0</v>
      </c>
      <c r="IK122" s="290">
        <f t="shared" si="740"/>
        <v>0</v>
      </c>
      <c r="IL122" s="290">
        <f t="shared" si="741"/>
        <v>0</v>
      </c>
      <c r="IM122" s="290">
        <f t="shared" si="742"/>
        <v>0</v>
      </c>
      <c r="IN122" s="290">
        <f t="shared" si="743"/>
        <v>0</v>
      </c>
      <c r="IO122" s="290">
        <f t="shared" si="744"/>
        <v>0</v>
      </c>
      <c r="IP122" s="290">
        <f t="shared" si="745"/>
        <v>0</v>
      </c>
      <c r="IQ122" s="290">
        <f t="shared" si="746"/>
        <v>0</v>
      </c>
      <c r="IR122" s="291">
        <f t="shared" si="747"/>
        <v>0</v>
      </c>
      <c r="IS122" s="291">
        <f t="shared" si="748"/>
        <v>0</v>
      </c>
      <c r="IT122" s="291">
        <f t="shared" si="749"/>
        <v>0</v>
      </c>
      <c r="IU122" s="292">
        <f t="shared" si="750"/>
        <v>0</v>
      </c>
      <c r="IV122" s="999">
        <v>31</v>
      </c>
      <c r="IW122" s="286">
        <f t="shared" si="868"/>
        <v>44166</v>
      </c>
      <c r="IX122" s="287">
        <f t="shared" si="592"/>
        <v>44166</v>
      </c>
      <c r="IY122" s="288"/>
      <c r="IZ122" s="289"/>
      <c r="JA122" s="289"/>
      <c r="JB122" s="289"/>
      <c r="JC122" s="290">
        <f t="shared" si="751"/>
        <v>0</v>
      </c>
      <c r="JD122" s="290">
        <f t="shared" si="752"/>
        <v>0</v>
      </c>
      <c r="JE122" s="290">
        <f t="shared" si="753"/>
        <v>0</v>
      </c>
      <c r="JF122" s="290">
        <f t="shared" si="754"/>
        <v>0</v>
      </c>
      <c r="JG122" s="290">
        <f t="shared" si="755"/>
        <v>0</v>
      </c>
      <c r="JH122" s="290">
        <f t="shared" si="756"/>
        <v>0</v>
      </c>
      <c r="JI122" s="290">
        <f t="shared" si="757"/>
        <v>0</v>
      </c>
      <c r="JJ122" s="290">
        <f t="shared" si="758"/>
        <v>0</v>
      </c>
      <c r="JK122" s="290">
        <f t="shared" si="759"/>
        <v>0</v>
      </c>
      <c r="JL122" s="290">
        <f t="shared" si="760"/>
        <v>0</v>
      </c>
      <c r="JM122" s="290">
        <f t="shared" si="761"/>
        <v>0</v>
      </c>
      <c r="JN122" s="290">
        <f t="shared" si="762"/>
        <v>0</v>
      </c>
      <c r="JO122" s="290">
        <f t="shared" si="763"/>
        <v>0</v>
      </c>
      <c r="JP122" s="290">
        <f t="shared" si="764"/>
        <v>0</v>
      </c>
      <c r="JQ122" s="290">
        <f t="shared" si="765"/>
        <v>0</v>
      </c>
      <c r="JR122" s="290">
        <f t="shared" si="766"/>
        <v>0</v>
      </c>
      <c r="JS122" s="290">
        <f t="shared" si="767"/>
        <v>0</v>
      </c>
      <c r="JT122" s="290">
        <f t="shared" si="768"/>
        <v>0</v>
      </c>
      <c r="JU122" s="291">
        <f t="shared" si="769"/>
        <v>0</v>
      </c>
      <c r="JV122" s="291">
        <f t="shared" si="770"/>
        <v>0</v>
      </c>
      <c r="JW122" s="291">
        <f t="shared" si="771"/>
        <v>0</v>
      </c>
      <c r="JX122" s="292">
        <f t="shared" si="772"/>
        <v>0</v>
      </c>
      <c r="JY122" s="999">
        <v>31</v>
      </c>
      <c r="JZ122" s="286">
        <f t="shared" si="869"/>
        <v>44196</v>
      </c>
      <c r="KA122" s="287">
        <f t="shared" si="593"/>
        <v>44196</v>
      </c>
      <c r="KB122" s="288">
        <f>'दैनिक माहिती'!M291</f>
        <v>0</v>
      </c>
      <c r="KC122" s="289">
        <f>'दैनिक माहिती'!J291</f>
        <v>0</v>
      </c>
      <c r="KD122" s="289">
        <f>'दैनिक माहिती'!K291</f>
        <v>0</v>
      </c>
      <c r="KE122" s="289">
        <f>'दैनिक माहिती'!L291</f>
        <v>0</v>
      </c>
      <c r="KF122" s="290">
        <f t="shared" si="773"/>
        <v>0</v>
      </c>
      <c r="KG122" s="290">
        <f t="shared" si="774"/>
        <v>0</v>
      </c>
      <c r="KH122" s="290">
        <f t="shared" si="775"/>
        <v>0</v>
      </c>
      <c r="KI122" s="290">
        <f t="shared" si="776"/>
        <v>0</v>
      </c>
      <c r="KJ122" s="290">
        <f t="shared" si="777"/>
        <v>0</v>
      </c>
      <c r="KK122" s="290">
        <f t="shared" si="778"/>
        <v>0</v>
      </c>
      <c r="KL122" s="290">
        <f t="shared" si="779"/>
        <v>0</v>
      </c>
      <c r="KM122" s="290">
        <f t="shared" si="780"/>
        <v>0</v>
      </c>
      <c r="KN122" s="290">
        <f t="shared" si="781"/>
        <v>0</v>
      </c>
      <c r="KO122" s="290">
        <f t="shared" si="782"/>
        <v>0</v>
      </c>
      <c r="KP122" s="290">
        <f t="shared" si="783"/>
        <v>0</v>
      </c>
      <c r="KQ122" s="290">
        <f t="shared" si="784"/>
        <v>0</v>
      </c>
      <c r="KR122" s="290">
        <f t="shared" si="785"/>
        <v>0</v>
      </c>
      <c r="KS122" s="290">
        <f t="shared" si="786"/>
        <v>0</v>
      </c>
      <c r="KT122" s="290">
        <f t="shared" si="787"/>
        <v>0</v>
      </c>
      <c r="KU122" s="290">
        <f t="shared" si="788"/>
        <v>0</v>
      </c>
      <c r="KV122" s="290">
        <f t="shared" si="789"/>
        <v>0</v>
      </c>
      <c r="KW122" s="290">
        <f t="shared" si="790"/>
        <v>0</v>
      </c>
      <c r="KX122" s="291">
        <f t="shared" si="791"/>
        <v>0</v>
      </c>
      <c r="KY122" s="291">
        <f t="shared" si="792"/>
        <v>0</v>
      </c>
      <c r="KZ122" s="291">
        <f t="shared" si="793"/>
        <v>0</v>
      </c>
      <c r="LA122" s="292">
        <f t="shared" si="794"/>
        <v>0</v>
      </c>
      <c r="LB122" s="999">
        <v>31</v>
      </c>
      <c r="LC122" s="286">
        <f t="shared" si="870"/>
        <v>44227</v>
      </c>
      <c r="LD122" s="287">
        <f t="shared" si="594"/>
        <v>44227</v>
      </c>
      <c r="LE122" s="288">
        <f>'दैनिक माहिती'!M323</f>
        <v>0</v>
      </c>
      <c r="LF122" s="289">
        <f>'दैनिक माहिती'!J323</f>
        <v>0</v>
      </c>
      <c r="LG122" s="289">
        <f>'दैनिक माहिती'!K323</f>
        <v>0</v>
      </c>
      <c r="LH122" s="289">
        <f>'दैनिक माहिती'!L323</f>
        <v>0</v>
      </c>
      <c r="LI122" s="290">
        <f t="shared" si="795"/>
        <v>0</v>
      </c>
      <c r="LJ122" s="290">
        <f t="shared" si="796"/>
        <v>0</v>
      </c>
      <c r="LK122" s="290">
        <f t="shared" si="797"/>
        <v>0</v>
      </c>
      <c r="LL122" s="290">
        <f t="shared" si="798"/>
        <v>0</v>
      </c>
      <c r="LM122" s="290">
        <f t="shared" si="799"/>
        <v>0</v>
      </c>
      <c r="LN122" s="290">
        <f t="shared" si="800"/>
        <v>0</v>
      </c>
      <c r="LO122" s="290">
        <f t="shared" si="801"/>
        <v>0</v>
      </c>
      <c r="LP122" s="290">
        <f t="shared" si="802"/>
        <v>0</v>
      </c>
      <c r="LQ122" s="290">
        <f t="shared" si="803"/>
        <v>0</v>
      </c>
      <c r="LR122" s="290">
        <f t="shared" si="804"/>
        <v>0</v>
      </c>
      <c r="LS122" s="290">
        <f t="shared" si="805"/>
        <v>0</v>
      </c>
      <c r="LT122" s="290">
        <f t="shared" si="806"/>
        <v>0</v>
      </c>
      <c r="LU122" s="290">
        <f t="shared" si="807"/>
        <v>0</v>
      </c>
      <c r="LV122" s="290">
        <f t="shared" si="808"/>
        <v>0</v>
      </c>
      <c r="LW122" s="290">
        <f t="shared" si="809"/>
        <v>0</v>
      </c>
      <c r="LX122" s="290">
        <f t="shared" si="810"/>
        <v>0</v>
      </c>
      <c r="LY122" s="290">
        <f t="shared" si="811"/>
        <v>0</v>
      </c>
      <c r="LZ122" s="290">
        <f t="shared" si="812"/>
        <v>0</v>
      </c>
      <c r="MA122" s="291">
        <f t="shared" si="813"/>
        <v>0</v>
      </c>
      <c r="MB122" s="291">
        <f t="shared" si="814"/>
        <v>0</v>
      </c>
      <c r="MC122" s="291">
        <f t="shared" si="815"/>
        <v>0</v>
      </c>
      <c r="MD122" s="292">
        <f t="shared" si="816"/>
        <v>0</v>
      </c>
      <c r="ME122" s="999">
        <v>31</v>
      </c>
      <c r="MF122" s="286">
        <f t="shared" si="871"/>
        <v>44258</v>
      </c>
      <c r="MG122" s="287">
        <f t="shared" si="595"/>
        <v>44258</v>
      </c>
      <c r="MH122" s="288"/>
      <c r="MI122" s="289"/>
      <c r="MJ122" s="289"/>
      <c r="MK122" s="289"/>
      <c r="ML122" s="290">
        <f t="shared" si="817"/>
        <v>0</v>
      </c>
      <c r="MM122" s="290">
        <f t="shared" si="818"/>
        <v>0</v>
      </c>
      <c r="MN122" s="290">
        <f t="shared" si="819"/>
        <v>0</v>
      </c>
      <c r="MO122" s="290">
        <f t="shared" si="820"/>
        <v>0</v>
      </c>
      <c r="MP122" s="290">
        <f t="shared" si="821"/>
        <v>0</v>
      </c>
      <c r="MQ122" s="290">
        <f t="shared" si="822"/>
        <v>0</v>
      </c>
      <c r="MR122" s="290">
        <f t="shared" si="823"/>
        <v>0</v>
      </c>
      <c r="MS122" s="290">
        <f t="shared" si="824"/>
        <v>0</v>
      </c>
      <c r="MT122" s="290">
        <f t="shared" si="825"/>
        <v>0</v>
      </c>
      <c r="MU122" s="290">
        <f t="shared" si="826"/>
        <v>0</v>
      </c>
      <c r="MV122" s="290">
        <f t="shared" si="827"/>
        <v>0</v>
      </c>
      <c r="MW122" s="290">
        <f t="shared" si="828"/>
        <v>0</v>
      </c>
      <c r="MX122" s="290">
        <f t="shared" si="829"/>
        <v>0</v>
      </c>
      <c r="MY122" s="290">
        <f t="shared" si="830"/>
        <v>0</v>
      </c>
      <c r="MZ122" s="290">
        <f t="shared" si="831"/>
        <v>0</v>
      </c>
      <c r="NA122" s="290">
        <f t="shared" si="832"/>
        <v>0</v>
      </c>
      <c r="NB122" s="290">
        <f t="shared" si="833"/>
        <v>0</v>
      </c>
      <c r="NC122" s="290">
        <f t="shared" si="834"/>
        <v>0</v>
      </c>
      <c r="ND122" s="291">
        <f t="shared" si="835"/>
        <v>0</v>
      </c>
      <c r="NE122" s="291">
        <f t="shared" si="836"/>
        <v>0</v>
      </c>
      <c r="NF122" s="291">
        <f t="shared" si="837"/>
        <v>0</v>
      </c>
      <c r="NG122" s="292">
        <f t="shared" si="838"/>
        <v>0</v>
      </c>
      <c r="NH122" s="999">
        <v>31</v>
      </c>
      <c r="NI122" s="286">
        <f t="shared" si="872"/>
        <v>44286</v>
      </c>
      <c r="NJ122" s="287">
        <f t="shared" si="596"/>
        <v>44286</v>
      </c>
      <c r="NK122" s="288">
        <f>'दैनिक माहिती'!M385</f>
        <v>0</v>
      </c>
      <c r="NL122" s="289">
        <f>'दैनिक माहिती'!J385</f>
        <v>0</v>
      </c>
      <c r="NM122" s="289">
        <f>'दैनिक माहिती'!K385</f>
        <v>0</v>
      </c>
      <c r="NN122" s="289">
        <f>'दैनिक माहिती'!L385</f>
        <v>0</v>
      </c>
      <c r="NO122" s="290">
        <f t="shared" si="839"/>
        <v>0</v>
      </c>
      <c r="NP122" s="290">
        <f t="shared" si="840"/>
        <v>0</v>
      </c>
      <c r="NQ122" s="290">
        <f t="shared" si="841"/>
        <v>0</v>
      </c>
      <c r="NR122" s="290">
        <f t="shared" si="842"/>
        <v>0</v>
      </c>
      <c r="NS122" s="290">
        <f t="shared" si="843"/>
        <v>0</v>
      </c>
      <c r="NT122" s="290">
        <f t="shared" si="844"/>
        <v>0</v>
      </c>
      <c r="NU122" s="290">
        <f t="shared" si="845"/>
        <v>0</v>
      </c>
      <c r="NV122" s="290">
        <f t="shared" si="846"/>
        <v>0</v>
      </c>
      <c r="NW122" s="290">
        <f t="shared" si="847"/>
        <v>0</v>
      </c>
      <c r="NX122" s="290">
        <f t="shared" si="848"/>
        <v>0</v>
      </c>
      <c r="NY122" s="290">
        <f t="shared" si="849"/>
        <v>0</v>
      </c>
      <c r="NZ122" s="290">
        <f t="shared" si="850"/>
        <v>0</v>
      </c>
      <c r="OA122" s="290">
        <f t="shared" si="851"/>
        <v>0</v>
      </c>
      <c r="OB122" s="290">
        <f t="shared" si="852"/>
        <v>0</v>
      </c>
      <c r="OC122" s="290">
        <f t="shared" si="853"/>
        <v>0</v>
      </c>
      <c r="OD122" s="290">
        <f t="shared" si="854"/>
        <v>0</v>
      </c>
      <c r="OE122" s="290">
        <f t="shared" si="855"/>
        <v>0</v>
      </c>
      <c r="OF122" s="290">
        <f t="shared" si="856"/>
        <v>0</v>
      </c>
      <c r="OG122" s="291">
        <f t="shared" si="857"/>
        <v>0</v>
      </c>
      <c r="OH122" s="291">
        <f t="shared" si="858"/>
        <v>0</v>
      </c>
      <c r="OI122" s="291">
        <f t="shared" si="859"/>
        <v>0</v>
      </c>
      <c r="OJ122" s="292">
        <f t="shared" si="860"/>
        <v>0</v>
      </c>
    </row>
    <row r="123" spans="53:400" ht="29.25" customHeight="1" x14ac:dyDescent="0.3">
      <c r="BA123" s="2019" t="s">
        <v>218</v>
      </c>
      <c r="BB123" s="2019"/>
      <c r="BC123" s="2019"/>
      <c r="BD123" s="294">
        <f>COUNTIF($BE$92:$BE$121,"&gt;0")</f>
        <v>0</v>
      </c>
      <c r="BE123" s="295">
        <f>SUM(BE92:BE122)</f>
        <v>0</v>
      </c>
      <c r="BF123" s="295">
        <f>SUM(BF92:BF122)</f>
        <v>0</v>
      </c>
      <c r="BG123" s="295">
        <f>SUM(BG92:BG122)</f>
        <v>0</v>
      </c>
      <c r="BH123" s="296">
        <f>SUM(BH92:BH122)</f>
        <v>0</v>
      </c>
      <c r="BI123" s="296">
        <f t="shared" ref="BI123:CB123" si="873">SUM(BI92:BI122)</f>
        <v>0</v>
      </c>
      <c r="BJ123" s="296">
        <f t="shared" si="873"/>
        <v>0</v>
      </c>
      <c r="BK123" s="296">
        <f t="shared" si="873"/>
        <v>0</v>
      </c>
      <c r="BL123" s="296">
        <f t="shared" si="873"/>
        <v>0</v>
      </c>
      <c r="BM123" s="296">
        <f t="shared" si="873"/>
        <v>0</v>
      </c>
      <c r="BN123" s="296">
        <f t="shared" si="873"/>
        <v>0</v>
      </c>
      <c r="BO123" s="296">
        <f t="shared" si="873"/>
        <v>0</v>
      </c>
      <c r="BP123" s="296">
        <f t="shared" si="873"/>
        <v>0</v>
      </c>
      <c r="BQ123" s="296">
        <f t="shared" si="873"/>
        <v>0</v>
      </c>
      <c r="BR123" s="296">
        <f t="shared" si="873"/>
        <v>0</v>
      </c>
      <c r="BS123" s="296">
        <f t="shared" si="873"/>
        <v>0</v>
      </c>
      <c r="BT123" s="296">
        <f t="shared" si="873"/>
        <v>0</v>
      </c>
      <c r="BU123" s="296">
        <f t="shared" si="873"/>
        <v>0</v>
      </c>
      <c r="BV123" s="296">
        <f t="shared" si="873"/>
        <v>0</v>
      </c>
      <c r="BW123" s="296">
        <f t="shared" si="873"/>
        <v>0</v>
      </c>
      <c r="BX123" s="296">
        <f t="shared" si="873"/>
        <v>0</v>
      </c>
      <c r="BY123" s="296">
        <f t="shared" si="873"/>
        <v>0</v>
      </c>
      <c r="BZ123" s="292">
        <f t="shared" si="873"/>
        <v>0</v>
      </c>
      <c r="CA123" s="292">
        <f t="shared" si="873"/>
        <v>0</v>
      </c>
      <c r="CB123" s="292">
        <f t="shared" si="873"/>
        <v>0</v>
      </c>
      <c r="CC123" s="292">
        <f t="shared" ref="CC123" si="874">SUM(BZ123:CB123)</f>
        <v>0</v>
      </c>
      <c r="CD123" s="2019" t="s">
        <v>218</v>
      </c>
      <c r="CE123" s="2019"/>
      <c r="CF123" s="2019"/>
      <c r="CG123" s="297">
        <f>COUNTIF($CH$92:$CH$122,"&gt;0")</f>
        <v>0</v>
      </c>
      <c r="CH123" s="295">
        <f>SUM(CH92:CH122)</f>
        <v>0</v>
      </c>
      <c r="CI123" s="295">
        <f>SUM(CI92:CI122)</f>
        <v>0</v>
      </c>
      <c r="CJ123" s="295">
        <f>SUM(CJ92:CJ122)</f>
        <v>0</v>
      </c>
      <c r="CK123" s="296">
        <f>SUM(CK92:CK122)</f>
        <v>0</v>
      </c>
      <c r="CL123" s="296">
        <f t="shared" ref="CL123:DE123" si="875">SUM(CL92:CL122)</f>
        <v>0</v>
      </c>
      <c r="CM123" s="296">
        <f t="shared" si="875"/>
        <v>0</v>
      </c>
      <c r="CN123" s="296">
        <f t="shared" si="875"/>
        <v>0</v>
      </c>
      <c r="CO123" s="296">
        <f t="shared" si="875"/>
        <v>0</v>
      </c>
      <c r="CP123" s="296">
        <f t="shared" si="875"/>
        <v>0</v>
      </c>
      <c r="CQ123" s="296">
        <f t="shared" si="875"/>
        <v>0</v>
      </c>
      <c r="CR123" s="296">
        <f t="shared" si="875"/>
        <v>0</v>
      </c>
      <c r="CS123" s="296">
        <f t="shared" si="875"/>
        <v>0</v>
      </c>
      <c r="CT123" s="296">
        <f t="shared" si="875"/>
        <v>0</v>
      </c>
      <c r="CU123" s="296">
        <f t="shared" si="875"/>
        <v>0</v>
      </c>
      <c r="CV123" s="296">
        <f t="shared" si="875"/>
        <v>0</v>
      </c>
      <c r="CW123" s="296">
        <f t="shared" si="875"/>
        <v>0</v>
      </c>
      <c r="CX123" s="296">
        <f t="shared" si="875"/>
        <v>0</v>
      </c>
      <c r="CY123" s="296">
        <f t="shared" si="875"/>
        <v>0</v>
      </c>
      <c r="CZ123" s="296">
        <f t="shared" si="875"/>
        <v>0</v>
      </c>
      <c r="DA123" s="296">
        <f t="shared" si="875"/>
        <v>0</v>
      </c>
      <c r="DB123" s="296">
        <f t="shared" si="875"/>
        <v>0</v>
      </c>
      <c r="DC123" s="292">
        <f t="shared" si="875"/>
        <v>0</v>
      </c>
      <c r="DD123" s="292">
        <f t="shared" si="875"/>
        <v>0</v>
      </c>
      <c r="DE123" s="292">
        <f t="shared" si="875"/>
        <v>0</v>
      </c>
      <c r="DF123" s="292">
        <f t="shared" ref="DF123" si="876">SUM(DC123:DE123)</f>
        <v>0</v>
      </c>
      <c r="DG123" s="2019" t="s">
        <v>218</v>
      </c>
      <c r="DH123" s="2019"/>
      <c r="DI123" s="2019"/>
      <c r="DJ123" s="297">
        <f>COUNTIF($DK$92:$DK$121,"&gt;0")</f>
        <v>0</v>
      </c>
      <c r="DK123" s="295">
        <f>SUM(DK92:DK122)</f>
        <v>0</v>
      </c>
      <c r="DL123" s="295">
        <f>SUM(DL92:DL122)</f>
        <v>0</v>
      </c>
      <c r="DM123" s="295">
        <f>SUM(DM92:DM122)</f>
        <v>0</v>
      </c>
      <c r="DN123" s="296">
        <f>SUM(DN92:DN122)</f>
        <v>0</v>
      </c>
      <c r="DO123" s="296">
        <f t="shared" ref="DO123:EH123" si="877">SUM(DO92:DO122)</f>
        <v>0</v>
      </c>
      <c r="DP123" s="296">
        <f t="shared" si="877"/>
        <v>0</v>
      </c>
      <c r="DQ123" s="296">
        <f t="shared" si="877"/>
        <v>0</v>
      </c>
      <c r="DR123" s="296">
        <f t="shared" si="877"/>
        <v>0</v>
      </c>
      <c r="DS123" s="296">
        <f t="shared" si="877"/>
        <v>0</v>
      </c>
      <c r="DT123" s="296">
        <f t="shared" si="877"/>
        <v>0</v>
      </c>
      <c r="DU123" s="296">
        <f t="shared" si="877"/>
        <v>0</v>
      </c>
      <c r="DV123" s="296">
        <f t="shared" si="877"/>
        <v>0</v>
      </c>
      <c r="DW123" s="296">
        <f t="shared" si="877"/>
        <v>0</v>
      </c>
      <c r="DX123" s="296">
        <f t="shared" si="877"/>
        <v>0</v>
      </c>
      <c r="DY123" s="296">
        <f t="shared" si="877"/>
        <v>0</v>
      </c>
      <c r="DZ123" s="296">
        <f t="shared" si="877"/>
        <v>0</v>
      </c>
      <c r="EA123" s="296">
        <f t="shared" si="877"/>
        <v>0</v>
      </c>
      <c r="EB123" s="296">
        <f t="shared" si="877"/>
        <v>0</v>
      </c>
      <c r="EC123" s="296">
        <f t="shared" si="877"/>
        <v>0</v>
      </c>
      <c r="ED123" s="296">
        <f t="shared" si="877"/>
        <v>0</v>
      </c>
      <c r="EE123" s="296">
        <f t="shared" si="877"/>
        <v>0</v>
      </c>
      <c r="EF123" s="292">
        <f t="shared" si="877"/>
        <v>0</v>
      </c>
      <c r="EG123" s="292">
        <f t="shared" si="877"/>
        <v>0</v>
      </c>
      <c r="EH123" s="292">
        <f t="shared" si="877"/>
        <v>0</v>
      </c>
      <c r="EI123" s="292">
        <f t="shared" ref="EI123" si="878">SUM(EF123:EH123)</f>
        <v>0</v>
      </c>
      <c r="EJ123" s="2019" t="s">
        <v>218</v>
      </c>
      <c r="EK123" s="2019"/>
      <c r="EL123" s="2019"/>
      <c r="EM123" s="297">
        <f>COUNTIF($EN$92:$EN$122,"&gt;0")</f>
        <v>0</v>
      </c>
      <c r="EN123" s="295">
        <f>SUM(EN92:EN122)</f>
        <v>0</v>
      </c>
      <c r="EO123" s="295">
        <f>SUM(EO92:EO122)</f>
        <v>0</v>
      </c>
      <c r="EP123" s="295">
        <f>SUM(EP92:EP122)</f>
        <v>0</v>
      </c>
      <c r="EQ123" s="296">
        <f>SUM(EQ92:EQ122)</f>
        <v>0</v>
      </c>
      <c r="ER123" s="296">
        <f t="shared" ref="ER123:FK123" si="879">SUM(ER92:ER122)</f>
        <v>0</v>
      </c>
      <c r="ES123" s="296">
        <f t="shared" si="879"/>
        <v>0</v>
      </c>
      <c r="ET123" s="296">
        <f t="shared" si="879"/>
        <v>0</v>
      </c>
      <c r="EU123" s="296">
        <f t="shared" si="879"/>
        <v>0</v>
      </c>
      <c r="EV123" s="296">
        <f t="shared" si="879"/>
        <v>0</v>
      </c>
      <c r="EW123" s="296">
        <f t="shared" si="879"/>
        <v>0</v>
      </c>
      <c r="EX123" s="296">
        <f t="shared" si="879"/>
        <v>0</v>
      </c>
      <c r="EY123" s="296">
        <f t="shared" si="879"/>
        <v>0</v>
      </c>
      <c r="EZ123" s="296">
        <f t="shared" si="879"/>
        <v>0</v>
      </c>
      <c r="FA123" s="296">
        <f t="shared" si="879"/>
        <v>0</v>
      </c>
      <c r="FB123" s="296">
        <f t="shared" si="879"/>
        <v>0</v>
      </c>
      <c r="FC123" s="296">
        <f t="shared" si="879"/>
        <v>0</v>
      </c>
      <c r="FD123" s="296">
        <f t="shared" si="879"/>
        <v>0</v>
      </c>
      <c r="FE123" s="296">
        <f t="shared" si="879"/>
        <v>0</v>
      </c>
      <c r="FF123" s="296">
        <f t="shared" si="879"/>
        <v>0</v>
      </c>
      <c r="FG123" s="296">
        <f t="shared" si="879"/>
        <v>0</v>
      </c>
      <c r="FH123" s="296">
        <f t="shared" si="879"/>
        <v>0</v>
      </c>
      <c r="FI123" s="292">
        <f t="shared" si="879"/>
        <v>0</v>
      </c>
      <c r="FJ123" s="292">
        <f t="shared" si="879"/>
        <v>0</v>
      </c>
      <c r="FK123" s="292">
        <f t="shared" si="879"/>
        <v>0</v>
      </c>
      <c r="FL123" s="292">
        <f t="shared" ref="FL123" si="880">SUM(FI123:FK123)</f>
        <v>0</v>
      </c>
      <c r="FM123" s="2019" t="s">
        <v>218</v>
      </c>
      <c r="FN123" s="2019"/>
      <c r="FO123" s="2019"/>
      <c r="FP123" s="297">
        <f>COUNTIF($FQ$92:$FQ$122,"&gt;0")</f>
        <v>0</v>
      </c>
      <c r="FQ123" s="295">
        <f>SUM(FQ92:FQ122)</f>
        <v>0</v>
      </c>
      <c r="FR123" s="295">
        <f>SUM(FR92:FR122)</f>
        <v>0</v>
      </c>
      <c r="FS123" s="295">
        <f>SUM(FS92:FS122)</f>
        <v>0</v>
      </c>
      <c r="FT123" s="296">
        <f>SUM(FT92:FT122)</f>
        <v>0</v>
      </c>
      <c r="FU123" s="296">
        <f t="shared" ref="FU123:GN123" si="881">SUM(FU92:FU122)</f>
        <v>0</v>
      </c>
      <c r="FV123" s="296">
        <f t="shared" si="881"/>
        <v>0</v>
      </c>
      <c r="FW123" s="296">
        <f t="shared" si="881"/>
        <v>0</v>
      </c>
      <c r="FX123" s="296">
        <f t="shared" si="881"/>
        <v>0</v>
      </c>
      <c r="FY123" s="296">
        <f t="shared" si="881"/>
        <v>0</v>
      </c>
      <c r="FZ123" s="296">
        <f t="shared" si="881"/>
        <v>0</v>
      </c>
      <c r="GA123" s="296">
        <f t="shared" si="881"/>
        <v>0</v>
      </c>
      <c r="GB123" s="296">
        <f t="shared" si="881"/>
        <v>0</v>
      </c>
      <c r="GC123" s="296">
        <f t="shared" si="881"/>
        <v>0</v>
      </c>
      <c r="GD123" s="296">
        <f t="shared" si="881"/>
        <v>0</v>
      </c>
      <c r="GE123" s="296">
        <f t="shared" si="881"/>
        <v>0</v>
      </c>
      <c r="GF123" s="296">
        <f t="shared" si="881"/>
        <v>0</v>
      </c>
      <c r="GG123" s="296">
        <f t="shared" si="881"/>
        <v>0</v>
      </c>
      <c r="GH123" s="296">
        <f t="shared" si="881"/>
        <v>0</v>
      </c>
      <c r="GI123" s="296">
        <f t="shared" si="881"/>
        <v>0</v>
      </c>
      <c r="GJ123" s="296">
        <f t="shared" si="881"/>
        <v>0</v>
      </c>
      <c r="GK123" s="296">
        <f t="shared" si="881"/>
        <v>0</v>
      </c>
      <c r="GL123" s="292">
        <f t="shared" si="881"/>
        <v>0</v>
      </c>
      <c r="GM123" s="292">
        <f t="shared" si="881"/>
        <v>0</v>
      </c>
      <c r="GN123" s="292">
        <f t="shared" si="881"/>
        <v>0</v>
      </c>
      <c r="GO123" s="292">
        <f t="shared" ref="GO123" si="882">SUM(GL123:GN123)</f>
        <v>0</v>
      </c>
      <c r="GP123" s="2019" t="s">
        <v>218</v>
      </c>
      <c r="GQ123" s="2019"/>
      <c r="GR123" s="2019"/>
      <c r="GS123" s="297">
        <f>COUNTIF($GT$92:$GT$121,"&gt;0")</f>
        <v>0</v>
      </c>
      <c r="GT123" s="295">
        <f>SUM(GT92:GT122)</f>
        <v>0</v>
      </c>
      <c r="GU123" s="295">
        <f>SUM(GU92:GU122)</f>
        <v>0</v>
      </c>
      <c r="GV123" s="295">
        <f>SUM(GV92:GV122)</f>
        <v>0</v>
      </c>
      <c r="GW123" s="296">
        <f>SUM(GW92:GW122)</f>
        <v>0</v>
      </c>
      <c r="GX123" s="296">
        <f t="shared" ref="GX123:HQ123" si="883">SUM(GX92:GX122)</f>
        <v>0</v>
      </c>
      <c r="GY123" s="296">
        <f t="shared" si="883"/>
        <v>0</v>
      </c>
      <c r="GZ123" s="296">
        <f t="shared" si="883"/>
        <v>0</v>
      </c>
      <c r="HA123" s="296">
        <f t="shared" si="883"/>
        <v>0</v>
      </c>
      <c r="HB123" s="296">
        <f t="shared" si="883"/>
        <v>0</v>
      </c>
      <c r="HC123" s="296">
        <f t="shared" si="883"/>
        <v>0</v>
      </c>
      <c r="HD123" s="296">
        <f t="shared" si="883"/>
        <v>0</v>
      </c>
      <c r="HE123" s="296">
        <f t="shared" si="883"/>
        <v>0</v>
      </c>
      <c r="HF123" s="296">
        <f t="shared" si="883"/>
        <v>0</v>
      </c>
      <c r="HG123" s="296">
        <f t="shared" si="883"/>
        <v>0</v>
      </c>
      <c r="HH123" s="296">
        <f t="shared" si="883"/>
        <v>0</v>
      </c>
      <c r="HI123" s="296">
        <f t="shared" si="883"/>
        <v>0</v>
      </c>
      <c r="HJ123" s="296">
        <f t="shared" si="883"/>
        <v>0</v>
      </c>
      <c r="HK123" s="296">
        <f t="shared" si="883"/>
        <v>0</v>
      </c>
      <c r="HL123" s="296">
        <f t="shared" si="883"/>
        <v>0</v>
      </c>
      <c r="HM123" s="296">
        <f t="shared" si="883"/>
        <v>0</v>
      </c>
      <c r="HN123" s="296">
        <f t="shared" si="883"/>
        <v>0</v>
      </c>
      <c r="HO123" s="292">
        <f t="shared" si="883"/>
        <v>0</v>
      </c>
      <c r="HP123" s="292">
        <f t="shared" si="883"/>
        <v>0</v>
      </c>
      <c r="HQ123" s="292">
        <f t="shared" si="883"/>
        <v>0</v>
      </c>
      <c r="HR123" s="292">
        <f t="shared" ref="HR123" si="884">SUM(HO123:HQ123)</f>
        <v>0</v>
      </c>
      <c r="HS123" s="2019" t="s">
        <v>218</v>
      </c>
      <c r="HT123" s="2019"/>
      <c r="HU123" s="2019"/>
      <c r="HV123" s="297">
        <f>COUNTIF($HW$92:$HW$122,"&gt;0")</f>
        <v>0</v>
      </c>
      <c r="HW123" s="295">
        <f>SUM(HW92:HW122)</f>
        <v>0</v>
      </c>
      <c r="HX123" s="295">
        <f>SUM(HX92:HX122)</f>
        <v>0</v>
      </c>
      <c r="HY123" s="295">
        <f>SUM(HY92:HY122)</f>
        <v>0</v>
      </c>
      <c r="HZ123" s="296">
        <f>SUM(HZ92:HZ122)</f>
        <v>0</v>
      </c>
      <c r="IA123" s="296">
        <f t="shared" ref="IA123:IT123" si="885">SUM(IA92:IA122)</f>
        <v>0</v>
      </c>
      <c r="IB123" s="296">
        <f t="shared" si="885"/>
        <v>0</v>
      </c>
      <c r="IC123" s="296">
        <f t="shared" si="885"/>
        <v>0</v>
      </c>
      <c r="ID123" s="296">
        <f t="shared" si="885"/>
        <v>0</v>
      </c>
      <c r="IE123" s="296">
        <f t="shared" si="885"/>
        <v>0</v>
      </c>
      <c r="IF123" s="296">
        <f t="shared" si="885"/>
        <v>0</v>
      </c>
      <c r="IG123" s="296">
        <f t="shared" si="885"/>
        <v>0</v>
      </c>
      <c r="IH123" s="296">
        <f t="shared" si="885"/>
        <v>0</v>
      </c>
      <c r="II123" s="296">
        <f t="shared" si="885"/>
        <v>0</v>
      </c>
      <c r="IJ123" s="296">
        <f t="shared" si="885"/>
        <v>0</v>
      </c>
      <c r="IK123" s="296">
        <f t="shared" si="885"/>
        <v>0</v>
      </c>
      <c r="IL123" s="296">
        <f t="shared" si="885"/>
        <v>0</v>
      </c>
      <c r="IM123" s="296">
        <f t="shared" si="885"/>
        <v>0</v>
      </c>
      <c r="IN123" s="296">
        <f t="shared" si="885"/>
        <v>0</v>
      </c>
      <c r="IO123" s="296">
        <f t="shared" si="885"/>
        <v>0</v>
      </c>
      <c r="IP123" s="296">
        <f t="shared" si="885"/>
        <v>0</v>
      </c>
      <c r="IQ123" s="296">
        <f t="shared" si="885"/>
        <v>0</v>
      </c>
      <c r="IR123" s="292">
        <f t="shared" si="885"/>
        <v>0</v>
      </c>
      <c r="IS123" s="292">
        <f t="shared" si="885"/>
        <v>0</v>
      </c>
      <c r="IT123" s="292">
        <f t="shared" si="885"/>
        <v>0</v>
      </c>
      <c r="IU123" s="292">
        <f t="shared" ref="IU123" si="886">SUM(IR123:IT123)</f>
        <v>0</v>
      </c>
      <c r="IV123" s="2019" t="s">
        <v>218</v>
      </c>
      <c r="IW123" s="2019"/>
      <c r="IX123" s="2019"/>
      <c r="IY123" s="297">
        <f>COUNTIF($IZ$92:$IZ$121,"&gt;0")</f>
        <v>0</v>
      </c>
      <c r="IZ123" s="295">
        <f>SUM(IZ92:IZ122)</f>
        <v>0</v>
      </c>
      <c r="JA123" s="295">
        <f>SUM(JA92:JA122)</f>
        <v>0</v>
      </c>
      <c r="JB123" s="295">
        <f>SUM(JB92:JB122)</f>
        <v>0</v>
      </c>
      <c r="JC123" s="296">
        <f>SUM(JC92:JC122)</f>
        <v>0</v>
      </c>
      <c r="JD123" s="296">
        <f t="shared" ref="JD123:JW123" si="887">SUM(JD92:JD122)</f>
        <v>0</v>
      </c>
      <c r="JE123" s="296">
        <f t="shared" si="887"/>
        <v>0</v>
      </c>
      <c r="JF123" s="296">
        <f t="shared" si="887"/>
        <v>0</v>
      </c>
      <c r="JG123" s="296">
        <f t="shared" si="887"/>
        <v>0</v>
      </c>
      <c r="JH123" s="296">
        <f t="shared" si="887"/>
        <v>0</v>
      </c>
      <c r="JI123" s="296">
        <f t="shared" si="887"/>
        <v>0</v>
      </c>
      <c r="JJ123" s="296">
        <f t="shared" si="887"/>
        <v>0</v>
      </c>
      <c r="JK123" s="296">
        <f t="shared" si="887"/>
        <v>0</v>
      </c>
      <c r="JL123" s="296">
        <f t="shared" si="887"/>
        <v>0</v>
      </c>
      <c r="JM123" s="296">
        <f t="shared" si="887"/>
        <v>0</v>
      </c>
      <c r="JN123" s="296">
        <f t="shared" si="887"/>
        <v>0</v>
      </c>
      <c r="JO123" s="296">
        <f t="shared" si="887"/>
        <v>0</v>
      </c>
      <c r="JP123" s="296">
        <f t="shared" si="887"/>
        <v>0</v>
      </c>
      <c r="JQ123" s="296">
        <f t="shared" si="887"/>
        <v>0</v>
      </c>
      <c r="JR123" s="296">
        <f t="shared" si="887"/>
        <v>0</v>
      </c>
      <c r="JS123" s="296">
        <f t="shared" si="887"/>
        <v>0</v>
      </c>
      <c r="JT123" s="296">
        <f t="shared" si="887"/>
        <v>0</v>
      </c>
      <c r="JU123" s="292">
        <f t="shared" si="887"/>
        <v>0</v>
      </c>
      <c r="JV123" s="292">
        <f t="shared" si="887"/>
        <v>0</v>
      </c>
      <c r="JW123" s="292">
        <f t="shared" si="887"/>
        <v>0</v>
      </c>
      <c r="JX123" s="292">
        <f t="shared" ref="JX123" si="888">SUM(JU123:JW123)</f>
        <v>0</v>
      </c>
      <c r="JY123" s="2019" t="s">
        <v>218</v>
      </c>
      <c r="JZ123" s="2019"/>
      <c r="KA123" s="2019"/>
      <c r="KB123" s="297">
        <f>COUNTIF($KC$92:$KC$122,"&gt;0")</f>
        <v>0</v>
      </c>
      <c r="KC123" s="295">
        <f>SUM(KC92:KC122)</f>
        <v>0</v>
      </c>
      <c r="KD123" s="295">
        <f>SUM(KD92:KD122)</f>
        <v>0</v>
      </c>
      <c r="KE123" s="295">
        <f>SUM(KE92:KE122)</f>
        <v>0</v>
      </c>
      <c r="KF123" s="296">
        <f>SUM(KF92:KF122)</f>
        <v>0</v>
      </c>
      <c r="KG123" s="296">
        <f t="shared" ref="KG123:KZ123" si="889">SUM(KG92:KG122)</f>
        <v>0</v>
      </c>
      <c r="KH123" s="296">
        <f t="shared" si="889"/>
        <v>0</v>
      </c>
      <c r="KI123" s="296">
        <f t="shared" si="889"/>
        <v>0</v>
      </c>
      <c r="KJ123" s="296">
        <f t="shared" si="889"/>
        <v>0</v>
      </c>
      <c r="KK123" s="296">
        <f t="shared" si="889"/>
        <v>0</v>
      </c>
      <c r="KL123" s="296">
        <f t="shared" si="889"/>
        <v>0</v>
      </c>
      <c r="KM123" s="296">
        <f t="shared" si="889"/>
        <v>0</v>
      </c>
      <c r="KN123" s="296">
        <f t="shared" si="889"/>
        <v>0</v>
      </c>
      <c r="KO123" s="296">
        <f t="shared" si="889"/>
        <v>0</v>
      </c>
      <c r="KP123" s="296">
        <f t="shared" si="889"/>
        <v>0</v>
      </c>
      <c r="KQ123" s="296">
        <f t="shared" si="889"/>
        <v>0</v>
      </c>
      <c r="KR123" s="296">
        <f t="shared" si="889"/>
        <v>0</v>
      </c>
      <c r="KS123" s="296">
        <f t="shared" si="889"/>
        <v>0</v>
      </c>
      <c r="KT123" s="296">
        <f t="shared" si="889"/>
        <v>0</v>
      </c>
      <c r="KU123" s="296">
        <f t="shared" si="889"/>
        <v>0</v>
      </c>
      <c r="KV123" s="296">
        <f t="shared" si="889"/>
        <v>0</v>
      </c>
      <c r="KW123" s="296">
        <f t="shared" si="889"/>
        <v>0</v>
      </c>
      <c r="KX123" s="292">
        <f t="shared" si="889"/>
        <v>0</v>
      </c>
      <c r="KY123" s="292">
        <f t="shared" si="889"/>
        <v>0</v>
      </c>
      <c r="KZ123" s="292">
        <f t="shared" si="889"/>
        <v>0</v>
      </c>
      <c r="LA123" s="292">
        <f t="shared" ref="LA123" si="890">SUM(KX123:KZ123)</f>
        <v>0</v>
      </c>
      <c r="LB123" s="2019" t="s">
        <v>218</v>
      </c>
      <c r="LC123" s="2019"/>
      <c r="LD123" s="2019"/>
      <c r="LE123" s="297">
        <f>COUNTIF($LF$92:$LF$122,"&gt;0")</f>
        <v>0</v>
      </c>
      <c r="LF123" s="295">
        <f>SUM(LF92:LF122)</f>
        <v>0</v>
      </c>
      <c r="LG123" s="295">
        <f>SUM(LG92:LG122)</f>
        <v>0</v>
      </c>
      <c r="LH123" s="295">
        <f>SUM(LH92:LH122)</f>
        <v>0</v>
      </c>
      <c r="LI123" s="296">
        <f>SUM(LI92:LI122)</f>
        <v>0</v>
      </c>
      <c r="LJ123" s="296">
        <f t="shared" ref="LJ123:MC123" si="891">SUM(LJ92:LJ122)</f>
        <v>0</v>
      </c>
      <c r="LK123" s="296">
        <f t="shared" si="891"/>
        <v>0</v>
      </c>
      <c r="LL123" s="296">
        <f t="shared" si="891"/>
        <v>0</v>
      </c>
      <c r="LM123" s="296">
        <f t="shared" si="891"/>
        <v>0</v>
      </c>
      <c r="LN123" s="296">
        <f t="shared" si="891"/>
        <v>0</v>
      </c>
      <c r="LO123" s="296">
        <f t="shared" si="891"/>
        <v>0</v>
      </c>
      <c r="LP123" s="296">
        <f t="shared" si="891"/>
        <v>0</v>
      </c>
      <c r="LQ123" s="296">
        <f t="shared" si="891"/>
        <v>0</v>
      </c>
      <c r="LR123" s="296">
        <f t="shared" si="891"/>
        <v>0</v>
      </c>
      <c r="LS123" s="296">
        <f t="shared" si="891"/>
        <v>0</v>
      </c>
      <c r="LT123" s="296">
        <f t="shared" si="891"/>
        <v>0</v>
      </c>
      <c r="LU123" s="296">
        <f t="shared" si="891"/>
        <v>0</v>
      </c>
      <c r="LV123" s="296">
        <f t="shared" si="891"/>
        <v>0</v>
      </c>
      <c r="LW123" s="296">
        <f t="shared" si="891"/>
        <v>0</v>
      </c>
      <c r="LX123" s="296">
        <f t="shared" si="891"/>
        <v>0</v>
      </c>
      <c r="LY123" s="296">
        <f t="shared" si="891"/>
        <v>0</v>
      </c>
      <c r="LZ123" s="296">
        <f t="shared" si="891"/>
        <v>0</v>
      </c>
      <c r="MA123" s="292">
        <f t="shared" si="891"/>
        <v>0</v>
      </c>
      <c r="MB123" s="292">
        <f t="shared" si="891"/>
        <v>0</v>
      </c>
      <c r="MC123" s="292">
        <f t="shared" si="891"/>
        <v>0</v>
      </c>
      <c r="MD123" s="292">
        <f t="shared" ref="MD123" si="892">SUM(MA123:MC123)</f>
        <v>0</v>
      </c>
      <c r="ME123" s="2019" t="s">
        <v>218</v>
      </c>
      <c r="MF123" s="2019"/>
      <c r="MG123" s="2019"/>
      <c r="MH123" s="297">
        <f>COUNTIF($MI$92:$MI$120,"&gt;0")</f>
        <v>0</v>
      </c>
      <c r="MI123" s="295">
        <f>SUM(MI92:MI122)</f>
        <v>0</v>
      </c>
      <c r="MJ123" s="295">
        <f>SUM(MJ92:MJ122)</f>
        <v>0</v>
      </c>
      <c r="MK123" s="295">
        <f>SUM(MK92:MK122)</f>
        <v>0</v>
      </c>
      <c r="ML123" s="296">
        <f>SUM(ML92:ML122)</f>
        <v>0</v>
      </c>
      <c r="MM123" s="296">
        <f t="shared" ref="MM123:NF123" si="893">SUM(MM92:MM122)</f>
        <v>0</v>
      </c>
      <c r="MN123" s="296">
        <f t="shared" si="893"/>
        <v>0</v>
      </c>
      <c r="MO123" s="296">
        <f t="shared" si="893"/>
        <v>0</v>
      </c>
      <c r="MP123" s="296">
        <f t="shared" si="893"/>
        <v>0</v>
      </c>
      <c r="MQ123" s="296">
        <f t="shared" si="893"/>
        <v>0</v>
      </c>
      <c r="MR123" s="296">
        <f t="shared" si="893"/>
        <v>0</v>
      </c>
      <c r="MS123" s="296">
        <f t="shared" si="893"/>
        <v>0</v>
      </c>
      <c r="MT123" s="296">
        <f t="shared" si="893"/>
        <v>0</v>
      </c>
      <c r="MU123" s="296">
        <f t="shared" si="893"/>
        <v>0</v>
      </c>
      <c r="MV123" s="296">
        <f t="shared" si="893"/>
        <v>0</v>
      </c>
      <c r="MW123" s="296">
        <f t="shared" si="893"/>
        <v>0</v>
      </c>
      <c r="MX123" s="296">
        <f t="shared" si="893"/>
        <v>0</v>
      </c>
      <c r="MY123" s="296">
        <f t="shared" si="893"/>
        <v>0</v>
      </c>
      <c r="MZ123" s="296">
        <f t="shared" si="893"/>
        <v>0</v>
      </c>
      <c r="NA123" s="296">
        <f t="shared" si="893"/>
        <v>0</v>
      </c>
      <c r="NB123" s="296">
        <f t="shared" si="893"/>
        <v>0</v>
      </c>
      <c r="NC123" s="296">
        <f t="shared" si="893"/>
        <v>0</v>
      </c>
      <c r="ND123" s="292">
        <f t="shared" si="893"/>
        <v>0</v>
      </c>
      <c r="NE123" s="292">
        <f t="shared" si="893"/>
        <v>0</v>
      </c>
      <c r="NF123" s="292">
        <f t="shared" si="893"/>
        <v>0</v>
      </c>
      <c r="NG123" s="292">
        <f t="shared" ref="NG123" si="894">SUM(ND123:NF123)</f>
        <v>0</v>
      </c>
      <c r="NH123" s="2019" t="s">
        <v>218</v>
      </c>
      <c r="NI123" s="2019"/>
      <c r="NJ123" s="2019"/>
      <c r="NK123" s="294">
        <f>COUNTIF($NL$92:$NL$122,"&gt;0")</f>
        <v>0</v>
      </c>
      <c r="NL123" s="295">
        <f>SUM(NL92:NL122)</f>
        <v>0</v>
      </c>
      <c r="NM123" s="295">
        <f>SUM(NM92:NM122)</f>
        <v>0</v>
      </c>
      <c r="NN123" s="295">
        <f>SUM(NN92:NN122)</f>
        <v>0</v>
      </c>
      <c r="NO123" s="296">
        <f>SUM(NO92:NO122)</f>
        <v>0</v>
      </c>
      <c r="NP123" s="296">
        <f t="shared" ref="NP123:OI123" si="895">SUM(NP92:NP122)</f>
        <v>0</v>
      </c>
      <c r="NQ123" s="296">
        <f t="shared" si="895"/>
        <v>0</v>
      </c>
      <c r="NR123" s="296">
        <f t="shared" si="895"/>
        <v>0</v>
      </c>
      <c r="NS123" s="296">
        <f t="shared" si="895"/>
        <v>0</v>
      </c>
      <c r="NT123" s="296">
        <f t="shared" si="895"/>
        <v>0</v>
      </c>
      <c r="NU123" s="296">
        <f t="shared" si="895"/>
        <v>0</v>
      </c>
      <c r="NV123" s="296">
        <f t="shared" si="895"/>
        <v>0</v>
      </c>
      <c r="NW123" s="296">
        <f t="shared" si="895"/>
        <v>0</v>
      </c>
      <c r="NX123" s="296">
        <f t="shared" si="895"/>
        <v>0</v>
      </c>
      <c r="NY123" s="296">
        <f t="shared" si="895"/>
        <v>0</v>
      </c>
      <c r="NZ123" s="296">
        <f t="shared" si="895"/>
        <v>0</v>
      </c>
      <c r="OA123" s="296">
        <f t="shared" si="895"/>
        <v>0</v>
      </c>
      <c r="OB123" s="296">
        <f t="shared" si="895"/>
        <v>0</v>
      </c>
      <c r="OC123" s="296">
        <f t="shared" si="895"/>
        <v>0</v>
      </c>
      <c r="OD123" s="296">
        <f t="shared" si="895"/>
        <v>0</v>
      </c>
      <c r="OE123" s="296">
        <f t="shared" si="895"/>
        <v>0</v>
      </c>
      <c r="OF123" s="296">
        <f t="shared" si="895"/>
        <v>0</v>
      </c>
      <c r="OG123" s="292">
        <f t="shared" si="895"/>
        <v>0</v>
      </c>
      <c r="OH123" s="292">
        <f t="shared" si="895"/>
        <v>0</v>
      </c>
      <c r="OI123" s="292">
        <f t="shared" si="895"/>
        <v>0</v>
      </c>
      <c r="OJ123" s="292">
        <f t="shared" ref="OJ123" si="896">SUM(OG123:OI123)</f>
        <v>0</v>
      </c>
    </row>
    <row r="124" spans="53:400" ht="29.25" customHeight="1" x14ac:dyDescent="0.3">
      <c r="BA124" s="2019" t="s">
        <v>104</v>
      </c>
      <c r="BB124" s="2019"/>
      <c r="BC124" s="2019"/>
      <c r="BD124" s="294">
        <f>COUNTIF($BG$92:$BG$121,"&gt;0")</f>
        <v>0</v>
      </c>
      <c r="BE124" s="2022"/>
      <c r="BF124" s="2022"/>
      <c r="BG124" s="2022"/>
      <c r="BH124" s="298">
        <f>(BH91-BH123)</f>
        <v>0</v>
      </c>
      <c r="BI124" s="298">
        <f t="shared" ref="BI124:BY124" si="897">(BI91-BI123)</f>
        <v>0</v>
      </c>
      <c r="BJ124" s="298">
        <f t="shared" si="897"/>
        <v>0</v>
      </c>
      <c r="BK124" s="298">
        <f t="shared" si="897"/>
        <v>0</v>
      </c>
      <c r="BL124" s="298">
        <f t="shared" si="897"/>
        <v>0</v>
      </c>
      <c r="BM124" s="298">
        <f t="shared" si="897"/>
        <v>0</v>
      </c>
      <c r="BN124" s="298">
        <f t="shared" si="897"/>
        <v>0</v>
      </c>
      <c r="BO124" s="298">
        <f t="shared" si="897"/>
        <v>0</v>
      </c>
      <c r="BP124" s="298">
        <f t="shared" si="897"/>
        <v>0</v>
      </c>
      <c r="BQ124" s="298">
        <f t="shared" si="897"/>
        <v>0</v>
      </c>
      <c r="BR124" s="298">
        <f t="shared" si="897"/>
        <v>0</v>
      </c>
      <c r="BS124" s="298">
        <f t="shared" si="897"/>
        <v>0</v>
      </c>
      <c r="BT124" s="298">
        <f t="shared" si="897"/>
        <v>0</v>
      </c>
      <c r="BU124" s="298">
        <f t="shared" si="897"/>
        <v>0</v>
      </c>
      <c r="BV124" s="298">
        <f t="shared" si="897"/>
        <v>0</v>
      </c>
      <c r="BW124" s="298">
        <f t="shared" si="897"/>
        <v>0</v>
      </c>
      <c r="BX124" s="298">
        <f t="shared" si="897"/>
        <v>0</v>
      </c>
      <c r="BY124" s="298">
        <f t="shared" si="897"/>
        <v>0</v>
      </c>
      <c r="BZ124" s="2023" t="s">
        <v>217</v>
      </c>
      <c r="CA124" s="2023"/>
      <c r="CB124" s="299">
        <f>CC123</f>
        <v>0</v>
      </c>
      <c r="CC124" s="299" t="s">
        <v>214</v>
      </c>
      <c r="CD124" s="2019" t="s">
        <v>104</v>
      </c>
      <c r="CE124" s="2019"/>
      <c r="CF124" s="2019"/>
      <c r="CG124" s="297">
        <f>COUNTIF($CJ$92:$CJ$122,"&gt;0")</f>
        <v>0</v>
      </c>
      <c r="CH124" s="2022"/>
      <c r="CI124" s="2022"/>
      <c r="CJ124" s="2022"/>
      <c r="CK124" s="298">
        <f>(CK91-CK123)</f>
        <v>0</v>
      </c>
      <c r="CL124" s="298">
        <f t="shared" ref="CL124:DB124" si="898">(CL91-CL123)</f>
        <v>0</v>
      </c>
      <c r="CM124" s="298">
        <f t="shared" si="898"/>
        <v>0</v>
      </c>
      <c r="CN124" s="298">
        <f t="shared" si="898"/>
        <v>0</v>
      </c>
      <c r="CO124" s="298">
        <f t="shared" si="898"/>
        <v>0</v>
      </c>
      <c r="CP124" s="298">
        <f t="shared" si="898"/>
        <v>0</v>
      </c>
      <c r="CQ124" s="298">
        <f t="shared" si="898"/>
        <v>0</v>
      </c>
      <c r="CR124" s="298">
        <f t="shared" si="898"/>
        <v>0</v>
      </c>
      <c r="CS124" s="298">
        <f t="shared" si="898"/>
        <v>0</v>
      </c>
      <c r="CT124" s="298">
        <f t="shared" si="898"/>
        <v>0</v>
      </c>
      <c r="CU124" s="298">
        <f t="shared" si="898"/>
        <v>0</v>
      </c>
      <c r="CV124" s="298">
        <f t="shared" si="898"/>
        <v>0</v>
      </c>
      <c r="CW124" s="298">
        <f t="shared" si="898"/>
        <v>0</v>
      </c>
      <c r="CX124" s="298">
        <f t="shared" si="898"/>
        <v>0</v>
      </c>
      <c r="CY124" s="298">
        <f t="shared" si="898"/>
        <v>0</v>
      </c>
      <c r="CZ124" s="298">
        <f t="shared" si="898"/>
        <v>0</v>
      </c>
      <c r="DA124" s="298">
        <f t="shared" si="898"/>
        <v>0</v>
      </c>
      <c r="DB124" s="298">
        <f t="shared" si="898"/>
        <v>0</v>
      </c>
      <c r="DC124" s="2023" t="s">
        <v>217</v>
      </c>
      <c r="DD124" s="2023"/>
      <c r="DE124" s="299">
        <f>DF123</f>
        <v>0</v>
      </c>
      <c r="DF124" s="299" t="s">
        <v>214</v>
      </c>
      <c r="DG124" s="2019" t="s">
        <v>104</v>
      </c>
      <c r="DH124" s="2019"/>
      <c r="DI124" s="2019"/>
      <c r="DJ124" s="297">
        <f>COUNTIF($DM$92:$DM$121,"&gt;0")</f>
        <v>0</v>
      </c>
      <c r="DK124" s="2022"/>
      <c r="DL124" s="2022"/>
      <c r="DM124" s="2022"/>
      <c r="DN124" s="298">
        <f>(DN91-DN123)</f>
        <v>0</v>
      </c>
      <c r="DO124" s="298">
        <f t="shared" ref="DO124:EE124" si="899">(DO91-DO123)</f>
        <v>0</v>
      </c>
      <c r="DP124" s="298">
        <f t="shared" si="899"/>
        <v>0</v>
      </c>
      <c r="DQ124" s="298">
        <f t="shared" si="899"/>
        <v>0</v>
      </c>
      <c r="DR124" s="298">
        <f t="shared" si="899"/>
        <v>0</v>
      </c>
      <c r="DS124" s="298">
        <f t="shared" si="899"/>
        <v>0</v>
      </c>
      <c r="DT124" s="298">
        <f t="shared" si="899"/>
        <v>0</v>
      </c>
      <c r="DU124" s="298">
        <f t="shared" si="899"/>
        <v>0</v>
      </c>
      <c r="DV124" s="298">
        <f t="shared" si="899"/>
        <v>0</v>
      </c>
      <c r="DW124" s="298">
        <f t="shared" si="899"/>
        <v>0</v>
      </c>
      <c r="DX124" s="298">
        <f t="shared" si="899"/>
        <v>0</v>
      </c>
      <c r="DY124" s="298">
        <f t="shared" si="899"/>
        <v>0</v>
      </c>
      <c r="DZ124" s="298">
        <f t="shared" si="899"/>
        <v>0</v>
      </c>
      <c r="EA124" s="298">
        <f t="shared" si="899"/>
        <v>0</v>
      </c>
      <c r="EB124" s="298">
        <f t="shared" si="899"/>
        <v>0</v>
      </c>
      <c r="EC124" s="298">
        <f t="shared" si="899"/>
        <v>0</v>
      </c>
      <c r="ED124" s="298">
        <f t="shared" si="899"/>
        <v>0</v>
      </c>
      <c r="EE124" s="298">
        <f t="shared" si="899"/>
        <v>0</v>
      </c>
      <c r="EF124" s="2023" t="s">
        <v>217</v>
      </c>
      <c r="EG124" s="2023"/>
      <c r="EH124" s="299">
        <f>EI123</f>
        <v>0</v>
      </c>
      <c r="EI124" s="299" t="s">
        <v>214</v>
      </c>
      <c r="EJ124" s="2019" t="s">
        <v>104</v>
      </c>
      <c r="EK124" s="2019"/>
      <c r="EL124" s="2019"/>
      <c r="EM124" s="297">
        <f>COUNTIF($EP$92:$EP$122,"&gt;0")</f>
        <v>0</v>
      </c>
      <c r="EN124" s="2022"/>
      <c r="EO124" s="2022"/>
      <c r="EP124" s="2022"/>
      <c r="EQ124" s="298">
        <f>(EQ91-EQ123)</f>
        <v>0</v>
      </c>
      <c r="ER124" s="298">
        <f t="shared" ref="ER124:FH124" si="900">(ER91-ER123)</f>
        <v>0</v>
      </c>
      <c r="ES124" s="298">
        <f t="shared" si="900"/>
        <v>0</v>
      </c>
      <c r="ET124" s="298">
        <f t="shared" si="900"/>
        <v>0</v>
      </c>
      <c r="EU124" s="298">
        <f t="shared" si="900"/>
        <v>0</v>
      </c>
      <c r="EV124" s="298">
        <f t="shared" si="900"/>
        <v>0</v>
      </c>
      <c r="EW124" s="298">
        <f t="shared" si="900"/>
        <v>0</v>
      </c>
      <c r="EX124" s="298">
        <f t="shared" si="900"/>
        <v>0</v>
      </c>
      <c r="EY124" s="298">
        <f t="shared" si="900"/>
        <v>0</v>
      </c>
      <c r="EZ124" s="298">
        <f t="shared" si="900"/>
        <v>0</v>
      </c>
      <c r="FA124" s="298">
        <f t="shared" si="900"/>
        <v>0</v>
      </c>
      <c r="FB124" s="298">
        <f t="shared" si="900"/>
        <v>0</v>
      </c>
      <c r="FC124" s="298">
        <f t="shared" si="900"/>
        <v>0</v>
      </c>
      <c r="FD124" s="298">
        <f t="shared" si="900"/>
        <v>0</v>
      </c>
      <c r="FE124" s="298">
        <f t="shared" si="900"/>
        <v>0</v>
      </c>
      <c r="FF124" s="298">
        <f t="shared" si="900"/>
        <v>0</v>
      </c>
      <c r="FG124" s="298">
        <f t="shared" si="900"/>
        <v>0</v>
      </c>
      <c r="FH124" s="298">
        <f t="shared" si="900"/>
        <v>0</v>
      </c>
      <c r="FI124" s="2023" t="s">
        <v>217</v>
      </c>
      <c r="FJ124" s="2023"/>
      <c r="FK124" s="299">
        <f>FL123</f>
        <v>0</v>
      </c>
      <c r="FL124" s="299" t="s">
        <v>214</v>
      </c>
      <c r="FM124" s="2019" t="s">
        <v>104</v>
      </c>
      <c r="FN124" s="2019"/>
      <c r="FO124" s="2019"/>
      <c r="FP124" s="297">
        <f>COUNTIF($FS$92:$FS$122,"&gt;0")</f>
        <v>0</v>
      </c>
      <c r="FQ124" s="2022"/>
      <c r="FR124" s="2022"/>
      <c r="FS124" s="2022"/>
      <c r="FT124" s="298">
        <f>(FT91-FT123)</f>
        <v>0</v>
      </c>
      <c r="FU124" s="298">
        <f t="shared" ref="FU124:GK124" si="901">(FU91-FU123)</f>
        <v>0</v>
      </c>
      <c r="FV124" s="298">
        <f t="shared" si="901"/>
        <v>0</v>
      </c>
      <c r="FW124" s="298">
        <f t="shared" si="901"/>
        <v>0</v>
      </c>
      <c r="FX124" s="298">
        <f t="shared" si="901"/>
        <v>0</v>
      </c>
      <c r="FY124" s="298">
        <f t="shared" si="901"/>
        <v>0</v>
      </c>
      <c r="FZ124" s="298">
        <f t="shared" si="901"/>
        <v>0</v>
      </c>
      <c r="GA124" s="298">
        <f t="shared" si="901"/>
        <v>0</v>
      </c>
      <c r="GB124" s="298">
        <f t="shared" si="901"/>
        <v>0</v>
      </c>
      <c r="GC124" s="298">
        <f t="shared" si="901"/>
        <v>0</v>
      </c>
      <c r="GD124" s="298">
        <f t="shared" si="901"/>
        <v>0</v>
      </c>
      <c r="GE124" s="298">
        <f t="shared" si="901"/>
        <v>0</v>
      </c>
      <c r="GF124" s="298">
        <f t="shared" si="901"/>
        <v>0</v>
      </c>
      <c r="GG124" s="298">
        <f t="shared" si="901"/>
        <v>0</v>
      </c>
      <c r="GH124" s="298">
        <f t="shared" si="901"/>
        <v>0</v>
      </c>
      <c r="GI124" s="298">
        <f t="shared" si="901"/>
        <v>0</v>
      </c>
      <c r="GJ124" s="298">
        <f t="shared" si="901"/>
        <v>0</v>
      </c>
      <c r="GK124" s="298">
        <f t="shared" si="901"/>
        <v>0</v>
      </c>
      <c r="GL124" s="2023" t="s">
        <v>217</v>
      </c>
      <c r="GM124" s="2023"/>
      <c r="GN124" s="299">
        <f>GO123</f>
        <v>0</v>
      </c>
      <c r="GO124" s="299" t="s">
        <v>214</v>
      </c>
      <c r="GP124" s="2019" t="s">
        <v>104</v>
      </c>
      <c r="GQ124" s="2019"/>
      <c r="GR124" s="2019"/>
      <c r="GS124" s="297">
        <f>COUNTIF($GV$92:$GV$121,"&gt;0")</f>
        <v>0</v>
      </c>
      <c r="GT124" s="2022"/>
      <c r="GU124" s="2022"/>
      <c r="GV124" s="2022"/>
      <c r="GW124" s="298">
        <f>(GW91-GW123)</f>
        <v>0</v>
      </c>
      <c r="GX124" s="298">
        <f t="shared" ref="GX124:HN124" si="902">(GX91-GX123)</f>
        <v>0</v>
      </c>
      <c r="GY124" s="298">
        <f t="shared" si="902"/>
        <v>0</v>
      </c>
      <c r="GZ124" s="298">
        <f t="shared" si="902"/>
        <v>0</v>
      </c>
      <c r="HA124" s="298">
        <f t="shared" si="902"/>
        <v>0</v>
      </c>
      <c r="HB124" s="298">
        <f t="shared" si="902"/>
        <v>0</v>
      </c>
      <c r="HC124" s="298">
        <f t="shared" si="902"/>
        <v>0</v>
      </c>
      <c r="HD124" s="298">
        <f t="shared" si="902"/>
        <v>0</v>
      </c>
      <c r="HE124" s="298">
        <f t="shared" si="902"/>
        <v>0</v>
      </c>
      <c r="HF124" s="298">
        <f t="shared" si="902"/>
        <v>0</v>
      </c>
      <c r="HG124" s="298">
        <f t="shared" si="902"/>
        <v>0</v>
      </c>
      <c r="HH124" s="298">
        <f t="shared" si="902"/>
        <v>0</v>
      </c>
      <c r="HI124" s="298">
        <f t="shared" si="902"/>
        <v>0</v>
      </c>
      <c r="HJ124" s="298">
        <f t="shared" si="902"/>
        <v>0</v>
      </c>
      <c r="HK124" s="298">
        <f t="shared" si="902"/>
        <v>0</v>
      </c>
      <c r="HL124" s="298">
        <f t="shared" si="902"/>
        <v>0</v>
      </c>
      <c r="HM124" s="298">
        <f t="shared" si="902"/>
        <v>0</v>
      </c>
      <c r="HN124" s="298">
        <f t="shared" si="902"/>
        <v>0</v>
      </c>
      <c r="HO124" s="2023" t="s">
        <v>217</v>
      </c>
      <c r="HP124" s="2023"/>
      <c r="HQ124" s="299">
        <f>HR123</f>
        <v>0</v>
      </c>
      <c r="HR124" s="299" t="s">
        <v>214</v>
      </c>
      <c r="HS124" s="2019" t="s">
        <v>104</v>
      </c>
      <c r="HT124" s="2019"/>
      <c r="HU124" s="2019"/>
      <c r="HV124" s="297">
        <f>COUNTIF($HY$92:$HY$122,"&gt;0")</f>
        <v>0</v>
      </c>
      <c r="HW124" s="2022"/>
      <c r="HX124" s="2022"/>
      <c r="HY124" s="2022"/>
      <c r="HZ124" s="298">
        <f>(HZ91-HZ123)</f>
        <v>0</v>
      </c>
      <c r="IA124" s="298">
        <f t="shared" ref="IA124:IQ124" si="903">(IA91-IA123)</f>
        <v>0</v>
      </c>
      <c r="IB124" s="298">
        <f t="shared" si="903"/>
        <v>0</v>
      </c>
      <c r="IC124" s="298">
        <f t="shared" si="903"/>
        <v>0</v>
      </c>
      <c r="ID124" s="298">
        <f t="shared" si="903"/>
        <v>0</v>
      </c>
      <c r="IE124" s="298">
        <f t="shared" si="903"/>
        <v>0</v>
      </c>
      <c r="IF124" s="298">
        <f t="shared" si="903"/>
        <v>0</v>
      </c>
      <c r="IG124" s="298">
        <f t="shared" si="903"/>
        <v>0</v>
      </c>
      <c r="IH124" s="298">
        <f t="shared" si="903"/>
        <v>0</v>
      </c>
      <c r="II124" s="298">
        <f t="shared" si="903"/>
        <v>0</v>
      </c>
      <c r="IJ124" s="298">
        <f t="shared" si="903"/>
        <v>0</v>
      </c>
      <c r="IK124" s="298">
        <f t="shared" si="903"/>
        <v>0</v>
      </c>
      <c r="IL124" s="298">
        <f t="shared" si="903"/>
        <v>0</v>
      </c>
      <c r="IM124" s="298">
        <f t="shared" si="903"/>
        <v>0</v>
      </c>
      <c r="IN124" s="298">
        <f t="shared" si="903"/>
        <v>0</v>
      </c>
      <c r="IO124" s="298">
        <f t="shared" si="903"/>
        <v>0</v>
      </c>
      <c r="IP124" s="298">
        <f t="shared" si="903"/>
        <v>0</v>
      </c>
      <c r="IQ124" s="298">
        <f t="shared" si="903"/>
        <v>0</v>
      </c>
      <c r="IR124" s="2023" t="s">
        <v>217</v>
      </c>
      <c r="IS124" s="2023"/>
      <c r="IT124" s="299">
        <f>IU123</f>
        <v>0</v>
      </c>
      <c r="IU124" s="299" t="s">
        <v>214</v>
      </c>
      <c r="IV124" s="2019" t="s">
        <v>104</v>
      </c>
      <c r="IW124" s="2019"/>
      <c r="IX124" s="2019"/>
      <c r="IY124" s="297">
        <f>COUNTIF($JB$92:$JB$121,"&gt;0")</f>
        <v>0</v>
      </c>
      <c r="IZ124" s="2022"/>
      <c r="JA124" s="2022"/>
      <c r="JB124" s="2022"/>
      <c r="JC124" s="298">
        <f>(JC91-JC123)</f>
        <v>0</v>
      </c>
      <c r="JD124" s="298">
        <f t="shared" ref="JD124:JT124" si="904">(JD91-JD123)</f>
        <v>0</v>
      </c>
      <c r="JE124" s="298">
        <f t="shared" si="904"/>
        <v>0</v>
      </c>
      <c r="JF124" s="298">
        <f t="shared" si="904"/>
        <v>0</v>
      </c>
      <c r="JG124" s="298">
        <f t="shared" si="904"/>
        <v>0</v>
      </c>
      <c r="JH124" s="298">
        <f t="shared" si="904"/>
        <v>0</v>
      </c>
      <c r="JI124" s="298">
        <f t="shared" si="904"/>
        <v>0</v>
      </c>
      <c r="JJ124" s="298">
        <f t="shared" si="904"/>
        <v>0</v>
      </c>
      <c r="JK124" s="298">
        <f t="shared" si="904"/>
        <v>0</v>
      </c>
      <c r="JL124" s="298">
        <f t="shared" si="904"/>
        <v>0</v>
      </c>
      <c r="JM124" s="298">
        <f t="shared" si="904"/>
        <v>0</v>
      </c>
      <c r="JN124" s="298">
        <f t="shared" si="904"/>
        <v>0</v>
      </c>
      <c r="JO124" s="298">
        <f t="shared" si="904"/>
        <v>0</v>
      </c>
      <c r="JP124" s="298">
        <f t="shared" si="904"/>
        <v>0</v>
      </c>
      <c r="JQ124" s="298">
        <f t="shared" si="904"/>
        <v>0</v>
      </c>
      <c r="JR124" s="298">
        <f t="shared" si="904"/>
        <v>0</v>
      </c>
      <c r="JS124" s="298">
        <f t="shared" si="904"/>
        <v>0</v>
      </c>
      <c r="JT124" s="298">
        <f t="shared" si="904"/>
        <v>0</v>
      </c>
      <c r="JU124" s="2023" t="s">
        <v>217</v>
      </c>
      <c r="JV124" s="2023"/>
      <c r="JW124" s="299">
        <f>JX123</f>
        <v>0</v>
      </c>
      <c r="JX124" s="299" t="s">
        <v>214</v>
      </c>
      <c r="JY124" s="2019" t="s">
        <v>104</v>
      </c>
      <c r="JZ124" s="2019"/>
      <c r="KA124" s="2019"/>
      <c r="KB124" s="297">
        <f>COUNTIF($KE$92:$KE$122,"&gt;0")</f>
        <v>0</v>
      </c>
      <c r="KC124" s="2022"/>
      <c r="KD124" s="2022"/>
      <c r="KE124" s="2022"/>
      <c r="KF124" s="298">
        <f>(KF91-KF123)</f>
        <v>0</v>
      </c>
      <c r="KG124" s="298">
        <f t="shared" ref="KG124:KW124" si="905">(KG91-KG123)</f>
        <v>0</v>
      </c>
      <c r="KH124" s="298">
        <f t="shared" si="905"/>
        <v>0</v>
      </c>
      <c r="KI124" s="298">
        <f t="shared" si="905"/>
        <v>0</v>
      </c>
      <c r="KJ124" s="298">
        <f t="shared" si="905"/>
        <v>0</v>
      </c>
      <c r="KK124" s="298">
        <f t="shared" si="905"/>
        <v>0</v>
      </c>
      <c r="KL124" s="298">
        <f t="shared" si="905"/>
        <v>0</v>
      </c>
      <c r="KM124" s="298">
        <f t="shared" si="905"/>
        <v>0</v>
      </c>
      <c r="KN124" s="298">
        <f t="shared" si="905"/>
        <v>0</v>
      </c>
      <c r="KO124" s="298">
        <f t="shared" si="905"/>
        <v>0</v>
      </c>
      <c r="KP124" s="298">
        <f t="shared" si="905"/>
        <v>0</v>
      </c>
      <c r="KQ124" s="298">
        <f t="shared" si="905"/>
        <v>0</v>
      </c>
      <c r="KR124" s="298">
        <f t="shared" si="905"/>
        <v>0</v>
      </c>
      <c r="KS124" s="298">
        <f t="shared" si="905"/>
        <v>0</v>
      </c>
      <c r="KT124" s="298">
        <f t="shared" si="905"/>
        <v>0</v>
      </c>
      <c r="KU124" s="298">
        <f t="shared" si="905"/>
        <v>0</v>
      </c>
      <c r="KV124" s="298">
        <f t="shared" si="905"/>
        <v>0</v>
      </c>
      <c r="KW124" s="298">
        <f t="shared" si="905"/>
        <v>0</v>
      </c>
      <c r="KX124" s="2023" t="s">
        <v>217</v>
      </c>
      <c r="KY124" s="2023"/>
      <c r="KZ124" s="299">
        <f>LA123</f>
        <v>0</v>
      </c>
      <c r="LA124" s="299" t="s">
        <v>214</v>
      </c>
      <c r="LB124" s="2019" t="s">
        <v>104</v>
      </c>
      <c r="LC124" s="2019"/>
      <c r="LD124" s="2019"/>
      <c r="LE124" s="297">
        <f>COUNTIF($LH$92:$LH$122,"&gt;0")</f>
        <v>0</v>
      </c>
      <c r="LF124" s="2022"/>
      <c r="LG124" s="2022"/>
      <c r="LH124" s="2022"/>
      <c r="LI124" s="298">
        <f>(LI91-LI123)</f>
        <v>0</v>
      </c>
      <c r="LJ124" s="298">
        <f t="shared" ref="LJ124:LZ124" si="906">(LJ91-LJ123)</f>
        <v>0</v>
      </c>
      <c r="LK124" s="298">
        <f t="shared" si="906"/>
        <v>0</v>
      </c>
      <c r="LL124" s="298">
        <f t="shared" si="906"/>
        <v>0</v>
      </c>
      <c r="LM124" s="298">
        <f t="shared" si="906"/>
        <v>0</v>
      </c>
      <c r="LN124" s="298">
        <f t="shared" si="906"/>
        <v>0</v>
      </c>
      <c r="LO124" s="298">
        <f t="shared" si="906"/>
        <v>0</v>
      </c>
      <c r="LP124" s="298">
        <f t="shared" si="906"/>
        <v>0</v>
      </c>
      <c r="LQ124" s="298">
        <f t="shared" si="906"/>
        <v>0</v>
      </c>
      <c r="LR124" s="298">
        <f t="shared" si="906"/>
        <v>0</v>
      </c>
      <c r="LS124" s="298">
        <f t="shared" si="906"/>
        <v>0</v>
      </c>
      <c r="LT124" s="298">
        <f t="shared" si="906"/>
        <v>0</v>
      </c>
      <c r="LU124" s="298">
        <f t="shared" si="906"/>
        <v>0</v>
      </c>
      <c r="LV124" s="298">
        <f t="shared" si="906"/>
        <v>0</v>
      </c>
      <c r="LW124" s="298">
        <f t="shared" si="906"/>
        <v>0</v>
      </c>
      <c r="LX124" s="298">
        <f t="shared" si="906"/>
        <v>0</v>
      </c>
      <c r="LY124" s="298">
        <f t="shared" si="906"/>
        <v>0</v>
      </c>
      <c r="LZ124" s="298">
        <f t="shared" si="906"/>
        <v>0</v>
      </c>
      <c r="MA124" s="2023" t="s">
        <v>217</v>
      </c>
      <c r="MB124" s="2023"/>
      <c r="MC124" s="299">
        <f>MD123</f>
        <v>0</v>
      </c>
      <c r="MD124" s="299" t="s">
        <v>214</v>
      </c>
      <c r="ME124" s="2019" t="s">
        <v>104</v>
      </c>
      <c r="MF124" s="2019"/>
      <c r="MG124" s="2019"/>
      <c r="MH124" s="297">
        <f>COUNTIF($MK$92:$MK$120,"&gt;0")</f>
        <v>0</v>
      </c>
      <c r="MI124" s="2022"/>
      <c r="MJ124" s="2022"/>
      <c r="MK124" s="2022"/>
      <c r="ML124" s="298">
        <f>(ML91-ML123)</f>
        <v>0</v>
      </c>
      <c r="MM124" s="298">
        <f t="shared" ref="MM124:NC124" si="907">(MM91-MM123)</f>
        <v>0</v>
      </c>
      <c r="MN124" s="298">
        <f t="shared" si="907"/>
        <v>0</v>
      </c>
      <c r="MO124" s="298">
        <f t="shared" si="907"/>
        <v>0</v>
      </c>
      <c r="MP124" s="298">
        <f t="shared" si="907"/>
        <v>0</v>
      </c>
      <c r="MQ124" s="298">
        <f t="shared" si="907"/>
        <v>0</v>
      </c>
      <c r="MR124" s="298">
        <f t="shared" si="907"/>
        <v>0</v>
      </c>
      <c r="MS124" s="298">
        <f t="shared" si="907"/>
        <v>0</v>
      </c>
      <c r="MT124" s="298">
        <f t="shared" si="907"/>
        <v>0</v>
      </c>
      <c r="MU124" s="298">
        <f t="shared" si="907"/>
        <v>0</v>
      </c>
      <c r="MV124" s="298">
        <f t="shared" si="907"/>
        <v>0</v>
      </c>
      <c r="MW124" s="298">
        <f t="shared" si="907"/>
        <v>0</v>
      </c>
      <c r="MX124" s="298">
        <f t="shared" si="907"/>
        <v>0</v>
      </c>
      <c r="MY124" s="298">
        <f t="shared" si="907"/>
        <v>0</v>
      </c>
      <c r="MZ124" s="298">
        <f t="shared" si="907"/>
        <v>0</v>
      </c>
      <c r="NA124" s="298">
        <f t="shared" si="907"/>
        <v>0</v>
      </c>
      <c r="NB124" s="298">
        <f t="shared" si="907"/>
        <v>0</v>
      </c>
      <c r="NC124" s="298">
        <f t="shared" si="907"/>
        <v>0</v>
      </c>
      <c r="ND124" s="2023" t="s">
        <v>217</v>
      </c>
      <c r="NE124" s="2023"/>
      <c r="NF124" s="299">
        <f>NG123</f>
        <v>0</v>
      </c>
      <c r="NG124" s="299" t="s">
        <v>214</v>
      </c>
      <c r="NH124" s="2019" t="s">
        <v>104</v>
      </c>
      <c r="NI124" s="2019"/>
      <c r="NJ124" s="2019"/>
      <c r="NK124" s="294">
        <f>COUNTIF($NN$92:$NN$122,"&gt;0")</f>
        <v>0</v>
      </c>
      <c r="NL124" s="2022"/>
      <c r="NM124" s="2022"/>
      <c r="NN124" s="2022"/>
      <c r="NO124" s="298">
        <f>(NO91-NO123)</f>
        <v>0</v>
      </c>
      <c r="NP124" s="298">
        <f t="shared" ref="NP124:OF124" si="908">(NP91-NP123)</f>
        <v>0</v>
      </c>
      <c r="NQ124" s="298">
        <f t="shared" si="908"/>
        <v>0</v>
      </c>
      <c r="NR124" s="298">
        <f t="shared" si="908"/>
        <v>0</v>
      </c>
      <c r="NS124" s="298">
        <f t="shared" si="908"/>
        <v>0</v>
      </c>
      <c r="NT124" s="298">
        <f t="shared" si="908"/>
        <v>0</v>
      </c>
      <c r="NU124" s="298">
        <f t="shared" si="908"/>
        <v>0</v>
      </c>
      <c r="NV124" s="298">
        <f t="shared" si="908"/>
        <v>0</v>
      </c>
      <c r="NW124" s="298">
        <f t="shared" si="908"/>
        <v>0</v>
      </c>
      <c r="NX124" s="298">
        <f t="shared" si="908"/>
        <v>0</v>
      </c>
      <c r="NY124" s="298">
        <f t="shared" si="908"/>
        <v>0</v>
      </c>
      <c r="NZ124" s="298">
        <f t="shared" si="908"/>
        <v>0</v>
      </c>
      <c r="OA124" s="298">
        <f t="shared" si="908"/>
        <v>0</v>
      </c>
      <c r="OB124" s="298">
        <f t="shared" si="908"/>
        <v>0</v>
      </c>
      <c r="OC124" s="298">
        <f t="shared" si="908"/>
        <v>0</v>
      </c>
      <c r="OD124" s="298">
        <f t="shared" si="908"/>
        <v>0</v>
      </c>
      <c r="OE124" s="298">
        <f t="shared" si="908"/>
        <v>0</v>
      </c>
      <c r="OF124" s="298">
        <f t="shared" si="908"/>
        <v>0</v>
      </c>
      <c r="OG124" s="2023" t="s">
        <v>217</v>
      </c>
      <c r="OH124" s="2023"/>
      <c r="OI124" s="299">
        <f>OJ123</f>
        <v>0</v>
      </c>
      <c r="OJ124" s="299" t="s">
        <v>214</v>
      </c>
    </row>
    <row r="126" spans="53:400" ht="29.25" customHeight="1" x14ac:dyDescent="0.3">
      <c r="BJ126" s="2020" t="s">
        <v>231</v>
      </c>
      <c r="BK126" s="2020"/>
      <c r="BL126" s="1031" t="s">
        <v>288</v>
      </c>
    </row>
    <row r="127" spans="53:400" ht="29.25" customHeight="1" x14ac:dyDescent="0.3">
      <c r="BG127" s="302"/>
      <c r="BH127" s="294" t="s">
        <v>97</v>
      </c>
      <c r="BI127" s="294" t="s">
        <v>163</v>
      </c>
      <c r="BJ127" s="294" t="s">
        <v>164</v>
      </c>
      <c r="BK127" s="294" t="s">
        <v>63</v>
      </c>
      <c r="BL127" s="294" t="s">
        <v>64</v>
      </c>
      <c r="BM127" s="294" t="s">
        <v>65</v>
      </c>
      <c r="BN127" s="294" t="s">
        <v>66</v>
      </c>
      <c r="BO127" s="294" t="s">
        <v>67</v>
      </c>
      <c r="BP127" s="294" t="s">
        <v>165</v>
      </c>
      <c r="BQ127" s="294" t="s">
        <v>68</v>
      </c>
      <c r="BR127" s="294" t="s">
        <v>69</v>
      </c>
      <c r="BS127" s="294" t="s">
        <v>70</v>
      </c>
      <c r="BT127" s="294" t="s">
        <v>71</v>
      </c>
      <c r="BU127" s="294" t="s">
        <v>166</v>
      </c>
      <c r="BV127" s="294" t="s">
        <v>72</v>
      </c>
      <c r="BW127" s="294" t="s">
        <v>73</v>
      </c>
      <c r="BX127" s="999"/>
      <c r="BY127" s="999"/>
      <c r="CI127" s="301" t="s">
        <v>87</v>
      </c>
    </row>
    <row r="128" spans="53:400" ht="29.25" customHeight="1" x14ac:dyDescent="0.3">
      <c r="BF128" s="1027" t="s">
        <v>42</v>
      </c>
      <c r="BH128" s="300">
        <f>BH88</f>
        <v>0</v>
      </c>
      <c r="BI128" s="300">
        <f>BI88</f>
        <v>0</v>
      </c>
      <c r="BJ128" s="300">
        <f>BJ88</f>
        <v>0</v>
      </c>
      <c r="BK128" s="300">
        <f t="shared" ref="BK128:BY128" si="909">BK88</f>
        <v>0</v>
      </c>
      <c r="BL128" s="300">
        <f t="shared" si="909"/>
        <v>0</v>
      </c>
      <c r="BM128" s="300">
        <f t="shared" si="909"/>
        <v>0</v>
      </c>
      <c r="BN128" s="300">
        <f t="shared" si="909"/>
        <v>0</v>
      </c>
      <c r="BO128" s="300">
        <f t="shared" si="909"/>
        <v>0</v>
      </c>
      <c r="BP128" s="300">
        <f t="shared" si="909"/>
        <v>0</v>
      </c>
      <c r="BQ128" s="300">
        <f t="shared" si="909"/>
        <v>0</v>
      </c>
      <c r="BR128" s="300">
        <f t="shared" si="909"/>
        <v>0</v>
      </c>
      <c r="BS128" s="300">
        <f t="shared" si="909"/>
        <v>0</v>
      </c>
      <c r="BT128" s="300">
        <f t="shared" si="909"/>
        <v>0</v>
      </c>
      <c r="BU128" s="300">
        <f t="shared" si="909"/>
        <v>0</v>
      </c>
      <c r="BV128" s="300">
        <f t="shared" si="909"/>
        <v>0</v>
      </c>
      <c r="BW128" s="300">
        <f t="shared" si="909"/>
        <v>0</v>
      </c>
      <c r="BX128" s="300">
        <f t="shared" si="909"/>
        <v>0</v>
      </c>
      <c r="BY128" s="300">
        <f t="shared" si="909"/>
        <v>0</v>
      </c>
      <c r="CD128" s="301" t="s">
        <v>42</v>
      </c>
      <c r="CE128" s="301" t="s">
        <v>44</v>
      </c>
      <c r="CF128" s="301" t="s">
        <v>94</v>
      </c>
      <c r="CG128" s="301" t="s">
        <v>46</v>
      </c>
      <c r="CH128" s="301" t="s">
        <v>34</v>
      </c>
      <c r="CI128" s="301" t="s">
        <v>37</v>
      </c>
      <c r="CJ128" s="301" t="s">
        <v>47</v>
      </c>
      <c r="CK128" s="301" t="s">
        <v>38</v>
      </c>
      <c r="CL128" s="301" t="s">
        <v>39</v>
      </c>
      <c r="CM128" s="301" t="s">
        <v>33</v>
      </c>
      <c r="CN128" s="301" t="s">
        <v>40</v>
      </c>
      <c r="CO128" s="301" t="s">
        <v>41</v>
      </c>
      <c r="CS128" s="1028" t="s">
        <v>263</v>
      </c>
      <c r="CT128" s="301" t="s">
        <v>261</v>
      </c>
      <c r="CU128" s="1028" t="s">
        <v>248</v>
      </c>
      <c r="CV128" s="1028" t="s">
        <v>262</v>
      </c>
      <c r="CW128" s="1028" t="s">
        <v>93</v>
      </c>
      <c r="CX128" s="1029" t="s">
        <v>715</v>
      </c>
    </row>
    <row r="129" spans="58:102" ht="29.25" customHeight="1" x14ac:dyDescent="0.3">
      <c r="BF129" s="1027" t="s">
        <v>44</v>
      </c>
      <c r="BG129" s="1027"/>
      <c r="BH129" s="300">
        <f>BH124</f>
        <v>0</v>
      </c>
      <c r="BI129" s="300">
        <f>BI124</f>
        <v>0</v>
      </c>
      <c r="BJ129" s="300">
        <f t="shared" ref="BJ129:BY129" si="910">BJ124</f>
        <v>0</v>
      </c>
      <c r="BK129" s="300">
        <f t="shared" si="910"/>
        <v>0</v>
      </c>
      <c r="BL129" s="300">
        <f t="shared" si="910"/>
        <v>0</v>
      </c>
      <c r="BM129" s="300">
        <f t="shared" si="910"/>
        <v>0</v>
      </c>
      <c r="BN129" s="300">
        <f t="shared" si="910"/>
        <v>0</v>
      </c>
      <c r="BO129" s="300">
        <f t="shared" si="910"/>
        <v>0</v>
      </c>
      <c r="BP129" s="300">
        <f t="shared" si="910"/>
        <v>0</v>
      </c>
      <c r="BQ129" s="300">
        <f t="shared" si="910"/>
        <v>0</v>
      </c>
      <c r="BR129" s="300">
        <f t="shared" si="910"/>
        <v>0</v>
      </c>
      <c r="BS129" s="300">
        <f t="shared" si="910"/>
        <v>0</v>
      </c>
      <c r="BT129" s="300">
        <f t="shared" si="910"/>
        <v>0</v>
      </c>
      <c r="BU129" s="300">
        <f t="shared" si="910"/>
        <v>0</v>
      </c>
      <c r="BV129" s="300">
        <f t="shared" si="910"/>
        <v>0</v>
      </c>
      <c r="BW129" s="300">
        <f t="shared" si="910"/>
        <v>0</v>
      </c>
      <c r="BX129" s="300">
        <f t="shared" si="910"/>
        <v>0</v>
      </c>
      <c r="BY129" s="300">
        <f t="shared" si="910"/>
        <v>0</v>
      </c>
      <c r="BZ129" s="301"/>
      <c r="CD129" s="300">
        <f>BH88</f>
        <v>0</v>
      </c>
      <c r="CE129" s="301">
        <v>132.00000000000009</v>
      </c>
      <c r="CF129" s="301">
        <v>158.4000000000002</v>
      </c>
      <c r="CG129" s="301">
        <v>-181.5999999999998</v>
      </c>
      <c r="CH129" s="301">
        <v>-111.5999999999998</v>
      </c>
      <c r="CI129" s="301">
        <v>-50.699999999999704</v>
      </c>
      <c r="CJ129" s="301">
        <v>22.30000000000021</v>
      </c>
      <c r="CK129" s="301">
        <v>-37.499999999999858</v>
      </c>
      <c r="CL129" s="301">
        <v>-11.499999999999915</v>
      </c>
      <c r="CM129" s="301">
        <v>68.000000000000085</v>
      </c>
      <c r="CN129" s="301">
        <v>-5.5999999999998238</v>
      </c>
      <c r="CO129" s="301">
        <v>34.800000000000182</v>
      </c>
      <c r="CR129" s="302" t="s">
        <v>42</v>
      </c>
      <c r="CS129" s="301">
        <f>IFERROR(ROUND(CU129/CT129,0),0)</f>
        <v>0</v>
      </c>
      <c r="CT129" s="302">
        <f>$BD$123</f>
        <v>0</v>
      </c>
      <c r="CU129" s="302">
        <f t="shared" ref="CU129" si="911">BE123</f>
        <v>0</v>
      </c>
      <c r="CV129" s="302">
        <f t="shared" ref="CV129" si="912">BF123</f>
        <v>0</v>
      </c>
      <c r="CW129" s="302">
        <f t="shared" ref="CW129" si="913">BG123</f>
        <v>0</v>
      </c>
      <c r="CX129" s="302">
        <f>$BD$124</f>
        <v>0</v>
      </c>
    </row>
    <row r="130" spans="58:102" ht="29.25" customHeight="1" x14ac:dyDescent="0.3">
      <c r="BF130" s="1027" t="s">
        <v>94</v>
      </c>
      <c r="BG130" s="1027"/>
      <c r="BH130" s="300">
        <f>CK124</f>
        <v>0</v>
      </c>
      <c r="BI130" s="300">
        <f t="shared" ref="BI130" si="914">CL124</f>
        <v>0</v>
      </c>
      <c r="BJ130" s="300">
        <f t="shared" ref="BJ130" si="915">CM124</f>
        <v>0</v>
      </c>
      <c r="BK130" s="300">
        <f t="shared" ref="BK130" si="916">CN124</f>
        <v>0</v>
      </c>
      <c r="BL130" s="300">
        <f t="shared" ref="BL130" si="917">CO124</f>
        <v>0</v>
      </c>
      <c r="BM130" s="300">
        <f t="shared" ref="BM130" si="918">CP124</f>
        <v>0</v>
      </c>
      <c r="BN130" s="300">
        <f t="shared" ref="BN130" si="919">CQ124</f>
        <v>0</v>
      </c>
      <c r="BO130" s="300">
        <f t="shared" ref="BO130" si="920">CR124</f>
        <v>0</v>
      </c>
      <c r="BP130" s="300">
        <f t="shared" ref="BP130" si="921">CS124</f>
        <v>0</v>
      </c>
      <c r="BQ130" s="300">
        <f t="shared" ref="BQ130" si="922">CT124</f>
        <v>0</v>
      </c>
      <c r="BR130" s="300">
        <f t="shared" ref="BR130" si="923">CU124</f>
        <v>0</v>
      </c>
      <c r="BS130" s="300">
        <f t="shared" ref="BS130" si="924">CV124</f>
        <v>0</v>
      </c>
      <c r="BT130" s="300">
        <f t="shared" ref="BT130" si="925">CW124</f>
        <v>0</v>
      </c>
      <c r="BU130" s="300">
        <f t="shared" ref="BU130" si="926">CX124</f>
        <v>0</v>
      </c>
      <c r="BV130" s="300">
        <f t="shared" ref="BV130" si="927">CY124</f>
        <v>0</v>
      </c>
      <c r="BW130" s="300">
        <f t="shared" ref="BW130" si="928">CZ124</f>
        <v>0</v>
      </c>
      <c r="BX130" s="300">
        <f t="shared" ref="BX130" si="929">DA124</f>
        <v>0</v>
      </c>
      <c r="BY130" s="300">
        <f t="shared" ref="BY130" si="930">DB124</f>
        <v>0</v>
      </c>
      <c r="BZ130" s="301"/>
      <c r="CD130" s="300">
        <f>BI88</f>
        <v>0</v>
      </c>
      <c r="CE130" s="301">
        <v>6.3999999999999844</v>
      </c>
      <c r="CF130" s="301">
        <v>-8.3200000000000287</v>
      </c>
      <c r="CG130" s="301">
        <v>-14.320000000000029</v>
      </c>
      <c r="CH130" s="301">
        <v>-40.320000000000029</v>
      </c>
      <c r="CI130" s="301">
        <v>-38.140000000000015</v>
      </c>
      <c r="CJ130" s="301">
        <v>-72.54000000000002</v>
      </c>
      <c r="CK130" s="301">
        <v>-88.5</v>
      </c>
      <c r="CL130" s="301">
        <v>-113.29999999999998</v>
      </c>
      <c r="CM130" s="301">
        <v>-127.4</v>
      </c>
      <c r="CN130" s="301">
        <v>-142.12</v>
      </c>
      <c r="CO130" s="301">
        <v>-164.04000000000002</v>
      </c>
      <c r="CR130" s="302" t="s">
        <v>44</v>
      </c>
      <c r="CS130" s="301">
        <f t="shared" ref="CS130:CS141" si="931">IFERROR(ROUND(CU130/CT130,0),0)</f>
        <v>0</v>
      </c>
      <c r="CT130" s="302">
        <f>$CG$123</f>
        <v>0</v>
      </c>
      <c r="CU130" s="302">
        <f t="shared" ref="CU130" si="932">CH123</f>
        <v>0</v>
      </c>
      <c r="CV130" s="302">
        <f t="shared" ref="CV130" si="933">CI123</f>
        <v>0</v>
      </c>
      <c r="CW130" s="302">
        <f t="shared" ref="CW130" si="934">CJ123</f>
        <v>0</v>
      </c>
      <c r="CX130" s="302">
        <f>$CG$124</f>
        <v>0</v>
      </c>
    </row>
    <row r="131" spans="58:102" ht="29.25" customHeight="1" x14ac:dyDescent="0.3">
      <c r="BF131" s="1027" t="s">
        <v>46</v>
      </c>
      <c r="BG131" s="1027"/>
      <c r="BH131" s="300">
        <f>DN124</f>
        <v>0</v>
      </c>
      <c r="BI131" s="300">
        <f t="shared" ref="BI131" si="935">DO124</f>
        <v>0</v>
      </c>
      <c r="BJ131" s="300">
        <f t="shared" ref="BJ131" si="936">DP124</f>
        <v>0</v>
      </c>
      <c r="BK131" s="300">
        <f t="shared" ref="BK131" si="937">DQ124</f>
        <v>0</v>
      </c>
      <c r="BL131" s="300">
        <f t="shared" ref="BL131" si="938">DR124</f>
        <v>0</v>
      </c>
      <c r="BM131" s="300">
        <f t="shared" ref="BM131" si="939">DS124</f>
        <v>0</v>
      </c>
      <c r="BN131" s="300">
        <f t="shared" ref="BN131" si="940">DT124</f>
        <v>0</v>
      </c>
      <c r="BO131" s="300">
        <f t="shared" ref="BO131" si="941">DU124</f>
        <v>0</v>
      </c>
      <c r="BP131" s="300">
        <f t="shared" ref="BP131" si="942">DV124</f>
        <v>0</v>
      </c>
      <c r="BQ131" s="300">
        <f t="shared" ref="BQ131" si="943">DW124</f>
        <v>0</v>
      </c>
      <c r="BR131" s="300">
        <f t="shared" ref="BR131" si="944">DX124</f>
        <v>0</v>
      </c>
      <c r="BS131" s="300">
        <f t="shared" ref="BS131" si="945">DY124</f>
        <v>0</v>
      </c>
      <c r="BT131" s="300">
        <f t="shared" ref="BT131" si="946">DZ124</f>
        <v>0</v>
      </c>
      <c r="BU131" s="300">
        <f t="shared" ref="BU131" si="947">EA124</f>
        <v>0</v>
      </c>
      <c r="BV131" s="300">
        <f t="shared" ref="BV131" si="948">EB124</f>
        <v>0</v>
      </c>
      <c r="BW131" s="300">
        <f t="shared" ref="BW131" si="949">EC124</f>
        <v>0</v>
      </c>
      <c r="BX131" s="300">
        <f t="shared" ref="BX131" si="950">ED124</f>
        <v>0</v>
      </c>
      <c r="BY131" s="300">
        <f t="shared" ref="BY131" si="951">EE124</f>
        <v>0</v>
      </c>
      <c r="BZ131" s="301"/>
      <c r="CD131" s="300">
        <f>BJ88</f>
        <v>0</v>
      </c>
      <c r="CE131" s="301">
        <v>27.519999999999982</v>
      </c>
      <c r="CF131" s="301">
        <v>2.7999999999999687</v>
      </c>
      <c r="CG131" s="301">
        <v>-23.200000000000031</v>
      </c>
      <c r="CH131" s="301">
        <v>-49.200000000000031</v>
      </c>
      <c r="CI131" s="301">
        <v>-77.02000000000001</v>
      </c>
      <c r="CJ131" s="301">
        <v>-102.42000000000002</v>
      </c>
      <c r="CK131" s="301">
        <v>-128.38</v>
      </c>
      <c r="CL131" s="301">
        <v>-153.17999999999998</v>
      </c>
      <c r="CM131" s="301">
        <v>-177.28</v>
      </c>
      <c r="CN131" s="301">
        <v>-202</v>
      </c>
      <c r="CO131" s="301">
        <v>-223.92000000000002</v>
      </c>
      <c r="CR131" s="302" t="s">
        <v>94</v>
      </c>
      <c r="CS131" s="301">
        <f t="shared" si="931"/>
        <v>0</v>
      </c>
      <c r="CT131" s="302">
        <f>$DJ$123</f>
        <v>0</v>
      </c>
      <c r="CU131" s="302">
        <f t="shared" ref="CU131" si="952">DK123</f>
        <v>0</v>
      </c>
      <c r="CV131" s="302">
        <f t="shared" ref="CV131" si="953">DL123</f>
        <v>0</v>
      </c>
      <c r="CW131" s="302">
        <f t="shared" ref="CW131" si="954">DM123</f>
        <v>0</v>
      </c>
      <c r="CX131" s="302">
        <f>$DJ$124</f>
        <v>0</v>
      </c>
    </row>
    <row r="132" spans="58:102" ht="29.25" customHeight="1" x14ac:dyDescent="0.3">
      <c r="BF132" s="1027" t="s">
        <v>34</v>
      </c>
      <c r="BG132" s="1027"/>
      <c r="BH132" s="300">
        <f>EQ124</f>
        <v>0</v>
      </c>
      <c r="BI132" s="300">
        <f t="shared" ref="BI132" si="955">ER124</f>
        <v>0</v>
      </c>
      <c r="BJ132" s="300">
        <f t="shared" ref="BJ132" si="956">ES124</f>
        <v>0</v>
      </c>
      <c r="BK132" s="300">
        <f t="shared" ref="BK132" si="957">ET124</f>
        <v>0</v>
      </c>
      <c r="BL132" s="300">
        <f t="shared" ref="BL132" si="958">EU124</f>
        <v>0</v>
      </c>
      <c r="BM132" s="300">
        <f t="shared" ref="BM132" si="959">EV124</f>
        <v>0</v>
      </c>
      <c r="BN132" s="300">
        <f t="shared" ref="BN132" si="960">EW124</f>
        <v>0</v>
      </c>
      <c r="BO132" s="300">
        <f t="shared" ref="BO132" si="961">EX124</f>
        <v>0</v>
      </c>
      <c r="BP132" s="300">
        <f t="shared" ref="BP132" si="962">EY124</f>
        <v>0</v>
      </c>
      <c r="BQ132" s="300">
        <f t="shared" ref="BQ132" si="963">EZ124</f>
        <v>0</v>
      </c>
      <c r="BR132" s="300">
        <f t="shared" ref="BR132" si="964">FA124</f>
        <v>0</v>
      </c>
      <c r="BS132" s="300">
        <f t="shared" ref="BS132" si="965">FB124</f>
        <v>0</v>
      </c>
      <c r="BT132" s="300">
        <f t="shared" ref="BT132" si="966">FC124</f>
        <v>0</v>
      </c>
      <c r="BU132" s="300">
        <f t="shared" ref="BU132" si="967">FD124</f>
        <v>0</v>
      </c>
      <c r="BV132" s="300">
        <f t="shared" ref="BV132" si="968">FE124</f>
        <v>0</v>
      </c>
      <c r="BW132" s="300">
        <f t="shared" ref="BW132" si="969">FF124</f>
        <v>0</v>
      </c>
      <c r="BX132" s="300">
        <f t="shared" ref="BX132" si="970">FG124</f>
        <v>0</v>
      </c>
      <c r="BY132" s="300">
        <f t="shared" ref="BY132" si="971">FH124</f>
        <v>0</v>
      </c>
      <c r="BZ132" s="301"/>
      <c r="CD132" s="300">
        <f>BK88</f>
        <v>0</v>
      </c>
      <c r="CE132" s="301">
        <v>10.399999999999984</v>
      </c>
      <c r="CF132" s="301">
        <v>-14.320000000000029</v>
      </c>
      <c r="CG132" s="301">
        <v>-40.320000000000029</v>
      </c>
      <c r="CH132" s="301">
        <v>-66.320000000000022</v>
      </c>
      <c r="CI132" s="301">
        <v>-94.140000000000015</v>
      </c>
      <c r="CJ132" s="301">
        <v>-119.54000000000002</v>
      </c>
      <c r="CK132" s="301">
        <v>-145.5</v>
      </c>
      <c r="CL132" s="301">
        <v>-170.29999999999998</v>
      </c>
      <c r="CM132" s="301">
        <v>-194.4</v>
      </c>
      <c r="CN132" s="301">
        <v>-219.12</v>
      </c>
      <c r="CO132" s="301">
        <v>-241.04000000000002</v>
      </c>
      <c r="CR132" s="302" t="s">
        <v>46</v>
      </c>
      <c r="CS132" s="301">
        <f t="shared" si="931"/>
        <v>0</v>
      </c>
      <c r="CT132" s="302">
        <f>$EM$123</f>
        <v>0</v>
      </c>
      <c r="CU132" s="302">
        <f t="shared" ref="CU132" si="972">EN123</f>
        <v>0</v>
      </c>
      <c r="CV132" s="302">
        <f t="shared" ref="CV132" si="973">EO123</f>
        <v>0</v>
      </c>
      <c r="CW132" s="302">
        <f t="shared" ref="CW132" si="974">EP123</f>
        <v>0</v>
      </c>
      <c r="CX132" s="302">
        <f>$EM$124</f>
        <v>0</v>
      </c>
    </row>
    <row r="133" spans="58:102" ht="29.25" customHeight="1" x14ac:dyDescent="0.3">
      <c r="BF133" s="1027" t="s">
        <v>37</v>
      </c>
      <c r="BG133" s="1027"/>
      <c r="BH133" s="300">
        <f>FT124</f>
        <v>0</v>
      </c>
      <c r="BI133" s="300">
        <f t="shared" ref="BI133" si="975">FU124</f>
        <v>0</v>
      </c>
      <c r="BJ133" s="300">
        <f t="shared" ref="BJ133" si="976">FV124</f>
        <v>0</v>
      </c>
      <c r="BK133" s="300">
        <f t="shared" ref="BK133" si="977">FW124</f>
        <v>0</v>
      </c>
      <c r="BL133" s="300">
        <f t="shared" ref="BL133" si="978">FX124</f>
        <v>0</v>
      </c>
      <c r="BM133" s="300">
        <f t="shared" ref="BM133" si="979">FY124</f>
        <v>0</v>
      </c>
      <c r="BN133" s="300">
        <f t="shared" ref="BN133" si="980">FZ124</f>
        <v>0</v>
      </c>
      <c r="BO133" s="300">
        <f t="shared" ref="BO133" si="981">GA124</f>
        <v>0</v>
      </c>
      <c r="BP133" s="300">
        <f t="shared" ref="BP133" si="982">GB124</f>
        <v>0</v>
      </c>
      <c r="BQ133" s="300">
        <f t="shared" ref="BQ133" si="983">GC124</f>
        <v>0</v>
      </c>
      <c r="BR133" s="300">
        <f t="shared" ref="BR133" si="984">GD124</f>
        <v>0</v>
      </c>
      <c r="BS133" s="300">
        <f t="shared" ref="BS133" si="985">GE124</f>
        <v>0</v>
      </c>
      <c r="BT133" s="300">
        <f t="shared" ref="BT133" si="986">GF124</f>
        <v>0</v>
      </c>
      <c r="BU133" s="300">
        <f t="shared" ref="BU133" si="987">GG124</f>
        <v>0</v>
      </c>
      <c r="BV133" s="300">
        <f t="shared" ref="BV133" si="988">GH124</f>
        <v>0</v>
      </c>
      <c r="BW133" s="300">
        <f t="shared" ref="BW133" si="989">GI124</f>
        <v>0</v>
      </c>
      <c r="BX133" s="300">
        <f t="shared" ref="BX133" si="990">GJ124</f>
        <v>0</v>
      </c>
      <c r="BY133" s="300">
        <f t="shared" ref="BY133" si="991">GK124</f>
        <v>0</v>
      </c>
      <c r="BZ133" s="301"/>
      <c r="CD133" s="300">
        <f>BL88</f>
        <v>0</v>
      </c>
      <c r="CE133" s="301">
        <v>21.399999999999984</v>
      </c>
      <c r="CF133" s="301">
        <v>-3.3200000000000287</v>
      </c>
      <c r="CG133" s="301">
        <v>-29.320000000000029</v>
      </c>
      <c r="CH133" s="301">
        <v>-55.320000000000029</v>
      </c>
      <c r="CI133" s="301">
        <v>-83.140000000000015</v>
      </c>
      <c r="CJ133" s="301">
        <v>-108.54000000000002</v>
      </c>
      <c r="CK133" s="301">
        <v>-134.5</v>
      </c>
      <c r="CL133" s="301">
        <v>-159.29999999999998</v>
      </c>
      <c r="CM133" s="301">
        <v>-183.4</v>
      </c>
      <c r="CN133" s="301">
        <v>-208.12</v>
      </c>
      <c r="CO133" s="301">
        <v>-230.04000000000002</v>
      </c>
      <c r="CR133" s="302" t="s">
        <v>34</v>
      </c>
      <c r="CS133" s="301">
        <f t="shared" si="931"/>
        <v>0</v>
      </c>
      <c r="CT133" s="302">
        <f>$FP$123</f>
        <v>0</v>
      </c>
      <c r="CU133" s="302">
        <f t="shared" ref="CU133" si="992">FQ123</f>
        <v>0</v>
      </c>
      <c r="CV133" s="302">
        <f t="shared" ref="CV133" si="993">FR123</f>
        <v>0</v>
      </c>
      <c r="CW133" s="302">
        <f t="shared" ref="CW133" si="994">FS123</f>
        <v>0</v>
      </c>
      <c r="CX133" s="302">
        <f>$FP$124</f>
        <v>0</v>
      </c>
    </row>
    <row r="134" spans="58:102" ht="29.25" customHeight="1" x14ac:dyDescent="0.3">
      <c r="BF134" s="1027" t="s">
        <v>47</v>
      </c>
      <c r="BG134" s="1027"/>
      <c r="BH134" s="300">
        <f>GW124</f>
        <v>0</v>
      </c>
      <c r="BI134" s="300">
        <f t="shared" ref="BI134" si="995">GX124</f>
        <v>0</v>
      </c>
      <c r="BJ134" s="300">
        <f t="shared" ref="BJ134" si="996">GY124</f>
        <v>0</v>
      </c>
      <c r="BK134" s="300">
        <f t="shared" ref="BK134" si="997">GZ124</f>
        <v>0</v>
      </c>
      <c r="BL134" s="300">
        <f t="shared" ref="BL134" si="998">HA124</f>
        <v>0</v>
      </c>
      <c r="BM134" s="300">
        <f t="shared" ref="BM134" si="999">HB124</f>
        <v>0</v>
      </c>
      <c r="BN134" s="300">
        <f t="shared" ref="BN134" si="1000">HC124</f>
        <v>0</v>
      </c>
      <c r="BO134" s="300">
        <f t="shared" ref="BO134" si="1001">HD124</f>
        <v>0</v>
      </c>
      <c r="BP134" s="300">
        <f t="shared" ref="BP134" si="1002">HE124</f>
        <v>0</v>
      </c>
      <c r="BQ134" s="300">
        <f t="shared" ref="BQ134" si="1003">HF124</f>
        <v>0</v>
      </c>
      <c r="BR134" s="300">
        <f t="shared" ref="BR134" si="1004">HG124</f>
        <v>0</v>
      </c>
      <c r="BS134" s="300">
        <f t="shared" ref="BS134" si="1005">HH124</f>
        <v>0</v>
      </c>
      <c r="BT134" s="300">
        <f t="shared" ref="BT134" si="1006">HI124</f>
        <v>0</v>
      </c>
      <c r="BU134" s="300">
        <f t="shared" ref="BU134" si="1007">HJ124</f>
        <v>0</v>
      </c>
      <c r="BV134" s="300">
        <f t="shared" ref="BV134" si="1008">HK124</f>
        <v>0</v>
      </c>
      <c r="BW134" s="300">
        <f t="shared" ref="BW134" si="1009">HL124</f>
        <v>0</v>
      </c>
      <c r="BX134" s="300">
        <f t="shared" ref="BX134" si="1010">HM124</f>
        <v>0</v>
      </c>
      <c r="BY134" s="300">
        <f t="shared" ref="BY134" si="1011">HN124</f>
        <v>0</v>
      </c>
      <c r="BZ134" s="301"/>
      <c r="CD134" s="300">
        <f>BM88</f>
        <v>0</v>
      </c>
      <c r="CE134" s="301">
        <v>31.399999999999984</v>
      </c>
      <c r="CF134" s="301">
        <v>6.6799999999999713</v>
      </c>
      <c r="CG134" s="301">
        <v>-19.320000000000029</v>
      </c>
      <c r="CH134" s="301">
        <v>-45.320000000000029</v>
      </c>
      <c r="CI134" s="301">
        <v>-73.140000000000015</v>
      </c>
      <c r="CJ134" s="301">
        <v>-98.54000000000002</v>
      </c>
      <c r="CK134" s="301">
        <v>-124.5</v>
      </c>
      <c r="CL134" s="301">
        <v>-149.29999999999998</v>
      </c>
      <c r="CM134" s="301">
        <v>-173.4</v>
      </c>
      <c r="CN134" s="301">
        <v>-198.12</v>
      </c>
      <c r="CO134" s="301">
        <v>-220.04000000000002</v>
      </c>
      <c r="CR134" s="302" t="s">
        <v>37</v>
      </c>
      <c r="CS134" s="301">
        <f t="shared" si="931"/>
        <v>0</v>
      </c>
      <c r="CT134" s="302">
        <f>$GS$123</f>
        <v>0</v>
      </c>
      <c r="CU134" s="302">
        <f t="shared" ref="CU134" si="1012">GT123</f>
        <v>0</v>
      </c>
      <c r="CV134" s="302">
        <f t="shared" ref="CV134" si="1013">GU123</f>
        <v>0</v>
      </c>
      <c r="CW134" s="302">
        <f t="shared" ref="CW134" si="1014">GV123</f>
        <v>0</v>
      </c>
      <c r="CX134" s="302">
        <f>$GS$124</f>
        <v>0</v>
      </c>
    </row>
    <row r="135" spans="58:102" ht="29.25" customHeight="1" x14ac:dyDescent="0.3">
      <c r="BF135" s="1027" t="s">
        <v>38</v>
      </c>
      <c r="BG135" s="1027"/>
      <c r="BH135" s="300">
        <f>HZ124</f>
        <v>0</v>
      </c>
      <c r="BI135" s="300">
        <f t="shared" ref="BI135" si="1015">IA124</f>
        <v>0</v>
      </c>
      <c r="BJ135" s="300">
        <f t="shared" ref="BJ135" si="1016">IB124</f>
        <v>0</v>
      </c>
      <c r="BK135" s="300">
        <f t="shared" ref="BK135" si="1017">IC124</f>
        <v>0</v>
      </c>
      <c r="BL135" s="300">
        <f t="shared" ref="BL135" si="1018">ID124</f>
        <v>0</v>
      </c>
      <c r="BM135" s="300">
        <f t="shared" ref="BM135" si="1019">IE124</f>
        <v>0</v>
      </c>
      <c r="BN135" s="300">
        <f t="shared" ref="BN135" si="1020">IF124</f>
        <v>0</v>
      </c>
      <c r="BO135" s="300">
        <f t="shared" ref="BO135" si="1021">IG124</f>
        <v>0</v>
      </c>
      <c r="BP135" s="300">
        <f t="shared" ref="BP135" si="1022">IH124</f>
        <v>0</v>
      </c>
      <c r="BQ135" s="300">
        <f t="shared" ref="BQ135" si="1023">II124</f>
        <v>0</v>
      </c>
      <c r="BR135" s="300">
        <f t="shared" ref="BR135" si="1024">IJ124</f>
        <v>0</v>
      </c>
      <c r="BS135" s="300">
        <f t="shared" ref="BS135" si="1025">IK124</f>
        <v>0</v>
      </c>
      <c r="BT135" s="300">
        <f t="shared" ref="BT135" si="1026">IL124</f>
        <v>0</v>
      </c>
      <c r="BU135" s="300">
        <f t="shared" ref="BU135" si="1027">IM124</f>
        <v>0</v>
      </c>
      <c r="BV135" s="300">
        <f t="shared" ref="BV135" si="1028">IN124</f>
        <v>0</v>
      </c>
      <c r="BW135" s="300">
        <f t="shared" ref="BW135" si="1029">IO124</f>
        <v>0</v>
      </c>
      <c r="BX135" s="300">
        <f t="shared" ref="BX135" si="1030">IP124</f>
        <v>0</v>
      </c>
      <c r="BY135" s="300">
        <f t="shared" ref="BY135" si="1031">IQ124</f>
        <v>0</v>
      </c>
      <c r="BZ135" s="301"/>
      <c r="CD135" s="300">
        <f>BN88</f>
        <v>0</v>
      </c>
      <c r="CE135" s="301">
        <v>43.399999999999984</v>
      </c>
      <c r="CF135" s="301">
        <v>18.679999999999971</v>
      </c>
      <c r="CG135" s="301">
        <v>-7.3200000000000287</v>
      </c>
      <c r="CH135" s="301">
        <v>-33.320000000000029</v>
      </c>
      <c r="CI135" s="301">
        <v>-61.140000000000015</v>
      </c>
      <c r="CJ135" s="301">
        <v>-86.54000000000002</v>
      </c>
      <c r="CK135" s="301">
        <v>-112.5</v>
      </c>
      <c r="CL135" s="301">
        <v>-137.29999999999998</v>
      </c>
      <c r="CM135" s="301">
        <v>-161.4</v>
      </c>
      <c r="CN135" s="301">
        <v>-186.12</v>
      </c>
      <c r="CO135" s="301">
        <v>-208.04000000000002</v>
      </c>
      <c r="CR135" s="302" t="s">
        <v>47</v>
      </c>
      <c r="CS135" s="301">
        <f t="shared" si="931"/>
        <v>0</v>
      </c>
      <c r="CT135" s="302">
        <f>$HV$123</f>
        <v>0</v>
      </c>
      <c r="CU135" s="302">
        <f t="shared" ref="CU135" si="1032">HW123</f>
        <v>0</v>
      </c>
      <c r="CV135" s="302">
        <f t="shared" ref="CV135" si="1033">HX123</f>
        <v>0</v>
      </c>
      <c r="CW135" s="302">
        <f t="shared" ref="CW135" si="1034">HY123</f>
        <v>0</v>
      </c>
      <c r="CX135" s="302">
        <f>$HV$124</f>
        <v>0</v>
      </c>
    </row>
    <row r="136" spans="58:102" ht="29.25" customHeight="1" x14ac:dyDescent="0.3">
      <c r="BF136" s="1027" t="s">
        <v>39</v>
      </c>
      <c r="BG136" s="1027"/>
      <c r="BH136" s="300">
        <f>JC124</f>
        <v>0</v>
      </c>
      <c r="BI136" s="300">
        <f t="shared" ref="BI136" si="1035">JD124</f>
        <v>0</v>
      </c>
      <c r="BJ136" s="300">
        <f t="shared" ref="BJ136" si="1036">JE124</f>
        <v>0</v>
      </c>
      <c r="BK136" s="300">
        <f t="shared" ref="BK136" si="1037">JF124</f>
        <v>0</v>
      </c>
      <c r="BL136" s="300">
        <f t="shared" ref="BL136" si="1038">JG124</f>
        <v>0</v>
      </c>
      <c r="BM136" s="300">
        <f t="shared" ref="BM136" si="1039">JH124</f>
        <v>0</v>
      </c>
      <c r="BN136" s="300">
        <f t="shared" ref="BN136" si="1040">JI124</f>
        <v>0</v>
      </c>
      <c r="BO136" s="300">
        <f t="shared" ref="BO136" si="1041">JJ124</f>
        <v>0</v>
      </c>
      <c r="BP136" s="300">
        <f t="shared" ref="BP136" si="1042">JK124</f>
        <v>0</v>
      </c>
      <c r="BQ136" s="300">
        <f t="shared" ref="BQ136" si="1043">JL124</f>
        <v>0</v>
      </c>
      <c r="BR136" s="300">
        <f t="shared" ref="BR136" si="1044">JM124</f>
        <v>0</v>
      </c>
      <c r="BS136" s="300">
        <f t="shared" ref="BS136" si="1045">JN124</f>
        <v>0</v>
      </c>
      <c r="BT136" s="300">
        <f t="shared" ref="BT136" si="1046">JO124</f>
        <v>0</v>
      </c>
      <c r="BU136" s="300">
        <f t="shared" ref="BU136" si="1047">JP124</f>
        <v>0</v>
      </c>
      <c r="BV136" s="300">
        <f t="shared" ref="BV136" si="1048">JQ124</f>
        <v>0</v>
      </c>
      <c r="BW136" s="300">
        <f t="shared" ref="BW136" si="1049">JR124</f>
        <v>0</v>
      </c>
      <c r="BX136" s="300">
        <f t="shared" ref="BX136" si="1050">JS124</f>
        <v>0</v>
      </c>
      <c r="BY136" s="300">
        <f t="shared" ref="BY136" si="1051">JT124</f>
        <v>0</v>
      </c>
      <c r="BZ136" s="301"/>
      <c r="CD136" s="300">
        <f>BO88</f>
        <v>0</v>
      </c>
      <c r="CE136" s="301">
        <v>54.399999999999984</v>
      </c>
      <c r="CF136" s="301">
        <v>29.679999999999964</v>
      </c>
      <c r="CG136" s="301">
        <v>3.6799999999999642</v>
      </c>
      <c r="CH136" s="301">
        <v>-22.320000000000036</v>
      </c>
      <c r="CI136" s="301">
        <v>-50.140000000000022</v>
      </c>
      <c r="CJ136" s="301">
        <v>-75.54000000000002</v>
      </c>
      <c r="CK136" s="301">
        <v>-101.5</v>
      </c>
      <c r="CL136" s="301">
        <v>-126.29999999999998</v>
      </c>
      <c r="CM136" s="301">
        <v>-150.4</v>
      </c>
      <c r="CN136" s="301">
        <v>-175.12</v>
      </c>
      <c r="CO136" s="301">
        <v>-197.04000000000002</v>
      </c>
      <c r="CR136" s="302" t="s">
        <v>38</v>
      </c>
      <c r="CS136" s="301">
        <f t="shared" si="931"/>
        <v>0</v>
      </c>
      <c r="CT136" s="302">
        <f>$IY$123</f>
        <v>0</v>
      </c>
      <c r="CU136" s="302">
        <f t="shared" ref="CU136" si="1052">IZ123</f>
        <v>0</v>
      </c>
      <c r="CV136" s="302">
        <f t="shared" ref="CV136" si="1053">JA123</f>
        <v>0</v>
      </c>
      <c r="CW136" s="302">
        <f t="shared" ref="CW136" si="1054">JB123</f>
        <v>0</v>
      </c>
      <c r="CX136" s="302">
        <f>$IY$124</f>
        <v>0</v>
      </c>
    </row>
    <row r="137" spans="58:102" ht="29.25" customHeight="1" x14ac:dyDescent="0.3">
      <c r="BF137" s="1027" t="s">
        <v>33</v>
      </c>
      <c r="BG137" s="1027"/>
      <c r="BH137" s="300">
        <f>KF124</f>
        <v>0</v>
      </c>
      <c r="BI137" s="300">
        <f t="shared" ref="BI137" si="1055">KG124</f>
        <v>0</v>
      </c>
      <c r="BJ137" s="300">
        <f t="shared" ref="BJ137" si="1056">KH124</f>
        <v>0</v>
      </c>
      <c r="BK137" s="300">
        <f t="shared" ref="BK137" si="1057">KI124</f>
        <v>0</v>
      </c>
      <c r="BL137" s="300">
        <f t="shared" ref="BL137" si="1058">KJ124</f>
        <v>0</v>
      </c>
      <c r="BM137" s="300">
        <f t="shared" ref="BM137" si="1059">KK124</f>
        <v>0</v>
      </c>
      <c r="BN137" s="300">
        <f t="shared" ref="BN137" si="1060">KL124</f>
        <v>0</v>
      </c>
      <c r="BO137" s="300">
        <f t="shared" ref="BO137" si="1061">KM124</f>
        <v>0</v>
      </c>
      <c r="BP137" s="300">
        <f t="shared" ref="BP137" si="1062">KN124</f>
        <v>0</v>
      </c>
      <c r="BQ137" s="300">
        <f t="shared" ref="BQ137" si="1063">KO124</f>
        <v>0</v>
      </c>
      <c r="BR137" s="300">
        <f t="shared" ref="BR137" si="1064">KP124</f>
        <v>0</v>
      </c>
      <c r="BS137" s="300">
        <f t="shared" ref="BS137" si="1065">KQ124</f>
        <v>0</v>
      </c>
      <c r="BT137" s="300">
        <f t="shared" ref="BT137" si="1066">KR124</f>
        <v>0</v>
      </c>
      <c r="BU137" s="300">
        <f t="shared" ref="BU137" si="1067">KS124</f>
        <v>0</v>
      </c>
      <c r="BV137" s="300">
        <f t="shared" ref="BV137" si="1068">KT124</f>
        <v>0</v>
      </c>
      <c r="BW137" s="300">
        <f t="shared" ref="BW137" si="1069">KU124</f>
        <v>0</v>
      </c>
      <c r="BX137" s="300">
        <f t="shared" ref="BX137" si="1070">KV124</f>
        <v>0</v>
      </c>
      <c r="BY137" s="300">
        <f t="shared" ref="BY137" si="1071">KW124</f>
        <v>0</v>
      </c>
      <c r="BZ137" s="301"/>
      <c r="CD137" s="300">
        <f>BP88</f>
        <v>0</v>
      </c>
      <c r="CE137" s="301">
        <v>65.399999999999977</v>
      </c>
      <c r="CF137" s="301">
        <v>40.679999999999964</v>
      </c>
      <c r="CG137" s="301">
        <v>14.679999999999964</v>
      </c>
      <c r="CH137" s="301">
        <v>-11.320000000000036</v>
      </c>
      <c r="CI137" s="301">
        <v>-39.140000000000022</v>
      </c>
      <c r="CJ137" s="301">
        <v>-64.54000000000002</v>
      </c>
      <c r="CK137" s="301">
        <v>-90.5</v>
      </c>
      <c r="CL137" s="301">
        <v>-115.29999999999998</v>
      </c>
      <c r="CM137" s="301">
        <v>-139.4</v>
      </c>
      <c r="CN137" s="301">
        <v>-164.12</v>
      </c>
      <c r="CO137" s="301">
        <v>-186.04000000000002</v>
      </c>
      <c r="CR137" s="302" t="s">
        <v>39</v>
      </c>
      <c r="CS137" s="301">
        <f t="shared" si="931"/>
        <v>0</v>
      </c>
      <c r="CT137" s="302">
        <f>$KB$123</f>
        <v>0</v>
      </c>
      <c r="CU137" s="302">
        <f t="shared" ref="CU137" si="1072">KC123</f>
        <v>0</v>
      </c>
      <c r="CV137" s="302">
        <f t="shared" ref="CV137" si="1073">KD123</f>
        <v>0</v>
      </c>
      <c r="CW137" s="302">
        <f t="shared" ref="CW137" si="1074">KE123</f>
        <v>0</v>
      </c>
      <c r="CX137" s="302">
        <f>$KB$124</f>
        <v>0</v>
      </c>
    </row>
    <row r="138" spans="58:102" ht="29.25" customHeight="1" x14ac:dyDescent="0.3">
      <c r="BF138" s="1027" t="s">
        <v>40</v>
      </c>
      <c r="BG138" s="1027"/>
      <c r="BH138" s="300">
        <f>LI124</f>
        <v>0</v>
      </c>
      <c r="BI138" s="300">
        <f t="shared" ref="BI138" si="1075">LJ124</f>
        <v>0</v>
      </c>
      <c r="BJ138" s="300">
        <f t="shared" ref="BJ138" si="1076">LK124</f>
        <v>0</v>
      </c>
      <c r="BK138" s="300">
        <f t="shared" ref="BK138" si="1077">LL124</f>
        <v>0</v>
      </c>
      <c r="BL138" s="300">
        <f t="shared" ref="BL138" si="1078">LM124</f>
        <v>0</v>
      </c>
      <c r="BM138" s="300">
        <f t="shared" ref="BM138" si="1079">LN124</f>
        <v>0</v>
      </c>
      <c r="BN138" s="300">
        <f t="shared" ref="BN138" si="1080">LO124</f>
        <v>0</v>
      </c>
      <c r="BO138" s="300">
        <f t="shared" ref="BO138" si="1081">LP124</f>
        <v>0</v>
      </c>
      <c r="BP138" s="300">
        <f t="shared" ref="BP138" si="1082">LQ124</f>
        <v>0</v>
      </c>
      <c r="BQ138" s="300">
        <f t="shared" ref="BQ138" si="1083">LR124</f>
        <v>0</v>
      </c>
      <c r="BR138" s="300">
        <f t="shared" ref="BR138" si="1084">LS124</f>
        <v>0</v>
      </c>
      <c r="BS138" s="300">
        <f t="shared" ref="BS138" si="1085">LT124</f>
        <v>0</v>
      </c>
      <c r="BT138" s="300">
        <f t="shared" ref="BT138" si="1086">LU124</f>
        <v>0</v>
      </c>
      <c r="BU138" s="300">
        <f t="shared" ref="BU138" si="1087">LV124</f>
        <v>0</v>
      </c>
      <c r="BV138" s="300">
        <f t="shared" ref="BV138" si="1088">LW124</f>
        <v>0</v>
      </c>
      <c r="BW138" s="300">
        <f t="shared" ref="BW138" si="1089">LX124</f>
        <v>0</v>
      </c>
      <c r="BX138" s="300">
        <f t="shared" ref="BX138" si="1090">LY124</f>
        <v>0</v>
      </c>
      <c r="BY138" s="300">
        <f t="shared" ref="BY138" si="1091">LZ124</f>
        <v>0</v>
      </c>
      <c r="BZ138" s="301"/>
      <c r="CD138" s="301">
        <v>100</v>
      </c>
      <c r="CE138" s="301">
        <v>105.83199999999999</v>
      </c>
      <c r="CF138" s="301">
        <v>106.6584</v>
      </c>
      <c r="CG138" s="301">
        <v>107.47839999999999</v>
      </c>
      <c r="CH138" s="301">
        <v>108.29839999999999</v>
      </c>
      <c r="CI138" s="301">
        <v>109.10929999999999</v>
      </c>
      <c r="CJ138" s="301">
        <v>109.93229999999998</v>
      </c>
      <c r="CK138" s="301">
        <v>110.75249999999998</v>
      </c>
      <c r="CL138" s="301">
        <v>111.57849999999998</v>
      </c>
      <c r="CM138" s="301">
        <v>112.40799999999997</v>
      </c>
      <c r="CN138" s="301">
        <v>113.23439999999998</v>
      </c>
      <c r="CO138" s="301">
        <v>114.07479999999998</v>
      </c>
      <c r="CR138" s="302" t="s">
        <v>33</v>
      </c>
      <c r="CS138" s="301">
        <f t="shared" si="931"/>
        <v>0</v>
      </c>
      <c r="CT138" s="302">
        <f>$LE$123</f>
        <v>0</v>
      </c>
      <c r="CU138" s="302">
        <f t="shared" ref="CU138" si="1092">LF123</f>
        <v>0</v>
      </c>
      <c r="CV138" s="302">
        <f t="shared" ref="CV138" si="1093">LG123</f>
        <v>0</v>
      </c>
      <c r="CW138" s="302">
        <f t="shared" ref="CW138" si="1094">LH123</f>
        <v>0</v>
      </c>
      <c r="CX138" s="302">
        <f>$LE$124</f>
        <v>0</v>
      </c>
    </row>
    <row r="139" spans="58:102" ht="29.25" customHeight="1" x14ac:dyDescent="0.3">
      <c r="BF139" s="1027" t="s">
        <v>41</v>
      </c>
      <c r="BG139" s="1027"/>
      <c r="BH139" s="300">
        <f>ML124</f>
        <v>0</v>
      </c>
      <c r="BI139" s="300">
        <f t="shared" ref="BI139" si="1095">MM124</f>
        <v>0</v>
      </c>
      <c r="BJ139" s="300">
        <f t="shared" ref="BJ139" si="1096">MN124</f>
        <v>0</v>
      </c>
      <c r="BK139" s="300">
        <f t="shared" ref="BK139" si="1097">MO124</f>
        <v>0</v>
      </c>
      <c r="BL139" s="300">
        <f t="shared" ref="BL139" si="1098">MP124</f>
        <v>0</v>
      </c>
      <c r="BM139" s="300">
        <f t="shared" ref="BM139" si="1099">MQ124</f>
        <v>0</v>
      </c>
      <c r="BN139" s="300">
        <f t="shared" ref="BN139" si="1100">MR124</f>
        <v>0</v>
      </c>
      <c r="BO139" s="300">
        <f t="shared" ref="BO139" si="1101">MS124</f>
        <v>0</v>
      </c>
      <c r="BP139" s="300">
        <f t="shared" ref="BP139" si="1102">MT124</f>
        <v>0</v>
      </c>
      <c r="BQ139" s="300">
        <f t="shared" ref="BQ139" si="1103">MU124</f>
        <v>0</v>
      </c>
      <c r="BR139" s="300">
        <f t="shared" ref="BR139" si="1104">MV124</f>
        <v>0</v>
      </c>
      <c r="BS139" s="300">
        <f t="shared" ref="BS139" si="1105">MW124</f>
        <v>0</v>
      </c>
      <c r="BT139" s="300">
        <f t="shared" ref="BT139" si="1106">MX124</f>
        <v>0</v>
      </c>
      <c r="BU139" s="300">
        <f t="shared" ref="BU139" si="1107">MY124</f>
        <v>0</v>
      </c>
      <c r="BV139" s="300">
        <f t="shared" ref="BV139" si="1108">MZ124</f>
        <v>0</v>
      </c>
      <c r="BW139" s="300">
        <f t="shared" ref="BW139" si="1109">NA124</f>
        <v>0</v>
      </c>
      <c r="BX139" s="300">
        <f t="shared" ref="BX139" si="1110">NB124</f>
        <v>0</v>
      </c>
      <c r="BY139" s="300">
        <f t="shared" ref="BY139" si="1111">NC124</f>
        <v>0</v>
      </c>
      <c r="BZ139" s="301"/>
      <c r="CD139" s="301">
        <v>110</v>
      </c>
      <c r="CE139" s="301">
        <v>113.83199999999999</v>
      </c>
      <c r="CF139" s="301">
        <v>114.6584</v>
      </c>
      <c r="CG139" s="301">
        <v>115.47839999999999</v>
      </c>
      <c r="CH139" s="301">
        <v>116.29839999999999</v>
      </c>
      <c r="CI139" s="301">
        <v>117.10929999999999</v>
      </c>
      <c r="CJ139" s="301">
        <v>117.93229999999998</v>
      </c>
      <c r="CK139" s="301">
        <v>118.75249999999998</v>
      </c>
      <c r="CL139" s="301">
        <v>119.57849999999998</v>
      </c>
      <c r="CM139" s="301">
        <v>120.40799999999997</v>
      </c>
      <c r="CN139" s="301">
        <v>121.23439999999998</v>
      </c>
      <c r="CO139" s="301">
        <v>122.07479999999998</v>
      </c>
      <c r="CR139" s="302" t="s">
        <v>40</v>
      </c>
      <c r="CS139" s="301">
        <f t="shared" si="931"/>
        <v>0</v>
      </c>
      <c r="CT139" s="302">
        <f>$MH$123</f>
        <v>0</v>
      </c>
      <c r="CU139" s="302">
        <f t="shared" ref="CU139" si="1112">MI123</f>
        <v>0</v>
      </c>
      <c r="CV139" s="302">
        <f t="shared" ref="CV139" si="1113">MJ123</f>
        <v>0</v>
      </c>
      <c r="CW139" s="302">
        <f t="shared" ref="CW139" si="1114">MK123</f>
        <v>0</v>
      </c>
      <c r="CX139" s="302">
        <f>$MH$124</f>
        <v>0</v>
      </c>
    </row>
    <row r="140" spans="58:102" ht="29.25" customHeight="1" x14ac:dyDescent="0.3">
      <c r="BG140" s="1027"/>
      <c r="BH140" s="300">
        <f>NO124</f>
        <v>0</v>
      </c>
      <c r="BI140" s="300">
        <f t="shared" ref="BI140" si="1115">NP124</f>
        <v>0</v>
      </c>
      <c r="BJ140" s="300">
        <f t="shared" ref="BJ140" si="1116">NQ124</f>
        <v>0</v>
      </c>
      <c r="BK140" s="300">
        <f t="shared" ref="BK140" si="1117">NR124</f>
        <v>0</v>
      </c>
      <c r="BL140" s="300">
        <f t="shared" ref="BL140" si="1118">NS124</f>
        <v>0</v>
      </c>
      <c r="BM140" s="300">
        <f t="shared" ref="BM140" si="1119">NT124</f>
        <v>0</v>
      </c>
      <c r="BN140" s="300">
        <f t="shared" ref="BN140" si="1120">NU124</f>
        <v>0</v>
      </c>
      <c r="BO140" s="300">
        <f t="shared" ref="BO140" si="1121">NV124</f>
        <v>0</v>
      </c>
      <c r="BP140" s="300">
        <f t="shared" ref="BP140" si="1122">NW124</f>
        <v>0</v>
      </c>
      <c r="BQ140" s="300">
        <f t="shared" ref="BQ140" si="1123">NX124</f>
        <v>0</v>
      </c>
      <c r="BR140" s="300">
        <f t="shared" ref="BR140" si="1124">NY124</f>
        <v>0</v>
      </c>
      <c r="BS140" s="300">
        <f t="shared" ref="BS140" si="1125">NZ124</f>
        <v>0</v>
      </c>
      <c r="BT140" s="300">
        <f t="shared" ref="BT140" si="1126">OA124</f>
        <v>0</v>
      </c>
      <c r="BU140" s="300">
        <f t="shared" ref="BU140" si="1127">OB124</f>
        <v>0</v>
      </c>
      <c r="BV140" s="300">
        <f t="shared" ref="BV140" si="1128">OC124</f>
        <v>0</v>
      </c>
      <c r="BW140" s="300">
        <f t="shared" ref="BW140" si="1129">OD124</f>
        <v>0</v>
      </c>
      <c r="BX140" s="300">
        <f t="shared" ref="BX140" si="1130">OE124</f>
        <v>0</v>
      </c>
      <c r="BY140" s="300">
        <f t="shared" ref="BY140" si="1131">OF124</f>
        <v>0</v>
      </c>
      <c r="BZ140" s="301"/>
      <c r="CD140" s="301">
        <v>120</v>
      </c>
      <c r="CE140" s="301">
        <v>123.824</v>
      </c>
      <c r="CF140" s="301">
        <v>123.6088</v>
      </c>
      <c r="CG140" s="301">
        <v>123.3488</v>
      </c>
      <c r="CH140" s="301">
        <v>123.08879999999999</v>
      </c>
      <c r="CI140" s="301">
        <v>122.76509999999999</v>
      </c>
      <c r="CJ140" s="301">
        <v>122.52609999999999</v>
      </c>
      <c r="CK140" s="301">
        <v>122.26749999999998</v>
      </c>
      <c r="CL140" s="301">
        <v>122.04949999999998</v>
      </c>
      <c r="CM140" s="301">
        <v>121.85599999999998</v>
      </c>
      <c r="CN140" s="301">
        <v>121.64079999999998</v>
      </c>
      <c r="CO140" s="301">
        <v>121.52359999999999</v>
      </c>
      <c r="CR140" s="302" t="s">
        <v>41</v>
      </c>
      <c r="CS140" s="301">
        <f t="shared" si="931"/>
        <v>0</v>
      </c>
      <c r="CT140" s="302">
        <f>$NK$123</f>
        <v>0</v>
      </c>
      <c r="CU140" s="302">
        <f t="shared" ref="CU140" si="1132">NL123</f>
        <v>0</v>
      </c>
      <c r="CV140" s="302">
        <f t="shared" ref="CV140" si="1133">NM123</f>
        <v>0</v>
      </c>
      <c r="CW140" s="302">
        <f t="shared" ref="CW140" si="1134">NN123</f>
        <v>0</v>
      </c>
      <c r="CX140" s="302">
        <f>$NK$124</f>
        <v>0</v>
      </c>
    </row>
    <row r="141" spans="58:102" ht="29.25" customHeight="1" x14ac:dyDescent="0.3">
      <c r="CD141" s="301">
        <v>130</v>
      </c>
      <c r="CE141" s="301">
        <v>136</v>
      </c>
      <c r="CF141" s="301">
        <v>137</v>
      </c>
      <c r="CG141" s="301">
        <v>138</v>
      </c>
      <c r="CH141" s="301">
        <v>139</v>
      </c>
      <c r="CI141" s="301">
        <v>140</v>
      </c>
      <c r="CJ141" s="301">
        <v>141</v>
      </c>
      <c r="CK141" s="301">
        <v>142</v>
      </c>
      <c r="CL141" s="301">
        <v>143</v>
      </c>
      <c r="CM141" s="301">
        <v>144</v>
      </c>
      <c r="CN141" s="301">
        <v>145</v>
      </c>
      <c r="CO141" s="301">
        <v>146</v>
      </c>
      <c r="CR141" s="302" t="s">
        <v>35</v>
      </c>
      <c r="CS141" s="301">
        <f t="shared" si="931"/>
        <v>0</v>
      </c>
      <c r="CT141" s="302">
        <f>SUM(CT129:CT140)</f>
        <v>0</v>
      </c>
      <c r="CU141" s="302">
        <f>SUM(CU129:CU140)</f>
        <v>0</v>
      </c>
      <c r="CV141" s="302">
        <f>SUM(CV129:CV140)</f>
        <v>0</v>
      </c>
      <c r="CW141" s="302">
        <f>SUM(CW129:CW140)</f>
        <v>0</v>
      </c>
      <c r="CX141" s="301">
        <f>SUM(CX129:CX140)</f>
        <v>0</v>
      </c>
    </row>
    <row r="142" spans="58:102" ht="29.25" customHeight="1" x14ac:dyDescent="0.3">
      <c r="CD142" s="301">
        <v>140</v>
      </c>
      <c r="CE142" s="301">
        <v>144.22800000000001</v>
      </c>
      <c r="CF142" s="301">
        <v>142.36360000000002</v>
      </c>
      <c r="CG142" s="301">
        <v>140.39360000000002</v>
      </c>
      <c r="CH142" s="301">
        <v>138.42360000000002</v>
      </c>
      <c r="CI142" s="301">
        <v>136.30345000000003</v>
      </c>
      <c r="CJ142" s="301">
        <v>134.38295000000002</v>
      </c>
      <c r="CK142" s="301">
        <v>132.41625000000002</v>
      </c>
      <c r="CL142" s="301">
        <v>130.54525000000001</v>
      </c>
      <c r="CM142" s="301">
        <v>128.732</v>
      </c>
      <c r="CN142" s="301">
        <v>126.8676</v>
      </c>
      <c r="CO142" s="301">
        <v>125.2342</v>
      </c>
    </row>
    <row r="143" spans="58:102" ht="29.25" customHeight="1" x14ac:dyDescent="0.3">
      <c r="BM143" s="301" t="s">
        <v>287</v>
      </c>
      <c r="CD143" s="301">
        <v>150</v>
      </c>
      <c r="CE143" s="301">
        <v>149.6</v>
      </c>
      <c r="CF143" s="301">
        <v>141.91999999999999</v>
      </c>
      <c r="CG143" s="301">
        <v>133.91999999999999</v>
      </c>
      <c r="CH143" s="301">
        <v>125.91999999999999</v>
      </c>
      <c r="CI143" s="301">
        <v>117.46499999999999</v>
      </c>
      <c r="CJ143" s="301">
        <v>109.61499999999999</v>
      </c>
      <c r="CK143" s="301">
        <v>101.625</v>
      </c>
      <c r="CL143" s="301">
        <v>93.924999999999997</v>
      </c>
      <c r="CM143" s="301">
        <v>86.399999999999991</v>
      </c>
      <c r="CN143" s="301">
        <v>78.719999999999985</v>
      </c>
      <c r="CO143" s="301">
        <v>71.739999999999981</v>
      </c>
    </row>
    <row r="144" spans="58:102" ht="29.25" customHeight="1" x14ac:dyDescent="0.3">
      <c r="BI144" s="294" t="s">
        <v>97</v>
      </c>
      <c r="BJ144" s="294" t="s">
        <v>163</v>
      </c>
      <c r="BK144" s="294" t="s">
        <v>164</v>
      </c>
      <c r="BL144" s="294" t="s">
        <v>63</v>
      </c>
      <c r="BM144" s="294" t="s">
        <v>64</v>
      </c>
      <c r="BN144" s="294" t="s">
        <v>65</v>
      </c>
      <c r="BO144" s="294" t="s">
        <v>66</v>
      </c>
      <c r="BP144" s="294" t="s">
        <v>67</v>
      </c>
      <c r="BQ144" s="294" t="s">
        <v>165</v>
      </c>
      <c r="BR144" s="294" t="s">
        <v>68</v>
      </c>
      <c r="BS144" s="294" t="s">
        <v>69</v>
      </c>
      <c r="BT144" s="294" t="s">
        <v>70</v>
      </c>
      <c r="BU144" s="294" t="s">
        <v>71</v>
      </c>
      <c r="BV144" s="294" t="s">
        <v>166</v>
      </c>
      <c r="BW144" s="294" t="s">
        <v>72</v>
      </c>
      <c r="BX144" s="294" t="s">
        <v>73</v>
      </c>
      <c r="BY144" s="999"/>
      <c r="BZ144" s="999"/>
      <c r="CD144" s="301">
        <v>160</v>
      </c>
      <c r="CE144" s="301">
        <v>163.96</v>
      </c>
      <c r="CF144" s="301">
        <v>159.75200000000001</v>
      </c>
      <c r="CG144" s="301">
        <v>155.352</v>
      </c>
      <c r="CH144" s="301">
        <v>150.952</v>
      </c>
      <c r="CI144" s="301">
        <v>146.279</v>
      </c>
      <c r="CJ144" s="301">
        <v>141.96899999999999</v>
      </c>
      <c r="CK144" s="301">
        <v>137.57499999999999</v>
      </c>
      <c r="CL144" s="301">
        <v>133.35499999999999</v>
      </c>
      <c r="CM144" s="301">
        <v>129.23999999999998</v>
      </c>
      <c r="CN144" s="301">
        <v>125.03199999999998</v>
      </c>
      <c r="CO144" s="301">
        <v>121.24399999999999</v>
      </c>
    </row>
    <row r="145" spans="60:93" ht="29.25" customHeight="1" x14ac:dyDescent="0.3">
      <c r="BH145" s="1030" t="s">
        <v>42</v>
      </c>
      <c r="BI145" s="300">
        <f>BH123</f>
        <v>0</v>
      </c>
      <c r="BJ145" s="300">
        <f t="shared" ref="BJ145" si="1135">BI123</f>
        <v>0</v>
      </c>
      <c r="BK145" s="300">
        <f>BJ123</f>
        <v>0</v>
      </c>
      <c r="BL145" s="300">
        <f t="shared" ref="BL145" si="1136">BK123</f>
        <v>0</v>
      </c>
      <c r="BM145" s="300">
        <f t="shared" ref="BM145" si="1137">BL123</f>
        <v>0</v>
      </c>
      <c r="BN145" s="300">
        <f t="shared" ref="BN145" si="1138">BM123</f>
        <v>0</v>
      </c>
      <c r="BO145" s="300">
        <f t="shared" ref="BO145" si="1139">BN123</f>
        <v>0</v>
      </c>
      <c r="BP145" s="300">
        <f t="shared" ref="BP145" si="1140">BO123</f>
        <v>0</v>
      </c>
      <c r="BQ145" s="300">
        <f t="shared" ref="BQ145" si="1141">BP123</f>
        <v>0</v>
      </c>
      <c r="BR145" s="300">
        <f t="shared" ref="BR145" si="1142">BQ123</f>
        <v>0</v>
      </c>
      <c r="BS145" s="300">
        <f t="shared" ref="BS145" si="1143">BR123</f>
        <v>0</v>
      </c>
      <c r="BT145" s="300">
        <f t="shared" ref="BT145" si="1144">BS123</f>
        <v>0</v>
      </c>
      <c r="BU145" s="300">
        <f t="shared" ref="BU145" si="1145">BT123</f>
        <v>0</v>
      </c>
      <c r="BV145" s="300">
        <f t="shared" ref="BV145" si="1146">BU123</f>
        <v>0</v>
      </c>
      <c r="BW145" s="300">
        <f t="shared" ref="BW145" si="1147">BV123</f>
        <v>0</v>
      </c>
      <c r="BX145" s="300">
        <f t="shared" ref="BX145" si="1148">BW123</f>
        <v>0</v>
      </c>
      <c r="BY145" s="300">
        <f t="shared" ref="BY145" si="1149">BX123</f>
        <v>0</v>
      </c>
      <c r="BZ145" s="300">
        <f t="shared" ref="BZ145" si="1150">BY123</f>
        <v>0</v>
      </c>
      <c r="CD145" s="301">
        <v>170</v>
      </c>
      <c r="CE145" s="301">
        <v>174</v>
      </c>
      <c r="CF145" s="301">
        <v>175</v>
      </c>
      <c r="CG145" s="301">
        <v>176</v>
      </c>
      <c r="CH145" s="301">
        <v>177</v>
      </c>
      <c r="CI145" s="301">
        <v>178</v>
      </c>
      <c r="CJ145" s="301">
        <v>179</v>
      </c>
      <c r="CK145" s="301">
        <v>180</v>
      </c>
      <c r="CL145" s="301">
        <v>181</v>
      </c>
      <c r="CM145" s="301">
        <v>182</v>
      </c>
      <c r="CN145" s="301">
        <v>183</v>
      </c>
      <c r="CO145" s="301">
        <v>184</v>
      </c>
    </row>
    <row r="146" spans="60:93" ht="29.25" customHeight="1" x14ac:dyDescent="0.3">
      <c r="BH146" s="1030" t="s">
        <v>44</v>
      </c>
      <c r="BI146" s="300">
        <f>CK123</f>
        <v>0</v>
      </c>
      <c r="BJ146" s="300">
        <f t="shared" ref="BJ146" si="1151">CL123</f>
        <v>0</v>
      </c>
      <c r="BK146" s="300">
        <f t="shared" ref="BK146" si="1152">CM123</f>
        <v>0</v>
      </c>
      <c r="BL146" s="300">
        <f t="shared" ref="BL146" si="1153">CN123</f>
        <v>0</v>
      </c>
      <c r="BM146" s="300">
        <f t="shared" ref="BM146" si="1154">CO123</f>
        <v>0</v>
      </c>
      <c r="BN146" s="300">
        <f t="shared" ref="BN146" si="1155">CP123</f>
        <v>0</v>
      </c>
      <c r="BO146" s="300">
        <f t="shared" ref="BO146" si="1156">CQ123</f>
        <v>0</v>
      </c>
      <c r="BP146" s="300">
        <f t="shared" ref="BP146" si="1157">CR123</f>
        <v>0</v>
      </c>
      <c r="BQ146" s="300">
        <f t="shared" ref="BQ146" si="1158">CS123</f>
        <v>0</v>
      </c>
      <c r="BR146" s="300">
        <f t="shared" ref="BR146" si="1159">CT123</f>
        <v>0</v>
      </c>
      <c r="BS146" s="300">
        <f t="shared" ref="BS146" si="1160">CU123</f>
        <v>0</v>
      </c>
      <c r="BT146" s="300">
        <f t="shared" ref="BT146" si="1161">CV123</f>
        <v>0</v>
      </c>
      <c r="BU146" s="300">
        <f t="shared" ref="BU146" si="1162">CW123</f>
        <v>0</v>
      </c>
      <c r="BV146" s="300">
        <f t="shared" ref="BV146" si="1163">CX123</f>
        <v>0</v>
      </c>
      <c r="BW146" s="300">
        <f t="shared" ref="BW146" si="1164">CY123</f>
        <v>0</v>
      </c>
      <c r="BX146" s="300">
        <f t="shared" ref="BX146" si="1165">CZ123</f>
        <v>0</v>
      </c>
      <c r="BY146" s="300">
        <f t="shared" ref="BY146" si="1166">DA123</f>
        <v>0</v>
      </c>
      <c r="BZ146" s="300">
        <f t="shared" ref="BZ146" si="1167">DB123</f>
        <v>0</v>
      </c>
      <c r="CD146" s="301">
        <v>180</v>
      </c>
      <c r="CE146" s="301">
        <v>181</v>
      </c>
      <c r="CF146" s="301">
        <v>182</v>
      </c>
      <c r="CG146" s="301">
        <v>183</v>
      </c>
      <c r="CH146" s="301">
        <v>184</v>
      </c>
      <c r="CI146" s="301">
        <v>185</v>
      </c>
      <c r="CJ146" s="301">
        <v>186</v>
      </c>
      <c r="CK146" s="301">
        <v>187</v>
      </c>
      <c r="CL146" s="301">
        <v>188</v>
      </c>
      <c r="CM146" s="301">
        <v>189</v>
      </c>
      <c r="CN146" s="301">
        <v>190</v>
      </c>
      <c r="CO146" s="301">
        <v>191</v>
      </c>
    </row>
    <row r="147" spans="60:93" ht="29.25" customHeight="1" x14ac:dyDescent="0.3">
      <c r="BH147" s="1030" t="s">
        <v>94</v>
      </c>
      <c r="BI147" s="300">
        <f>DN123</f>
        <v>0</v>
      </c>
      <c r="BJ147" s="300">
        <f t="shared" ref="BJ147" si="1168">DO123</f>
        <v>0</v>
      </c>
      <c r="BK147" s="300">
        <f t="shared" ref="BK147" si="1169">DP123</f>
        <v>0</v>
      </c>
      <c r="BL147" s="300">
        <f t="shared" ref="BL147" si="1170">DQ123</f>
        <v>0</v>
      </c>
      <c r="BM147" s="300">
        <f t="shared" ref="BM147" si="1171">DR123</f>
        <v>0</v>
      </c>
      <c r="BN147" s="300">
        <f t="shared" ref="BN147" si="1172">DS123</f>
        <v>0</v>
      </c>
      <c r="BO147" s="300">
        <f t="shared" ref="BO147" si="1173">DT123</f>
        <v>0</v>
      </c>
      <c r="BP147" s="300">
        <f t="shared" ref="BP147" si="1174">DU123</f>
        <v>0</v>
      </c>
      <c r="BQ147" s="300">
        <f t="shared" ref="BQ147" si="1175">DV123</f>
        <v>0</v>
      </c>
      <c r="BR147" s="300">
        <f t="shared" ref="BR147" si="1176">DW123</f>
        <v>0</v>
      </c>
      <c r="BS147" s="300">
        <f t="shared" ref="BS147" si="1177">DX123</f>
        <v>0</v>
      </c>
      <c r="BT147" s="300">
        <f t="shared" ref="BT147" si="1178">DY123</f>
        <v>0</v>
      </c>
      <c r="BU147" s="300">
        <f t="shared" ref="BU147" si="1179">DZ123</f>
        <v>0</v>
      </c>
      <c r="BV147" s="300">
        <f t="shared" ref="BV147" si="1180">EA123</f>
        <v>0</v>
      </c>
      <c r="BW147" s="300">
        <f t="shared" ref="BW147" si="1181">EB123</f>
        <v>0</v>
      </c>
      <c r="BX147" s="300">
        <f t="shared" ref="BX147" si="1182">EC123</f>
        <v>0</v>
      </c>
      <c r="BY147" s="300">
        <f t="shared" ref="BY147" si="1183">ED123</f>
        <v>0</v>
      </c>
      <c r="BZ147" s="300">
        <f t="shared" ref="BZ147" si="1184">EE123</f>
        <v>0</v>
      </c>
    </row>
    <row r="148" spans="60:93" ht="29.25" customHeight="1" x14ac:dyDescent="0.3">
      <c r="BH148" s="1030" t="s">
        <v>46</v>
      </c>
      <c r="BI148" s="300">
        <f>EQ123</f>
        <v>0</v>
      </c>
      <c r="BJ148" s="300">
        <f t="shared" ref="BJ148" si="1185">ER123</f>
        <v>0</v>
      </c>
      <c r="BK148" s="300">
        <f t="shared" ref="BK148" si="1186">ES123</f>
        <v>0</v>
      </c>
      <c r="BL148" s="300">
        <f t="shared" ref="BL148" si="1187">ET123</f>
        <v>0</v>
      </c>
      <c r="BM148" s="300">
        <f t="shared" ref="BM148" si="1188">EU123</f>
        <v>0</v>
      </c>
      <c r="BN148" s="300">
        <f t="shared" ref="BN148" si="1189">EV123</f>
        <v>0</v>
      </c>
      <c r="BO148" s="300">
        <f t="shared" ref="BO148" si="1190">EW123</f>
        <v>0</v>
      </c>
      <c r="BP148" s="300">
        <f t="shared" ref="BP148" si="1191">EX123</f>
        <v>0</v>
      </c>
      <c r="BQ148" s="300">
        <f t="shared" ref="BQ148" si="1192">EY123</f>
        <v>0</v>
      </c>
      <c r="BR148" s="300">
        <f t="shared" ref="BR148" si="1193">EZ123</f>
        <v>0</v>
      </c>
      <c r="BS148" s="300">
        <f t="shared" ref="BS148" si="1194">FA123</f>
        <v>0</v>
      </c>
      <c r="BT148" s="300">
        <f t="shared" ref="BT148" si="1195">FB123</f>
        <v>0</v>
      </c>
      <c r="BU148" s="300">
        <f t="shared" ref="BU148" si="1196">FC123</f>
        <v>0</v>
      </c>
      <c r="BV148" s="300">
        <f t="shared" ref="BV148" si="1197">FD123</f>
        <v>0</v>
      </c>
      <c r="BW148" s="300">
        <f t="shared" ref="BW148" si="1198">FE123</f>
        <v>0</v>
      </c>
      <c r="BX148" s="300">
        <f t="shared" ref="BX148" si="1199">FF123</f>
        <v>0</v>
      </c>
      <c r="BY148" s="300">
        <f t="shared" ref="BY148" si="1200">FG123</f>
        <v>0</v>
      </c>
      <c r="BZ148" s="300">
        <f t="shared" ref="BZ148" si="1201">FH123</f>
        <v>0</v>
      </c>
    </row>
    <row r="149" spans="60:93" ht="29.25" customHeight="1" x14ac:dyDescent="0.3">
      <c r="BH149" s="1030" t="s">
        <v>34</v>
      </c>
      <c r="BI149" s="300">
        <f>FT123</f>
        <v>0</v>
      </c>
      <c r="BJ149" s="300">
        <f t="shared" ref="BJ149" si="1202">FU123</f>
        <v>0</v>
      </c>
      <c r="BK149" s="300">
        <f t="shared" ref="BK149" si="1203">FV123</f>
        <v>0</v>
      </c>
      <c r="BL149" s="300">
        <f t="shared" ref="BL149" si="1204">FW123</f>
        <v>0</v>
      </c>
      <c r="BM149" s="300">
        <f t="shared" ref="BM149" si="1205">FX123</f>
        <v>0</v>
      </c>
      <c r="BN149" s="300">
        <f t="shared" ref="BN149" si="1206">FY123</f>
        <v>0</v>
      </c>
      <c r="BO149" s="300">
        <f t="shared" ref="BO149" si="1207">FZ123</f>
        <v>0</v>
      </c>
      <c r="BP149" s="300">
        <f t="shared" ref="BP149" si="1208">GA123</f>
        <v>0</v>
      </c>
      <c r="BQ149" s="300">
        <f t="shared" ref="BQ149" si="1209">GB123</f>
        <v>0</v>
      </c>
      <c r="BR149" s="300">
        <f t="shared" ref="BR149" si="1210">GC123</f>
        <v>0</v>
      </c>
      <c r="BS149" s="300">
        <f t="shared" ref="BS149" si="1211">GD123</f>
        <v>0</v>
      </c>
      <c r="BT149" s="300">
        <f t="shared" ref="BT149" si="1212">GE123</f>
        <v>0</v>
      </c>
      <c r="BU149" s="300">
        <f t="shared" ref="BU149" si="1213">GF123</f>
        <v>0</v>
      </c>
      <c r="BV149" s="300">
        <f t="shared" ref="BV149" si="1214">GG123</f>
        <v>0</v>
      </c>
      <c r="BW149" s="300">
        <f t="shared" ref="BW149" si="1215">GH123</f>
        <v>0</v>
      </c>
      <c r="BX149" s="300">
        <f t="shared" ref="BX149" si="1216">GI123</f>
        <v>0</v>
      </c>
      <c r="BY149" s="300">
        <f t="shared" ref="BY149" si="1217">GJ123</f>
        <v>0</v>
      </c>
      <c r="BZ149" s="300">
        <f t="shared" ref="BZ149" si="1218">GK123</f>
        <v>0</v>
      </c>
    </row>
    <row r="150" spans="60:93" ht="29.25" customHeight="1" x14ac:dyDescent="0.3">
      <c r="BH150" s="1030" t="s">
        <v>37</v>
      </c>
      <c r="BI150" s="300">
        <f>GW123</f>
        <v>0</v>
      </c>
      <c r="BJ150" s="300">
        <f t="shared" ref="BJ150" si="1219">GX123</f>
        <v>0</v>
      </c>
      <c r="BK150" s="300">
        <f t="shared" ref="BK150" si="1220">GY123</f>
        <v>0</v>
      </c>
      <c r="BL150" s="300">
        <f t="shared" ref="BL150" si="1221">GZ123</f>
        <v>0</v>
      </c>
      <c r="BM150" s="300">
        <f t="shared" ref="BM150" si="1222">HA123</f>
        <v>0</v>
      </c>
      <c r="BN150" s="300">
        <f t="shared" ref="BN150" si="1223">HB123</f>
        <v>0</v>
      </c>
      <c r="BO150" s="300">
        <f t="shared" ref="BO150" si="1224">HC123</f>
        <v>0</v>
      </c>
      <c r="BP150" s="300">
        <f t="shared" ref="BP150" si="1225">HD123</f>
        <v>0</v>
      </c>
      <c r="BQ150" s="300">
        <f t="shared" ref="BQ150" si="1226">HE123</f>
        <v>0</v>
      </c>
      <c r="BR150" s="300">
        <f t="shared" ref="BR150" si="1227">HF123</f>
        <v>0</v>
      </c>
      <c r="BS150" s="300">
        <f t="shared" ref="BS150" si="1228">HG123</f>
        <v>0</v>
      </c>
      <c r="BT150" s="300">
        <f t="shared" ref="BT150" si="1229">HH123</f>
        <v>0</v>
      </c>
      <c r="BU150" s="300">
        <f t="shared" ref="BU150" si="1230">HI123</f>
        <v>0</v>
      </c>
      <c r="BV150" s="300">
        <f t="shared" ref="BV150" si="1231">HJ123</f>
        <v>0</v>
      </c>
      <c r="BW150" s="300">
        <f t="shared" ref="BW150" si="1232">HK123</f>
        <v>0</v>
      </c>
      <c r="BX150" s="300">
        <f t="shared" ref="BX150" si="1233">HL123</f>
        <v>0</v>
      </c>
      <c r="BY150" s="300">
        <f t="shared" ref="BY150" si="1234">HM123</f>
        <v>0</v>
      </c>
      <c r="BZ150" s="300">
        <f t="shared" ref="BZ150" si="1235">HN123</f>
        <v>0</v>
      </c>
    </row>
    <row r="151" spans="60:93" ht="29.25" customHeight="1" x14ac:dyDescent="0.3">
      <c r="BH151" s="1030" t="s">
        <v>47</v>
      </c>
      <c r="BI151" s="300">
        <f>HZ123</f>
        <v>0</v>
      </c>
      <c r="BJ151" s="300">
        <f t="shared" ref="BJ151" si="1236">IA123</f>
        <v>0</v>
      </c>
      <c r="BK151" s="300">
        <f t="shared" ref="BK151" si="1237">IB123</f>
        <v>0</v>
      </c>
      <c r="BL151" s="300">
        <f t="shared" ref="BL151" si="1238">IC123</f>
        <v>0</v>
      </c>
      <c r="BM151" s="300">
        <f t="shared" ref="BM151" si="1239">ID123</f>
        <v>0</v>
      </c>
      <c r="BN151" s="300">
        <f t="shared" ref="BN151" si="1240">IE123</f>
        <v>0</v>
      </c>
      <c r="BO151" s="300">
        <f t="shared" ref="BO151" si="1241">IF123</f>
        <v>0</v>
      </c>
      <c r="BP151" s="300">
        <f t="shared" ref="BP151" si="1242">IG123</f>
        <v>0</v>
      </c>
      <c r="BQ151" s="300">
        <f t="shared" ref="BQ151" si="1243">IH123</f>
        <v>0</v>
      </c>
      <c r="BR151" s="300">
        <f t="shared" ref="BR151" si="1244">II123</f>
        <v>0</v>
      </c>
      <c r="BS151" s="300">
        <f t="shared" ref="BS151" si="1245">IJ123</f>
        <v>0</v>
      </c>
      <c r="BT151" s="300">
        <f t="shared" ref="BT151" si="1246">IK123</f>
        <v>0</v>
      </c>
      <c r="BU151" s="300">
        <f t="shared" ref="BU151" si="1247">IL123</f>
        <v>0</v>
      </c>
      <c r="BV151" s="300">
        <f t="shared" ref="BV151" si="1248">IM123</f>
        <v>0</v>
      </c>
      <c r="BW151" s="300">
        <f t="shared" ref="BW151" si="1249">IN123</f>
        <v>0</v>
      </c>
      <c r="BX151" s="300">
        <f t="shared" ref="BX151" si="1250">IO123</f>
        <v>0</v>
      </c>
      <c r="BY151" s="300">
        <f t="shared" ref="BY151" si="1251">IP123</f>
        <v>0</v>
      </c>
      <c r="BZ151" s="300">
        <f t="shared" ref="BZ151" si="1252">IQ123</f>
        <v>0</v>
      </c>
    </row>
    <row r="152" spans="60:93" ht="29.25" customHeight="1" x14ac:dyDescent="0.3">
      <c r="BH152" s="1030" t="s">
        <v>38</v>
      </c>
      <c r="BI152" s="300">
        <f>JC123</f>
        <v>0</v>
      </c>
      <c r="BJ152" s="300">
        <f t="shared" ref="BJ152" si="1253">JD123</f>
        <v>0</v>
      </c>
      <c r="BK152" s="300">
        <f t="shared" ref="BK152" si="1254">JE123</f>
        <v>0</v>
      </c>
      <c r="BL152" s="300">
        <f t="shared" ref="BL152" si="1255">JF123</f>
        <v>0</v>
      </c>
      <c r="BM152" s="300">
        <f t="shared" ref="BM152" si="1256">JG123</f>
        <v>0</v>
      </c>
      <c r="BN152" s="300">
        <f t="shared" ref="BN152" si="1257">JH123</f>
        <v>0</v>
      </c>
      <c r="BO152" s="300">
        <f t="shared" ref="BO152" si="1258">JI123</f>
        <v>0</v>
      </c>
      <c r="BP152" s="300">
        <f t="shared" ref="BP152" si="1259">JJ123</f>
        <v>0</v>
      </c>
      <c r="BQ152" s="300">
        <f t="shared" ref="BQ152" si="1260">JK123</f>
        <v>0</v>
      </c>
      <c r="BR152" s="300">
        <f t="shared" ref="BR152" si="1261">JL123</f>
        <v>0</v>
      </c>
      <c r="BS152" s="300">
        <f t="shared" ref="BS152" si="1262">JM123</f>
        <v>0</v>
      </c>
      <c r="BT152" s="300">
        <f t="shared" ref="BT152" si="1263">JN123</f>
        <v>0</v>
      </c>
      <c r="BU152" s="300">
        <f t="shared" ref="BU152" si="1264">JO123</f>
        <v>0</v>
      </c>
      <c r="BV152" s="300">
        <f t="shared" ref="BV152" si="1265">JP123</f>
        <v>0</v>
      </c>
      <c r="BW152" s="300">
        <f t="shared" ref="BW152" si="1266">JQ123</f>
        <v>0</v>
      </c>
      <c r="BX152" s="300">
        <f t="shared" ref="BX152" si="1267">JR123</f>
        <v>0</v>
      </c>
      <c r="BY152" s="300">
        <f t="shared" ref="BY152" si="1268">JS123</f>
        <v>0</v>
      </c>
      <c r="BZ152" s="300">
        <f t="shared" ref="BZ152" si="1269">JT123</f>
        <v>0</v>
      </c>
    </row>
    <row r="153" spans="60:93" ht="29.25" customHeight="1" x14ac:dyDescent="0.3">
      <c r="BH153" s="1030" t="s">
        <v>39</v>
      </c>
      <c r="BI153" s="300">
        <f>KF123</f>
        <v>0</v>
      </c>
      <c r="BJ153" s="300">
        <f t="shared" ref="BJ153" si="1270">KG123</f>
        <v>0</v>
      </c>
      <c r="BK153" s="300">
        <f t="shared" ref="BK153" si="1271">KH123</f>
        <v>0</v>
      </c>
      <c r="BL153" s="300">
        <f t="shared" ref="BL153" si="1272">KI123</f>
        <v>0</v>
      </c>
      <c r="BM153" s="300">
        <f t="shared" ref="BM153" si="1273">KJ123</f>
        <v>0</v>
      </c>
      <c r="BN153" s="300">
        <f t="shared" ref="BN153" si="1274">KK123</f>
        <v>0</v>
      </c>
      <c r="BO153" s="300">
        <f t="shared" ref="BO153" si="1275">KL123</f>
        <v>0</v>
      </c>
      <c r="BP153" s="300">
        <f t="shared" ref="BP153" si="1276">KM123</f>
        <v>0</v>
      </c>
      <c r="BQ153" s="300">
        <f t="shared" ref="BQ153" si="1277">KN123</f>
        <v>0</v>
      </c>
      <c r="BR153" s="300">
        <f t="shared" ref="BR153" si="1278">KO123</f>
        <v>0</v>
      </c>
      <c r="BS153" s="300">
        <f t="shared" ref="BS153" si="1279">KP123</f>
        <v>0</v>
      </c>
      <c r="BT153" s="300">
        <f t="shared" ref="BT153" si="1280">KQ123</f>
        <v>0</v>
      </c>
      <c r="BU153" s="300">
        <f t="shared" ref="BU153" si="1281">KR123</f>
        <v>0</v>
      </c>
      <c r="BV153" s="300">
        <f t="shared" ref="BV153" si="1282">KS123</f>
        <v>0</v>
      </c>
      <c r="BW153" s="300">
        <f t="shared" ref="BW153" si="1283">KT123</f>
        <v>0</v>
      </c>
      <c r="BX153" s="300">
        <f t="shared" ref="BX153" si="1284">KU123</f>
        <v>0</v>
      </c>
      <c r="BY153" s="300">
        <f t="shared" ref="BY153" si="1285">KV123</f>
        <v>0</v>
      </c>
      <c r="BZ153" s="300">
        <f t="shared" ref="BZ153" si="1286">KW123</f>
        <v>0</v>
      </c>
    </row>
    <row r="154" spans="60:93" ht="29.25" customHeight="1" x14ac:dyDescent="0.3">
      <c r="BH154" s="1030" t="s">
        <v>33</v>
      </c>
      <c r="BI154" s="300">
        <f>LI123</f>
        <v>0</v>
      </c>
      <c r="BJ154" s="300">
        <f t="shared" ref="BJ154" si="1287">LJ123</f>
        <v>0</v>
      </c>
      <c r="BK154" s="300">
        <f t="shared" ref="BK154" si="1288">LK123</f>
        <v>0</v>
      </c>
      <c r="BL154" s="300">
        <f t="shared" ref="BL154" si="1289">LL123</f>
        <v>0</v>
      </c>
      <c r="BM154" s="300">
        <f t="shared" ref="BM154" si="1290">LM123</f>
        <v>0</v>
      </c>
      <c r="BN154" s="300">
        <f t="shared" ref="BN154" si="1291">LN123</f>
        <v>0</v>
      </c>
      <c r="BO154" s="300">
        <f t="shared" ref="BO154" si="1292">LO123</f>
        <v>0</v>
      </c>
      <c r="BP154" s="300">
        <f t="shared" ref="BP154" si="1293">LP123</f>
        <v>0</v>
      </c>
      <c r="BQ154" s="300">
        <f t="shared" ref="BQ154" si="1294">LQ123</f>
        <v>0</v>
      </c>
      <c r="BR154" s="300">
        <f t="shared" ref="BR154" si="1295">LR123</f>
        <v>0</v>
      </c>
      <c r="BS154" s="300">
        <f t="shared" ref="BS154" si="1296">LS123</f>
        <v>0</v>
      </c>
      <c r="BT154" s="300">
        <f t="shared" ref="BT154" si="1297">LT123</f>
        <v>0</v>
      </c>
      <c r="BU154" s="300">
        <f t="shared" ref="BU154" si="1298">LU123</f>
        <v>0</v>
      </c>
      <c r="BV154" s="300">
        <f t="shared" ref="BV154" si="1299">LV123</f>
        <v>0</v>
      </c>
      <c r="BW154" s="300">
        <f t="shared" ref="BW154" si="1300">LW123</f>
        <v>0</v>
      </c>
      <c r="BX154" s="300">
        <f t="shared" ref="BX154" si="1301">LX123</f>
        <v>0</v>
      </c>
      <c r="BY154" s="300">
        <f t="shared" ref="BY154" si="1302">LY123</f>
        <v>0</v>
      </c>
      <c r="BZ154" s="300">
        <f t="shared" ref="BZ154" si="1303">LZ123</f>
        <v>0</v>
      </c>
    </row>
    <row r="155" spans="60:93" ht="29.25" customHeight="1" x14ac:dyDescent="0.3">
      <c r="BH155" s="1030" t="s">
        <v>40</v>
      </c>
      <c r="BI155" s="300">
        <f>ML123</f>
        <v>0</v>
      </c>
      <c r="BJ155" s="300">
        <f t="shared" ref="BJ155" si="1304">MM123</f>
        <v>0</v>
      </c>
      <c r="BK155" s="300">
        <f t="shared" ref="BK155" si="1305">MN123</f>
        <v>0</v>
      </c>
      <c r="BL155" s="300">
        <f t="shared" ref="BL155" si="1306">MO123</f>
        <v>0</v>
      </c>
      <c r="BM155" s="300">
        <f t="shared" ref="BM155" si="1307">MP123</f>
        <v>0</v>
      </c>
      <c r="BN155" s="300">
        <f t="shared" ref="BN155" si="1308">MQ123</f>
        <v>0</v>
      </c>
      <c r="BO155" s="300">
        <f t="shared" ref="BO155" si="1309">MR123</f>
        <v>0</v>
      </c>
      <c r="BP155" s="300">
        <f t="shared" ref="BP155" si="1310">MS123</f>
        <v>0</v>
      </c>
      <c r="BQ155" s="300">
        <f t="shared" ref="BQ155" si="1311">MT123</f>
        <v>0</v>
      </c>
      <c r="BR155" s="300">
        <f t="shared" ref="BR155" si="1312">MU123</f>
        <v>0</v>
      </c>
      <c r="BS155" s="300">
        <f t="shared" ref="BS155" si="1313">MV123</f>
        <v>0</v>
      </c>
      <c r="BT155" s="300">
        <f t="shared" ref="BT155" si="1314">MW123</f>
        <v>0</v>
      </c>
      <c r="BU155" s="300">
        <f t="shared" ref="BU155" si="1315">MX123</f>
        <v>0</v>
      </c>
      <c r="BV155" s="300">
        <f t="shared" ref="BV155" si="1316">MY123</f>
        <v>0</v>
      </c>
      <c r="BW155" s="300">
        <f t="shared" ref="BW155" si="1317">MZ123</f>
        <v>0</v>
      </c>
      <c r="BX155" s="300">
        <f t="shared" ref="BX155" si="1318">NA123</f>
        <v>0</v>
      </c>
      <c r="BY155" s="300">
        <f t="shared" ref="BY155" si="1319">NB123</f>
        <v>0</v>
      </c>
      <c r="BZ155" s="300">
        <f t="shared" ref="BZ155" si="1320">NC123</f>
        <v>0</v>
      </c>
    </row>
    <row r="156" spans="60:93" ht="29.25" customHeight="1" x14ac:dyDescent="0.3">
      <c r="BH156" s="1030" t="s">
        <v>41</v>
      </c>
      <c r="BI156" s="300">
        <f>NO123</f>
        <v>0</v>
      </c>
      <c r="BJ156" s="300">
        <f t="shared" ref="BJ156" si="1321">NP123</f>
        <v>0</v>
      </c>
      <c r="BK156" s="300">
        <f t="shared" ref="BK156" si="1322">NQ123</f>
        <v>0</v>
      </c>
      <c r="BL156" s="300">
        <f t="shared" ref="BL156" si="1323">NR123</f>
        <v>0</v>
      </c>
      <c r="BM156" s="300">
        <f t="shared" ref="BM156" si="1324">NS123</f>
        <v>0</v>
      </c>
      <c r="BN156" s="300">
        <f t="shared" ref="BN156" si="1325">NT123</f>
        <v>0</v>
      </c>
      <c r="BO156" s="300">
        <f t="shared" ref="BO156" si="1326">NU123</f>
        <v>0</v>
      </c>
      <c r="BP156" s="300">
        <f t="shared" ref="BP156" si="1327">NV123</f>
        <v>0</v>
      </c>
      <c r="BQ156" s="300">
        <f t="shared" ref="BQ156" si="1328">NW123</f>
        <v>0</v>
      </c>
      <c r="BR156" s="300">
        <f t="shared" ref="BR156" si="1329">NX123</f>
        <v>0</v>
      </c>
      <c r="BS156" s="300">
        <f t="shared" ref="BS156" si="1330">NY123</f>
        <v>0</v>
      </c>
      <c r="BT156" s="300">
        <f t="shared" ref="BT156" si="1331">NZ123</f>
        <v>0</v>
      </c>
      <c r="BU156" s="300">
        <f t="shared" ref="BU156" si="1332">OA123</f>
        <v>0</v>
      </c>
      <c r="BV156" s="300">
        <f t="shared" ref="BV156" si="1333">OB123</f>
        <v>0</v>
      </c>
      <c r="BW156" s="300">
        <f t="shared" ref="BW156" si="1334">OC123</f>
        <v>0</v>
      </c>
      <c r="BX156" s="300">
        <f t="shared" ref="BX156" si="1335">OD123</f>
        <v>0</v>
      </c>
      <c r="BY156" s="300">
        <f t="shared" ref="BY156" si="1336">OE123</f>
        <v>0</v>
      </c>
      <c r="BZ156" s="300">
        <f t="shared" ref="BZ156" si="1337">OF123</f>
        <v>0</v>
      </c>
    </row>
    <row r="157" spans="60:93" ht="29.25" customHeight="1" x14ac:dyDescent="0.3">
      <c r="BH157" s="1030" t="s">
        <v>35</v>
      </c>
      <c r="BI157" s="300">
        <f t="shared" ref="BI157:BZ157" si="1338">SUM(BI145:BI156)</f>
        <v>0</v>
      </c>
      <c r="BJ157" s="300">
        <f t="shared" si="1338"/>
        <v>0</v>
      </c>
      <c r="BK157" s="300">
        <f t="shared" si="1338"/>
        <v>0</v>
      </c>
      <c r="BL157" s="300">
        <f t="shared" si="1338"/>
        <v>0</v>
      </c>
      <c r="BM157" s="300">
        <f t="shared" si="1338"/>
        <v>0</v>
      </c>
      <c r="BN157" s="300">
        <f t="shared" si="1338"/>
        <v>0</v>
      </c>
      <c r="BO157" s="300">
        <f t="shared" si="1338"/>
        <v>0</v>
      </c>
      <c r="BP157" s="300">
        <f t="shared" si="1338"/>
        <v>0</v>
      </c>
      <c r="BQ157" s="300">
        <f t="shared" si="1338"/>
        <v>0</v>
      </c>
      <c r="BR157" s="300">
        <f t="shared" si="1338"/>
        <v>0</v>
      </c>
      <c r="BS157" s="300">
        <f t="shared" si="1338"/>
        <v>0</v>
      </c>
      <c r="BT157" s="300">
        <f t="shared" si="1338"/>
        <v>0</v>
      </c>
      <c r="BU157" s="300">
        <f t="shared" si="1338"/>
        <v>0</v>
      </c>
      <c r="BV157" s="300">
        <f t="shared" si="1338"/>
        <v>0</v>
      </c>
      <c r="BW157" s="300">
        <f t="shared" si="1338"/>
        <v>0</v>
      </c>
      <c r="BX157" s="300">
        <f t="shared" si="1338"/>
        <v>0</v>
      </c>
      <c r="BY157" s="300">
        <f t="shared" si="1338"/>
        <v>0</v>
      </c>
      <c r="BZ157" s="300">
        <f t="shared" si="1338"/>
        <v>0</v>
      </c>
    </row>
  </sheetData>
  <sheetProtection algorithmName="SHA-512" hashValue="cejW7ASlVW60qCnZDJv+kep0HTGqhz/tdlcL41eJ8GZW7/m5v3uulIw9xo5F3isnDOSNnw5dC+IOjuljvsbHvA==" saltValue="VKRS9C6pcGMFiJMpqLej4A==" spinCount="100000" sheet="1" objects="1" scenarios="1" selectLockedCells="1"/>
  <protectedRanges>
    <protectedRange sqref="D3" name="Range1"/>
  </protectedRanges>
  <mergeCells count="522">
    <mergeCell ref="BD12:BG12"/>
    <mergeCell ref="BD87:BG87"/>
    <mergeCell ref="CG87:CJ87"/>
    <mergeCell ref="DJ87:DM87"/>
    <mergeCell ref="EM87:EP87"/>
    <mergeCell ref="FP87:FS87"/>
    <mergeCell ref="GS87:GV87"/>
    <mergeCell ref="EJ124:EL124"/>
    <mergeCell ref="EN124:EP124"/>
    <mergeCell ref="FI124:FJ124"/>
    <mergeCell ref="FP85:FP86"/>
    <mergeCell ref="FQ85:FQ86"/>
    <mergeCell ref="FR85:FR86"/>
    <mergeCell ref="FS85:FS86"/>
    <mergeCell ref="GP85:GP86"/>
    <mergeCell ref="GQ85:GQ86"/>
    <mergeCell ref="GR85:GR86"/>
    <mergeCell ref="GS85:GS86"/>
    <mergeCell ref="EK85:EK86"/>
    <mergeCell ref="EL85:EL86"/>
    <mergeCell ref="EM85:EM86"/>
    <mergeCell ref="EN85:EN86"/>
    <mergeCell ref="EO85:EO86"/>
    <mergeCell ref="EP85:EP86"/>
    <mergeCell ref="BJ126:BK126"/>
    <mergeCell ref="LB124:LD124"/>
    <mergeCell ref="BA124:BC124"/>
    <mergeCell ref="BE124:BG124"/>
    <mergeCell ref="BZ124:CA124"/>
    <mergeCell ref="CD124:CF124"/>
    <mergeCell ref="CH124:CJ124"/>
    <mergeCell ref="DC124:DD124"/>
    <mergeCell ref="DG124:DI124"/>
    <mergeCell ref="DK124:DM124"/>
    <mergeCell ref="EF124:EG124"/>
    <mergeCell ref="FM124:FO124"/>
    <mergeCell ref="FQ124:FS124"/>
    <mergeCell ref="GL124:GM124"/>
    <mergeCell ref="GP124:GR124"/>
    <mergeCell ref="GT124:GV124"/>
    <mergeCell ref="HO124:HP124"/>
    <mergeCell ref="OG124:OH124"/>
    <mergeCell ref="HS124:HU124"/>
    <mergeCell ref="HW124:HY124"/>
    <mergeCell ref="IR124:IS124"/>
    <mergeCell ref="IV124:IX124"/>
    <mergeCell ref="IZ124:JB124"/>
    <mergeCell ref="JU124:JV124"/>
    <mergeCell ref="JY124:KA124"/>
    <mergeCell ref="KC124:KE124"/>
    <mergeCell ref="KX124:KY124"/>
    <mergeCell ref="LF124:LH124"/>
    <mergeCell ref="MA124:MB124"/>
    <mergeCell ref="ME124:MG124"/>
    <mergeCell ref="MI124:MK124"/>
    <mergeCell ref="ND124:NE124"/>
    <mergeCell ref="NH124:NJ124"/>
    <mergeCell ref="NL124:NN124"/>
    <mergeCell ref="NK91:NN91"/>
    <mergeCell ref="BA123:BC123"/>
    <mergeCell ref="CD123:CF123"/>
    <mergeCell ref="DG123:DI123"/>
    <mergeCell ref="EJ123:EL123"/>
    <mergeCell ref="FM123:FO123"/>
    <mergeCell ref="GP123:GR123"/>
    <mergeCell ref="HS123:HU123"/>
    <mergeCell ref="IV123:IX123"/>
    <mergeCell ref="JY123:KA123"/>
    <mergeCell ref="LB123:LD123"/>
    <mergeCell ref="ME123:MG123"/>
    <mergeCell ref="NH123:NJ123"/>
    <mergeCell ref="ND88:NG91"/>
    <mergeCell ref="NK88:NN88"/>
    <mergeCell ref="BD90:BG90"/>
    <mergeCell ref="OG88:OJ91"/>
    <mergeCell ref="BD89:BG89"/>
    <mergeCell ref="CG89:CJ89"/>
    <mergeCell ref="DJ89:DM89"/>
    <mergeCell ref="EM89:EP89"/>
    <mergeCell ref="FP89:FS89"/>
    <mergeCell ref="GS89:GV89"/>
    <mergeCell ref="HV89:HY89"/>
    <mergeCell ref="IY89:JB89"/>
    <mergeCell ref="KB89:KE89"/>
    <mergeCell ref="LE89:LH89"/>
    <mergeCell ref="MH89:MK89"/>
    <mergeCell ref="NK89:NN89"/>
    <mergeCell ref="BD91:BG91"/>
    <mergeCell ref="CG91:CJ91"/>
    <mergeCell ref="DJ91:DM91"/>
    <mergeCell ref="EM91:EP91"/>
    <mergeCell ref="FP91:FS91"/>
    <mergeCell ref="GS91:GV91"/>
    <mergeCell ref="HV91:HY91"/>
    <mergeCell ref="IY91:JB91"/>
    <mergeCell ref="KB91:KE91"/>
    <mergeCell ref="LE91:LH91"/>
    <mergeCell ref="MH91:MK91"/>
    <mergeCell ref="LE87:LH87"/>
    <mergeCell ref="MH87:MK87"/>
    <mergeCell ref="NK87:NN87"/>
    <mergeCell ref="BD88:BG88"/>
    <mergeCell ref="BZ88:CC91"/>
    <mergeCell ref="CG88:CJ88"/>
    <mergeCell ref="DC88:DF91"/>
    <mergeCell ref="DJ88:DM88"/>
    <mergeCell ref="EF88:EI91"/>
    <mergeCell ref="EM88:EP88"/>
    <mergeCell ref="FI88:FL91"/>
    <mergeCell ref="FP88:FS88"/>
    <mergeCell ref="GL88:GO91"/>
    <mergeCell ref="GS88:GV88"/>
    <mergeCell ref="HO88:HR91"/>
    <mergeCell ref="HV88:HY88"/>
    <mergeCell ref="IR88:IU91"/>
    <mergeCell ref="IY88:JB88"/>
    <mergeCell ref="JU88:JX91"/>
    <mergeCell ref="KB88:KE88"/>
    <mergeCell ref="KX88:LA91"/>
    <mergeCell ref="LE88:LH88"/>
    <mergeCell ref="MA88:MD91"/>
    <mergeCell ref="MH88:MK88"/>
    <mergeCell ref="HV87:HY87"/>
    <mergeCell ref="IY87:JB87"/>
    <mergeCell ref="KB87:KE87"/>
    <mergeCell ref="MJ85:MJ86"/>
    <mergeCell ref="MK85:MK86"/>
    <mergeCell ref="NH85:NH86"/>
    <mergeCell ref="NI85:NI86"/>
    <mergeCell ref="NJ85:NJ86"/>
    <mergeCell ref="NK85:NK86"/>
    <mergeCell ref="JZ85:JZ86"/>
    <mergeCell ref="KA85:KA86"/>
    <mergeCell ref="KB85:KB86"/>
    <mergeCell ref="KC85:KC86"/>
    <mergeCell ref="KD85:KD86"/>
    <mergeCell ref="KE85:KE86"/>
    <mergeCell ref="LB85:LB86"/>
    <mergeCell ref="LC85:LC86"/>
    <mergeCell ref="LD85:LD86"/>
    <mergeCell ref="HY85:HY86"/>
    <mergeCell ref="IV85:IV86"/>
    <mergeCell ref="IW85:IW86"/>
    <mergeCell ref="IX85:IX86"/>
    <mergeCell ref="IY85:IY86"/>
    <mergeCell ref="IZ85:IZ86"/>
    <mergeCell ref="NL85:NL86"/>
    <mergeCell ref="NM85:NM86"/>
    <mergeCell ref="NN85:NN86"/>
    <mergeCell ref="LE85:LE86"/>
    <mergeCell ref="LF85:LF86"/>
    <mergeCell ref="LG85:LG86"/>
    <mergeCell ref="LH85:LH86"/>
    <mergeCell ref="ME85:ME86"/>
    <mergeCell ref="MF85:MF86"/>
    <mergeCell ref="MG85:MG86"/>
    <mergeCell ref="MH85:MH86"/>
    <mergeCell ref="MI85:MI86"/>
    <mergeCell ref="JB85:JB86"/>
    <mergeCell ref="JY85:JY86"/>
    <mergeCell ref="GT85:GT86"/>
    <mergeCell ref="GU85:GU86"/>
    <mergeCell ref="GV85:GV86"/>
    <mergeCell ref="HS85:HS86"/>
    <mergeCell ref="HT85:HT86"/>
    <mergeCell ref="HU85:HU86"/>
    <mergeCell ref="HV85:HV86"/>
    <mergeCell ref="HW85:HW86"/>
    <mergeCell ref="HX85:HX86"/>
    <mergeCell ref="JA85:JA86"/>
    <mergeCell ref="FM85:FM86"/>
    <mergeCell ref="FN85:FN86"/>
    <mergeCell ref="FO85:FO86"/>
    <mergeCell ref="NO84:NW84"/>
    <mergeCell ref="NX84:OJ84"/>
    <mergeCell ref="BA85:BA86"/>
    <mergeCell ref="BB85:BB86"/>
    <mergeCell ref="BC85:BC86"/>
    <mergeCell ref="BD85:BD86"/>
    <mergeCell ref="BE85:BE86"/>
    <mergeCell ref="BF85:BF86"/>
    <mergeCell ref="BG85:BG86"/>
    <mergeCell ref="CD85:CD86"/>
    <mergeCell ref="CE85:CE86"/>
    <mergeCell ref="CF85:CF86"/>
    <mergeCell ref="CG85:CG86"/>
    <mergeCell ref="CH85:CH86"/>
    <mergeCell ref="CI85:CI86"/>
    <mergeCell ref="CJ85:CJ86"/>
    <mergeCell ref="DG85:DG86"/>
    <mergeCell ref="DH85:DH86"/>
    <mergeCell ref="DI85:DI86"/>
    <mergeCell ref="DJ85:DJ86"/>
    <mergeCell ref="DK85:DK86"/>
    <mergeCell ref="DL85:DL86"/>
    <mergeCell ref="DM85:DM86"/>
    <mergeCell ref="EJ85:EJ86"/>
    <mergeCell ref="LF84:LH84"/>
    <mergeCell ref="LI84:LQ84"/>
    <mergeCell ref="LR84:MD84"/>
    <mergeCell ref="ME84:MG84"/>
    <mergeCell ref="MI84:MK84"/>
    <mergeCell ref="ML84:MT84"/>
    <mergeCell ref="GC84:GO84"/>
    <mergeCell ref="GP84:GR84"/>
    <mergeCell ref="GT84:GV84"/>
    <mergeCell ref="GW84:HE84"/>
    <mergeCell ref="HF84:HR84"/>
    <mergeCell ref="HS84:HU84"/>
    <mergeCell ref="HW84:HY84"/>
    <mergeCell ref="HZ84:IH84"/>
    <mergeCell ref="II84:IU84"/>
    <mergeCell ref="DN84:DV84"/>
    <mergeCell ref="DW84:EI84"/>
    <mergeCell ref="EJ84:EL84"/>
    <mergeCell ref="EN84:EP84"/>
    <mergeCell ref="EQ84:EY84"/>
    <mergeCell ref="EZ84:FL84"/>
    <mergeCell ref="MU84:NG84"/>
    <mergeCell ref="NH84:NJ84"/>
    <mergeCell ref="NL84:NN84"/>
    <mergeCell ref="IV84:IX84"/>
    <mergeCell ref="IZ84:JB84"/>
    <mergeCell ref="JC84:JK84"/>
    <mergeCell ref="JL84:JX84"/>
    <mergeCell ref="JY84:KA84"/>
    <mergeCell ref="KC84:KE84"/>
    <mergeCell ref="KF84:KN84"/>
    <mergeCell ref="KO84:LA84"/>
    <mergeCell ref="LB84:LD84"/>
    <mergeCell ref="FM84:FO84"/>
    <mergeCell ref="FQ84:FS84"/>
    <mergeCell ref="FT84:GB84"/>
    <mergeCell ref="BE84:BG84"/>
    <mergeCell ref="BH84:BP84"/>
    <mergeCell ref="BQ84:CC84"/>
    <mergeCell ref="CD84:CF84"/>
    <mergeCell ref="CH84:CJ84"/>
    <mergeCell ref="CK84:CS84"/>
    <mergeCell ref="CT84:DF84"/>
    <mergeCell ref="DG84:DI84"/>
    <mergeCell ref="DK84:DM84"/>
    <mergeCell ref="B2:O2"/>
    <mergeCell ref="B4:O4"/>
    <mergeCell ref="E7:F7"/>
    <mergeCell ref="E3:G3"/>
    <mergeCell ref="C7:D7"/>
    <mergeCell ref="BA84:BC84"/>
    <mergeCell ref="K19:K20"/>
    <mergeCell ref="D24:E24"/>
    <mergeCell ref="I7:J7"/>
    <mergeCell ref="BA45:BC45"/>
    <mergeCell ref="BA46:BC46"/>
    <mergeCell ref="K10:L10"/>
    <mergeCell ref="B3:C3"/>
    <mergeCell ref="B8:O8"/>
    <mergeCell ref="J3:K3"/>
    <mergeCell ref="H3:I3"/>
    <mergeCell ref="C5:G5"/>
    <mergeCell ref="I5:J5"/>
    <mergeCell ref="CG7:CG8"/>
    <mergeCell ref="N17:O18"/>
    <mergeCell ref="J25:N25"/>
    <mergeCell ref="B19:B20"/>
    <mergeCell ref="C19:E20"/>
    <mergeCell ref="F19:G20"/>
    <mergeCell ref="L19:M20"/>
    <mergeCell ref="N19:O20"/>
    <mergeCell ref="B17:B18"/>
    <mergeCell ref="C17:E18"/>
    <mergeCell ref="F17:G18"/>
    <mergeCell ref="L17:M18"/>
    <mergeCell ref="I11:N11"/>
    <mergeCell ref="B14:O14"/>
    <mergeCell ref="B15:B16"/>
    <mergeCell ref="C15:E16"/>
    <mergeCell ref="F15:G16"/>
    <mergeCell ref="H15:I16"/>
    <mergeCell ref="L15:M16"/>
    <mergeCell ref="N15:O16"/>
    <mergeCell ref="B21:O21"/>
    <mergeCell ref="J15:J16"/>
    <mergeCell ref="K15:K16"/>
    <mergeCell ref="K17:K18"/>
    <mergeCell ref="CD45:CF45"/>
    <mergeCell ref="CD46:CF46"/>
    <mergeCell ref="CD6:CF6"/>
    <mergeCell ref="BD9:BG9"/>
    <mergeCell ref="BD10:BG10"/>
    <mergeCell ref="BZ10:CC13"/>
    <mergeCell ref="BD11:BG11"/>
    <mergeCell ref="BD13:BG13"/>
    <mergeCell ref="BA6:BC6"/>
    <mergeCell ref="BE6:BG6"/>
    <mergeCell ref="BH6:BP6"/>
    <mergeCell ref="BQ6:CC6"/>
    <mergeCell ref="BA7:BA8"/>
    <mergeCell ref="BB7:BB8"/>
    <mergeCell ref="BC7:BC8"/>
    <mergeCell ref="BD7:BD8"/>
    <mergeCell ref="BE7:BE8"/>
    <mergeCell ref="BF7:BF8"/>
    <mergeCell ref="BG7:BG8"/>
    <mergeCell ref="CD7:CD8"/>
    <mergeCell ref="CE7:CE8"/>
    <mergeCell ref="CF7:CF8"/>
    <mergeCell ref="BE46:BG46"/>
    <mergeCell ref="BZ46:CA46"/>
    <mergeCell ref="CH46:CJ46"/>
    <mergeCell ref="DC46:DD46"/>
    <mergeCell ref="CG9:CJ9"/>
    <mergeCell ref="CG10:CJ10"/>
    <mergeCell ref="DC10:DF13"/>
    <mergeCell ref="CG11:CJ11"/>
    <mergeCell ref="CG13:CJ13"/>
    <mergeCell ref="GL10:GO13"/>
    <mergeCell ref="FP10:FS10"/>
    <mergeCell ref="DJ9:DM9"/>
    <mergeCell ref="EM9:EP9"/>
    <mergeCell ref="FM45:FO45"/>
    <mergeCell ref="FM46:FO46"/>
    <mergeCell ref="DK46:DM46"/>
    <mergeCell ref="EF46:EG46"/>
    <mergeCell ref="DG45:DI45"/>
    <mergeCell ref="DG46:DI46"/>
    <mergeCell ref="EJ45:EL45"/>
    <mergeCell ref="EJ46:EL46"/>
    <mergeCell ref="EJ7:EJ8"/>
    <mergeCell ref="EK7:EK8"/>
    <mergeCell ref="EL7:EL8"/>
    <mergeCell ref="EM7:EM8"/>
    <mergeCell ref="EN7:EN8"/>
    <mergeCell ref="DG6:DI6"/>
    <mergeCell ref="DK6:DM6"/>
    <mergeCell ref="DN6:DV6"/>
    <mergeCell ref="DW6:EI6"/>
    <mergeCell ref="DG7:DG8"/>
    <mergeCell ref="DH7:DH8"/>
    <mergeCell ref="DI7:DI8"/>
    <mergeCell ref="DJ7:DJ8"/>
    <mergeCell ref="DK7:DK8"/>
    <mergeCell ref="DL7:DL8"/>
    <mergeCell ref="DM7:DM8"/>
    <mergeCell ref="CH6:CJ6"/>
    <mergeCell ref="CK6:CS6"/>
    <mergeCell ref="CT6:DF6"/>
    <mergeCell ref="FI10:FL13"/>
    <mergeCell ref="FP9:FS9"/>
    <mergeCell ref="FP11:FS11"/>
    <mergeCell ref="FP13:FS13"/>
    <mergeCell ref="CH7:CH8"/>
    <mergeCell ref="CI7:CI8"/>
    <mergeCell ref="CJ7:CJ8"/>
    <mergeCell ref="EM13:EP13"/>
    <mergeCell ref="DJ10:DM10"/>
    <mergeCell ref="DJ11:DM11"/>
    <mergeCell ref="EF10:EI13"/>
    <mergeCell ref="EM10:EP10"/>
    <mergeCell ref="DJ13:DM13"/>
    <mergeCell ref="EO7:EO8"/>
    <mergeCell ref="EP7:EP8"/>
    <mergeCell ref="FM6:FO6"/>
    <mergeCell ref="FQ6:FS6"/>
    <mergeCell ref="EJ6:EL6"/>
    <mergeCell ref="EN6:EP6"/>
    <mergeCell ref="EQ6:EY6"/>
    <mergeCell ref="EZ6:FL6"/>
    <mergeCell ref="FT6:GB6"/>
    <mergeCell ref="GC6:GO6"/>
    <mergeCell ref="FM7:FM8"/>
    <mergeCell ref="FN7:FN8"/>
    <mergeCell ref="FO7:FO8"/>
    <mergeCell ref="FP7:FP8"/>
    <mergeCell ref="FQ7:FQ8"/>
    <mergeCell ref="FR7:FR8"/>
    <mergeCell ref="FS7:FS8"/>
    <mergeCell ref="GP6:GR6"/>
    <mergeCell ref="GT6:GV6"/>
    <mergeCell ref="GW6:HE6"/>
    <mergeCell ref="GS9:GV9"/>
    <mergeCell ref="GS10:GV10"/>
    <mergeCell ref="GT46:GV46"/>
    <mergeCell ref="GS11:GV11"/>
    <mergeCell ref="GS13:GV13"/>
    <mergeCell ref="HO46:HP46"/>
    <mergeCell ref="HF6:HR6"/>
    <mergeCell ref="GP7:GP8"/>
    <mergeCell ref="GQ7:GQ8"/>
    <mergeCell ref="GR7:GR8"/>
    <mergeCell ref="GS7:GS8"/>
    <mergeCell ref="GT7:GT8"/>
    <mergeCell ref="GU7:GU8"/>
    <mergeCell ref="GV7:GV8"/>
    <mergeCell ref="HS6:HU6"/>
    <mergeCell ref="HW6:HY6"/>
    <mergeCell ref="HZ6:IH6"/>
    <mergeCell ref="II6:IU6"/>
    <mergeCell ref="HS7:HS8"/>
    <mergeCell ref="HT7:HT8"/>
    <mergeCell ref="HU7:HU8"/>
    <mergeCell ref="HV7:HV8"/>
    <mergeCell ref="IR46:IS46"/>
    <mergeCell ref="HW7:HW8"/>
    <mergeCell ref="HV9:HY9"/>
    <mergeCell ref="HV10:HY10"/>
    <mergeCell ref="IR10:IU13"/>
    <mergeCell ref="HV11:HY11"/>
    <mergeCell ref="HV13:HY13"/>
    <mergeCell ref="IY9:JB9"/>
    <mergeCell ref="IV7:IV8"/>
    <mergeCell ref="IW7:IW8"/>
    <mergeCell ref="IX7:IX8"/>
    <mergeCell ref="IY7:IY8"/>
    <mergeCell ref="IY10:JB10"/>
    <mergeCell ref="KB9:KE9"/>
    <mergeCell ref="KB10:KE10"/>
    <mergeCell ref="JU10:JX13"/>
    <mergeCell ref="IY11:JB11"/>
    <mergeCell ref="IY13:JB13"/>
    <mergeCell ref="IZ6:JB6"/>
    <mergeCell ref="JC6:JK6"/>
    <mergeCell ref="JL6:JX6"/>
    <mergeCell ref="IZ7:IZ8"/>
    <mergeCell ref="JA7:JA8"/>
    <mergeCell ref="JB7:JB8"/>
    <mergeCell ref="HX7:HX8"/>
    <mergeCell ref="HY7:HY8"/>
    <mergeCell ref="KO6:LA6"/>
    <mergeCell ref="JY7:JY8"/>
    <mergeCell ref="JZ7:JZ8"/>
    <mergeCell ref="KA7:KA8"/>
    <mergeCell ref="KB7:KB8"/>
    <mergeCell ref="KC7:KC8"/>
    <mergeCell ref="KD7:KD8"/>
    <mergeCell ref="KE7:KE8"/>
    <mergeCell ref="JY6:KA6"/>
    <mergeCell ref="KC6:KE6"/>
    <mergeCell ref="KF6:KN6"/>
    <mergeCell ref="IV6:IX6"/>
    <mergeCell ref="ME6:MG6"/>
    <mergeCell ref="LE9:LH9"/>
    <mergeCell ref="LE10:LH10"/>
    <mergeCell ref="MA10:MD13"/>
    <mergeCell ref="LE11:LH11"/>
    <mergeCell ref="LE13:LH13"/>
    <mergeCell ref="LB6:LD6"/>
    <mergeCell ref="LF6:LH6"/>
    <mergeCell ref="LI6:LQ6"/>
    <mergeCell ref="LR6:MD6"/>
    <mergeCell ref="LB7:LB8"/>
    <mergeCell ref="LC7:LC8"/>
    <mergeCell ref="LD7:LD8"/>
    <mergeCell ref="LE7:LE8"/>
    <mergeCell ref="LF7:LF8"/>
    <mergeCell ref="LG7:LG8"/>
    <mergeCell ref="LH7:LH8"/>
    <mergeCell ref="ME7:ME8"/>
    <mergeCell ref="MF7:MF8"/>
    <mergeCell ref="MG7:MG8"/>
    <mergeCell ref="NK9:NN9"/>
    <mergeCell ref="NK10:NN10"/>
    <mergeCell ref="ND10:NG13"/>
    <mergeCell ref="MH11:MK11"/>
    <mergeCell ref="MH13:MK13"/>
    <mergeCell ref="MI6:MK6"/>
    <mergeCell ref="ML6:MT6"/>
    <mergeCell ref="MU6:NG6"/>
    <mergeCell ref="MI7:MI8"/>
    <mergeCell ref="MJ7:MJ8"/>
    <mergeCell ref="MK7:MK8"/>
    <mergeCell ref="MH10:MK10"/>
    <mergeCell ref="MH9:MK9"/>
    <mergeCell ref="MH7:MH8"/>
    <mergeCell ref="NX6:OJ6"/>
    <mergeCell ref="NH7:NH8"/>
    <mergeCell ref="NI7:NI8"/>
    <mergeCell ref="NJ7:NJ8"/>
    <mergeCell ref="NK7:NK8"/>
    <mergeCell ref="NL7:NL8"/>
    <mergeCell ref="NM7:NM8"/>
    <mergeCell ref="NN7:NN8"/>
    <mergeCell ref="NH6:NJ6"/>
    <mergeCell ref="NL6:NN6"/>
    <mergeCell ref="NO6:NW6"/>
    <mergeCell ref="BJ48:BK48"/>
    <mergeCell ref="OG10:OJ13"/>
    <mergeCell ref="NK11:NN11"/>
    <mergeCell ref="NK13:NN13"/>
    <mergeCell ref="NL46:NN46"/>
    <mergeCell ref="OG46:OH46"/>
    <mergeCell ref="LF46:LH46"/>
    <mergeCell ref="MA46:MB46"/>
    <mergeCell ref="MI46:MK46"/>
    <mergeCell ref="ND46:NE46"/>
    <mergeCell ref="KX10:LA13"/>
    <mergeCell ref="KB11:KE11"/>
    <mergeCell ref="KB13:KE13"/>
    <mergeCell ref="KC46:KE46"/>
    <mergeCell ref="KX46:KY46"/>
    <mergeCell ref="HW46:HY46"/>
    <mergeCell ref="HO10:HR13"/>
    <mergeCell ref="JU46:JV46"/>
    <mergeCell ref="IZ46:JB46"/>
    <mergeCell ref="FQ46:FS46"/>
    <mergeCell ref="GL46:GM46"/>
    <mergeCell ref="EN46:EP46"/>
    <mergeCell ref="FI46:FJ46"/>
    <mergeCell ref="EM11:EP11"/>
    <mergeCell ref="ME45:MG45"/>
    <mergeCell ref="ME46:MG46"/>
    <mergeCell ref="NH45:NJ45"/>
    <mergeCell ref="NH46:NJ46"/>
    <mergeCell ref="GP45:GR45"/>
    <mergeCell ref="GP46:GR46"/>
    <mergeCell ref="HS45:HU45"/>
    <mergeCell ref="HS46:HU46"/>
    <mergeCell ref="IV45:IX45"/>
    <mergeCell ref="IV46:IX46"/>
    <mergeCell ref="JY45:KA45"/>
    <mergeCell ref="JY46:KA46"/>
    <mergeCell ref="LB45:LD45"/>
    <mergeCell ref="LB46:LD46"/>
  </mergeCells>
  <dataValidations count="2">
    <dataValidation type="list" allowBlank="1" showInputMessage="1" showErrorMessage="1" errorTitle="Invalid Month" error="Please enter a month such as January, February, etc. or select the month from the drop-down box." sqref="BD6 CG6 DJ6 EM6 FP6 GS6 HV6 IY6 KB6 LE6 MH6 NK6 BD84 CG84 DJ84 EM84 FP84 GS84 HV84 IY84 KB84 LE84 MH84 NK84">
      <formula1>"जानेवारी,फेब्रुवारी,मार्च,एप्रिल,मे,जून,जुलै,ऑगस्ट,सप्टेंबर,ऑक्टोबर,नोव्हेंबर,डिसेंबर"</formula1>
    </dataValidation>
    <dataValidation type="list" allowBlank="1" showInputMessage="1" showErrorMessage="1" sqref="BE6:BG6 CH6:CJ6 DK6:DM6 EN6:EP6 FQ6:FS6 GT6:GV6 HW6:HY6 BE84:BG84 CH84:CJ84 DK84:DM84 EN84:EP84 FQ84:FS84 GT84:GV84 HW84:HY84">
      <formula1>"2020,2021"</formula1>
    </dataValidation>
  </dataValidations>
  <printOptions horizontalCentered="1" verticalCentered="1"/>
  <pageMargins left="0.31496062992125984" right="0.19685039370078741" top="0.19685039370078741" bottom="0.19685039370078741" header="0.31496062992125984" footer="0.31496062992125984"/>
  <pageSetup paperSize="9" scale="60" orientation="portrait" r:id="rId1"/>
  <rowBreaks count="1" manualBreakCount="1">
    <brk id="27" max="16383" man="1"/>
  </rowBreaks>
  <colBreaks count="1" manualBreakCount="1">
    <brk id="16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00FF"/>
  </sheetPr>
  <dimension ref="B1:K40"/>
  <sheetViews>
    <sheetView showZeros="0" zoomScaleNormal="100" workbookViewId="0">
      <selection activeCell="D5" sqref="D5:J5"/>
    </sheetView>
  </sheetViews>
  <sheetFormatPr defaultRowHeight="35.25" customHeight="1" x14ac:dyDescent="0.3"/>
  <cols>
    <col min="1" max="2" width="6.5703125" style="15" customWidth="1"/>
    <col min="3" max="3" width="14.5703125" style="15" customWidth="1"/>
    <col min="4" max="4" width="13.7109375" style="15" customWidth="1"/>
    <col min="5" max="5" width="9.140625" style="15"/>
    <col min="6" max="6" width="21.5703125" style="15" customWidth="1"/>
    <col min="7" max="7" width="22.7109375" style="15" customWidth="1"/>
    <col min="8" max="8" width="11.140625" style="15" customWidth="1"/>
    <col min="9" max="9" width="24.5703125" style="15" customWidth="1"/>
    <col min="10" max="10" width="23.42578125" style="15" customWidth="1"/>
    <col min="11" max="11" width="19.7109375" style="15" customWidth="1"/>
    <col min="12" max="12" width="6" style="15" customWidth="1"/>
    <col min="13" max="16384" width="9.140625" style="15"/>
  </cols>
  <sheetData>
    <row r="1" spans="2:11" ht="35.25" customHeight="1" thickBot="1" x14ac:dyDescent="0.35"/>
    <row r="2" spans="2:11" ht="35.25" customHeight="1" thickBot="1" x14ac:dyDescent="0.35">
      <c r="B2" s="2068" t="s">
        <v>531</v>
      </c>
      <c r="C2" s="2069"/>
      <c r="D2" s="2069"/>
      <c r="E2" s="2069"/>
      <c r="F2" s="631" t="s">
        <v>284</v>
      </c>
      <c r="G2" s="639" t="s">
        <v>269</v>
      </c>
      <c r="H2" s="632" t="s">
        <v>528</v>
      </c>
      <c r="I2" s="179">
        <f>HOME!E2</f>
        <v>2022</v>
      </c>
      <c r="J2" s="324">
        <f>HOME!F2</f>
        <v>2023</v>
      </c>
      <c r="K2" s="613"/>
    </row>
    <row r="3" spans="2:11" ht="35.25" customHeight="1" x14ac:dyDescent="0.3">
      <c r="B3" s="633"/>
      <c r="C3" s="2070" t="s">
        <v>524</v>
      </c>
      <c r="D3" s="2070"/>
      <c r="E3" s="2071" t="str">
        <f>'शाळा माहिती'!D25</f>
        <v>-</v>
      </c>
      <c r="F3" s="2071"/>
      <c r="G3" s="2071"/>
      <c r="H3" s="2071"/>
      <c r="I3" s="206" t="s">
        <v>523</v>
      </c>
      <c r="J3" s="2071" t="s">
        <v>525</v>
      </c>
      <c r="K3" s="2072"/>
    </row>
    <row r="4" spans="2:11" ht="35.25" customHeight="1" thickBot="1" x14ac:dyDescent="0.55000000000000004">
      <c r="B4" s="402"/>
      <c r="C4" s="614" t="s">
        <v>113</v>
      </c>
      <c r="D4" s="2081" t="str">
        <f>'शाळा माहिती'!D4</f>
        <v>जि.प.प्रा.शा.बोरजाई वस्ती</v>
      </c>
      <c r="E4" s="2081"/>
      <c r="F4" s="2081"/>
      <c r="G4" s="2081"/>
      <c r="H4" s="2081"/>
      <c r="I4" s="615" t="s">
        <v>256</v>
      </c>
      <c r="J4" s="365" t="str">
        <f>'शाळा माहिती'!D6</f>
        <v>जामगाव</v>
      </c>
      <c r="K4" s="616"/>
    </row>
    <row r="5" spans="2:11" ht="35.25" customHeight="1" thickBot="1" x14ac:dyDescent="0.35">
      <c r="B5" s="402"/>
      <c r="C5" s="614" t="s">
        <v>258</v>
      </c>
      <c r="D5" s="173" t="str">
        <f>'शाळा माहिती'!D7</f>
        <v>गंगापूर</v>
      </c>
      <c r="E5" s="617" t="s">
        <v>259</v>
      </c>
      <c r="F5" s="173" t="str">
        <f>'शाळा माहिती'!D8</f>
        <v>औरंगाबाद</v>
      </c>
      <c r="G5" s="618"/>
      <c r="H5" s="615" t="s">
        <v>257</v>
      </c>
      <c r="I5" s="628" t="s">
        <v>94</v>
      </c>
      <c r="J5" s="629">
        <v>2022</v>
      </c>
      <c r="K5" s="616"/>
    </row>
    <row r="6" spans="2:11" ht="35.25" customHeight="1" x14ac:dyDescent="0.3">
      <c r="B6" s="2082" t="s">
        <v>86</v>
      </c>
      <c r="C6" s="2084" t="s">
        <v>176</v>
      </c>
      <c r="D6" s="2086" t="s">
        <v>177</v>
      </c>
      <c r="E6" s="2088" t="s">
        <v>526</v>
      </c>
      <c r="F6" s="2075" t="s">
        <v>529</v>
      </c>
      <c r="G6" s="2076"/>
      <c r="H6" s="2088" t="s">
        <v>527</v>
      </c>
      <c r="I6" s="2079" t="s">
        <v>529</v>
      </c>
      <c r="J6" s="2080"/>
      <c r="K6" s="2073" t="s">
        <v>454</v>
      </c>
    </row>
    <row r="7" spans="2:11" ht="35.25" customHeight="1" x14ac:dyDescent="0.3">
      <c r="B7" s="2083"/>
      <c r="C7" s="2085"/>
      <c r="D7" s="2087"/>
      <c r="E7" s="2089"/>
      <c r="F7" s="2077"/>
      <c r="G7" s="2078"/>
      <c r="H7" s="2090"/>
      <c r="I7" s="2077"/>
      <c r="J7" s="2078"/>
      <c r="K7" s="2074"/>
    </row>
    <row r="8" spans="2:11" ht="35.25" customHeight="1" x14ac:dyDescent="0.4">
      <c r="B8" s="417">
        <v>1</v>
      </c>
      <c r="C8" s="174">
        <f>DATE(J5,INDEX({4,5,6,7,8,9,10,11,12,1,2,3},MATCH(I5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44713</v>
      </c>
      <c r="D8" s="175" t="str">
        <f>IF(C8="","",INDEX({"रवि";"सोम";"मंगळ";"बुध";"गुरू";"शुक्र";"शनि"},WEEKDAY(C8)))</f>
        <v>बुध</v>
      </c>
      <c r="E8" s="178"/>
      <c r="F8" s="176"/>
      <c r="G8" s="217"/>
      <c r="H8" s="176"/>
      <c r="I8" s="176"/>
      <c r="J8" s="634"/>
      <c r="K8" s="619"/>
    </row>
    <row r="9" spans="2:11" ht="35.25" customHeight="1" x14ac:dyDescent="0.4">
      <c r="B9" s="417">
        <v>2</v>
      </c>
      <c r="C9" s="174">
        <f>C8+1</f>
        <v>44714</v>
      </c>
      <c r="D9" s="175" t="str">
        <f>IF(C9="","",INDEX({"रवि";"सोम";"मंगळ";"बुध";"गुरू";"शुक्र";"शनि"},WEEKDAY(C9)))</f>
        <v>गुरू</v>
      </c>
      <c r="E9" s="177"/>
      <c r="F9" s="211"/>
      <c r="G9" s="212"/>
      <c r="H9" s="176"/>
      <c r="I9" s="176"/>
      <c r="J9" s="635"/>
      <c r="K9" s="620"/>
    </row>
    <row r="10" spans="2:11" ht="35.25" customHeight="1" x14ac:dyDescent="0.4">
      <c r="B10" s="417">
        <v>3</v>
      </c>
      <c r="C10" s="174">
        <f t="shared" ref="C10:C38" si="0">C9+1</f>
        <v>44715</v>
      </c>
      <c r="D10" s="175" t="str">
        <f>IF(C10="","",INDEX({"रवि";"सोम";"मंगळ";"बुध";"गुरू";"शुक्र";"शनि"},WEEKDAY(C10)))</f>
        <v>शुक्र</v>
      </c>
      <c r="E10" s="177"/>
      <c r="F10" s="211"/>
      <c r="G10" s="212"/>
      <c r="H10" s="175"/>
      <c r="I10" s="218"/>
      <c r="J10" s="635"/>
      <c r="K10" s="620"/>
    </row>
    <row r="11" spans="2:11" ht="35.25" customHeight="1" x14ac:dyDescent="0.4">
      <c r="B11" s="417">
        <v>4</v>
      </c>
      <c r="C11" s="174">
        <f t="shared" si="0"/>
        <v>44716</v>
      </c>
      <c r="D11" s="175" t="str">
        <f>IF(C11="","",INDEX({"रवि";"सोम";"मंगळ";"बुध";"गुरू";"शुक्र";"शनि"},WEEKDAY(C11)))</f>
        <v>शनि</v>
      </c>
      <c r="E11" s="177"/>
      <c r="F11" s="211"/>
      <c r="G11" s="212"/>
      <c r="H11" s="175"/>
      <c r="I11" s="218"/>
      <c r="J11" s="635"/>
      <c r="K11" s="620"/>
    </row>
    <row r="12" spans="2:11" ht="35.25" customHeight="1" x14ac:dyDescent="0.4">
      <c r="B12" s="417">
        <v>5</v>
      </c>
      <c r="C12" s="174">
        <f t="shared" si="0"/>
        <v>44717</v>
      </c>
      <c r="D12" s="175" t="str">
        <f>IF(C12="","",INDEX({"रवि";"सोम";"मंगळ";"बुध";"गुरू";"शुक्र";"शनि"},WEEKDAY(C12)))</f>
        <v>रवि</v>
      </c>
      <c r="E12" s="177"/>
      <c r="F12" s="211"/>
      <c r="G12" s="212"/>
      <c r="H12" s="175"/>
      <c r="I12" s="218"/>
      <c r="J12" s="635"/>
      <c r="K12" s="620"/>
    </row>
    <row r="13" spans="2:11" ht="35.25" customHeight="1" x14ac:dyDescent="0.4">
      <c r="B13" s="417">
        <v>6</v>
      </c>
      <c r="C13" s="174">
        <f t="shared" si="0"/>
        <v>44718</v>
      </c>
      <c r="D13" s="175" t="str">
        <f>IF(C13="","",INDEX({"रवि";"सोम";"मंगळ";"बुध";"गुरू";"शुक्र";"शनि"},WEEKDAY(C13)))</f>
        <v>सोम</v>
      </c>
      <c r="E13" s="177"/>
      <c r="F13" s="211"/>
      <c r="G13" s="212"/>
      <c r="H13" s="175"/>
      <c r="I13" s="218"/>
      <c r="J13" s="635"/>
      <c r="K13" s="620"/>
    </row>
    <row r="14" spans="2:11" ht="35.25" customHeight="1" x14ac:dyDescent="0.4">
      <c r="B14" s="417">
        <v>7</v>
      </c>
      <c r="C14" s="174">
        <f t="shared" si="0"/>
        <v>44719</v>
      </c>
      <c r="D14" s="175" t="str">
        <f>IF(C14="","",INDEX({"रवि";"सोम";"मंगळ";"बुध";"गुरू";"शुक्र";"शनि"},WEEKDAY(C14)))</f>
        <v>मंगळ</v>
      </c>
      <c r="E14" s="177"/>
      <c r="F14" s="211"/>
      <c r="G14" s="212"/>
      <c r="H14" s="175"/>
      <c r="I14" s="218"/>
      <c r="J14" s="635"/>
      <c r="K14" s="620"/>
    </row>
    <row r="15" spans="2:11" ht="35.25" customHeight="1" x14ac:dyDescent="0.4">
      <c r="B15" s="417">
        <v>8</v>
      </c>
      <c r="C15" s="174">
        <f t="shared" si="0"/>
        <v>44720</v>
      </c>
      <c r="D15" s="175" t="str">
        <f>IF(C15="","",INDEX({"रवि";"सोम";"मंगळ";"बुध";"गुरू";"शुक्र";"शनि"},WEEKDAY(C15)))</f>
        <v>बुध</v>
      </c>
      <c r="E15" s="177"/>
      <c r="F15" s="211"/>
      <c r="G15" s="212"/>
      <c r="H15" s="175"/>
      <c r="I15" s="218"/>
      <c r="J15" s="635"/>
      <c r="K15" s="620"/>
    </row>
    <row r="16" spans="2:11" ht="35.25" customHeight="1" x14ac:dyDescent="0.4">
      <c r="B16" s="417">
        <v>9</v>
      </c>
      <c r="C16" s="174">
        <f t="shared" si="0"/>
        <v>44721</v>
      </c>
      <c r="D16" s="175" t="str">
        <f>IF(C16="","",INDEX({"रवि";"सोम";"मंगळ";"बुध";"गुरू";"शुक्र";"शनि"},WEEKDAY(C16)))</f>
        <v>गुरू</v>
      </c>
      <c r="E16" s="177"/>
      <c r="F16" s="211"/>
      <c r="G16" s="212"/>
      <c r="H16" s="175"/>
      <c r="I16" s="218"/>
      <c r="J16" s="635"/>
      <c r="K16" s="620"/>
    </row>
    <row r="17" spans="2:11" ht="35.25" customHeight="1" x14ac:dyDescent="0.4">
      <c r="B17" s="417">
        <v>10</v>
      </c>
      <c r="C17" s="174">
        <f t="shared" si="0"/>
        <v>44722</v>
      </c>
      <c r="D17" s="175" t="str">
        <f>IF(C17="","",INDEX({"रवि";"सोम";"मंगळ";"बुध";"गुरू";"शुक्र";"शनि"},WEEKDAY(C17)))</f>
        <v>शुक्र</v>
      </c>
      <c r="E17" s="177"/>
      <c r="F17" s="211"/>
      <c r="G17" s="212"/>
      <c r="H17" s="175"/>
      <c r="I17" s="218"/>
      <c r="J17" s="635"/>
      <c r="K17" s="620"/>
    </row>
    <row r="18" spans="2:11" ht="35.25" customHeight="1" x14ac:dyDescent="0.4">
      <c r="B18" s="417">
        <v>11</v>
      </c>
      <c r="C18" s="174">
        <f t="shared" si="0"/>
        <v>44723</v>
      </c>
      <c r="D18" s="175" t="str">
        <f>IF(C18="","",INDEX({"रवि";"सोम";"मंगळ";"बुध";"गुरू";"शुक्र";"शनि"},WEEKDAY(C18)))</f>
        <v>शनि</v>
      </c>
      <c r="E18" s="177"/>
      <c r="F18" s="211"/>
      <c r="G18" s="213"/>
      <c r="H18" s="175"/>
      <c r="I18" s="218"/>
      <c r="J18" s="635"/>
      <c r="K18" s="620"/>
    </row>
    <row r="19" spans="2:11" ht="35.25" customHeight="1" x14ac:dyDescent="0.4">
      <c r="B19" s="417">
        <v>12</v>
      </c>
      <c r="C19" s="174">
        <f t="shared" si="0"/>
        <v>44724</v>
      </c>
      <c r="D19" s="175" t="str">
        <f>IF(C19="","",INDEX({"रवि";"सोम";"मंगळ";"बुध";"गुरू";"शुक्र";"शनि"},WEEKDAY(C19)))</f>
        <v>रवि</v>
      </c>
      <c r="E19" s="177"/>
      <c r="F19" s="211"/>
      <c r="G19" s="212"/>
      <c r="H19" s="175"/>
      <c r="I19" s="218"/>
      <c r="J19" s="635"/>
      <c r="K19" s="620"/>
    </row>
    <row r="20" spans="2:11" ht="35.25" customHeight="1" x14ac:dyDescent="0.4">
      <c r="B20" s="417">
        <v>13</v>
      </c>
      <c r="C20" s="174">
        <f t="shared" si="0"/>
        <v>44725</v>
      </c>
      <c r="D20" s="175" t="str">
        <f>IF(C20="","",INDEX({"रवि";"सोम";"मंगळ";"बुध";"गुरू";"शुक्र";"शनि"},WEEKDAY(C20)))</f>
        <v>सोम</v>
      </c>
      <c r="E20" s="177"/>
      <c r="F20" s="211"/>
      <c r="G20" s="212"/>
      <c r="H20" s="175"/>
      <c r="I20" s="218"/>
      <c r="J20" s="635"/>
      <c r="K20" s="620"/>
    </row>
    <row r="21" spans="2:11" ht="35.25" customHeight="1" x14ac:dyDescent="0.4">
      <c r="B21" s="417">
        <v>14</v>
      </c>
      <c r="C21" s="174">
        <f t="shared" si="0"/>
        <v>44726</v>
      </c>
      <c r="D21" s="175" t="str">
        <f>IF(C21="","",INDEX({"रवि";"सोम";"मंगळ";"बुध";"गुरू";"शुक्र";"शनि"},WEEKDAY(C21)))</f>
        <v>मंगळ</v>
      </c>
      <c r="E21" s="177"/>
      <c r="F21" s="211"/>
      <c r="G21" s="212"/>
      <c r="H21" s="175"/>
      <c r="I21" s="218"/>
      <c r="J21" s="635"/>
      <c r="K21" s="620"/>
    </row>
    <row r="22" spans="2:11" ht="35.25" customHeight="1" x14ac:dyDescent="0.4">
      <c r="B22" s="417">
        <v>15</v>
      </c>
      <c r="C22" s="174">
        <f t="shared" si="0"/>
        <v>44727</v>
      </c>
      <c r="D22" s="175" t="str">
        <f>IF(C22="","",INDEX({"रवि";"सोम";"मंगळ";"बुध";"गुरू";"शुक्र";"शनि"},WEEKDAY(C22)))</f>
        <v>बुध</v>
      </c>
      <c r="E22" s="177"/>
      <c r="F22" s="211"/>
      <c r="G22" s="213"/>
      <c r="H22" s="175"/>
      <c r="I22" s="218"/>
      <c r="J22" s="635"/>
      <c r="K22" s="620"/>
    </row>
    <row r="23" spans="2:11" ht="35.25" customHeight="1" x14ac:dyDescent="0.4">
      <c r="B23" s="417">
        <v>16</v>
      </c>
      <c r="C23" s="174">
        <f t="shared" si="0"/>
        <v>44728</v>
      </c>
      <c r="D23" s="175" t="str">
        <f>IF(C23="","",INDEX({"रवि";"सोम";"मंगळ";"बुध";"गुरू";"शुक्र";"शनि"},WEEKDAY(C23)))</f>
        <v>गुरू</v>
      </c>
      <c r="E23" s="177"/>
      <c r="F23" s="214"/>
      <c r="G23" s="212"/>
      <c r="H23" s="175"/>
      <c r="I23" s="218"/>
      <c r="J23" s="635"/>
      <c r="K23" s="620"/>
    </row>
    <row r="24" spans="2:11" ht="35.25" customHeight="1" x14ac:dyDescent="0.4">
      <c r="B24" s="417">
        <v>17</v>
      </c>
      <c r="C24" s="174">
        <f t="shared" si="0"/>
        <v>44729</v>
      </c>
      <c r="D24" s="175" t="str">
        <f>IF(C24="","",INDEX({"रवि";"सोम";"मंगळ";"बुध";"गुरू";"शुक्र";"शनि"},WEEKDAY(C24)))</f>
        <v>शुक्र</v>
      </c>
      <c r="E24" s="177"/>
      <c r="F24" s="214"/>
      <c r="G24" s="212"/>
      <c r="H24" s="175"/>
      <c r="I24" s="218"/>
      <c r="J24" s="635"/>
      <c r="K24" s="620"/>
    </row>
    <row r="25" spans="2:11" ht="35.25" customHeight="1" x14ac:dyDescent="0.4">
      <c r="B25" s="417">
        <v>18</v>
      </c>
      <c r="C25" s="174">
        <f t="shared" si="0"/>
        <v>44730</v>
      </c>
      <c r="D25" s="175" t="str">
        <f>IF(C25="","",INDEX({"रवि";"सोम";"मंगळ";"बुध";"गुरू";"शुक्र";"शनि"},WEEKDAY(C25)))</f>
        <v>शनि</v>
      </c>
      <c r="E25" s="177"/>
      <c r="F25" s="214"/>
      <c r="G25" s="212"/>
      <c r="H25" s="175"/>
      <c r="I25" s="218"/>
      <c r="J25" s="635"/>
      <c r="K25" s="620"/>
    </row>
    <row r="26" spans="2:11" ht="35.25" customHeight="1" x14ac:dyDescent="0.4">
      <c r="B26" s="417">
        <v>19</v>
      </c>
      <c r="C26" s="174">
        <f t="shared" si="0"/>
        <v>44731</v>
      </c>
      <c r="D26" s="175" t="str">
        <f>IF(C26="","",INDEX({"रवि";"सोम";"मंगळ";"बुध";"गुरू";"शुक्र";"शनि"},WEEKDAY(C26)))</f>
        <v>रवि</v>
      </c>
      <c r="E26" s="177"/>
      <c r="F26" s="214"/>
      <c r="G26" s="212"/>
      <c r="H26" s="175"/>
      <c r="I26" s="218"/>
      <c r="J26" s="635"/>
      <c r="K26" s="620"/>
    </row>
    <row r="27" spans="2:11" ht="35.25" customHeight="1" x14ac:dyDescent="0.4">
      <c r="B27" s="417">
        <v>20</v>
      </c>
      <c r="C27" s="174">
        <f t="shared" si="0"/>
        <v>44732</v>
      </c>
      <c r="D27" s="175" t="str">
        <f>IF(C27="","",INDEX({"रवि";"सोम";"मंगळ";"बुध";"गुरू";"शुक्र";"शनि"},WEEKDAY(C27)))</f>
        <v>सोम</v>
      </c>
      <c r="E27" s="177"/>
      <c r="F27" s="214"/>
      <c r="G27" s="212"/>
      <c r="H27" s="175"/>
      <c r="I27" s="218"/>
      <c r="J27" s="635"/>
      <c r="K27" s="620"/>
    </row>
    <row r="28" spans="2:11" ht="35.25" customHeight="1" x14ac:dyDescent="0.4">
      <c r="B28" s="417">
        <v>21</v>
      </c>
      <c r="C28" s="174">
        <f t="shared" si="0"/>
        <v>44733</v>
      </c>
      <c r="D28" s="175" t="str">
        <f>IF(C28="","",INDEX({"रवि";"सोम";"मंगळ";"बुध";"गुरू";"शुक्र";"शनि"},WEEKDAY(C28)))</f>
        <v>मंगळ</v>
      </c>
      <c r="E28" s="177"/>
      <c r="F28" s="214"/>
      <c r="G28" s="212"/>
      <c r="H28" s="175"/>
      <c r="I28" s="218"/>
      <c r="J28" s="635"/>
      <c r="K28" s="620"/>
    </row>
    <row r="29" spans="2:11" ht="35.25" customHeight="1" x14ac:dyDescent="0.4">
      <c r="B29" s="417">
        <v>22</v>
      </c>
      <c r="C29" s="174">
        <f t="shared" si="0"/>
        <v>44734</v>
      </c>
      <c r="D29" s="175" t="str">
        <f>IF(C29="","",INDEX({"रवि";"सोम";"मंगळ";"बुध";"गुरू";"शुक्र";"शनि"},WEEKDAY(C29)))</f>
        <v>बुध</v>
      </c>
      <c r="E29" s="177"/>
      <c r="F29" s="214"/>
      <c r="G29" s="212"/>
      <c r="H29" s="175"/>
      <c r="I29" s="218"/>
      <c r="J29" s="635"/>
      <c r="K29" s="620"/>
    </row>
    <row r="30" spans="2:11" ht="35.25" customHeight="1" x14ac:dyDescent="0.4">
      <c r="B30" s="417">
        <v>23</v>
      </c>
      <c r="C30" s="174">
        <f t="shared" si="0"/>
        <v>44735</v>
      </c>
      <c r="D30" s="175" t="str">
        <f>IF(C30="","",INDEX({"रवि";"सोम";"मंगळ";"बुध";"गुरू";"शुक्र";"शनि"},WEEKDAY(C30)))</f>
        <v>गुरू</v>
      </c>
      <c r="E30" s="177"/>
      <c r="F30" s="214"/>
      <c r="G30" s="212"/>
      <c r="H30" s="175"/>
      <c r="I30" s="218"/>
      <c r="J30" s="635"/>
      <c r="K30" s="620"/>
    </row>
    <row r="31" spans="2:11" ht="35.25" customHeight="1" x14ac:dyDescent="0.4">
      <c r="B31" s="417">
        <v>24</v>
      </c>
      <c r="C31" s="174">
        <f t="shared" si="0"/>
        <v>44736</v>
      </c>
      <c r="D31" s="175" t="str">
        <f>IF(C31="","",INDEX({"रवि";"सोम";"मंगळ";"बुध";"गुरू";"शुक्र";"शनि"},WEEKDAY(C31)))</f>
        <v>शुक्र</v>
      </c>
      <c r="E31" s="177"/>
      <c r="F31" s="214"/>
      <c r="G31" s="213"/>
      <c r="H31" s="175"/>
      <c r="I31" s="218"/>
      <c r="J31" s="635"/>
      <c r="K31" s="620"/>
    </row>
    <row r="32" spans="2:11" ht="35.25" customHeight="1" x14ac:dyDescent="0.4">
      <c r="B32" s="417">
        <v>25</v>
      </c>
      <c r="C32" s="174">
        <f t="shared" si="0"/>
        <v>44737</v>
      </c>
      <c r="D32" s="175" t="str">
        <f>IF(C32="","",INDEX({"रवि";"सोम";"मंगळ";"बुध";"गुरू";"शुक्र";"शनि"},WEEKDAY(C32)))</f>
        <v>शनि</v>
      </c>
      <c r="E32" s="177"/>
      <c r="F32" s="214"/>
      <c r="G32" s="212"/>
      <c r="H32" s="175"/>
      <c r="I32" s="218"/>
      <c r="J32" s="635"/>
      <c r="K32" s="620"/>
    </row>
    <row r="33" spans="2:11" ht="35.25" customHeight="1" x14ac:dyDescent="0.4">
      <c r="B33" s="417">
        <v>26</v>
      </c>
      <c r="C33" s="174">
        <f t="shared" si="0"/>
        <v>44738</v>
      </c>
      <c r="D33" s="175" t="str">
        <f>IF(C33="","",INDEX({"रवि";"सोम";"मंगळ";"बुध";"गुरू";"शुक्र";"शनि"},WEEKDAY(C33)))</f>
        <v>रवि</v>
      </c>
      <c r="E33" s="177"/>
      <c r="F33" s="214"/>
      <c r="G33" s="212"/>
      <c r="H33" s="175"/>
      <c r="I33" s="218"/>
      <c r="J33" s="635"/>
      <c r="K33" s="620"/>
    </row>
    <row r="34" spans="2:11" ht="35.25" customHeight="1" x14ac:dyDescent="0.4">
      <c r="B34" s="417">
        <v>27</v>
      </c>
      <c r="C34" s="174">
        <f t="shared" si="0"/>
        <v>44739</v>
      </c>
      <c r="D34" s="175" t="str">
        <f>IF(C34="","",INDEX({"रवि";"सोम";"मंगळ";"बुध";"गुरू";"शुक्र";"शनि"},WEEKDAY(C34)))</f>
        <v>सोम</v>
      </c>
      <c r="E34" s="177"/>
      <c r="F34" s="214"/>
      <c r="G34" s="212"/>
      <c r="H34" s="175"/>
      <c r="I34" s="218"/>
      <c r="J34" s="635"/>
      <c r="K34" s="620"/>
    </row>
    <row r="35" spans="2:11" ht="35.25" customHeight="1" x14ac:dyDescent="0.4">
      <c r="B35" s="417">
        <v>28</v>
      </c>
      <c r="C35" s="174">
        <f t="shared" si="0"/>
        <v>44740</v>
      </c>
      <c r="D35" s="175" t="str">
        <f>IF(C35="","",INDEX({"रवि";"सोम";"मंगळ";"बुध";"गुरू";"शुक्र";"शनि"},WEEKDAY(C35)))</f>
        <v>मंगळ</v>
      </c>
      <c r="E35" s="177"/>
      <c r="F35" s="214"/>
      <c r="G35" s="212"/>
      <c r="H35" s="175"/>
      <c r="I35" s="218"/>
      <c r="J35" s="635"/>
      <c r="K35" s="620"/>
    </row>
    <row r="36" spans="2:11" ht="35.25" customHeight="1" x14ac:dyDescent="0.4">
      <c r="B36" s="417">
        <v>29</v>
      </c>
      <c r="C36" s="174">
        <f t="shared" si="0"/>
        <v>44741</v>
      </c>
      <c r="D36" s="175" t="str">
        <f>IF(C36="","",INDEX({"रवि";"सोम";"मंगळ";"बुध";"गुरू";"शुक्र";"शनि"},WEEKDAY(C36)))</f>
        <v>बुध</v>
      </c>
      <c r="E36" s="177"/>
      <c r="F36" s="214"/>
      <c r="G36" s="212"/>
      <c r="H36" s="176"/>
      <c r="I36" s="176"/>
      <c r="J36" s="635"/>
      <c r="K36" s="620"/>
    </row>
    <row r="37" spans="2:11" ht="35.25" customHeight="1" x14ac:dyDescent="0.4">
      <c r="B37" s="417">
        <v>30</v>
      </c>
      <c r="C37" s="174">
        <f t="shared" si="0"/>
        <v>44742</v>
      </c>
      <c r="D37" s="175" t="str">
        <f>IF(C37="","",INDEX({"रवि";"सोम";"मंगळ";"बुध";"गुरू";"शुक्र";"शनि"},WEEKDAY(C37)))</f>
        <v>गुरू</v>
      </c>
      <c r="E37" s="352"/>
      <c r="F37" s="211"/>
      <c r="G37" s="215"/>
      <c r="H37" s="355"/>
      <c r="I37" s="355"/>
      <c r="J37" s="635"/>
      <c r="K37" s="620"/>
    </row>
    <row r="38" spans="2:11" ht="35.25" customHeight="1" x14ac:dyDescent="0.4">
      <c r="B38" s="417">
        <v>31</v>
      </c>
      <c r="C38" s="174">
        <f t="shared" si="0"/>
        <v>44743</v>
      </c>
      <c r="D38" s="175" t="str">
        <f>IF(C38="","",INDEX({"रवि";"सोम";"मंगळ";"बुध";"गुरू";"शुक्र";"शनि"},WEEKDAY(C38)))</f>
        <v>शुक्र</v>
      </c>
      <c r="E38" s="352"/>
      <c r="F38" s="211"/>
      <c r="G38" s="215"/>
      <c r="H38" s="355"/>
      <c r="I38" s="355"/>
      <c r="J38" s="635"/>
      <c r="K38" s="620"/>
    </row>
    <row r="39" spans="2:11" ht="35.25" customHeight="1" thickBot="1" x14ac:dyDescent="0.45">
      <c r="B39" s="621"/>
      <c r="C39" s="622" t="s">
        <v>35</v>
      </c>
      <c r="D39" s="623"/>
      <c r="E39" s="180"/>
      <c r="F39" s="636"/>
      <c r="G39" s="216"/>
      <c r="H39" s="624"/>
      <c r="I39" s="637"/>
      <c r="J39" s="638"/>
      <c r="K39" s="625"/>
    </row>
    <row r="40" spans="2:11" ht="35.25" customHeight="1" x14ac:dyDescent="0.3">
      <c r="C40" s="626"/>
    </row>
  </sheetData>
  <sheetProtection algorithmName="SHA-512" hashValue="fT8v8k+lHFWh+3ywKmgDJn2OSBt6VlKj5ohskiyl4IpvHmdCK6MgKVdBTrtSMzSNOf0IKsu1UzNANdQLBUQ0tg==" saltValue="hCekrdee2NrwfQZS+n+14w==" spinCount="100000" sheet="1" objects="1" scenarios="1" selectLockedCells="1"/>
  <protectedRanges>
    <protectedRange sqref="G2" name="Range3"/>
    <protectedRange sqref="I5:J5" name="Range1"/>
    <protectedRange sqref="E8:K39" name="Range2"/>
  </protectedRanges>
  <mergeCells count="13">
    <mergeCell ref="B2:E2"/>
    <mergeCell ref="C3:D3"/>
    <mergeCell ref="E3:H3"/>
    <mergeCell ref="J3:K3"/>
    <mergeCell ref="K6:K7"/>
    <mergeCell ref="F6:G7"/>
    <mergeCell ref="I6:J7"/>
    <mergeCell ref="D4:H4"/>
    <mergeCell ref="B6:B7"/>
    <mergeCell ref="C6:C7"/>
    <mergeCell ref="D6:D7"/>
    <mergeCell ref="E6:E7"/>
    <mergeCell ref="H6:H7"/>
  </mergeCells>
  <conditionalFormatting sqref="E9:E39">
    <cfRule type="containsText" dxfId="14" priority="1" operator="containsText" text="सुट्टी">
      <formula>NOT(ISERROR(SEARCH("सुट्टी",E9)))</formula>
    </cfRule>
  </conditionalFormatting>
  <conditionalFormatting sqref="F9:G39">
    <cfRule type="cellIs" dxfId="13" priority="3" operator="lessThan">
      <formula>1</formula>
    </cfRule>
  </conditionalFormatting>
  <conditionalFormatting sqref="E9:G39">
    <cfRule type="cellIs" dxfId="12" priority="2" operator="equal">
      <formula>0</formula>
    </cfRule>
  </conditionalFormatting>
  <dataValidations count="2">
    <dataValidation type="list" allowBlank="1" showInputMessage="1" showErrorMessage="1" sqref="I5">
      <formula1>month</formula1>
    </dataValidation>
    <dataValidation type="list" allowBlank="1" showInputMessage="1" showErrorMessage="1" sqref="G2">
      <formula1>"1 ते 5,6 ते 8 ,1 ते 8"</formula1>
    </dataValidation>
  </dataValidations>
  <printOptions horizontalCentered="1" verticalCentered="1"/>
  <pageMargins left="3.937007874015748E-2" right="0.16" top="0.22" bottom="0.33" header="0.24" footer="3.937007874015748E-2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J5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5DE64A"/>
    <pageSetUpPr fitToPage="1"/>
  </sheetPr>
  <dimension ref="B1:H36"/>
  <sheetViews>
    <sheetView showZeros="0" zoomScaleNormal="100" workbookViewId="0">
      <selection activeCell="D5" sqref="D5:J5"/>
    </sheetView>
  </sheetViews>
  <sheetFormatPr defaultRowHeight="34.5" customHeight="1" x14ac:dyDescent="0.4"/>
  <cols>
    <col min="1" max="2" width="9.140625" style="1"/>
    <col min="3" max="3" width="23.7109375" style="1" customWidth="1"/>
    <col min="4" max="4" width="29.7109375" style="1" customWidth="1"/>
    <col min="5" max="5" width="34.28515625" style="1" customWidth="1"/>
    <col min="6" max="6" width="20.42578125" style="1" customWidth="1"/>
    <col min="7" max="7" width="19.28515625" style="1" customWidth="1"/>
    <col min="8" max="8" width="18.28515625" style="1" customWidth="1"/>
    <col min="9" max="16384" width="9.140625" style="1"/>
  </cols>
  <sheetData>
    <row r="1" spans="2:8" ht="43.5" customHeight="1" thickBot="1" x14ac:dyDescent="0.45">
      <c r="D1" s="752"/>
    </row>
    <row r="2" spans="2:8" ht="34.5" customHeight="1" thickBot="1" x14ac:dyDescent="0.45">
      <c r="B2" s="1378" t="s">
        <v>633</v>
      </c>
      <c r="C2" s="1379"/>
      <c r="D2" s="1379"/>
      <c r="E2" s="753" t="s">
        <v>312</v>
      </c>
      <c r="F2" s="249">
        <f>HOME!E2</f>
        <v>2022</v>
      </c>
      <c r="G2" s="268">
        <f>HOME!F2</f>
        <v>2023</v>
      </c>
      <c r="H2" s="754"/>
    </row>
    <row r="3" spans="2:8" ht="34.5" customHeight="1" x14ac:dyDescent="0.4">
      <c r="B3" s="461" t="s">
        <v>334</v>
      </c>
      <c r="C3" s="1380" t="str">
        <f>'शाळा माहिती'!D4</f>
        <v>जि.प.प्रा.शा.बोरजाई वस्ती</v>
      </c>
      <c r="D3" s="1380"/>
      <c r="E3" s="755" t="s">
        <v>377</v>
      </c>
      <c r="F3" s="350" t="str">
        <f>'शाळा माहिती'!D7</f>
        <v>गंगापूर</v>
      </c>
    </row>
    <row r="4" spans="2:8" ht="34.5" customHeight="1" x14ac:dyDescent="0.4">
      <c r="B4" s="461" t="s">
        <v>256</v>
      </c>
      <c r="C4" s="350" t="str">
        <f>'शाळा माहिती'!D6</f>
        <v>जामगाव</v>
      </c>
      <c r="D4" s="21"/>
      <c r="E4" s="755" t="s">
        <v>378</v>
      </c>
      <c r="F4" s="350" t="str">
        <f>'शाळा माहिती'!D8</f>
        <v>औरंगाबाद</v>
      </c>
    </row>
    <row r="5" spans="2:8" ht="34.5" customHeight="1" x14ac:dyDescent="0.4">
      <c r="B5" s="756" t="s">
        <v>86</v>
      </c>
      <c r="C5" s="756" t="s">
        <v>17</v>
      </c>
      <c r="D5" s="756" t="s">
        <v>629</v>
      </c>
      <c r="E5" s="756" t="s">
        <v>630</v>
      </c>
      <c r="F5" s="756" t="s">
        <v>631</v>
      </c>
      <c r="G5" s="756" t="s">
        <v>632</v>
      </c>
      <c r="H5" s="756" t="s">
        <v>454</v>
      </c>
    </row>
    <row r="6" spans="2:8" ht="34.5" customHeight="1" x14ac:dyDescent="0.4">
      <c r="B6" s="172">
        <v>1</v>
      </c>
      <c r="C6" s="234" t="str">
        <f>IFERROR(VLOOKUP(B6,'बँक जमा खर्च पासबुक'!$AR$6:AV$111,5,0),"")</f>
        <v/>
      </c>
      <c r="D6" s="223" t="str">
        <f>IFERROR(VLOOKUP(B6,'बँक जमा खर्च पासबुक'!AR6:AV111,2,0),"")</f>
        <v/>
      </c>
      <c r="E6" s="223" t="str">
        <f>IFERROR(VLOOKUP(B6,'बँक जमा खर्च पासबुक'!$AR$6:$AV$111,3,0),"")</f>
        <v/>
      </c>
      <c r="F6" s="262" t="str">
        <f>IFERROR(VLOOKUP(B6,'बँक जमा खर्च पासबुक'!$AR$6:$AV$111,4,0),"")</f>
        <v/>
      </c>
      <c r="G6" s="172"/>
      <c r="H6" s="398"/>
    </row>
    <row r="7" spans="2:8" ht="34.5" customHeight="1" x14ac:dyDescent="0.4">
      <c r="B7" s="172">
        <v>2</v>
      </c>
      <c r="C7" s="234" t="str">
        <f>IFERROR(VLOOKUP(B7,'बँक जमा खर्च पासबुक'!$AR$6:AV$111,5,0),"")</f>
        <v/>
      </c>
      <c r="D7" s="223" t="str">
        <f>IFERROR(VLOOKUP(B7,'बँक जमा खर्च पासबुक'!AR7:AV112,2,0),"")</f>
        <v/>
      </c>
      <c r="E7" s="223" t="str">
        <f>IFERROR(VLOOKUP(B7,'बँक जमा खर्च पासबुक'!$AR$6:$AV$111,3,0),"")</f>
        <v/>
      </c>
      <c r="F7" s="262" t="str">
        <f>IFERROR(VLOOKUP(B7,'बँक जमा खर्च पासबुक'!$AR$6:$AV$111,4,0),"")</f>
        <v/>
      </c>
      <c r="G7" s="172"/>
      <c r="H7" s="398"/>
    </row>
    <row r="8" spans="2:8" ht="34.5" customHeight="1" x14ac:dyDescent="0.4">
      <c r="B8" s="172">
        <v>3</v>
      </c>
      <c r="C8" s="234" t="str">
        <f>IFERROR(VLOOKUP(B8,'बँक जमा खर्च पासबुक'!$AR$6:AV$111,5,0),"")</f>
        <v/>
      </c>
      <c r="D8" s="223" t="str">
        <f>IFERROR(VLOOKUP(B8,'बँक जमा खर्च पासबुक'!AR8:AV113,2,0),"")</f>
        <v/>
      </c>
      <c r="E8" s="223" t="str">
        <f>IFERROR(VLOOKUP(B8,'बँक जमा खर्च पासबुक'!$AR$6:$AV$111,3,0),"")</f>
        <v/>
      </c>
      <c r="F8" s="262" t="str">
        <f>IFERROR(VLOOKUP(B8,'बँक जमा खर्च पासबुक'!$AR$6:$AV$111,4,0),"")</f>
        <v/>
      </c>
      <c r="G8" s="172"/>
      <c r="H8" s="398"/>
    </row>
    <row r="9" spans="2:8" ht="34.5" customHeight="1" x14ac:dyDescent="0.4">
      <c r="B9" s="172">
        <v>4</v>
      </c>
      <c r="C9" s="234" t="str">
        <f>IFERROR(VLOOKUP(B9,'बँक जमा खर्च पासबुक'!$AR$6:AV$111,5,0),"")</f>
        <v/>
      </c>
      <c r="D9" s="223" t="str">
        <f>IFERROR(VLOOKUP(B9,'बँक जमा खर्च पासबुक'!AR9:AV114,2,0),"")</f>
        <v/>
      </c>
      <c r="E9" s="223" t="str">
        <f>IFERROR(VLOOKUP(B9,'बँक जमा खर्च पासबुक'!$AR$6:$AV$111,3,0),"")</f>
        <v/>
      </c>
      <c r="F9" s="262" t="str">
        <f>IFERROR(VLOOKUP(B9,'बँक जमा खर्च पासबुक'!$AR$6:$AV$111,4,0),"")</f>
        <v/>
      </c>
      <c r="G9" s="172"/>
      <c r="H9" s="398"/>
    </row>
    <row r="10" spans="2:8" ht="34.5" customHeight="1" x14ac:dyDescent="0.4">
      <c r="B10" s="172">
        <v>5</v>
      </c>
      <c r="C10" s="234" t="str">
        <f>IFERROR(VLOOKUP(B10,'बँक जमा खर्च पासबुक'!$AR$6:AV$111,5,0),"")</f>
        <v/>
      </c>
      <c r="D10" s="223" t="str">
        <f>IFERROR(VLOOKUP(B10,'बँक जमा खर्च पासबुक'!AR10:AV115,2,0),"")</f>
        <v/>
      </c>
      <c r="E10" s="223" t="str">
        <f>IFERROR(VLOOKUP(B10,'बँक जमा खर्च पासबुक'!$AR$6:$AV$111,3,0),"")</f>
        <v/>
      </c>
      <c r="F10" s="262" t="str">
        <f>IFERROR(VLOOKUP(B10,'बँक जमा खर्च पासबुक'!$AR$6:$AV$111,4,0),"")</f>
        <v/>
      </c>
      <c r="G10" s="172"/>
      <c r="H10" s="398"/>
    </row>
    <row r="11" spans="2:8" ht="34.5" customHeight="1" x14ac:dyDescent="0.4">
      <c r="B11" s="172">
        <v>6</v>
      </c>
      <c r="C11" s="234" t="str">
        <f>IFERROR(VLOOKUP(B11,'बँक जमा खर्च पासबुक'!$AR$6:AV$111,5,0),"")</f>
        <v/>
      </c>
      <c r="D11" s="223" t="str">
        <f>IFERROR(VLOOKUP(B11,'बँक जमा खर्च पासबुक'!AR11:AV116,2,0),"")</f>
        <v/>
      </c>
      <c r="E11" s="223" t="str">
        <f>IFERROR(VLOOKUP(B11,'बँक जमा खर्च पासबुक'!$AR$6:$AV$111,3,0),"")</f>
        <v/>
      </c>
      <c r="F11" s="262" t="str">
        <f>IFERROR(VLOOKUP(B11,'बँक जमा खर्च पासबुक'!$AR$6:$AV$111,4,0),"")</f>
        <v/>
      </c>
      <c r="G11" s="172"/>
      <c r="H11" s="398"/>
    </row>
    <row r="12" spans="2:8" ht="34.5" customHeight="1" x14ac:dyDescent="0.4">
      <c r="B12" s="172">
        <v>7</v>
      </c>
      <c r="C12" s="234" t="str">
        <f>IFERROR(VLOOKUP(B12,'बँक जमा खर्च पासबुक'!$AR$6:AV$111,5,0),"")</f>
        <v/>
      </c>
      <c r="D12" s="223" t="str">
        <f>IFERROR(VLOOKUP(B12,'बँक जमा खर्च पासबुक'!AR12:AV117,2,0),"")</f>
        <v/>
      </c>
      <c r="E12" s="223" t="str">
        <f>IFERROR(VLOOKUP(B12,'बँक जमा खर्च पासबुक'!$AR$6:$AV$111,3,0),"")</f>
        <v/>
      </c>
      <c r="F12" s="262" t="str">
        <f>IFERROR(VLOOKUP(B12,'बँक जमा खर्च पासबुक'!$AR$6:$AV$111,4,0),"")</f>
        <v/>
      </c>
      <c r="G12" s="172"/>
      <c r="H12" s="398"/>
    </row>
    <row r="13" spans="2:8" ht="34.5" customHeight="1" x14ac:dyDescent="0.4">
      <c r="B13" s="172">
        <v>8</v>
      </c>
      <c r="C13" s="234" t="str">
        <f>IFERROR(VLOOKUP(B13,'बँक जमा खर्च पासबुक'!$AR$6:AV$111,5,0),"")</f>
        <v/>
      </c>
      <c r="D13" s="223" t="str">
        <f>IFERROR(VLOOKUP(B13,'बँक जमा खर्च पासबुक'!AR13:AV118,2,0),"")</f>
        <v/>
      </c>
      <c r="E13" s="223" t="str">
        <f>IFERROR(VLOOKUP(B13,'बँक जमा खर्च पासबुक'!$AR$6:$AV$111,3,0),"")</f>
        <v/>
      </c>
      <c r="F13" s="262" t="str">
        <f>IFERROR(VLOOKUP(B13,'बँक जमा खर्च पासबुक'!$AR$6:$AV$111,4,0),"")</f>
        <v/>
      </c>
      <c r="G13" s="172"/>
      <c r="H13" s="398"/>
    </row>
    <row r="14" spans="2:8" ht="34.5" customHeight="1" x14ac:dyDescent="0.4">
      <c r="B14" s="172">
        <v>9</v>
      </c>
      <c r="C14" s="234" t="str">
        <f>IFERROR(VLOOKUP(B14,'बँक जमा खर्च पासबुक'!$AR$6:AV$111,5,0),"")</f>
        <v/>
      </c>
      <c r="D14" s="223" t="str">
        <f>IFERROR(VLOOKUP(B14,'बँक जमा खर्च पासबुक'!AR14:AV119,2,0),"")</f>
        <v/>
      </c>
      <c r="E14" s="223" t="str">
        <f>IFERROR(VLOOKUP(B14,'बँक जमा खर्च पासबुक'!$AR$6:$AV$111,3,0),"")</f>
        <v/>
      </c>
      <c r="F14" s="262" t="str">
        <f>IFERROR(VLOOKUP(B14,'बँक जमा खर्च पासबुक'!$AR$6:$AV$111,4,0),"")</f>
        <v/>
      </c>
      <c r="G14" s="172"/>
      <c r="H14" s="398"/>
    </row>
    <row r="15" spans="2:8" ht="34.5" customHeight="1" x14ac:dyDescent="0.4">
      <c r="B15" s="172">
        <v>10</v>
      </c>
      <c r="C15" s="234" t="str">
        <f>IFERROR(VLOOKUP(B15,'बँक जमा खर्च पासबुक'!$AR$6:AV$111,5,0),"")</f>
        <v/>
      </c>
      <c r="D15" s="223" t="str">
        <f>IFERROR(VLOOKUP(B15,'बँक जमा खर्च पासबुक'!AR15:AV120,2,0),"")</f>
        <v/>
      </c>
      <c r="E15" s="223" t="str">
        <f>IFERROR(VLOOKUP(B15,'बँक जमा खर्च पासबुक'!$AR$6:$AV$111,3,0),"")</f>
        <v/>
      </c>
      <c r="F15" s="262" t="str">
        <f>IFERROR(VLOOKUP(B15,'बँक जमा खर्च पासबुक'!$AR$6:$AV$111,4,0),"")</f>
        <v/>
      </c>
      <c r="G15" s="172"/>
      <c r="H15" s="398"/>
    </row>
    <row r="16" spans="2:8" ht="34.5" customHeight="1" x14ac:dyDescent="0.4">
      <c r="B16" s="172">
        <v>11</v>
      </c>
      <c r="C16" s="234" t="str">
        <f>IFERROR(VLOOKUP(B16,'बँक जमा खर्च पासबुक'!$AR$6:AV$111,5,0),"")</f>
        <v/>
      </c>
      <c r="D16" s="223" t="str">
        <f>IFERROR(VLOOKUP(B16,'बँक जमा खर्च पासबुक'!AR16:AV121,2,0),"")</f>
        <v/>
      </c>
      <c r="E16" s="223" t="str">
        <f>IFERROR(VLOOKUP(B16,'बँक जमा खर्च पासबुक'!$AR$6:$AV$111,3,0),"")</f>
        <v/>
      </c>
      <c r="F16" s="262" t="str">
        <f>IFERROR(VLOOKUP(B16,'बँक जमा खर्च पासबुक'!$AR$6:$AV$111,4,0),"")</f>
        <v/>
      </c>
      <c r="G16" s="172"/>
      <c r="H16" s="398"/>
    </row>
    <row r="17" spans="2:8" ht="34.5" customHeight="1" x14ac:dyDescent="0.4">
      <c r="B17" s="172">
        <v>12</v>
      </c>
      <c r="C17" s="234" t="str">
        <f>IFERROR(VLOOKUP(B17,'बँक जमा खर्च पासबुक'!$AR$6:AV$111,5,0),"")</f>
        <v/>
      </c>
      <c r="D17" s="223" t="str">
        <f>IFERROR(VLOOKUP(B17,'बँक जमा खर्च पासबुक'!AR17:AV122,2,0),"")</f>
        <v/>
      </c>
      <c r="E17" s="223" t="str">
        <f>IFERROR(VLOOKUP(B17,'बँक जमा खर्च पासबुक'!$AR$6:$AV$111,3,0),"")</f>
        <v/>
      </c>
      <c r="F17" s="262" t="str">
        <f>IFERROR(VLOOKUP(B17,'बँक जमा खर्च पासबुक'!$AR$6:$AV$111,4,0),"")</f>
        <v/>
      </c>
      <c r="G17" s="172"/>
      <c r="H17" s="398"/>
    </row>
    <row r="18" spans="2:8" ht="34.5" customHeight="1" x14ac:dyDescent="0.4">
      <c r="B18" s="172">
        <v>13</v>
      </c>
      <c r="C18" s="234" t="str">
        <f>IFERROR(VLOOKUP(B18,'बँक जमा खर्च पासबुक'!$AR$6:AV$111,5,0),"")</f>
        <v/>
      </c>
      <c r="D18" s="223" t="str">
        <f>IFERROR(VLOOKUP(B18,'बँक जमा खर्च पासबुक'!AR18:AV123,2,0),"")</f>
        <v/>
      </c>
      <c r="E18" s="223" t="str">
        <f>IFERROR(VLOOKUP(B18,'बँक जमा खर्च पासबुक'!$AR$6:$AV$111,3,0),"")</f>
        <v/>
      </c>
      <c r="F18" s="262" t="str">
        <f>IFERROR(VLOOKUP(B18,'बँक जमा खर्च पासबुक'!$AR$6:$AV$111,4,0),"")</f>
        <v/>
      </c>
      <c r="G18" s="172"/>
      <c r="H18" s="398"/>
    </row>
    <row r="19" spans="2:8" ht="34.5" customHeight="1" x14ac:dyDescent="0.4">
      <c r="B19" s="172">
        <v>14</v>
      </c>
      <c r="C19" s="234" t="str">
        <f>IFERROR(VLOOKUP(B19,'बँक जमा खर्च पासबुक'!$AR$6:AV$111,5,0),"")</f>
        <v/>
      </c>
      <c r="D19" s="223" t="str">
        <f>IFERROR(VLOOKUP(B19,'बँक जमा खर्च पासबुक'!AR19:AV124,2,0),"")</f>
        <v/>
      </c>
      <c r="E19" s="223" t="str">
        <f>IFERROR(VLOOKUP(B19,'बँक जमा खर्च पासबुक'!$AR$6:$AV$111,3,0),"")</f>
        <v/>
      </c>
      <c r="F19" s="262" t="str">
        <f>IFERROR(VLOOKUP(B19,'बँक जमा खर्च पासबुक'!$AR$6:$AV$111,4,0),"")</f>
        <v/>
      </c>
      <c r="G19" s="172"/>
      <c r="H19" s="398"/>
    </row>
    <row r="20" spans="2:8" ht="34.5" customHeight="1" x14ac:dyDescent="0.4">
      <c r="B20" s="172">
        <v>15</v>
      </c>
      <c r="C20" s="234" t="str">
        <f>IFERROR(VLOOKUP(B20,'बँक जमा खर्च पासबुक'!$AR$6:AV$111,5,0),"")</f>
        <v/>
      </c>
      <c r="D20" s="223" t="str">
        <f>IFERROR(VLOOKUP(B20,'बँक जमा खर्च पासबुक'!AR20:AV125,2,0),"")</f>
        <v/>
      </c>
      <c r="E20" s="223" t="str">
        <f>IFERROR(VLOOKUP(B20,'बँक जमा खर्च पासबुक'!$AR$6:$AV$111,3,0),"")</f>
        <v/>
      </c>
      <c r="F20" s="262" t="str">
        <f>IFERROR(VLOOKUP(B20,'बँक जमा खर्च पासबुक'!$AR$6:$AV$111,4,0),"")</f>
        <v/>
      </c>
      <c r="G20" s="172"/>
      <c r="H20" s="398"/>
    </row>
    <row r="21" spans="2:8" ht="34.5" customHeight="1" x14ac:dyDescent="0.4">
      <c r="B21" s="172">
        <v>16</v>
      </c>
      <c r="C21" s="234" t="str">
        <f>IFERROR(VLOOKUP(B21,'बँक जमा खर्च पासबुक'!$AR$6:AV$111,5,0),"")</f>
        <v/>
      </c>
      <c r="D21" s="223" t="str">
        <f>IFERROR(VLOOKUP(B21,'बँक जमा खर्च पासबुक'!AR21:AV126,2,0),"")</f>
        <v/>
      </c>
      <c r="E21" s="223" t="str">
        <f>IFERROR(VLOOKUP(B21,'बँक जमा खर्च पासबुक'!$AR$6:$AV$111,3,0),"")</f>
        <v/>
      </c>
      <c r="F21" s="262" t="str">
        <f>IFERROR(VLOOKUP(B21,'बँक जमा खर्च पासबुक'!$AR$6:$AV$111,4,0),"")</f>
        <v/>
      </c>
      <c r="G21" s="172"/>
      <c r="H21" s="398"/>
    </row>
    <row r="22" spans="2:8" ht="34.5" customHeight="1" x14ac:dyDescent="0.4">
      <c r="B22" s="172">
        <v>17</v>
      </c>
      <c r="C22" s="234" t="str">
        <f>IFERROR(VLOOKUP(B22,'बँक जमा खर्च पासबुक'!$AR$6:AV$111,5,0),"")</f>
        <v/>
      </c>
      <c r="D22" s="223" t="str">
        <f>IFERROR(VLOOKUP(B22,'बँक जमा खर्च पासबुक'!AR22:AV127,2,0),"")</f>
        <v/>
      </c>
      <c r="E22" s="223" t="str">
        <f>IFERROR(VLOOKUP(B22,'बँक जमा खर्च पासबुक'!$AR$6:$AV$111,3,0),"")</f>
        <v/>
      </c>
      <c r="F22" s="262" t="str">
        <f>IFERROR(VLOOKUP(B22,'बँक जमा खर्च पासबुक'!$AR$6:$AV$111,4,0),"")</f>
        <v/>
      </c>
      <c r="G22" s="172"/>
      <c r="H22" s="398"/>
    </row>
    <row r="23" spans="2:8" ht="34.5" customHeight="1" x14ac:dyDescent="0.4">
      <c r="B23" s="172">
        <v>18</v>
      </c>
      <c r="C23" s="234" t="str">
        <f>IFERROR(VLOOKUP(B23,'बँक जमा खर्च पासबुक'!$AR$6:AV$111,5,0),"")</f>
        <v/>
      </c>
      <c r="D23" s="223" t="str">
        <f>IFERROR(VLOOKUP(B23,'बँक जमा खर्च पासबुक'!AR23:AV128,2,0),"")</f>
        <v/>
      </c>
      <c r="E23" s="223" t="str">
        <f>IFERROR(VLOOKUP(B23,'बँक जमा खर्च पासबुक'!$AR$6:$AV$111,3,0),"")</f>
        <v/>
      </c>
      <c r="F23" s="262" t="str">
        <f>IFERROR(VLOOKUP(B23,'बँक जमा खर्च पासबुक'!$AR$6:$AV$111,4,0),"")</f>
        <v/>
      </c>
      <c r="G23" s="172"/>
      <c r="H23" s="398"/>
    </row>
    <row r="24" spans="2:8" ht="34.5" customHeight="1" x14ac:dyDescent="0.4">
      <c r="B24" s="172">
        <v>19</v>
      </c>
      <c r="C24" s="234" t="str">
        <f>IFERROR(VLOOKUP(B24,'बँक जमा खर्च पासबुक'!$AR$6:AV$111,5,0),"")</f>
        <v/>
      </c>
      <c r="D24" s="223" t="str">
        <f>IFERROR(VLOOKUP(B24,'बँक जमा खर्च पासबुक'!AR24:AV129,2,0),"")</f>
        <v/>
      </c>
      <c r="E24" s="223" t="str">
        <f>IFERROR(VLOOKUP(B24,'बँक जमा खर्च पासबुक'!$AR$6:$AV$111,3,0),"")</f>
        <v/>
      </c>
      <c r="F24" s="262" t="str">
        <f>IFERROR(VLOOKUP(B24,'बँक जमा खर्च पासबुक'!$AR$6:$AV$111,4,0),"")</f>
        <v/>
      </c>
      <c r="G24" s="172"/>
      <c r="H24" s="398"/>
    </row>
    <row r="25" spans="2:8" ht="34.5" customHeight="1" x14ac:dyDescent="0.4">
      <c r="B25" s="172">
        <v>20</v>
      </c>
      <c r="C25" s="234" t="str">
        <f>IFERROR(VLOOKUP(B25,'बँक जमा खर्च पासबुक'!$AR$6:AV$111,5,0),"")</f>
        <v/>
      </c>
      <c r="D25" s="223" t="str">
        <f>IFERROR(VLOOKUP(B25,'बँक जमा खर्च पासबुक'!AR25:AV130,2,0),"")</f>
        <v/>
      </c>
      <c r="E25" s="223" t="str">
        <f>IFERROR(VLOOKUP(B25,'बँक जमा खर्च पासबुक'!$AR$6:$AV$111,3,0),"")</f>
        <v/>
      </c>
      <c r="F25" s="262" t="str">
        <f>IFERROR(VLOOKUP(B25,'बँक जमा खर्च पासबुक'!$AR$6:$AV$111,4,0),"")</f>
        <v/>
      </c>
      <c r="G25" s="172"/>
      <c r="H25" s="398"/>
    </row>
    <row r="26" spans="2:8" ht="34.5" customHeight="1" x14ac:dyDescent="0.4">
      <c r="B26" s="172">
        <v>21</v>
      </c>
      <c r="C26" s="234" t="str">
        <f>IFERROR(VLOOKUP(B26,'बँक जमा खर्च पासबुक'!$AR$6:AV$111,5,0),"")</f>
        <v/>
      </c>
      <c r="D26" s="223" t="str">
        <f>IFERROR(VLOOKUP(B26,'बँक जमा खर्च पासबुक'!AR26:AV131,2,0),"")</f>
        <v/>
      </c>
      <c r="E26" s="223" t="str">
        <f>IFERROR(VLOOKUP(B26,'बँक जमा खर्च पासबुक'!$AR$6:$AV$111,3,0),"")</f>
        <v/>
      </c>
      <c r="F26" s="262" t="str">
        <f>IFERROR(VLOOKUP(B26,'बँक जमा खर्च पासबुक'!$AR$6:$AV$111,4,0),"")</f>
        <v/>
      </c>
      <c r="G26" s="172"/>
      <c r="H26" s="398"/>
    </row>
    <row r="27" spans="2:8" ht="34.5" customHeight="1" x14ac:dyDescent="0.4">
      <c r="B27" s="172">
        <v>22</v>
      </c>
      <c r="C27" s="234" t="str">
        <f>IFERROR(VLOOKUP(B27,'बँक जमा खर्च पासबुक'!$AR$6:AV$111,5,0),"")</f>
        <v/>
      </c>
      <c r="D27" s="223" t="str">
        <f>IFERROR(VLOOKUP(B27,'बँक जमा खर्च पासबुक'!AR27:AV132,2,0),"")</f>
        <v/>
      </c>
      <c r="E27" s="223" t="str">
        <f>IFERROR(VLOOKUP(B27,'बँक जमा खर्च पासबुक'!$AR$6:$AV$111,3,0),"")</f>
        <v/>
      </c>
      <c r="F27" s="262" t="str">
        <f>IFERROR(VLOOKUP(B27,'बँक जमा खर्च पासबुक'!$AR$6:$AV$111,4,0),"")</f>
        <v/>
      </c>
      <c r="G27" s="172"/>
      <c r="H27" s="398"/>
    </row>
    <row r="28" spans="2:8" ht="34.5" customHeight="1" x14ac:dyDescent="0.4">
      <c r="B28" s="172">
        <v>23</v>
      </c>
      <c r="C28" s="234" t="str">
        <f>IFERROR(VLOOKUP(B28,'बँक जमा खर्च पासबुक'!$AR$6:AV$111,5,0),"")</f>
        <v/>
      </c>
      <c r="D28" s="223" t="str">
        <f>IFERROR(VLOOKUP(B28,'बँक जमा खर्च पासबुक'!AR28:AV133,2,0),"")</f>
        <v/>
      </c>
      <c r="E28" s="223" t="str">
        <f>IFERROR(VLOOKUP(B28,'बँक जमा खर्च पासबुक'!$AR$6:$AV$111,3,0),"")</f>
        <v/>
      </c>
      <c r="F28" s="262" t="str">
        <f>IFERROR(VLOOKUP(B28,'बँक जमा खर्च पासबुक'!$AR$6:$AV$111,4,0),"")</f>
        <v/>
      </c>
      <c r="G28" s="172"/>
      <c r="H28" s="398"/>
    </row>
    <row r="29" spans="2:8" ht="34.5" customHeight="1" x14ac:dyDescent="0.4">
      <c r="B29" s="172">
        <v>24</v>
      </c>
      <c r="C29" s="234" t="str">
        <f>IFERROR(VLOOKUP(B29,'बँक जमा खर्च पासबुक'!$AR$6:AV$111,5,0),"")</f>
        <v/>
      </c>
      <c r="D29" s="223" t="str">
        <f>IFERROR(VLOOKUP(B29,'बँक जमा खर्च पासबुक'!AR29:AV134,2,0),"")</f>
        <v/>
      </c>
      <c r="E29" s="223" t="str">
        <f>IFERROR(VLOOKUP(B29,'बँक जमा खर्च पासबुक'!$AR$6:$AV$111,3,0),"")</f>
        <v/>
      </c>
      <c r="F29" s="262" t="str">
        <f>IFERROR(VLOOKUP(B29,'बँक जमा खर्च पासबुक'!$AR$6:$AV$111,4,0),"")</f>
        <v/>
      </c>
      <c r="G29" s="172"/>
      <c r="H29" s="398"/>
    </row>
    <row r="30" spans="2:8" ht="34.5" customHeight="1" x14ac:dyDescent="0.4">
      <c r="B30" s="172">
        <v>25</v>
      </c>
      <c r="C30" s="234" t="str">
        <f>IFERROR(VLOOKUP(B30,'बँक जमा खर्च पासबुक'!$AR$6:AV$111,5,0),"")</f>
        <v/>
      </c>
      <c r="D30" s="223" t="str">
        <f>IFERROR(VLOOKUP(B30,'बँक जमा खर्च पासबुक'!AR30:AV135,2,0),"")</f>
        <v/>
      </c>
      <c r="E30" s="223" t="str">
        <f>IFERROR(VLOOKUP(B30,'बँक जमा खर्च पासबुक'!$AR$6:$AV$111,3,0),"")</f>
        <v/>
      </c>
      <c r="F30" s="262" t="str">
        <f>IFERROR(VLOOKUP(B30,'बँक जमा खर्च पासबुक'!$AR$6:$AV$111,4,0),"")</f>
        <v/>
      </c>
      <c r="G30" s="172"/>
      <c r="H30" s="398"/>
    </row>
    <row r="31" spans="2:8" ht="34.5" customHeight="1" x14ac:dyDescent="0.4">
      <c r="B31" s="172">
        <v>26</v>
      </c>
      <c r="C31" s="234" t="str">
        <f>IFERROR(VLOOKUP(B31,'बँक जमा खर्च पासबुक'!$AR$6:AV$111,5,0),"")</f>
        <v/>
      </c>
      <c r="D31" s="223" t="str">
        <f>IFERROR(VLOOKUP(B31,'बँक जमा खर्च पासबुक'!AR31:AV136,2,0),"")</f>
        <v/>
      </c>
      <c r="E31" s="223" t="str">
        <f>IFERROR(VLOOKUP(B31,'बँक जमा खर्च पासबुक'!$AR$6:$AV$111,3,0),"")</f>
        <v/>
      </c>
      <c r="F31" s="262" t="str">
        <f>IFERROR(VLOOKUP(B31,'बँक जमा खर्च पासबुक'!$AR$6:$AV$111,4,0),"")</f>
        <v/>
      </c>
      <c r="G31" s="172"/>
      <c r="H31" s="398"/>
    </row>
    <row r="32" spans="2:8" ht="34.5" customHeight="1" x14ac:dyDescent="0.4">
      <c r="B32" s="172">
        <v>27</v>
      </c>
      <c r="C32" s="234" t="str">
        <f>IFERROR(VLOOKUP(B32,'बँक जमा खर्च पासबुक'!$AR$6:AV$111,5,0),"")</f>
        <v/>
      </c>
      <c r="D32" s="223" t="str">
        <f>IFERROR(VLOOKUP(B32,'बँक जमा खर्च पासबुक'!AR32:AV137,2,0),"")</f>
        <v/>
      </c>
      <c r="E32" s="223" t="str">
        <f>IFERROR(VLOOKUP(B32,'बँक जमा खर्च पासबुक'!$AR$6:$AV$111,3,0),"")</f>
        <v/>
      </c>
      <c r="F32" s="262" t="str">
        <f>IFERROR(VLOOKUP(B32,'बँक जमा खर्च पासबुक'!$AR$6:$AV$111,4,0),"")</f>
        <v/>
      </c>
      <c r="G32" s="172"/>
      <c r="H32" s="398"/>
    </row>
    <row r="33" spans="2:8" ht="34.5" customHeight="1" x14ac:dyDescent="0.4">
      <c r="B33" s="172">
        <v>28</v>
      </c>
      <c r="C33" s="234" t="str">
        <f>IFERROR(VLOOKUP(B33,'बँक जमा खर्च पासबुक'!$AR$6:AV$111,5,0),"")</f>
        <v/>
      </c>
      <c r="D33" s="223" t="str">
        <f>IFERROR(VLOOKUP(B33,'बँक जमा खर्च पासबुक'!AR33:AV138,2,0),"")</f>
        <v/>
      </c>
      <c r="E33" s="223" t="str">
        <f>IFERROR(VLOOKUP(B33,'बँक जमा खर्च पासबुक'!$AR$6:$AV$111,3,0),"")</f>
        <v/>
      </c>
      <c r="F33" s="262" t="str">
        <f>IFERROR(VLOOKUP(B33,'बँक जमा खर्च पासबुक'!$AR$6:$AV$111,4,0),"")</f>
        <v/>
      </c>
      <c r="G33" s="172"/>
      <c r="H33" s="398"/>
    </row>
    <row r="34" spans="2:8" ht="34.5" customHeight="1" x14ac:dyDescent="0.4">
      <c r="B34" s="172">
        <v>29</v>
      </c>
      <c r="C34" s="234" t="str">
        <f>IFERROR(VLOOKUP(B34,'बँक जमा खर्च पासबुक'!$AR$6:AV$111,5,0),"")</f>
        <v/>
      </c>
      <c r="D34" s="223" t="str">
        <f>IFERROR(VLOOKUP(B34,'बँक जमा खर्च पासबुक'!AR34:AV139,2,0),"")</f>
        <v/>
      </c>
      <c r="E34" s="223" t="str">
        <f>IFERROR(VLOOKUP(B34,'बँक जमा खर्च पासबुक'!$AR$6:$AV$111,3,0),"")</f>
        <v/>
      </c>
      <c r="F34" s="262" t="str">
        <f>IFERROR(VLOOKUP(B34,'बँक जमा खर्च पासबुक'!$AR$6:$AV$111,4,0),"")</f>
        <v/>
      </c>
      <c r="G34" s="172"/>
      <c r="H34" s="398"/>
    </row>
    <row r="35" spans="2:8" ht="34.5" customHeight="1" x14ac:dyDescent="0.4">
      <c r="B35" s="757">
        <v>30</v>
      </c>
      <c r="C35" s="248" t="str">
        <f>IFERROR(VLOOKUP(B35,'बँक जमा खर्च पासबुक'!$AR$6:AV$111,5,0),"")</f>
        <v/>
      </c>
      <c r="D35" s="164" t="str">
        <f>IFERROR(VLOOKUP(B35,'बँक जमा खर्च पासबुक'!AR35:AV140,2,0),"")</f>
        <v/>
      </c>
      <c r="E35" s="164" t="str">
        <f>IFERROR(VLOOKUP(B35,'बँक जमा खर्च पासबुक'!$AR$6:$AV$111,3,0),"")</f>
        <v/>
      </c>
      <c r="F35" s="263" t="str">
        <f>IFERROR(VLOOKUP(B35,'बँक जमा खर्च पासबुक'!$AR$6:$AV$111,4,0),"")</f>
        <v/>
      </c>
      <c r="G35" s="757"/>
      <c r="H35" s="398"/>
    </row>
    <row r="36" spans="2:8" ht="32.25" customHeight="1" x14ac:dyDescent="0.4">
      <c r="B36" s="758"/>
      <c r="C36" s="1381" t="s">
        <v>100</v>
      </c>
      <c r="D36" s="1382"/>
      <c r="E36" s="1383"/>
      <c r="F36" s="759">
        <f>SUM(F6:F35)</f>
        <v>0</v>
      </c>
      <c r="G36" s="758"/>
      <c r="H36" s="758"/>
    </row>
  </sheetData>
  <sheetProtection algorithmName="SHA-512" hashValue="6gA/RSTBky4ald3rQoWK3iVJvGwd2PE1v2x5sFqTtLKyzATc/jZUDsMdSXAyTHYGg+zBPtUA1hcRW8aKIQ/XRg==" saltValue="2ssIziRzl4pXK5HLD9McxQ==" spinCount="100000" sheet="1" objects="1" scenarios="1" selectLockedCells="1"/>
  <protectedRanges>
    <protectedRange sqref="H6:H35" name="Range1"/>
  </protectedRanges>
  <mergeCells count="3">
    <mergeCell ref="B2:D2"/>
    <mergeCell ref="C3:D3"/>
    <mergeCell ref="C36:E36"/>
  </mergeCells>
  <printOptions horizontalCentered="1" verticalCentered="1"/>
  <pageMargins left="0.51181102362204722" right="0.39370078740157483" top="0.39370078740157483" bottom="0.39370078740157483" header="0.31496062992125984" footer="0.31496062992125984"/>
  <pageSetup paperSize="9" scale="57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00FF"/>
    <pageSetUpPr fitToPage="1"/>
  </sheetPr>
  <dimension ref="B1:AQ32"/>
  <sheetViews>
    <sheetView showRowColHeaders="0" showZeros="0" zoomScaleNormal="100" workbookViewId="0">
      <selection activeCell="B5" sqref="B5:J5"/>
    </sheetView>
  </sheetViews>
  <sheetFormatPr defaultRowHeight="28.5" customHeight="1" x14ac:dyDescent="0.3"/>
  <cols>
    <col min="1" max="1" width="6.28515625" style="15" customWidth="1"/>
    <col min="2" max="2" width="12.5703125" style="15" customWidth="1"/>
    <col min="3" max="8" width="9.140625" style="15"/>
    <col min="9" max="9" width="10.42578125" style="15" customWidth="1"/>
    <col min="10" max="10" width="9.7109375" style="15" customWidth="1"/>
    <col min="11" max="11" width="12" style="15" customWidth="1"/>
    <col min="12" max="12" width="11.5703125" style="15" customWidth="1"/>
    <col min="13" max="20" width="9.140625" style="15"/>
    <col min="21" max="21" width="5" style="15" customWidth="1"/>
    <col min="22" max="34" width="9.140625" style="15"/>
    <col min="35" max="35" width="9.28515625" style="15" customWidth="1"/>
    <col min="36" max="37" width="9.140625" style="15" hidden="1" customWidth="1"/>
    <col min="38" max="38" width="7.5703125" style="15" hidden="1" customWidth="1"/>
    <col min="39" max="39" width="8.140625" style="15" hidden="1" customWidth="1"/>
    <col min="40" max="40" width="7.85546875" style="15" hidden="1" customWidth="1"/>
    <col min="41" max="41" width="8.7109375" style="15" hidden="1" customWidth="1"/>
    <col min="42" max="42" width="9.140625" style="15" hidden="1" customWidth="1"/>
    <col min="43" max="43" width="9.140625" style="15" customWidth="1"/>
    <col min="44" max="16384" width="9.140625" style="15"/>
  </cols>
  <sheetData>
    <row r="1" spans="2:43" ht="20.25" customHeight="1" thickBot="1" x14ac:dyDescent="0.35"/>
    <row r="2" spans="2:43" ht="23.25" customHeight="1" thickBot="1" x14ac:dyDescent="0.35">
      <c r="J2" s="2091" t="s">
        <v>38</v>
      </c>
      <c r="K2" s="2092"/>
      <c r="L2" s="608">
        <v>2022</v>
      </c>
    </row>
    <row r="3" spans="2:43" ht="28.5" customHeight="1" thickBot="1" x14ac:dyDescent="0.35">
      <c r="AK3" s="191"/>
      <c r="AL3" s="191"/>
      <c r="AM3" s="191"/>
      <c r="AN3" s="191" t="s">
        <v>398</v>
      </c>
      <c r="AO3" s="191" t="s">
        <v>400</v>
      </c>
      <c r="AP3" s="191" t="s">
        <v>404</v>
      </c>
      <c r="AQ3" s="572"/>
    </row>
    <row r="4" spans="2:43" ht="28.5" customHeight="1" thickBot="1" x14ac:dyDescent="0.45">
      <c r="B4" s="2093" t="s">
        <v>182</v>
      </c>
      <c r="C4" s="2094"/>
      <c r="D4" s="2094"/>
      <c r="E4" s="2094"/>
      <c r="F4" s="2094"/>
      <c r="G4" s="2094"/>
      <c r="H4" s="2094"/>
      <c r="I4" s="2094"/>
      <c r="J4" s="2095"/>
      <c r="K4" s="1"/>
      <c r="L4" s="2093" t="s">
        <v>182</v>
      </c>
      <c r="M4" s="2094"/>
      <c r="N4" s="2094"/>
      <c r="O4" s="2094"/>
      <c r="P4" s="2094"/>
      <c r="Q4" s="2094"/>
      <c r="R4" s="2094"/>
      <c r="S4" s="2094"/>
      <c r="T4" s="2095"/>
      <c r="AK4" s="1284" t="s">
        <v>42</v>
      </c>
      <c r="AL4" s="1284" t="s">
        <v>42</v>
      </c>
      <c r="AM4" s="288">
        <f>HOME!$E$2</f>
        <v>2022</v>
      </c>
      <c r="AN4" s="1285">
        <f>' प्रमाण निश्चिती '!AB9</f>
        <v>1500</v>
      </c>
      <c r="AO4" s="191"/>
      <c r="AP4" s="191"/>
      <c r="AQ4" s="572"/>
    </row>
    <row r="5" spans="2:43" ht="28.5" customHeight="1" thickBot="1" x14ac:dyDescent="0.45">
      <c r="B5" s="2129" t="str">
        <f>'शाळा माहिती'!D4</f>
        <v>जि.प.प्रा.शा.बोरजाई वस्ती</v>
      </c>
      <c r="C5" s="2130"/>
      <c r="D5" s="2130"/>
      <c r="E5" s="2130"/>
      <c r="F5" s="2130"/>
      <c r="G5" s="2130"/>
      <c r="H5" s="2130"/>
      <c r="I5" s="2130"/>
      <c r="J5" s="2131"/>
      <c r="K5" s="1"/>
      <c r="L5" s="2096" t="str">
        <f>'शाळा माहिती'!D4</f>
        <v>जि.प.प्रा.शा.बोरजाई वस्ती</v>
      </c>
      <c r="M5" s="2097"/>
      <c r="N5" s="2097"/>
      <c r="O5" s="2097"/>
      <c r="P5" s="2097"/>
      <c r="Q5" s="2097"/>
      <c r="R5" s="2097"/>
      <c r="S5" s="2097"/>
      <c r="T5" s="2098"/>
      <c r="AK5" s="1284" t="s">
        <v>44</v>
      </c>
      <c r="AL5" s="1284" t="s">
        <v>44</v>
      </c>
      <c r="AM5" s="288">
        <f>HOME!$E$2</f>
        <v>2022</v>
      </c>
      <c r="AN5" s="1285">
        <f>' प्रमाण निश्चिती '!AB10</f>
        <v>0</v>
      </c>
      <c r="AO5" s="191"/>
      <c r="AP5" s="191"/>
      <c r="AQ5" s="572"/>
    </row>
    <row r="6" spans="2:43" ht="28.5" customHeight="1" x14ac:dyDescent="0.4">
      <c r="B6" s="2136" t="s">
        <v>183</v>
      </c>
      <c r="C6" s="2137"/>
      <c r="D6" s="793"/>
      <c r="E6" s="1276"/>
      <c r="F6" s="793"/>
      <c r="G6" s="1277"/>
      <c r="H6" s="532" t="s">
        <v>116</v>
      </c>
      <c r="I6" s="158" t="str">
        <f>IFERROR(VLOOKUP(J2,AK4:AN15,2,0),"")</f>
        <v>नोव्हेंबर</v>
      </c>
      <c r="J6" s="159">
        <f>IFERROR(VLOOKUP(J2,AK4:AN15,3,0),"")</f>
        <v>2022</v>
      </c>
      <c r="K6" s="1"/>
      <c r="L6" s="2105" t="s">
        <v>183</v>
      </c>
      <c r="M6" s="2106"/>
      <c r="N6" s="793"/>
      <c r="O6" s="1276"/>
      <c r="P6" s="793"/>
      <c r="Q6" s="1277"/>
      <c r="R6" s="532" t="s">
        <v>116</v>
      </c>
      <c r="S6" s="160" t="str">
        <f>IFERROR(VLOOKUP(J2,AK4:AN15,2,0),"")</f>
        <v>नोव्हेंबर</v>
      </c>
      <c r="T6" s="161">
        <f>IFERROR(VLOOKUP(J2,AK4:AN15,3,0),"")</f>
        <v>2022</v>
      </c>
      <c r="AK6" s="1284" t="s">
        <v>94</v>
      </c>
      <c r="AL6" s="1284" t="s">
        <v>94</v>
      </c>
      <c r="AM6" s="288">
        <f>HOME!$E$2</f>
        <v>2022</v>
      </c>
      <c r="AN6" s="1285">
        <f>' प्रमाण निश्चिती '!AB11</f>
        <v>1500</v>
      </c>
      <c r="AO6" s="191"/>
      <c r="AP6" s="191"/>
      <c r="AQ6" s="572"/>
    </row>
    <row r="7" spans="2:43" ht="28.5" customHeight="1" x14ac:dyDescent="0.4">
      <c r="B7" s="2103" t="s">
        <v>184</v>
      </c>
      <c r="C7" s="1408"/>
      <c r="D7" s="1408"/>
      <c r="E7" s="1408"/>
      <c r="F7" s="1408"/>
      <c r="G7" s="1408"/>
      <c r="H7" s="1408"/>
      <c r="I7" s="1408"/>
      <c r="J7" s="2104"/>
      <c r="K7" s="1"/>
      <c r="L7" s="2103" t="s">
        <v>184</v>
      </c>
      <c r="M7" s="1408"/>
      <c r="N7" s="1408"/>
      <c r="O7" s="1408"/>
      <c r="P7" s="1408"/>
      <c r="Q7" s="1408"/>
      <c r="R7" s="1408"/>
      <c r="S7" s="1408"/>
      <c r="T7" s="2104"/>
      <c r="AK7" s="1284" t="s">
        <v>46</v>
      </c>
      <c r="AL7" s="1284" t="s">
        <v>46</v>
      </c>
      <c r="AM7" s="288">
        <f>HOME!$E$2</f>
        <v>2022</v>
      </c>
      <c r="AN7" s="1285">
        <f>' प्रमाण निश्चिती '!AB12</f>
        <v>1500</v>
      </c>
      <c r="AO7" s="191"/>
      <c r="AP7" s="191"/>
      <c r="AQ7" s="572"/>
    </row>
    <row r="8" spans="2:43" ht="28.5" customHeight="1" x14ac:dyDescent="0.4">
      <c r="B8" s="529" t="s">
        <v>185</v>
      </c>
      <c r="C8" s="1454" t="str">
        <f>IFERROR('शाळा माहिती'!D21,"")</f>
        <v>श्रीम.सुनंदा सुखदेव लकारे</v>
      </c>
      <c r="D8" s="1454"/>
      <c r="E8" s="1454"/>
      <c r="F8" s="1454"/>
      <c r="G8" s="1454"/>
      <c r="H8" s="461" t="s">
        <v>311</v>
      </c>
      <c r="I8" s="1759" t="s">
        <v>398</v>
      </c>
      <c r="J8" s="1760"/>
      <c r="K8" s="1"/>
      <c r="L8" s="529" t="s">
        <v>185</v>
      </c>
      <c r="M8" s="1454" t="str">
        <f>IFERROR('शाळा माहिती'!D25,"")</f>
        <v>-</v>
      </c>
      <c r="N8" s="1454"/>
      <c r="O8" s="1454"/>
      <c r="P8" s="1454"/>
      <c r="Q8" s="1454"/>
      <c r="R8" s="461" t="s">
        <v>311</v>
      </c>
      <c r="S8" s="1759" t="s">
        <v>400</v>
      </c>
      <c r="T8" s="1760"/>
      <c r="AK8" s="1284" t="s">
        <v>34</v>
      </c>
      <c r="AL8" s="1284" t="s">
        <v>34</v>
      </c>
      <c r="AM8" s="288">
        <f>HOME!$E$2</f>
        <v>2022</v>
      </c>
      <c r="AN8" s="1285">
        <f>' प्रमाण निश्चिती '!AB13</f>
        <v>1500</v>
      </c>
      <c r="AO8" s="191"/>
      <c r="AP8" s="191"/>
      <c r="AQ8" s="572"/>
    </row>
    <row r="9" spans="2:43" ht="28.5" customHeight="1" x14ac:dyDescent="0.4">
      <c r="B9" s="530" t="s">
        <v>1</v>
      </c>
      <c r="C9" s="1437" t="str">
        <f>IFERROR('शाळा माहिती'!D5,"")</f>
        <v>जामगाव</v>
      </c>
      <c r="D9" s="1437"/>
      <c r="E9" s="532" t="s">
        <v>186</v>
      </c>
      <c r="F9" s="1437" t="str">
        <f>IFERROR('शाळा माहिती'!D7,"")</f>
        <v>गंगापूर</v>
      </c>
      <c r="G9" s="1437"/>
      <c r="H9" s="532" t="s">
        <v>121</v>
      </c>
      <c r="I9" s="1437" t="str">
        <f>IFERROR('शाळा माहिती'!D8,"")</f>
        <v>औरंगाबाद</v>
      </c>
      <c r="J9" s="1438"/>
      <c r="K9" s="1"/>
      <c r="L9" s="530" t="s">
        <v>1</v>
      </c>
      <c r="M9" s="1437" t="str">
        <f>IFERROR('शाळा माहिती'!D5,"")</f>
        <v>जामगाव</v>
      </c>
      <c r="N9" s="1437"/>
      <c r="O9" s="532" t="s">
        <v>186</v>
      </c>
      <c r="P9" s="1437" t="str">
        <f>IFERROR('शाळा माहिती'!D7,"")</f>
        <v>गंगापूर</v>
      </c>
      <c r="Q9" s="1437"/>
      <c r="R9" s="532" t="s">
        <v>121</v>
      </c>
      <c r="S9" s="1437" t="str">
        <f>IFERROR('शाळा माहिती'!D8,"")</f>
        <v>औरंगाबाद</v>
      </c>
      <c r="T9" s="1438"/>
      <c r="AK9" s="1284" t="s">
        <v>37</v>
      </c>
      <c r="AL9" s="1284" t="s">
        <v>37</v>
      </c>
      <c r="AM9" s="288">
        <f>HOME!$E$2</f>
        <v>2022</v>
      </c>
      <c r="AN9" s="1285">
        <f>' प्रमाण निश्चिती '!AB14</f>
        <v>1500</v>
      </c>
      <c r="AO9" s="191"/>
      <c r="AP9" s="191"/>
      <c r="AQ9" s="572"/>
    </row>
    <row r="10" spans="2:43" ht="28.5" customHeight="1" x14ac:dyDescent="0.4">
      <c r="B10" s="529"/>
      <c r="C10" s="21"/>
      <c r="D10" s="21"/>
      <c r="E10" s="461"/>
      <c r="F10" s="21"/>
      <c r="G10" s="21"/>
      <c r="H10" s="461"/>
      <c r="I10" s="21"/>
      <c r="J10" s="1275"/>
      <c r="K10" s="1"/>
      <c r="L10" s="529"/>
      <c r="M10" s="21"/>
      <c r="N10" s="21"/>
      <c r="O10" s="461"/>
      <c r="P10" s="21"/>
      <c r="Q10" s="21"/>
      <c r="R10" s="461"/>
      <c r="S10" s="21"/>
      <c r="T10" s="1275"/>
      <c r="AK10" s="1284" t="s">
        <v>47</v>
      </c>
      <c r="AL10" s="1284" t="s">
        <v>47</v>
      </c>
      <c r="AM10" s="288">
        <f>HOME!$E$2</f>
        <v>2022</v>
      </c>
      <c r="AN10" s="1285">
        <f>' प्रमाण निश्चिती '!AB15</f>
        <v>1500</v>
      </c>
      <c r="AO10" s="191"/>
      <c r="AP10" s="191"/>
      <c r="AQ10" s="572"/>
    </row>
    <row r="11" spans="2:43" ht="28.5" customHeight="1" x14ac:dyDescent="0.4">
      <c r="B11" s="1771" t="s">
        <v>397</v>
      </c>
      <c r="C11" s="1772"/>
      <c r="D11" s="1772"/>
      <c r="E11" s="1772"/>
      <c r="F11" s="1772"/>
      <c r="G11" s="1772"/>
      <c r="H11" s="1772"/>
      <c r="I11" s="1772"/>
      <c r="J11" s="1773"/>
      <c r="K11" s="1"/>
      <c r="L11" s="1771" t="s">
        <v>401</v>
      </c>
      <c r="M11" s="1772"/>
      <c r="N11" s="1772"/>
      <c r="O11" s="1772"/>
      <c r="P11" s="1772"/>
      <c r="Q11" s="1772"/>
      <c r="R11" s="1772"/>
      <c r="S11" s="1772"/>
      <c r="T11" s="1773"/>
      <c r="AK11" s="1284" t="s">
        <v>38</v>
      </c>
      <c r="AL11" s="1284" t="s">
        <v>38</v>
      </c>
      <c r="AM11" s="288">
        <f>HOME!$E$2</f>
        <v>2022</v>
      </c>
      <c r="AN11" s="1285">
        <f>' प्रमाण निश्चिती '!AB16</f>
        <v>1500</v>
      </c>
      <c r="AO11" s="191"/>
      <c r="AP11" s="191"/>
      <c r="AQ11" s="572"/>
    </row>
    <row r="12" spans="2:43" ht="28.5" customHeight="1" x14ac:dyDescent="0.4">
      <c r="B12" s="534"/>
      <c r="C12" s="1"/>
      <c r="D12" s="1"/>
      <c r="E12" s="1"/>
      <c r="F12" s="1"/>
      <c r="G12" s="1"/>
      <c r="H12" s="1"/>
      <c r="I12" s="1"/>
      <c r="J12" s="533"/>
      <c r="K12" s="1"/>
      <c r="L12" s="534"/>
      <c r="M12" s="1"/>
      <c r="N12" s="1"/>
      <c r="O12" s="1"/>
      <c r="P12" s="1"/>
      <c r="Q12" s="1"/>
      <c r="R12" s="1"/>
      <c r="S12" s="1"/>
      <c r="T12" s="533"/>
      <c r="AK12" s="1284" t="s">
        <v>39</v>
      </c>
      <c r="AL12" s="1284" t="s">
        <v>39</v>
      </c>
      <c r="AM12" s="288">
        <f>HOME!$E$2</f>
        <v>2022</v>
      </c>
      <c r="AN12" s="1285">
        <f>' प्रमाण निश्चिती '!AB17</f>
        <v>1500</v>
      </c>
      <c r="AO12" s="191"/>
      <c r="AP12" s="191"/>
      <c r="AQ12" s="572"/>
    </row>
    <row r="13" spans="2:43" ht="28.5" customHeight="1" x14ac:dyDescent="0.4">
      <c r="B13" s="587" t="s">
        <v>176</v>
      </c>
      <c r="C13" s="588" t="s">
        <v>187</v>
      </c>
      <c r="D13" s="2132" t="s">
        <v>126</v>
      </c>
      <c r="E13" s="2133"/>
      <c r="F13" s="2134"/>
      <c r="G13" s="2132" t="s">
        <v>405</v>
      </c>
      <c r="H13" s="2134"/>
      <c r="I13" s="2132" t="s">
        <v>162</v>
      </c>
      <c r="J13" s="2135"/>
      <c r="K13" s="1"/>
      <c r="L13" s="589" t="s">
        <v>176</v>
      </c>
      <c r="M13" s="397" t="s">
        <v>187</v>
      </c>
      <c r="N13" s="2099" t="s">
        <v>126</v>
      </c>
      <c r="O13" s="2100"/>
      <c r="P13" s="2101"/>
      <c r="Q13" s="2099" t="s">
        <v>405</v>
      </c>
      <c r="R13" s="2101"/>
      <c r="S13" s="2099" t="s">
        <v>162</v>
      </c>
      <c r="T13" s="2102"/>
      <c r="AK13" s="1284" t="s">
        <v>33</v>
      </c>
      <c r="AL13" s="1284" t="s">
        <v>33</v>
      </c>
      <c r="AM13" s="288">
        <f>HOME!$F$2</f>
        <v>2023</v>
      </c>
      <c r="AN13" s="1285">
        <f>' प्रमाण निश्चिती '!AB18</f>
        <v>1500</v>
      </c>
      <c r="AO13" s="191"/>
      <c r="AP13" s="191"/>
      <c r="AQ13" s="572"/>
    </row>
    <row r="14" spans="2:43" ht="28.5" customHeight="1" x14ac:dyDescent="0.4">
      <c r="B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C14" s="590"/>
      <c r="D14" s="1791" t="s">
        <v>399</v>
      </c>
      <c r="E14" s="1759"/>
      <c r="F14" s="1792"/>
      <c r="G14" s="2125">
        <f>IFERROR(VLOOKUP(J2,AK4:AN15,4,0),"")</f>
        <v>1500</v>
      </c>
      <c r="H14" s="2126"/>
      <c r="I14" s="1794"/>
      <c r="J14" s="1795"/>
      <c r="K14" s="1"/>
      <c r="L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M14" s="590"/>
      <c r="N14" s="1791" t="s">
        <v>402</v>
      </c>
      <c r="O14" s="1759"/>
      <c r="P14" s="1792"/>
      <c r="Q14" s="1787">
        <f>IFERROR(VLOOKUP(J2,AK4:AN15,4,0),"")</f>
        <v>1500</v>
      </c>
      <c r="R14" s="1788"/>
      <c r="S14" s="1794"/>
      <c r="T14" s="1795"/>
      <c r="AK14" s="1284" t="s">
        <v>40</v>
      </c>
      <c r="AL14" s="1284" t="s">
        <v>40</v>
      </c>
      <c r="AM14" s="288">
        <f>HOME!$F$2</f>
        <v>2023</v>
      </c>
      <c r="AN14" s="1285">
        <f>' प्रमाण निश्चिती '!AB19</f>
        <v>1500</v>
      </c>
      <c r="AO14" s="191"/>
      <c r="AP14" s="191"/>
      <c r="AQ14" s="572"/>
    </row>
    <row r="15" spans="2:43" ht="28.5" customHeight="1" x14ac:dyDescent="0.4">
      <c r="B15" s="591" t="s">
        <v>394</v>
      </c>
      <c r="C15" s="592"/>
      <c r="D15" s="593" t="s">
        <v>403</v>
      </c>
      <c r="E15" s="350" t="str">
        <f>IFERROR(VLOOKUP(J2,AK4:AN15,2,0),"")</f>
        <v>नोव्हेंबर</v>
      </c>
      <c r="F15" s="356">
        <f>IFERROR(VLOOKUP(J2,AK4:AN15,3,0),"")</f>
        <v>2022</v>
      </c>
      <c r="G15" s="2127"/>
      <c r="H15" s="2128"/>
      <c r="I15" s="1783"/>
      <c r="J15" s="1784"/>
      <c r="K15" s="1"/>
      <c r="L15" s="591" t="s">
        <v>394</v>
      </c>
      <c r="M15" s="592"/>
      <c r="N15" s="593" t="s">
        <v>403</v>
      </c>
      <c r="O15" s="350" t="str">
        <f>IFERROR(VLOOKUP(J2,AK4:AN15,2,0),"")</f>
        <v>नोव्हेंबर</v>
      </c>
      <c r="P15" s="356">
        <f>IFERROR(VLOOKUP(J2,AK4:AN15,3,0),"")</f>
        <v>2022</v>
      </c>
      <c r="Q15" s="594"/>
      <c r="R15" s="595"/>
      <c r="S15" s="1783"/>
      <c r="T15" s="1784"/>
      <c r="AK15" s="1284" t="s">
        <v>41</v>
      </c>
      <c r="AL15" s="1284" t="s">
        <v>41</v>
      </c>
      <c r="AM15" s="288">
        <f>HOME!$F$2</f>
        <v>2023</v>
      </c>
      <c r="AN15" s="1285">
        <f>' प्रमाण निश्चिती '!AB20</f>
        <v>1500</v>
      </c>
      <c r="AO15" s="191"/>
      <c r="AP15" s="191"/>
      <c r="AQ15" s="572"/>
    </row>
    <row r="16" spans="2:43" ht="28.5" customHeight="1" x14ac:dyDescent="0.4">
      <c r="B16" s="163">
        <f>EOMONTH(B14,0)</f>
        <v>44895</v>
      </c>
      <c r="C16" s="592"/>
      <c r="D16" s="1783"/>
      <c r="E16" s="1799"/>
      <c r="F16" s="1779"/>
      <c r="G16" s="2116"/>
      <c r="H16" s="2117"/>
      <c r="I16" s="1783"/>
      <c r="J16" s="1784"/>
      <c r="K16" s="1"/>
      <c r="L16" s="163">
        <f>EOMONTH(B14,0)</f>
        <v>44895</v>
      </c>
      <c r="M16" s="592"/>
      <c r="N16" s="1783"/>
      <c r="O16" s="1799"/>
      <c r="P16" s="1779"/>
      <c r="Q16" s="2116"/>
      <c r="R16" s="2117"/>
      <c r="S16" s="1783"/>
      <c r="T16" s="1784"/>
      <c r="AK16" s="191"/>
      <c r="AL16" s="191"/>
      <c r="AM16" s="191"/>
      <c r="AN16" s="191"/>
      <c r="AO16" s="191"/>
      <c r="AP16" s="191"/>
      <c r="AQ16" s="572"/>
    </row>
    <row r="17" spans="2:43" ht="28.5" customHeight="1" x14ac:dyDescent="0.4">
      <c r="B17" s="596"/>
      <c r="C17" s="592"/>
      <c r="D17" s="1783"/>
      <c r="E17" s="1799"/>
      <c r="F17" s="1779"/>
      <c r="G17" s="2116"/>
      <c r="H17" s="2117"/>
      <c r="I17" s="1783"/>
      <c r="J17" s="1784"/>
      <c r="K17" s="1"/>
      <c r="L17" s="596"/>
      <c r="M17" s="592"/>
      <c r="N17" s="1783"/>
      <c r="O17" s="1799"/>
      <c r="P17" s="1779"/>
      <c r="Q17" s="2116"/>
      <c r="R17" s="2117"/>
      <c r="S17" s="1783"/>
      <c r="T17" s="1784"/>
      <c r="AK17" s="191"/>
      <c r="AL17" s="191"/>
      <c r="AM17" s="191"/>
      <c r="AN17" s="191"/>
      <c r="AO17" s="191"/>
      <c r="AP17" s="191"/>
      <c r="AQ17" s="572"/>
    </row>
    <row r="18" spans="2:43" ht="28.5" customHeight="1" x14ac:dyDescent="0.4">
      <c r="B18" s="596"/>
      <c r="C18" s="592"/>
      <c r="D18" s="1783"/>
      <c r="E18" s="1799"/>
      <c r="F18" s="1779"/>
      <c r="G18" s="1783"/>
      <c r="H18" s="1779"/>
      <c r="I18" s="1783"/>
      <c r="J18" s="1784"/>
      <c r="K18" s="1"/>
      <c r="L18" s="596"/>
      <c r="M18" s="592"/>
      <c r="N18" s="1783"/>
      <c r="O18" s="1799"/>
      <c r="P18" s="1779"/>
      <c r="Q18" s="1783"/>
      <c r="R18" s="1779"/>
      <c r="S18" s="1783"/>
      <c r="T18" s="1784"/>
      <c r="AK18" s="572"/>
      <c r="AL18" s="572"/>
      <c r="AM18" s="572"/>
      <c r="AN18" s="572"/>
      <c r="AO18" s="572"/>
      <c r="AP18" s="572"/>
      <c r="AQ18" s="572"/>
    </row>
    <row r="19" spans="2:43" ht="28.5" customHeight="1" x14ac:dyDescent="0.4">
      <c r="B19" s="596"/>
      <c r="C19" s="592"/>
      <c r="D19" s="1783"/>
      <c r="E19" s="1799"/>
      <c r="F19" s="1779"/>
      <c r="G19" s="1783"/>
      <c r="H19" s="1779"/>
      <c r="I19" s="1783"/>
      <c r="J19" s="1784"/>
      <c r="K19" s="1"/>
      <c r="L19" s="596"/>
      <c r="M19" s="592"/>
      <c r="N19" s="1783"/>
      <c r="O19" s="1799"/>
      <c r="P19" s="1779"/>
      <c r="Q19" s="1783"/>
      <c r="R19" s="1779"/>
      <c r="S19" s="1783"/>
      <c r="T19" s="1784"/>
      <c r="AK19" s="572"/>
      <c r="AL19" s="572"/>
      <c r="AM19" s="572"/>
      <c r="AN19" s="572"/>
      <c r="AO19" s="572"/>
      <c r="AP19" s="572"/>
      <c r="AQ19" s="572"/>
    </row>
    <row r="20" spans="2:43" ht="28.5" customHeight="1" x14ac:dyDescent="0.4">
      <c r="B20" s="596"/>
      <c r="C20" s="592"/>
      <c r="D20" s="1783"/>
      <c r="E20" s="1799"/>
      <c r="F20" s="1779"/>
      <c r="G20" s="1783"/>
      <c r="H20" s="1779"/>
      <c r="I20" s="1783"/>
      <c r="J20" s="1784"/>
      <c r="K20" s="1"/>
      <c r="L20" s="596"/>
      <c r="M20" s="592"/>
      <c r="N20" s="1783"/>
      <c r="O20" s="1799"/>
      <c r="P20" s="1779"/>
      <c r="Q20" s="1783"/>
      <c r="R20" s="1779"/>
      <c r="S20" s="1783"/>
      <c r="T20" s="1784"/>
    </row>
    <row r="21" spans="2:43" ht="28.5" customHeight="1" x14ac:dyDescent="0.4">
      <c r="B21" s="597"/>
      <c r="C21" s="598"/>
      <c r="D21" s="2107"/>
      <c r="E21" s="2108"/>
      <c r="F21" s="2109"/>
      <c r="G21" s="2107"/>
      <c r="H21" s="2109"/>
      <c r="I21" s="2107"/>
      <c r="J21" s="2110"/>
      <c r="K21" s="1"/>
      <c r="L21" s="597"/>
      <c r="M21" s="598"/>
      <c r="N21" s="2107"/>
      <c r="O21" s="2108"/>
      <c r="P21" s="2109"/>
      <c r="Q21" s="2107"/>
      <c r="R21" s="2109"/>
      <c r="S21" s="2107"/>
      <c r="T21" s="2110"/>
    </row>
    <row r="22" spans="2:43" ht="30.75" customHeight="1" x14ac:dyDescent="0.4">
      <c r="B22" s="2119" t="s">
        <v>29</v>
      </c>
      <c r="C22" s="2120"/>
      <c r="D22" s="2120"/>
      <c r="E22" s="2120"/>
      <c r="F22" s="2121"/>
      <c r="G22" s="2122">
        <f>G14</f>
        <v>1500</v>
      </c>
      <c r="H22" s="2123"/>
      <c r="I22" s="599">
        <f>IFERROR(ROUND(G22,0),"")</f>
        <v>1500</v>
      </c>
      <c r="J22" s="600"/>
      <c r="K22" s="1"/>
      <c r="L22" s="2111" t="s">
        <v>29</v>
      </c>
      <c r="M22" s="2112"/>
      <c r="N22" s="2112"/>
      <c r="O22" s="2112"/>
      <c r="P22" s="2113"/>
      <c r="Q22" s="2114">
        <f>Q14</f>
        <v>1500</v>
      </c>
      <c r="R22" s="2115"/>
      <c r="S22" s="599">
        <f>IFERROR(ROUND(Q22,0),"")</f>
        <v>1500</v>
      </c>
      <c r="T22" s="600"/>
    </row>
    <row r="23" spans="2:43" ht="28.5" customHeight="1" x14ac:dyDescent="0.4">
      <c r="B23" s="1278" t="s">
        <v>189</v>
      </c>
      <c r="C23" s="765"/>
      <c r="D23" s="2124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E23" s="2124"/>
      <c r="F23" s="2124"/>
      <c r="G23" s="2124"/>
      <c r="H23" s="765" t="s">
        <v>190</v>
      </c>
      <c r="I23" s="765"/>
      <c r="J23" s="1279"/>
      <c r="K23" s="1"/>
      <c r="L23" s="535" t="s">
        <v>189</v>
      </c>
      <c r="M23" s="528"/>
      <c r="N23" s="1759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O23" s="1759"/>
      <c r="P23" s="1759"/>
      <c r="Q23" s="1759"/>
      <c r="R23" s="528" t="s">
        <v>190</v>
      </c>
      <c r="S23" s="528"/>
      <c r="T23" s="536"/>
    </row>
    <row r="24" spans="2:43" ht="28.5" customHeight="1" x14ac:dyDescent="0.4">
      <c r="B24" s="1278" t="s">
        <v>191</v>
      </c>
      <c r="C24" s="765"/>
      <c r="D24" s="765"/>
      <c r="E24" s="765"/>
      <c r="F24" s="765"/>
      <c r="G24" s="765"/>
      <c r="H24" s="765"/>
      <c r="I24" s="765"/>
      <c r="J24" s="1279"/>
      <c r="K24" s="1"/>
      <c r="L24" s="535" t="s">
        <v>191</v>
      </c>
      <c r="M24" s="528"/>
      <c r="N24" s="528"/>
      <c r="O24" s="528"/>
      <c r="P24" s="528"/>
      <c r="Q24" s="528"/>
      <c r="R24" s="528"/>
      <c r="S24" s="528"/>
      <c r="T24" s="536"/>
    </row>
    <row r="25" spans="2:43" ht="28.5" customHeight="1" x14ac:dyDescent="0.4">
      <c r="B25" s="1278"/>
      <c r="C25" s="765"/>
      <c r="D25" s="765"/>
      <c r="E25" s="765"/>
      <c r="F25" s="765"/>
      <c r="G25" s="765"/>
      <c r="H25" s="765"/>
      <c r="I25" s="765"/>
      <c r="J25" s="1279"/>
      <c r="K25" s="1"/>
      <c r="L25" s="535"/>
      <c r="M25" s="528"/>
      <c r="N25" s="528"/>
      <c r="O25" s="528"/>
      <c r="P25" s="528"/>
      <c r="Q25" s="528"/>
      <c r="R25" s="528"/>
      <c r="S25" s="528"/>
      <c r="T25" s="536"/>
    </row>
    <row r="26" spans="2:43" ht="28.5" customHeight="1" x14ac:dyDescent="0.4">
      <c r="B26" s="1278" t="s">
        <v>192</v>
      </c>
      <c r="C26" s="765"/>
      <c r="D26" s="765"/>
      <c r="E26" s="765"/>
      <c r="F26" s="765"/>
      <c r="G26" s="765"/>
      <c r="H26" s="765"/>
      <c r="I26" s="765"/>
      <c r="J26" s="1279"/>
      <c r="K26" s="1"/>
      <c r="L26" s="535" t="s">
        <v>192</v>
      </c>
      <c r="M26" s="528"/>
      <c r="N26" s="528"/>
      <c r="O26" s="528"/>
      <c r="P26" s="528"/>
      <c r="Q26" s="528"/>
      <c r="R26" s="528"/>
      <c r="S26" s="528"/>
      <c r="T26" s="536"/>
    </row>
    <row r="27" spans="2:43" ht="28.5" customHeight="1" x14ac:dyDescent="0.4">
      <c r="B27" s="534"/>
      <c r="C27" s="1"/>
      <c r="D27" s="1"/>
      <c r="E27" s="1"/>
      <c r="F27" s="1"/>
      <c r="G27" s="1"/>
      <c r="H27" s="1"/>
      <c r="I27" s="1"/>
      <c r="J27" s="533"/>
      <c r="K27" s="1"/>
      <c r="L27" s="534"/>
      <c r="M27" s="1"/>
      <c r="N27" s="1"/>
      <c r="O27" s="1"/>
      <c r="P27" s="1"/>
      <c r="Q27" s="1"/>
      <c r="R27" s="1"/>
      <c r="S27" s="1"/>
      <c r="T27" s="533"/>
    </row>
    <row r="28" spans="2:43" ht="28.5" customHeight="1" x14ac:dyDescent="0.4">
      <c r="B28" s="459" t="s">
        <v>193</v>
      </c>
      <c r="C28" s="460"/>
      <c r="D28" s="460"/>
      <c r="E28" s="1772" t="s">
        <v>194</v>
      </c>
      <c r="F28" s="1772"/>
      <c r="G28" s="460" t="s">
        <v>195</v>
      </c>
      <c r="H28" s="460"/>
      <c r="I28" s="460"/>
      <c r="J28" s="601"/>
      <c r="K28" s="465"/>
      <c r="L28" s="459" t="s">
        <v>193</v>
      </c>
      <c r="M28" s="460"/>
      <c r="N28" s="460"/>
      <c r="O28" s="1772" t="s">
        <v>194</v>
      </c>
      <c r="P28" s="1772"/>
      <c r="Q28" s="460" t="s">
        <v>195</v>
      </c>
      <c r="R28" s="460"/>
      <c r="S28" s="460"/>
      <c r="T28" s="601"/>
    </row>
    <row r="29" spans="2:43" ht="28.5" customHeight="1" x14ac:dyDescent="0.4">
      <c r="B29" s="2118" t="s">
        <v>196</v>
      </c>
      <c r="C29" s="1811"/>
      <c r="D29" s="1811"/>
      <c r="E29" s="1811"/>
      <c r="F29" s="1811"/>
      <c r="G29" s="1776" t="str">
        <f>C8</f>
        <v>श्रीम.सुनंदा सुखदेव लकारे</v>
      </c>
      <c r="H29" s="1776"/>
      <c r="I29" s="1776"/>
      <c r="J29" s="1777"/>
      <c r="K29" s="465"/>
      <c r="L29" s="1771" t="s">
        <v>196</v>
      </c>
      <c r="M29" s="1772"/>
      <c r="N29" s="1772"/>
      <c r="O29" s="1772"/>
      <c r="P29" s="1772"/>
      <c r="Q29" s="1380" t="str">
        <f>M8</f>
        <v>-</v>
      </c>
      <c r="R29" s="1380"/>
      <c r="S29" s="1380"/>
      <c r="T29" s="1813"/>
    </row>
    <row r="30" spans="2:43" ht="28.5" customHeight="1" x14ac:dyDescent="0.4">
      <c r="B30" s="467"/>
      <c r="C30" s="465"/>
      <c r="D30" s="465"/>
      <c r="E30" s="465"/>
      <c r="F30" s="465"/>
      <c r="G30" s="465"/>
      <c r="H30" s="465"/>
      <c r="I30" s="465"/>
      <c r="J30" s="466"/>
      <c r="K30" s="465"/>
      <c r="L30" s="467"/>
      <c r="M30" s="465"/>
      <c r="N30" s="465"/>
      <c r="O30" s="465"/>
      <c r="P30" s="465"/>
      <c r="Q30" s="465"/>
      <c r="R30" s="465"/>
      <c r="S30" s="465"/>
      <c r="T30" s="466"/>
    </row>
    <row r="31" spans="2:43" ht="28.5" customHeight="1" thickBot="1" x14ac:dyDescent="0.45">
      <c r="B31" s="1274" t="s">
        <v>197</v>
      </c>
      <c r="C31" s="537"/>
      <c r="D31" s="537"/>
      <c r="E31" s="537"/>
      <c r="F31" s="537"/>
      <c r="G31" s="537"/>
      <c r="H31" s="537"/>
      <c r="I31" s="537"/>
      <c r="J31" s="538"/>
      <c r="K31" s="465"/>
      <c r="L31" s="1274" t="s">
        <v>197</v>
      </c>
      <c r="M31" s="537"/>
      <c r="N31" s="537"/>
      <c r="O31" s="537"/>
      <c r="P31" s="537"/>
      <c r="Q31" s="537"/>
      <c r="R31" s="537"/>
      <c r="S31" s="537"/>
      <c r="T31" s="538"/>
    </row>
    <row r="32" spans="2:43" ht="18.75" customHeight="1" thickBot="1" x14ac:dyDescent="0.35">
      <c r="B32" s="602"/>
      <c r="C32" s="603"/>
      <c r="D32" s="603"/>
      <c r="E32" s="603"/>
      <c r="F32" s="603"/>
      <c r="G32" s="603"/>
      <c r="H32" s="603"/>
      <c r="I32" s="603"/>
      <c r="J32" s="604"/>
      <c r="L32" s="605"/>
      <c r="M32" s="606"/>
      <c r="N32" s="606"/>
      <c r="O32" s="606"/>
      <c r="P32" s="606"/>
      <c r="Q32" s="606"/>
      <c r="R32" s="606"/>
      <c r="S32" s="606"/>
      <c r="T32" s="607"/>
    </row>
  </sheetData>
  <sheetProtection algorithmName="SHA-512" hashValue="CMRKx2+0WctCNo32jXC1JhaSEnXGloYq22qVcqgrananCdMkGgIsUbkcJUOh5kZHLHaWgiyArVLfg616ZgBhZA==" saltValue="JWCB5Kn2czOhjUpANlcLcw==" spinCount="100000" sheet="1" objects="1" scenarios="1" selectLockedCells="1"/>
  <protectedRanges>
    <protectedRange sqref="J2:L2" name="Range1"/>
  </protectedRanges>
  <mergeCells count="84">
    <mergeCell ref="B4:J4"/>
    <mergeCell ref="B5:J5"/>
    <mergeCell ref="D13:F13"/>
    <mergeCell ref="G13:H13"/>
    <mergeCell ref="I13:J13"/>
    <mergeCell ref="B7:J7"/>
    <mergeCell ref="I8:J8"/>
    <mergeCell ref="I9:J9"/>
    <mergeCell ref="F9:G9"/>
    <mergeCell ref="C9:D9"/>
    <mergeCell ref="C8:G8"/>
    <mergeCell ref="B11:J11"/>
    <mergeCell ref="B6:C6"/>
    <mergeCell ref="D14:F14"/>
    <mergeCell ref="I14:J14"/>
    <mergeCell ref="I15:J15"/>
    <mergeCell ref="G14:H14"/>
    <mergeCell ref="G15:H15"/>
    <mergeCell ref="I17:J17"/>
    <mergeCell ref="D18:F18"/>
    <mergeCell ref="G18:H18"/>
    <mergeCell ref="I18:J18"/>
    <mergeCell ref="D16:F16"/>
    <mergeCell ref="G16:H16"/>
    <mergeCell ref="I16:J16"/>
    <mergeCell ref="D17:F17"/>
    <mergeCell ref="G17:H17"/>
    <mergeCell ref="E28:F28"/>
    <mergeCell ref="B29:F29"/>
    <mergeCell ref="G29:J29"/>
    <mergeCell ref="D21:F21"/>
    <mergeCell ref="G21:H21"/>
    <mergeCell ref="I21:J21"/>
    <mergeCell ref="B22:F22"/>
    <mergeCell ref="G22:H22"/>
    <mergeCell ref="D23:G23"/>
    <mergeCell ref="D19:F19"/>
    <mergeCell ref="G19:H19"/>
    <mergeCell ref="I19:J19"/>
    <mergeCell ref="D20:F20"/>
    <mergeCell ref="G20:H20"/>
    <mergeCell ref="I20:J20"/>
    <mergeCell ref="N19:P19"/>
    <mergeCell ref="Q19:R19"/>
    <mergeCell ref="S19:T19"/>
    <mergeCell ref="N20:P20"/>
    <mergeCell ref="S16:T16"/>
    <mergeCell ref="Q17:R17"/>
    <mergeCell ref="S17:T17"/>
    <mergeCell ref="N18:P18"/>
    <mergeCell ref="Q18:R18"/>
    <mergeCell ref="S18:T18"/>
    <mergeCell ref="L7:T7"/>
    <mergeCell ref="L6:M6"/>
    <mergeCell ref="O28:P28"/>
    <mergeCell ref="L29:P29"/>
    <mergeCell ref="Q29:T29"/>
    <mergeCell ref="N21:P21"/>
    <mergeCell ref="Q21:R21"/>
    <mergeCell ref="S21:T21"/>
    <mergeCell ref="L22:P22"/>
    <mergeCell ref="Q22:R22"/>
    <mergeCell ref="N23:Q23"/>
    <mergeCell ref="N16:P16"/>
    <mergeCell ref="Q16:R16"/>
    <mergeCell ref="Q20:R20"/>
    <mergeCell ref="S20:T20"/>
    <mergeCell ref="N17:P17"/>
    <mergeCell ref="J2:K2"/>
    <mergeCell ref="Q14:R14"/>
    <mergeCell ref="N14:P14"/>
    <mergeCell ref="S14:T14"/>
    <mergeCell ref="S15:T15"/>
    <mergeCell ref="M8:Q8"/>
    <mergeCell ref="S8:T8"/>
    <mergeCell ref="M9:N9"/>
    <mergeCell ref="P9:Q9"/>
    <mergeCell ref="S9:T9"/>
    <mergeCell ref="L11:T11"/>
    <mergeCell ref="L4:T4"/>
    <mergeCell ref="L5:T5"/>
    <mergeCell ref="N13:P13"/>
    <mergeCell ref="Q13:R13"/>
    <mergeCell ref="S13:T13"/>
  </mergeCells>
  <conditionalFormatting sqref="D6">
    <cfRule type="cellIs" dxfId="11" priority="3" operator="equal">
      <formula>0</formula>
    </cfRule>
  </conditionalFormatting>
  <conditionalFormatting sqref="N6">
    <cfRule type="cellIs" dxfId="10" priority="2" operator="equal">
      <formula>0</formula>
    </cfRule>
  </conditionalFormatting>
  <dataValidations count="1">
    <dataValidation type="list" allowBlank="1" showInputMessage="1" showErrorMessage="1" sqref="J2">
      <formula1>month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L2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1:AQ32"/>
  <sheetViews>
    <sheetView showRowColHeaders="0" showZeros="0" zoomScaleNormal="100" workbookViewId="0">
      <selection activeCell="B5" sqref="B5:J5"/>
    </sheetView>
  </sheetViews>
  <sheetFormatPr defaultRowHeight="28.5" customHeight="1" x14ac:dyDescent="0.3"/>
  <cols>
    <col min="1" max="1" width="6.28515625" style="15" customWidth="1"/>
    <col min="2" max="2" width="12.5703125" style="15" customWidth="1"/>
    <col min="3" max="8" width="9.140625" style="15"/>
    <col min="9" max="9" width="10.42578125" style="15" customWidth="1"/>
    <col min="10" max="10" width="9.7109375" style="15" customWidth="1"/>
    <col min="11" max="11" width="12" style="15" customWidth="1"/>
    <col min="12" max="12" width="11.5703125" style="15" customWidth="1"/>
    <col min="13" max="20" width="9.140625" style="15"/>
    <col min="21" max="21" width="5" style="15" customWidth="1"/>
    <col min="22" max="34" width="9.140625" style="15"/>
    <col min="35" max="35" width="9.140625" style="15" customWidth="1"/>
    <col min="36" max="37" width="9.140625" style="15" hidden="1" customWidth="1"/>
    <col min="38" max="38" width="7.5703125" style="15" hidden="1" customWidth="1"/>
    <col min="39" max="39" width="8.140625" style="15" hidden="1" customWidth="1"/>
    <col min="40" max="40" width="7.85546875" style="15" hidden="1" customWidth="1"/>
    <col min="41" max="41" width="8.7109375" style="15" hidden="1" customWidth="1"/>
    <col min="42" max="42" width="9.140625" style="15" hidden="1" customWidth="1"/>
    <col min="43" max="43" width="9.140625" style="15" customWidth="1"/>
    <col min="44" max="16384" width="9.140625" style="15"/>
  </cols>
  <sheetData>
    <row r="1" spans="2:43" ht="20.25" customHeight="1" thickBot="1" x14ac:dyDescent="0.35"/>
    <row r="2" spans="2:43" ht="23.25" customHeight="1" thickBot="1" x14ac:dyDescent="0.35">
      <c r="J2" s="2091" t="s">
        <v>42</v>
      </c>
      <c r="K2" s="2092"/>
      <c r="L2" s="608">
        <v>2022</v>
      </c>
    </row>
    <row r="3" spans="2:43" ht="28.5" customHeight="1" thickBot="1" x14ac:dyDescent="0.35">
      <c r="AK3" s="191"/>
      <c r="AL3" s="191"/>
      <c r="AM3" s="191"/>
      <c r="AN3" s="191" t="s">
        <v>398</v>
      </c>
      <c r="AO3" s="191" t="s">
        <v>400</v>
      </c>
      <c r="AP3" s="191" t="s">
        <v>404</v>
      </c>
      <c r="AQ3" s="572"/>
    </row>
    <row r="4" spans="2:43" ht="28.5" customHeight="1" thickBot="1" x14ac:dyDescent="0.45">
      <c r="B4" s="2093" t="s">
        <v>182</v>
      </c>
      <c r="C4" s="2094"/>
      <c r="D4" s="2094"/>
      <c r="E4" s="2094"/>
      <c r="F4" s="2094"/>
      <c r="G4" s="2094"/>
      <c r="H4" s="2094"/>
      <c r="I4" s="2094"/>
      <c r="J4" s="2095"/>
      <c r="K4" s="1"/>
      <c r="L4" s="2093" t="s">
        <v>182</v>
      </c>
      <c r="M4" s="2094"/>
      <c r="N4" s="2094"/>
      <c r="O4" s="2094"/>
      <c r="P4" s="2094"/>
      <c r="Q4" s="2094"/>
      <c r="R4" s="2094"/>
      <c r="S4" s="2094"/>
      <c r="T4" s="2095"/>
      <c r="AK4" s="1284" t="s">
        <v>42</v>
      </c>
      <c r="AL4" s="1284" t="s">
        <v>42</v>
      </c>
      <c r="AM4" s="288">
        <f>HOME!$E$2</f>
        <v>2022</v>
      </c>
      <c r="AN4" s="1285">
        <f>' प्रमाण निश्चिती '!AB9</f>
        <v>1500</v>
      </c>
      <c r="AO4" s="191"/>
      <c r="AP4" s="191"/>
      <c r="AQ4" s="572"/>
    </row>
    <row r="5" spans="2:43" ht="28.5" customHeight="1" thickBot="1" x14ac:dyDescent="0.45">
      <c r="B5" s="2129" t="str">
        <f>'शाळा माहिती'!D4</f>
        <v>जि.प.प्रा.शा.बोरजाई वस्ती</v>
      </c>
      <c r="C5" s="2130"/>
      <c r="D5" s="2130"/>
      <c r="E5" s="2130"/>
      <c r="F5" s="2130"/>
      <c r="G5" s="2130"/>
      <c r="H5" s="2130"/>
      <c r="I5" s="2130"/>
      <c r="J5" s="2131"/>
      <c r="K5" s="1"/>
      <c r="L5" s="2096" t="str">
        <f>'शाळा माहिती'!D4</f>
        <v>जि.प.प्रा.शा.बोरजाई वस्ती</v>
      </c>
      <c r="M5" s="2097"/>
      <c r="N5" s="2097"/>
      <c r="O5" s="2097"/>
      <c r="P5" s="2097"/>
      <c r="Q5" s="2097"/>
      <c r="R5" s="2097"/>
      <c r="S5" s="2097"/>
      <c r="T5" s="2098"/>
      <c r="AK5" s="1284" t="s">
        <v>44</v>
      </c>
      <c r="AL5" s="1284" t="s">
        <v>44</v>
      </c>
      <c r="AM5" s="288">
        <f>HOME!$E$2</f>
        <v>2022</v>
      </c>
      <c r="AN5" s="1285">
        <f>' प्रमाण निश्चिती '!AB10</f>
        <v>0</v>
      </c>
      <c r="AO5" s="191"/>
      <c r="AP5" s="191"/>
      <c r="AQ5" s="572"/>
    </row>
    <row r="6" spans="2:43" ht="28.5" customHeight="1" x14ac:dyDescent="0.4">
      <c r="B6" s="2136" t="s">
        <v>183</v>
      </c>
      <c r="C6" s="2137"/>
      <c r="D6" s="793"/>
      <c r="E6" s="1276"/>
      <c r="F6" s="793"/>
      <c r="G6" s="1277"/>
      <c r="H6" s="532" t="s">
        <v>116</v>
      </c>
      <c r="I6" s="158" t="str">
        <f>IFERROR(VLOOKUP(J2,AK4:AN15,2,0),"")</f>
        <v>एप्रिल</v>
      </c>
      <c r="J6" s="159">
        <f>IFERROR(VLOOKUP(J2,AK4:AN15,3,0),"")</f>
        <v>2022</v>
      </c>
      <c r="K6" s="1"/>
      <c r="L6" s="2105" t="s">
        <v>183</v>
      </c>
      <c r="M6" s="2106"/>
      <c r="N6" s="793"/>
      <c r="O6" s="1276"/>
      <c r="P6" s="793"/>
      <c r="Q6" s="1277"/>
      <c r="R6" s="532" t="s">
        <v>116</v>
      </c>
      <c r="S6" s="160" t="str">
        <f>IFERROR(VLOOKUP(J2,AK4:AN15,2,0),"")</f>
        <v>एप्रिल</v>
      </c>
      <c r="T6" s="161">
        <f>IFERROR(VLOOKUP(J2,AK4:AN15,3,0),"")</f>
        <v>2022</v>
      </c>
      <c r="AK6" s="1284" t="s">
        <v>94</v>
      </c>
      <c r="AL6" s="1284" t="s">
        <v>94</v>
      </c>
      <c r="AM6" s="288">
        <f>HOME!$E$2</f>
        <v>2022</v>
      </c>
      <c r="AN6" s="1285">
        <f>' प्रमाण निश्चिती '!AB11</f>
        <v>1500</v>
      </c>
      <c r="AO6" s="191"/>
      <c r="AP6" s="191"/>
      <c r="AQ6" s="572"/>
    </row>
    <row r="7" spans="2:43" ht="28.5" customHeight="1" x14ac:dyDescent="0.4">
      <c r="B7" s="2103" t="s">
        <v>184</v>
      </c>
      <c r="C7" s="1408"/>
      <c r="D7" s="1408"/>
      <c r="E7" s="1408"/>
      <c r="F7" s="1408"/>
      <c r="G7" s="1408"/>
      <c r="H7" s="1408"/>
      <c r="I7" s="1408"/>
      <c r="J7" s="2104"/>
      <c r="K7" s="1"/>
      <c r="L7" s="2103" t="s">
        <v>184</v>
      </c>
      <c r="M7" s="1408"/>
      <c r="N7" s="1408"/>
      <c r="O7" s="1408"/>
      <c r="P7" s="1408"/>
      <c r="Q7" s="1408"/>
      <c r="R7" s="1408"/>
      <c r="S7" s="1408"/>
      <c r="T7" s="2104"/>
      <c r="AK7" s="1284" t="s">
        <v>46</v>
      </c>
      <c r="AL7" s="1284" t="s">
        <v>46</v>
      </c>
      <c r="AM7" s="288">
        <f>HOME!$E$2</f>
        <v>2022</v>
      </c>
      <c r="AN7" s="1285">
        <f>' प्रमाण निश्चिती '!AB12</f>
        <v>1500</v>
      </c>
      <c r="AO7" s="191"/>
      <c r="AP7" s="191"/>
      <c r="AQ7" s="572"/>
    </row>
    <row r="8" spans="2:43" ht="28.5" customHeight="1" x14ac:dyDescent="0.4">
      <c r="B8" s="529" t="s">
        <v>185</v>
      </c>
      <c r="C8" s="1454">
        <f>IFERROR('शाळा माहिती'!G17,"")</f>
        <v>0</v>
      </c>
      <c r="D8" s="1454"/>
      <c r="E8" s="1454"/>
      <c r="F8" s="1454"/>
      <c r="G8" s="1454"/>
      <c r="H8" s="461" t="s">
        <v>311</v>
      </c>
      <c r="I8" s="1759" t="s">
        <v>404</v>
      </c>
      <c r="J8" s="1760"/>
      <c r="K8" s="1"/>
      <c r="L8" s="529" t="s">
        <v>185</v>
      </c>
      <c r="M8" s="1454">
        <f>IFERROR('शाळा माहिती'!G21,"")</f>
        <v>0</v>
      </c>
      <c r="N8" s="1454"/>
      <c r="O8" s="1454"/>
      <c r="P8" s="1454"/>
      <c r="Q8" s="1454"/>
      <c r="R8" s="461" t="s">
        <v>311</v>
      </c>
      <c r="S8" s="1759" t="s">
        <v>757</v>
      </c>
      <c r="T8" s="1760"/>
      <c r="AK8" s="1284" t="s">
        <v>34</v>
      </c>
      <c r="AL8" s="1284" t="s">
        <v>34</v>
      </c>
      <c r="AM8" s="288">
        <f>HOME!$E$2</f>
        <v>2022</v>
      </c>
      <c r="AN8" s="1285">
        <f>' प्रमाण निश्चिती '!AB13</f>
        <v>1500</v>
      </c>
      <c r="AO8" s="191"/>
      <c r="AP8" s="191"/>
      <c r="AQ8" s="572"/>
    </row>
    <row r="9" spans="2:43" ht="28.5" customHeight="1" x14ac:dyDescent="0.4">
      <c r="B9" s="530" t="s">
        <v>1</v>
      </c>
      <c r="C9" s="1437" t="str">
        <f>IFERROR('शाळा माहिती'!D5,"")</f>
        <v>जामगाव</v>
      </c>
      <c r="D9" s="1437"/>
      <c r="E9" s="532" t="s">
        <v>186</v>
      </c>
      <c r="F9" s="1437" t="str">
        <f>IFERROR('शाळा माहिती'!D7,"")</f>
        <v>गंगापूर</v>
      </c>
      <c r="G9" s="1437"/>
      <c r="H9" s="532" t="s">
        <v>121</v>
      </c>
      <c r="I9" s="1437" t="str">
        <f>IFERROR('शाळा माहिती'!D8,"")</f>
        <v>औरंगाबाद</v>
      </c>
      <c r="J9" s="1438"/>
      <c r="K9" s="1"/>
      <c r="L9" s="530" t="s">
        <v>1</v>
      </c>
      <c r="M9" s="1437" t="str">
        <f>IFERROR('शाळा माहिती'!D5,"")</f>
        <v>जामगाव</v>
      </c>
      <c r="N9" s="1437"/>
      <c r="O9" s="532" t="s">
        <v>186</v>
      </c>
      <c r="P9" s="1437" t="str">
        <f>IFERROR('शाळा माहिती'!D7,"")</f>
        <v>गंगापूर</v>
      </c>
      <c r="Q9" s="1437"/>
      <c r="R9" s="532" t="s">
        <v>121</v>
      </c>
      <c r="S9" s="1437" t="str">
        <f>IFERROR('शाळा माहिती'!D8,"")</f>
        <v>औरंगाबाद</v>
      </c>
      <c r="T9" s="1438"/>
      <c r="AK9" s="1284" t="s">
        <v>37</v>
      </c>
      <c r="AL9" s="1284" t="s">
        <v>37</v>
      </c>
      <c r="AM9" s="288">
        <f>HOME!$E$2</f>
        <v>2022</v>
      </c>
      <c r="AN9" s="1285">
        <f>' प्रमाण निश्चिती '!AB14</f>
        <v>1500</v>
      </c>
      <c r="AO9" s="191"/>
      <c r="AP9" s="191"/>
      <c r="AQ9" s="572"/>
    </row>
    <row r="10" spans="2:43" ht="28.5" customHeight="1" x14ac:dyDescent="0.4">
      <c r="B10" s="529"/>
      <c r="C10" s="21"/>
      <c r="D10" s="21"/>
      <c r="E10" s="461"/>
      <c r="F10" s="21"/>
      <c r="G10" s="21"/>
      <c r="H10" s="461"/>
      <c r="I10" s="21"/>
      <c r="J10" s="1275"/>
      <c r="K10" s="1"/>
      <c r="L10" s="529"/>
      <c r="M10" s="21"/>
      <c r="N10" s="21"/>
      <c r="O10" s="461"/>
      <c r="P10" s="21"/>
      <c r="Q10" s="21"/>
      <c r="R10" s="461"/>
      <c r="S10" s="21"/>
      <c r="T10" s="1275"/>
      <c r="AK10" s="1284" t="s">
        <v>47</v>
      </c>
      <c r="AL10" s="1284" t="s">
        <v>47</v>
      </c>
      <c r="AM10" s="288">
        <f>HOME!$E$2</f>
        <v>2022</v>
      </c>
      <c r="AN10" s="1285">
        <f>' प्रमाण निश्चिती '!AB15</f>
        <v>1500</v>
      </c>
      <c r="AO10" s="191"/>
      <c r="AP10" s="191"/>
      <c r="AQ10" s="572"/>
    </row>
    <row r="11" spans="2:43" ht="28.5" customHeight="1" x14ac:dyDescent="0.4">
      <c r="B11" s="1771" t="s">
        <v>401</v>
      </c>
      <c r="C11" s="1772"/>
      <c r="D11" s="1772"/>
      <c r="E11" s="1772"/>
      <c r="F11" s="1772"/>
      <c r="G11" s="1772"/>
      <c r="H11" s="1772"/>
      <c r="I11" s="1772"/>
      <c r="J11" s="1773"/>
      <c r="K11" s="1"/>
      <c r="L11" s="1771" t="s">
        <v>401</v>
      </c>
      <c r="M11" s="1772"/>
      <c r="N11" s="1772"/>
      <c r="O11" s="1772"/>
      <c r="P11" s="1772"/>
      <c r="Q11" s="1772"/>
      <c r="R11" s="1772"/>
      <c r="S11" s="1772"/>
      <c r="T11" s="1773"/>
      <c r="AK11" s="1284" t="s">
        <v>38</v>
      </c>
      <c r="AL11" s="1284" t="s">
        <v>38</v>
      </c>
      <c r="AM11" s="288">
        <f>HOME!$E$2</f>
        <v>2022</v>
      </c>
      <c r="AN11" s="1285">
        <f>' प्रमाण निश्चिती '!AB16</f>
        <v>1500</v>
      </c>
      <c r="AO11" s="191"/>
      <c r="AP11" s="191"/>
      <c r="AQ11" s="572"/>
    </row>
    <row r="12" spans="2:43" ht="28.5" customHeight="1" x14ac:dyDescent="0.4">
      <c r="B12" s="534"/>
      <c r="C12" s="1"/>
      <c r="D12" s="1"/>
      <c r="E12" s="1"/>
      <c r="F12" s="1"/>
      <c r="G12" s="1"/>
      <c r="H12" s="1"/>
      <c r="I12" s="1"/>
      <c r="J12" s="533"/>
      <c r="K12" s="1"/>
      <c r="L12" s="534"/>
      <c r="M12" s="1"/>
      <c r="N12" s="1"/>
      <c r="O12" s="1"/>
      <c r="P12" s="1"/>
      <c r="Q12" s="1"/>
      <c r="R12" s="1"/>
      <c r="S12" s="1"/>
      <c r="T12" s="533"/>
      <c r="AK12" s="1284" t="s">
        <v>39</v>
      </c>
      <c r="AL12" s="1284" t="s">
        <v>39</v>
      </c>
      <c r="AM12" s="288">
        <f>HOME!$E$2</f>
        <v>2022</v>
      </c>
      <c r="AN12" s="1285">
        <f>' प्रमाण निश्चिती '!AB17</f>
        <v>1500</v>
      </c>
      <c r="AO12" s="191"/>
      <c r="AP12" s="191"/>
      <c r="AQ12" s="572"/>
    </row>
    <row r="13" spans="2:43" ht="28.5" customHeight="1" x14ac:dyDescent="0.4">
      <c r="B13" s="587" t="s">
        <v>176</v>
      </c>
      <c r="C13" s="588" t="s">
        <v>187</v>
      </c>
      <c r="D13" s="2132" t="s">
        <v>126</v>
      </c>
      <c r="E13" s="2133"/>
      <c r="F13" s="2134"/>
      <c r="G13" s="2132" t="s">
        <v>405</v>
      </c>
      <c r="H13" s="2134"/>
      <c r="I13" s="2132" t="s">
        <v>162</v>
      </c>
      <c r="J13" s="2135"/>
      <c r="K13" s="1"/>
      <c r="L13" s="589" t="s">
        <v>176</v>
      </c>
      <c r="M13" s="397" t="s">
        <v>187</v>
      </c>
      <c r="N13" s="2099" t="s">
        <v>126</v>
      </c>
      <c r="O13" s="2100"/>
      <c r="P13" s="2101"/>
      <c r="Q13" s="2099" t="s">
        <v>405</v>
      </c>
      <c r="R13" s="2101"/>
      <c r="S13" s="2099" t="s">
        <v>162</v>
      </c>
      <c r="T13" s="2102"/>
      <c r="AK13" s="1284" t="s">
        <v>33</v>
      </c>
      <c r="AL13" s="1284" t="s">
        <v>33</v>
      </c>
      <c r="AM13" s="288">
        <f>HOME!$F$2</f>
        <v>2023</v>
      </c>
      <c r="AN13" s="1285">
        <f>' प्रमाण निश्चिती '!AB18</f>
        <v>1500</v>
      </c>
      <c r="AO13" s="191"/>
      <c r="AP13" s="191"/>
      <c r="AQ13" s="572"/>
    </row>
    <row r="14" spans="2:43" ht="28.5" customHeight="1" x14ac:dyDescent="0.4">
      <c r="B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44652</v>
      </c>
      <c r="C14" s="590"/>
      <c r="D14" s="1791" t="s">
        <v>399</v>
      </c>
      <c r="E14" s="1759"/>
      <c r="F14" s="1792"/>
      <c r="G14" s="2125">
        <f>IFERROR(VLOOKUP(J2,AK4:AN15,4,0),"")</f>
        <v>1500</v>
      </c>
      <c r="H14" s="2126"/>
      <c r="I14" s="1794"/>
      <c r="J14" s="1795"/>
      <c r="K14" s="1"/>
      <c r="L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44652</v>
      </c>
      <c r="M14" s="590"/>
      <c r="N14" s="1791" t="s">
        <v>402</v>
      </c>
      <c r="O14" s="1759"/>
      <c r="P14" s="1792"/>
      <c r="Q14" s="1787">
        <f>IFERROR(VLOOKUP(J2,AK4:AN15,4,0),"")</f>
        <v>1500</v>
      </c>
      <c r="R14" s="1788"/>
      <c r="S14" s="1794"/>
      <c r="T14" s="1795"/>
      <c r="AK14" s="1284" t="s">
        <v>40</v>
      </c>
      <c r="AL14" s="1284" t="s">
        <v>40</v>
      </c>
      <c r="AM14" s="288">
        <f>HOME!$F$2</f>
        <v>2023</v>
      </c>
      <c r="AN14" s="1285">
        <f>' प्रमाण निश्चिती '!AB19</f>
        <v>1500</v>
      </c>
      <c r="AO14" s="191"/>
      <c r="AP14" s="191"/>
      <c r="AQ14" s="572"/>
    </row>
    <row r="15" spans="2:43" ht="28.5" customHeight="1" x14ac:dyDescent="0.4">
      <c r="B15" s="591" t="s">
        <v>394</v>
      </c>
      <c r="C15" s="592"/>
      <c r="D15" s="593" t="s">
        <v>403</v>
      </c>
      <c r="E15" s="350" t="str">
        <f>IFERROR(VLOOKUP(J2,AK4:AN15,2,0),"")</f>
        <v>एप्रिल</v>
      </c>
      <c r="F15" s="356">
        <f>IFERROR(VLOOKUP(J2,AK4:AN15,3,0),"")</f>
        <v>2022</v>
      </c>
      <c r="G15" s="2127"/>
      <c r="H15" s="2128"/>
      <c r="I15" s="1783"/>
      <c r="J15" s="1784"/>
      <c r="K15" s="1"/>
      <c r="L15" s="591" t="s">
        <v>394</v>
      </c>
      <c r="M15" s="592"/>
      <c r="N15" s="593" t="s">
        <v>403</v>
      </c>
      <c r="O15" s="350" t="str">
        <f>IFERROR(VLOOKUP(J2,AK4:AN15,2,0),"")</f>
        <v>एप्रिल</v>
      </c>
      <c r="P15" s="356">
        <f>IFERROR(VLOOKUP(J2,AK4:AN15,3,0),"")</f>
        <v>2022</v>
      </c>
      <c r="Q15" s="594"/>
      <c r="R15" s="595"/>
      <c r="S15" s="1783"/>
      <c r="T15" s="1784"/>
      <c r="AK15" s="1284" t="s">
        <v>41</v>
      </c>
      <c r="AL15" s="1284" t="s">
        <v>41</v>
      </c>
      <c r="AM15" s="288">
        <f>HOME!$F$2</f>
        <v>2023</v>
      </c>
      <c r="AN15" s="1285">
        <f>' प्रमाण निश्चिती '!AB20</f>
        <v>1500</v>
      </c>
      <c r="AO15" s="191"/>
      <c r="AP15" s="191"/>
      <c r="AQ15" s="572"/>
    </row>
    <row r="16" spans="2:43" ht="28.5" customHeight="1" x14ac:dyDescent="0.4">
      <c r="B16" s="163">
        <f>EOMONTH(B14,0)</f>
        <v>44681</v>
      </c>
      <c r="C16" s="592"/>
      <c r="D16" s="1783"/>
      <c r="E16" s="1799"/>
      <c r="F16" s="1779"/>
      <c r="G16" s="2116"/>
      <c r="H16" s="2117"/>
      <c r="I16" s="1783"/>
      <c r="J16" s="1784"/>
      <c r="K16" s="1"/>
      <c r="L16" s="163">
        <f>EOMONTH(B14,0)</f>
        <v>44681</v>
      </c>
      <c r="M16" s="592"/>
      <c r="N16" s="1783"/>
      <c r="O16" s="1799"/>
      <c r="P16" s="1779"/>
      <c r="Q16" s="2116"/>
      <c r="R16" s="2117"/>
      <c r="S16" s="1783"/>
      <c r="T16" s="1784"/>
      <c r="AK16" s="191"/>
      <c r="AL16" s="191"/>
      <c r="AM16" s="191"/>
      <c r="AN16" s="191"/>
      <c r="AO16" s="191"/>
      <c r="AP16" s="191"/>
      <c r="AQ16" s="572"/>
    </row>
    <row r="17" spans="2:43" ht="28.5" customHeight="1" x14ac:dyDescent="0.4">
      <c r="B17" s="596"/>
      <c r="C17" s="592"/>
      <c r="D17" s="1783"/>
      <c r="E17" s="1799"/>
      <c r="F17" s="1779"/>
      <c r="G17" s="2116"/>
      <c r="H17" s="2117"/>
      <c r="I17" s="1783"/>
      <c r="J17" s="1784"/>
      <c r="K17" s="1"/>
      <c r="L17" s="596"/>
      <c r="M17" s="592"/>
      <c r="N17" s="1783"/>
      <c r="O17" s="1799"/>
      <c r="P17" s="1779"/>
      <c r="Q17" s="2116"/>
      <c r="R17" s="2117"/>
      <c r="S17" s="1783"/>
      <c r="T17" s="1784"/>
      <c r="AK17" s="191"/>
      <c r="AL17" s="191"/>
      <c r="AM17" s="191"/>
      <c r="AN17" s="191"/>
      <c r="AO17" s="191"/>
      <c r="AP17" s="191"/>
      <c r="AQ17" s="572"/>
    </row>
    <row r="18" spans="2:43" ht="28.5" customHeight="1" x14ac:dyDescent="0.4">
      <c r="B18" s="596"/>
      <c r="C18" s="592"/>
      <c r="D18" s="1783"/>
      <c r="E18" s="1799"/>
      <c r="F18" s="1779"/>
      <c r="G18" s="1783"/>
      <c r="H18" s="1779"/>
      <c r="I18" s="1783"/>
      <c r="J18" s="1784"/>
      <c r="K18" s="1"/>
      <c r="L18" s="596"/>
      <c r="M18" s="592"/>
      <c r="N18" s="1783"/>
      <c r="O18" s="1799"/>
      <c r="P18" s="1779"/>
      <c r="Q18" s="1783"/>
      <c r="R18" s="1779"/>
      <c r="S18" s="1783"/>
      <c r="T18" s="1784"/>
      <c r="AK18" s="572"/>
      <c r="AL18" s="572"/>
      <c r="AM18" s="572"/>
      <c r="AN18" s="572"/>
      <c r="AO18" s="572"/>
      <c r="AP18" s="572"/>
      <c r="AQ18" s="572"/>
    </row>
    <row r="19" spans="2:43" ht="28.5" customHeight="1" x14ac:dyDescent="0.4">
      <c r="B19" s="596"/>
      <c r="C19" s="592"/>
      <c r="D19" s="1783"/>
      <c r="E19" s="1799"/>
      <c r="F19" s="1779"/>
      <c r="G19" s="1783"/>
      <c r="H19" s="1779"/>
      <c r="I19" s="1783"/>
      <c r="J19" s="1784"/>
      <c r="K19" s="1"/>
      <c r="L19" s="596"/>
      <c r="M19" s="592"/>
      <c r="N19" s="1783"/>
      <c r="O19" s="1799"/>
      <c r="P19" s="1779"/>
      <c r="Q19" s="1783"/>
      <c r="R19" s="1779"/>
      <c r="S19" s="1783"/>
      <c r="T19" s="1784"/>
      <c r="AK19" s="572"/>
      <c r="AL19" s="572"/>
      <c r="AM19" s="572"/>
      <c r="AN19" s="572"/>
      <c r="AO19" s="572"/>
      <c r="AP19" s="572"/>
      <c r="AQ19" s="572"/>
    </row>
    <row r="20" spans="2:43" ht="28.5" customHeight="1" x14ac:dyDescent="0.4">
      <c r="B20" s="596"/>
      <c r="C20" s="592"/>
      <c r="D20" s="1783"/>
      <c r="E20" s="1799"/>
      <c r="F20" s="1779"/>
      <c r="G20" s="1783"/>
      <c r="H20" s="1779"/>
      <c r="I20" s="1783"/>
      <c r="J20" s="1784"/>
      <c r="K20" s="1"/>
      <c r="L20" s="596"/>
      <c r="M20" s="592"/>
      <c r="N20" s="1783"/>
      <c r="O20" s="1799"/>
      <c r="P20" s="1779"/>
      <c r="Q20" s="1783"/>
      <c r="R20" s="1779"/>
      <c r="S20" s="1783"/>
      <c r="T20" s="1784"/>
    </row>
    <row r="21" spans="2:43" ht="28.5" customHeight="1" x14ac:dyDescent="0.4">
      <c r="B21" s="597"/>
      <c r="C21" s="598"/>
      <c r="D21" s="2107"/>
      <c r="E21" s="2108"/>
      <c r="F21" s="2109"/>
      <c r="G21" s="2107"/>
      <c r="H21" s="2109"/>
      <c r="I21" s="2107"/>
      <c r="J21" s="2110"/>
      <c r="K21" s="1"/>
      <c r="L21" s="597"/>
      <c r="M21" s="598"/>
      <c r="N21" s="2107"/>
      <c r="O21" s="2108"/>
      <c r="P21" s="2109"/>
      <c r="Q21" s="2107"/>
      <c r="R21" s="2109"/>
      <c r="S21" s="2107"/>
      <c r="T21" s="2110"/>
    </row>
    <row r="22" spans="2:43" ht="30.75" customHeight="1" x14ac:dyDescent="0.4">
      <c r="B22" s="2119" t="s">
        <v>29</v>
      </c>
      <c r="C22" s="2120"/>
      <c r="D22" s="2120"/>
      <c r="E22" s="2120"/>
      <c r="F22" s="2121"/>
      <c r="G22" s="2122">
        <f>G14</f>
        <v>1500</v>
      </c>
      <c r="H22" s="2123"/>
      <c r="I22" s="599">
        <f>IFERROR(ROUND(G22,0),"")</f>
        <v>1500</v>
      </c>
      <c r="J22" s="600"/>
      <c r="K22" s="1"/>
      <c r="L22" s="2111" t="s">
        <v>29</v>
      </c>
      <c r="M22" s="2112"/>
      <c r="N22" s="2112"/>
      <c r="O22" s="2112"/>
      <c r="P22" s="2113"/>
      <c r="Q22" s="2114">
        <f>Q14</f>
        <v>1500</v>
      </c>
      <c r="R22" s="2115"/>
      <c r="S22" s="599">
        <f>IFERROR(ROUND(Q22,0),"")</f>
        <v>1500</v>
      </c>
      <c r="T22" s="600"/>
    </row>
    <row r="23" spans="2:43" ht="28.5" customHeight="1" x14ac:dyDescent="0.4">
      <c r="B23" s="1278" t="s">
        <v>189</v>
      </c>
      <c r="C23" s="765"/>
      <c r="D23" s="2124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E23" s="2124"/>
      <c r="F23" s="2124"/>
      <c r="G23" s="2124"/>
      <c r="H23" s="765" t="s">
        <v>190</v>
      </c>
      <c r="I23" s="765"/>
      <c r="J23" s="1279"/>
      <c r="K23" s="1"/>
      <c r="L23" s="535" t="s">
        <v>189</v>
      </c>
      <c r="M23" s="528"/>
      <c r="N23" s="1759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O23" s="1759"/>
      <c r="P23" s="1759"/>
      <c r="Q23" s="1759"/>
      <c r="R23" s="528" t="s">
        <v>190</v>
      </c>
      <c r="S23" s="528"/>
      <c r="T23" s="536"/>
    </row>
    <row r="24" spans="2:43" ht="28.5" customHeight="1" x14ac:dyDescent="0.4">
      <c r="B24" s="1278" t="s">
        <v>191</v>
      </c>
      <c r="C24" s="765"/>
      <c r="D24" s="765"/>
      <c r="E24" s="765"/>
      <c r="F24" s="765"/>
      <c r="G24" s="765"/>
      <c r="H24" s="765"/>
      <c r="I24" s="765"/>
      <c r="J24" s="1279"/>
      <c r="K24" s="1"/>
      <c r="L24" s="535" t="s">
        <v>191</v>
      </c>
      <c r="M24" s="528"/>
      <c r="N24" s="528"/>
      <c r="O24" s="528"/>
      <c r="P24" s="528"/>
      <c r="Q24" s="528"/>
      <c r="R24" s="528"/>
      <c r="S24" s="528"/>
      <c r="T24" s="536"/>
    </row>
    <row r="25" spans="2:43" ht="28.5" customHeight="1" x14ac:dyDescent="0.4">
      <c r="B25" s="1278"/>
      <c r="C25" s="765"/>
      <c r="D25" s="765"/>
      <c r="E25" s="765"/>
      <c r="F25" s="765"/>
      <c r="G25" s="765"/>
      <c r="H25" s="765"/>
      <c r="I25" s="765"/>
      <c r="J25" s="1279"/>
      <c r="K25" s="1"/>
      <c r="L25" s="535"/>
      <c r="M25" s="528"/>
      <c r="N25" s="528"/>
      <c r="O25" s="528"/>
      <c r="P25" s="528"/>
      <c r="Q25" s="528"/>
      <c r="R25" s="528"/>
      <c r="S25" s="528"/>
      <c r="T25" s="536"/>
    </row>
    <row r="26" spans="2:43" ht="28.5" customHeight="1" x14ac:dyDescent="0.4">
      <c r="B26" s="1278" t="s">
        <v>192</v>
      </c>
      <c r="C26" s="765"/>
      <c r="D26" s="765"/>
      <c r="E26" s="765"/>
      <c r="F26" s="765"/>
      <c r="G26" s="765"/>
      <c r="H26" s="765"/>
      <c r="I26" s="765"/>
      <c r="J26" s="1279"/>
      <c r="K26" s="1"/>
      <c r="L26" s="535" t="s">
        <v>192</v>
      </c>
      <c r="M26" s="528"/>
      <c r="N26" s="528"/>
      <c r="O26" s="528"/>
      <c r="P26" s="528"/>
      <c r="Q26" s="528"/>
      <c r="R26" s="528"/>
      <c r="S26" s="528"/>
      <c r="T26" s="536"/>
    </row>
    <row r="27" spans="2:43" ht="28.5" customHeight="1" x14ac:dyDescent="0.4">
      <c r="B27" s="534"/>
      <c r="C27" s="1"/>
      <c r="D27" s="1"/>
      <c r="E27" s="1"/>
      <c r="F27" s="1"/>
      <c r="G27" s="1"/>
      <c r="H27" s="1"/>
      <c r="I27" s="1"/>
      <c r="J27" s="533"/>
      <c r="K27" s="1"/>
      <c r="L27" s="534"/>
      <c r="M27" s="1"/>
      <c r="N27" s="1"/>
      <c r="O27" s="1"/>
      <c r="P27" s="1"/>
      <c r="Q27" s="1"/>
      <c r="R27" s="1"/>
      <c r="S27" s="1"/>
      <c r="T27" s="533"/>
    </row>
    <row r="28" spans="2:43" ht="28.5" customHeight="1" x14ac:dyDescent="0.4">
      <c r="B28" s="459" t="s">
        <v>193</v>
      </c>
      <c r="C28" s="460"/>
      <c r="D28" s="460"/>
      <c r="E28" s="1772" t="s">
        <v>194</v>
      </c>
      <c r="F28" s="1772"/>
      <c r="G28" s="460" t="s">
        <v>195</v>
      </c>
      <c r="H28" s="460"/>
      <c r="I28" s="460"/>
      <c r="J28" s="601"/>
      <c r="K28" s="465"/>
      <c r="L28" s="459" t="s">
        <v>193</v>
      </c>
      <c r="M28" s="460"/>
      <c r="N28" s="460"/>
      <c r="O28" s="1772" t="s">
        <v>194</v>
      </c>
      <c r="P28" s="1772"/>
      <c r="Q28" s="460" t="s">
        <v>195</v>
      </c>
      <c r="R28" s="460"/>
      <c r="S28" s="460"/>
      <c r="T28" s="601"/>
    </row>
    <row r="29" spans="2:43" ht="28.5" customHeight="1" x14ac:dyDescent="0.4">
      <c r="B29" s="2118" t="s">
        <v>196</v>
      </c>
      <c r="C29" s="1811"/>
      <c r="D29" s="1811"/>
      <c r="E29" s="1811"/>
      <c r="F29" s="1811"/>
      <c r="G29" s="1776">
        <f>C8</f>
        <v>0</v>
      </c>
      <c r="H29" s="1776"/>
      <c r="I29" s="1776"/>
      <c r="J29" s="1777"/>
      <c r="K29" s="465"/>
      <c r="L29" s="1771" t="s">
        <v>196</v>
      </c>
      <c r="M29" s="1772"/>
      <c r="N29" s="1772"/>
      <c r="O29" s="1772"/>
      <c r="P29" s="1772"/>
      <c r="Q29" s="1380">
        <f>M8</f>
        <v>0</v>
      </c>
      <c r="R29" s="1380"/>
      <c r="S29" s="1380"/>
      <c r="T29" s="1813"/>
    </row>
    <row r="30" spans="2:43" ht="28.5" customHeight="1" x14ac:dyDescent="0.4">
      <c r="B30" s="467"/>
      <c r="C30" s="465"/>
      <c r="D30" s="465"/>
      <c r="E30" s="465"/>
      <c r="F30" s="465"/>
      <c r="G30" s="465"/>
      <c r="H30" s="465"/>
      <c r="I30" s="465"/>
      <c r="J30" s="466"/>
      <c r="K30" s="465"/>
      <c r="L30" s="467"/>
      <c r="M30" s="465"/>
      <c r="N30" s="465"/>
      <c r="O30" s="465"/>
      <c r="P30" s="465"/>
      <c r="Q30" s="465"/>
      <c r="R30" s="465"/>
      <c r="S30" s="465"/>
      <c r="T30" s="466"/>
    </row>
    <row r="31" spans="2:43" ht="28.5" customHeight="1" thickBot="1" x14ac:dyDescent="0.45">
      <c r="B31" s="1274" t="s">
        <v>197</v>
      </c>
      <c r="C31" s="537"/>
      <c r="D31" s="537"/>
      <c r="E31" s="537"/>
      <c r="F31" s="537"/>
      <c r="G31" s="537"/>
      <c r="H31" s="537"/>
      <c r="I31" s="537"/>
      <c r="J31" s="538"/>
      <c r="K31" s="465"/>
      <c r="L31" s="1274" t="s">
        <v>197</v>
      </c>
      <c r="M31" s="537"/>
      <c r="N31" s="537"/>
      <c r="O31" s="537"/>
      <c r="P31" s="537"/>
      <c r="Q31" s="537"/>
      <c r="R31" s="537"/>
      <c r="S31" s="537"/>
      <c r="T31" s="538"/>
    </row>
    <row r="32" spans="2:43" ht="18.75" customHeight="1" thickBot="1" x14ac:dyDescent="0.35">
      <c r="B32" s="602"/>
      <c r="C32" s="603"/>
      <c r="D32" s="603"/>
      <c r="E32" s="603"/>
      <c r="F32" s="603"/>
      <c r="G32" s="603"/>
      <c r="H32" s="603"/>
      <c r="I32" s="603"/>
      <c r="J32" s="604"/>
      <c r="L32" s="605"/>
      <c r="M32" s="606"/>
      <c r="N32" s="606"/>
      <c r="O32" s="606"/>
      <c r="P32" s="606"/>
      <c r="Q32" s="606"/>
      <c r="R32" s="606"/>
      <c r="S32" s="606"/>
      <c r="T32" s="607"/>
    </row>
  </sheetData>
  <sheetProtection algorithmName="SHA-512" hashValue="pwHihEo8BWCTV9d6tk7JHg4FEfDdjjBjCsfwcF4j8kxb9IdvTUkeZntnnmUfe6N5t4kCHqxk0VrIOSna0btoAA==" saltValue="nsjKQKn/r/vDJobY+h/mAg==" spinCount="100000" sheet="1" objects="1" scenarios="1" selectLockedCells="1"/>
  <protectedRanges>
    <protectedRange sqref="J2:L2" name="Range1"/>
  </protectedRanges>
  <mergeCells count="84">
    <mergeCell ref="B6:C6"/>
    <mergeCell ref="L6:M6"/>
    <mergeCell ref="J2:K2"/>
    <mergeCell ref="B4:J4"/>
    <mergeCell ref="L4:T4"/>
    <mergeCell ref="B5:J5"/>
    <mergeCell ref="L5:T5"/>
    <mergeCell ref="S9:T9"/>
    <mergeCell ref="B7:J7"/>
    <mergeCell ref="L7:T7"/>
    <mergeCell ref="C8:G8"/>
    <mergeCell ref="I8:J8"/>
    <mergeCell ref="M8:Q8"/>
    <mergeCell ref="S8:T8"/>
    <mergeCell ref="C9:D9"/>
    <mergeCell ref="F9:G9"/>
    <mergeCell ref="I9:J9"/>
    <mergeCell ref="M9:N9"/>
    <mergeCell ref="P9:Q9"/>
    <mergeCell ref="S14:T14"/>
    <mergeCell ref="B11:J11"/>
    <mergeCell ref="L11:T11"/>
    <mergeCell ref="D13:F13"/>
    <mergeCell ref="G13:H13"/>
    <mergeCell ref="I13:J13"/>
    <mergeCell ref="N13:P13"/>
    <mergeCell ref="Q13:R13"/>
    <mergeCell ref="S13:T13"/>
    <mergeCell ref="D14:F14"/>
    <mergeCell ref="G14:H14"/>
    <mergeCell ref="I14:J14"/>
    <mergeCell ref="N14:P14"/>
    <mergeCell ref="Q14:R14"/>
    <mergeCell ref="S17:T17"/>
    <mergeCell ref="G15:H15"/>
    <mergeCell ref="I15:J15"/>
    <mergeCell ref="S15:T15"/>
    <mergeCell ref="D16:F16"/>
    <mergeCell ref="G16:H16"/>
    <mergeCell ref="I16:J16"/>
    <mergeCell ref="N16:P16"/>
    <mergeCell ref="Q16:R16"/>
    <mergeCell ref="S16:T16"/>
    <mergeCell ref="D17:F17"/>
    <mergeCell ref="G17:H17"/>
    <mergeCell ref="I17:J17"/>
    <mergeCell ref="N17:P17"/>
    <mergeCell ref="Q17:R17"/>
    <mergeCell ref="S19:T19"/>
    <mergeCell ref="D18:F18"/>
    <mergeCell ref="G18:H18"/>
    <mergeCell ref="I18:J18"/>
    <mergeCell ref="N18:P18"/>
    <mergeCell ref="Q18:R18"/>
    <mergeCell ref="S18:T18"/>
    <mergeCell ref="D19:F19"/>
    <mergeCell ref="G19:H19"/>
    <mergeCell ref="I19:J19"/>
    <mergeCell ref="N19:P19"/>
    <mergeCell ref="Q19:R19"/>
    <mergeCell ref="S21:T21"/>
    <mergeCell ref="D20:F20"/>
    <mergeCell ref="G20:H20"/>
    <mergeCell ref="I20:J20"/>
    <mergeCell ref="N20:P20"/>
    <mergeCell ref="Q20:R20"/>
    <mergeCell ref="S20:T20"/>
    <mergeCell ref="D21:F21"/>
    <mergeCell ref="G21:H21"/>
    <mergeCell ref="I21:J21"/>
    <mergeCell ref="N21:P21"/>
    <mergeCell ref="Q21:R21"/>
    <mergeCell ref="Q29:T29"/>
    <mergeCell ref="B22:F22"/>
    <mergeCell ref="G22:H22"/>
    <mergeCell ref="L22:P22"/>
    <mergeCell ref="Q22:R22"/>
    <mergeCell ref="D23:G23"/>
    <mergeCell ref="N23:Q23"/>
    <mergeCell ref="E28:F28"/>
    <mergeCell ref="O28:P28"/>
    <mergeCell ref="B29:F29"/>
    <mergeCell ref="G29:J29"/>
    <mergeCell ref="L29:P29"/>
  </mergeCells>
  <conditionalFormatting sqref="D6">
    <cfRule type="cellIs" dxfId="9" priority="2" operator="equal">
      <formula>0</formula>
    </cfRule>
  </conditionalFormatting>
  <conditionalFormatting sqref="N6">
    <cfRule type="cellIs" dxfId="8" priority="1" operator="equal">
      <formula>0</formula>
    </cfRule>
  </conditionalFormatting>
  <dataValidations count="1">
    <dataValidation type="list" allowBlank="1" showInputMessage="1" showErrorMessage="1" sqref="J2">
      <formula1>month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L2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1:AQ32"/>
  <sheetViews>
    <sheetView showRowColHeaders="0" showZeros="0" zoomScaleNormal="100" workbookViewId="0">
      <selection activeCell="B5" sqref="B5:J5"/>
    </sheetView>
  </sheetViews>
  <sheetFormatPr defaultRowHeight="28.5" customHeight="1" x14ac:dyDescent="0.3"/>
  <cols>
    <col min="1" max="1" width="6.28515625" style="15" customWidth="1"/>
    <col min="2" max="2" width="12.5703125" style="15" customWidth="1"/>
    <col min="3" max="8" width="9.140625" style="15"/>
    <col min="9" max="9" width="10.42578125" style="15" customWidth="1"/>
    <col min="10" max="10" width="9.7109375" style="15" customWidth="1"/>
    <col min="11" max="11" width="12" style="15" customWidth="1"/>
    <col min="12" max="12" width="11.5703125" style="15" customWidth="1"/>
    <col min="13" max="20" width="9.140625" style="15"/>
    <col min="21" max="21" width="5" style="15" customWidth="1"/>
    <col min="22" max="34" width="9.140625" style="15"/>
    <col min="35" max="35" width="9.28515625" style="15" customWidth="1"/>
    <col min="36" max="36" width="9.140625" style="15" hidden="1" customWidth="1"/>
    <col min="37" max="37" width="0.42578125" style="15" hidden="1" customWidth="1"/>
    <col min="38" max="38" width="7.5703125" style="15" hidden="1" customWidth="1"/>
    <col min="39" max="39" width="8.140625" style="15" hidden="1" customWidth="1"/>
    <col min="40" max="40" width="7.85546875" style="15" hidden="1" customWidth="1"/>
    <col min="41" max="41" width="8.7109375" style="15" hidden="1" customWidth="1"/>
    <col min="42" max="42" width="9.140625" style="15" hidden="1" customWidth="1"/>
    <col min="43" max="43" width="9.140625" style="15" customWidth="1"/>
    <col min="44" max="16384" width="9.140625" style="15"/>
  </cols>
  <sheetData>
    <row r="1" spans="2:43" ht="20.25" customHeight="1" thickBot="1" x14ac:dyDescent="0.35"/>
    <row r="2" spans="2:43" ht="23.25" customHeight="1" thickBot="1" x14ac:dyDescent="0.35">
      <c r="J2" s="2091" t="s">
        <v>42</v>
      </c>
      <c r="K2" s="2092"/>
      <c r="L2" s="608">
        <v>2022</v>
      </c>
    </row>
    <row r="3" spans="2:43" ht="28.5" customHeight="1" thickBot="1" x14ac:dyDescent="0.35">
      <c r="AK3" s="191"/>
      <c r="AL3" s="191"/>
      <c r="AM3" s="191"/>
      <c r="AN3" s="191" t="s">
        <v>398</v>
      </c>
      <c r="AO3" s="191" t="s">
        <v>400</v>
      </c>
      <c r="AP3" s="191" t="s">
        <v>404</v>
      </c>
      <c r="AQ3" s="572"/>
    </row>
    <row r="4" spans="2:43" ht="28.5" customHeight="1" thickBot="1" x14ac:dyDescent="0.45">
      <c r="B4" s="2093" t="s">
        <v>182</v>
      </c>
      <c r="C4" s="2094"/>
      <c r="D4" s="2094"/>
      <c r="E4" s="2094"/>
      <c r="F4" s="2094"/>
      <c r="G4" s="2094"/>
      <c r="H4" s="2094"/>
      <c r="I4" s="2094"/>
      <c r="J4" s="2095"/>
      <c r="K4" s="1"/>
      <c r="L4" s="2093" t="s">
        <v>182</v>
      </c>
      <c r="M4" s="2094"/>
      <c r="N4" s="2094"/>
      <c r="O4" s="2094"/>
      <c r="P4" s="2094"/>
      <c r="Q4" s="2094"/>
      <c r="R4" s="2094"/>
      <c r="S4" s="2094"/>
      <c r="T4" s="2095"/>
      <c r="AK4" s="1284" t="s">
        <v>42</v>
      </c>
      <c r="AL4" s="1284" t="s">
        <v>42</v>
      </c>
      <c r="AM4" s="288">
        <f>HOME!$E$2</f>
        <v>2022</v>
      </c>
      <c r="AN4" s="1285">
        <f>' प्रमाण निश्चिती '!AB9</f>
        <v>1500</v>
      </c>
      <c r="AO4" s="191"/>
      <c r="AP4" s="191"/>
      <c r="AQ4" s="572"/>
    </row>
    <row r="5" spans="2:43" ht="28.5" customHeight="1" thickBot="1" x14ac:dyDescent="0.45">
      <c r="B5" s="2129" t="str">
        <f>'शाळा माहिती'!D4</f>
        <v>जि.प.प्रा.शा.बोरजाई वस्ती</v>
      </c>
      <c r="C5" s="2130"/>
      <c r="D5" s="2130"/>
      <c r="E5" s="2130"/>
      <c r="F5" s="2130"/>
      <c r="G5" s="2130"/>
      <c r="H5" s="2130"/>
      <c r="I5" s="2130"/>
      <c r="J5" s="2131"/>
      <c r="K5" s="1"/>
      <c r="L5" s="2096" t="str">
        <f>'शाळा माहिती'!D4</f>
        <v>जि.प.प्रा.शा.बोरजाई वस्ती</v>
      </c>
      <c r="M5" s="2097"/>
      <c r="N5" s="2097"/>
      <c r="O5" s="2097"/>
      <c r="P5" s="2097"/>
      <c r="Q5" s="2097"/>
      <c r="R5" s="2097"/>
      <c r="S5" s="2097"/>
      <c r="T5" s="2098"/>
      <c r="AK5" s="1284" t="s">
        <v>44</v>
      </c>
      <c r="AL5" s="1284" t="s">
        <v>44</v>
      </c>
      <c r="AM5" s="288">
        <f>HOME!$E$2</f>
        <v>2022</v>
      </c>
      <c r="AN5" s="1285">
        <f>' प्रमाण निश्चिती '!AB10</f>
        <v>0</v>
      </c>
      <c r="AO5" s="191"/>
      <c r="AP5" s="191"/>
      <c r="AQ5" s="572"/>
    </row>
    <row r="6" spans="2:43" ht="28.5" customHeight="1" x14ac:dyDescent="0.4">
      <c r="B6" s="2136" t="s">
        <v>183</v>
      </c>
      <c r="C6" s="2137"/>
      <c r="D6" s="793"/>
      <c r="E6" s="1276"/>
      <c r="F6" s="793"/>
      <c r="G6" s="1277"/>
      <c r="H6" s="532" t="s">
        <v>116</v>
      </c>
      <c r="I6" s="158" t="str">
        <f>IFERROR(VLOOKUP(J2,AK4:AN15,2,0),"")</f>
        <v>एप्रिल</v>
      </c>
      <c r="J6" s="159">
        <f>IFERROR(VLOOKUP(J2,AK4:AN15,3,0),"")</f>
        <v>2022</v>
      </c>
      <c r="K6" s="1"/>
      <c r="L6" s="2105" t="s">
        <v>183</v>
      </c>
      <c r="M6" s="2106"/>
      <c r="N6" s="793"/>
      <c r="O6" s="1276"/>
      <c r="P6" s="793"/>
      <c r="Q6" s="1277"/>
      <c r="R6" s="532" t="s">
        <v>116</v>
      </c>
      <c r="S6" s="160" t="str">
        <f>IFERROR(VLOOKUP(J2,AK4:AN15,2,0),"")</f>
        <v>एप्रिल</v>
      </c>
      <c r="T6" s="161">
        <f>IFERROR(VLOOKUP(J2,AK4:AN15,3,0),"")</f>
        <v>2022</v>
      </c>
      <c r="AK6" s="1284" t="s">
        <v>94</v>
      </c>
      <c r="AL6" s="1284" t="s">
        <v>94</v>
      </c>
      <c r="AM6" s="288">
        <f>HOME!$E$2</f>
        <v>2022</v>
      </c>
      <c r="AN6" s="1285">
        <f>' प्रमाण निश्चिती '!AB11</f>
        <v>1500</v>
      </c>
      <c r="AO6" s="191"/>
      <c r="AP6" s="191"/>
      <c r="AQ6" s="572"/>
    </row>
    <row r="7" spans="2:43" ht="28.5" customHeight="1" x14ac:dyDescent="0.4">
      <c r="B7" s="2103" t="s">
        <v>184</v>
      </c>
      <c r="C7" s="1408"/>
      <c r="D7" s="1408"/>
      <c r="E7" s="1408"/>
      <c r="F7" s="1408"/>
      <c r="G7" s="1408"/>
      <c r="H7" s="1408"/>
      <c r="I7" s="1408"/>
      <c r="J7" s="2104"/>
      <c r="K7" s="1"/>
      <c r="L7" s="2103" t="s">
        <v>184</v>
      </c>
      <c r="M7" s="1408"/>
      <c r="N7" s="1408"/>
      <c r="O7" s="1408"/>
      <c r="P7" s="1408"/>
      <c r="Q7" s="1408"/>
      <c r="R7" s="1408"/>
      <c r="S7" s="1408"/>
      <c r="T7" s="2104"/>
      <c r="AK7" s="1284" t="s">
        <v>46</v>
      </c>
      <c r="AL7" s="1284" t="s">
        <v>46</v>
      </c>
      <c r="AM7" s="288">
        <f>HOME!$E$2</f>
        <v>2022</v>
      </c>
      <c r="AN7" s="1285">
        <f>' प्रमाण निश्चिती '!AB12</f>
        <v>1500</v>
      </c>
      <c r="AO7" s="191"/>
      <c r="AP7" s="191"/>
      <c r="AQ7" s="572"/>
    </row>
    <row r="8" spans="2:43" ht="28.5" customHeight="1" x14ac:dyDescent="0.4">
      <c r="B8" s="529" t="s">
        <v>185</v>
      </c>
      <c r="C8" s="1454">
        <f>IFERROR('शाळा माहिती'!G25,"")</f>
        <v>0</v>
      </c>
      <c r="D8" s="1454"/>
      <c r="E8" s="1454"/>
      <c r="F8" s="1454"/>
      <c r="G8" s="1454"/>
      <c r="H8" s="461" t="s">
        <v>311</v>
      </c>
      <c r="I8" s="1759" t="s">
        <v>758</v>
      </c>
      <c r="J8" s="1760"/>
      <c r="K8" s="1"/>
      <c r="L8" s="529" t="s">
        <v>185</v>
      </c>
      <c r="M8" s="1454">
        <f>IFERROR('शाळा माहिती'!G29,"")</f>
        <v>0</v>
      </c>
      <c r="N8" s="1454"/>
      <c r="O8" s="1454"/>
      <c r="P8" s="1454"/>
      <c r="Q8" s="1454"/>
      <c r="R8" s="461" t="s">
        <v>311</v>
      </c>
      <c r="S8" s="1759" t="s">
        <v>759</v>
      </c>
      <c r="T8" s="1760"/>
      <c r="AK8" s="1284" t="s">
        <v>34</v>
      </c>
      <c r="AL8" s="1284" t="s">
        <v>34</v>
      </c>
      <c r="AM8" s="288">
        <f>HOME!$E$2</f>
        <v>2022</v>
      </c>
      <c r="AN8" s="1285">
        <f>' प्रमाण निश्चिती '!AB13</f>
        <v>1500</v>
      </c>
      <c r="AO8" s="191"/>
      <c r="AP8" s="191"/>
      <c r="AQ8" s="572"/>
    </row>
    <row r="9" spans="2:43" ht="28.5" customHeight="1" x14ac:dyDescent="0.4">
      <c r="B9" s="530" t="s">
        <v>1</v>
      </c>
      <c r="C9" s="1437" t="str">
        <f>IFERROR('शाळा माहिती'!D5,"")</f>
        <v>जामगाव</v>
      </c>
      <c r="D9" s="1437"/>
      <c r="E9" s="532" t="s">
        <v>186</v>
      </c>
      <c r="F9" s="1437" t="str">
        <f>IFERROR('शाळा माहिती'!D7,"")</f>
        <v>गंगापूर</v>
      </c>
      <c r="G9" s="1437"/>
      <c r="H9" s="532" t="s">
        <v>121</v>
      </c>
      <c r="I9" s="1437" t="str">
        <f>IFERROR('शाळा माहिती'!D8,"")</f>
        <v>औरंगाबाद</v>
      </c>
      <c r="J9" s="1438"/>
      <c r="K9" s="1"/>
      <c r="L9" s="530" t="s">
        <v>1</v>
      </c>
      <c r="M9" s="1437" t="str">
        <f>IFERROR('शाळा माहिती'!D5,"")</f>
        <v>जामगाव</v>
      </c>
      <c r="N9" s="1437"/>
      <c r="O9" s="532" t="s">
        <v>186</v>
      </c>
      <c r="P9" s="1437" t="str">
        <f>IFERROR('शाळा माहिती'!D7,"")</f>
        <v>गंगापूर</v>
      </c>
      <c r="Q9" s="1437"/>
      <c r="R9" s="532" t="s">
        <v>121</v>
      </c>
      <c r="S9" s="1437" t="str">
        <f>IFERROR('शाळा माहिती'!D8,"")</f>
        <v>औरंगाबाद</v>
      </c>
      <c r="T9" s="1438"/>
      <c r="AK9" s="1284" t="s">
        <v>37</v>
      </c>
      <c r="AL9" s="1284" t="s">
        <v>37</v>
      </c>
      <c r="AM9" s="288">
        <f>HOME!$E$2</f>
        <v>2022</v>
      </c>
      <c r="AN9" s="1285">
        <f>' प्रमाण निश्चिती '!AB14</f>
        <v>1500</v>
      </c>
      <c r="AO9" s="191"/>
      <c r="AP9" s="191"/>
      <c r="AQ9" s="572"/>
    </row>
    <row r="10" spans="2:43" ht="28.5" customHeight="1" x14ac:dyDescent="0.4">
      <c r="B10" s="529"/>
      <c r="C10" s="21"/>
      <c r="D10" s="21"/>
      <c r="E10" s="461"/>
      <c r="F10" s="21"/>
      <c r="G10" s="21"/>
      <c r="H10" s="461"/>
      <c r="I10" s="21"/>
      <c r="J10" s="1275"/>
      <c r="K10" s="1"/>
      <c r="L10" s="529"/>
      <c r="M10" s="21"/>
      <c r="N10" s="21"/>
      <c r="O10" s="461"/>
      <c r="P10" s="21"/>
      <c r="Q10" s="21"/>
      <c r="R10" s="461"/>
      <c r="S10" s="21"/>
      <c r="T10" s="1275"/>
      <c r="AK10" s="1284" t="s">
        <v>47</v>
      </c>
      <c r="AL10" s="1284" t="s">
        <v>47</v>
      </c>
      <c r="AM10" s="288">
        <f>HOME!$E$2</f>
        <v>2022</v>
      </c>
      <c r="AN10" s="1285">
        <f>' प्रमाण निश्चिती '!AB15</f>
        <v>1500</v>
      </c>
      <c r="AO10" s="191"/>
      <c r="AP10" s="191"/>
      <c r="AQ10" s="572"/>
    </row>
    <row r="11" spans="2:43" ht="28.5" customHeight="1" x14ac:dyDescent="0.4">
      <c r="B11" s="1771" t="s">
        <v>401</v>
      </c>
      <c r="C11" s="1772"/>
      <c r="D11" s="1772"/>
      <c r="E11" s="1772"/>
      <c r="F11" s="1772"/>
      <c r="G11" s="1772"/>
      <c r="H11" s="1772"/>
      <c r="I11" s="1772"/>
      <c r="J11" s="1773"/>
      <c r="K11" s="1"/>
      <c r="L11" s="1771" t="s">
        <v>401</v>
      </c>
      <c r="M11" s="1772"/>
      <c r="N11" s="1772"/>
      <c r="O11" s="1772"/>
      <c r="P11" s="1772"/>
      <c r="Q11" s="1772"/>
      <c r="R11" s="1772"/>
      <c r="S11" s="1772"/>
      <c r="T11" s="1773"/>
      <c r="AK11" s="1284" t="s">
        <v>38</v>
      </c>
      <c r="AL11" s="1284" t="s">
        <v>38</v>
      </c>
      <c r="AM11" s="288">
        <f>HOME!$E$2</f>
        <v>2022</v>
      </c>
      <c r="AN11" s="1285">
        <f>' प्रमाण निश्चिती '!AB16</f>
        <v>1500</v>
      </c>
      <c r="AO11" s="191"/>
      <c r="AP11" s="191"/>
      <c r="AQ11" s="572"/>
    </row>
    <row r="12" spans="2:43" ht="28.5" customHeight="1" x14ac:dyDescent="0.4">
      <c r="B12" s="534"/>
      <c r="C12" s="1"/>
      <c r="D12" s="1"/>
      <c r="E12" s="1"/>
      <c r="F12" s="1"/>
      <c r="G12" s="1"/>
      <c r="H12" s="1"/>
      <c r="I12" s="1"/>
      <c r="J12" s="533"/>
      <c r="K12" s="1"/>
      <c r="L12" s="534"/>
      <c r="M12" s="1"/>
      <c r="N12" s="1"/>
      <c r="O12" s="1"/>
      <c r="P12" s="1"/>
      <c r="Q12" s="1"/>
      <c r="R12" s="1"/>
      <c r="S12" s="1"/>
      <c r="T12" s="533"/>
      <c r="AK12" s="1284" t="s">
        <v>39</v>
      </c>
      <c r="AL12" s="1284" t="s">
        <v>39</v>
      </c>
      <c r="AM12" s="288">
        <f>HOME!$E$2</f>
        <v>2022</v>
      </c>
      <c r="AN12" s="1285">
        <f>' प्रमाण निश्चिती '!AB17</f>
        <v>1500</v>
      </c>
      <c r="AO12" s="191"/>
      <c r="AP12" s="191"/>
      <c r="AQ12" s="572"/>
    </row>
    <row r="13" spans="2:43" ht="28.5" customHeight="1" x14ac:dyDescent="0.4">
      <c r="B13" s="587" t="s">
        <v>176</v>
      </c>
      <c r="C13" s="588" t="s">
        <v>187</v>
      </c>
      <c r="D13" s="2132" t="s">
        <v>126</v>
      </c>
      <c r="E13" s="2133"/>
      <c r="F13" s="2134"/>
      <c r="G13" s="2132" t="s">
        <v>405</v>
      </c>
      <c r="H13" s="2134"/>
      <c r="I13" s="2132" t="s">
        <v>162</v>
      </c>
      <c r="J13" s="2135"/>
      <c r="K13" s="1"/>
      <c r="L13" s="589" t="s">
        <v>176</v>
      </c>
      <c r="M13" s="397" t="s">
        <v>187</v>
      </c>
      <c r="N13" s="2099" t="s">
        <v>126</v>
      </c>
      <c r="O13" s="2100"/>
      <c r="P13" s="2101"/>
      <c r="Q13" s="2099" t="s">
        <v>405</v>
      </c>
      <c r="R13" s="2101"/>
      <c r="S13" s="2099" t="s">
        <v>162</v>
      </c>
      <c r="T13" s="2102"/>
      <c r="AK13" s="1284" t="s">
        <v>33</v>
      </c>
      <c r="AL13" s="1284" t="s">
        <v>33</v>
      </c>
      <c r="AM13" s="288">
        <f>HOME!$F$2</f>
        <v>2023</v>
      </c>
      <c r="AN13" s="1285">
        <f>' प्रमाण निश्चिती '!AB18</f>
        <v>1500</v>
      </c>
      <c r="AO13" s="191"/>
      <c r="AP13" s="191"/>
      <c r="AQ13" s="572"/>
    </row>
    <row r="14" spans="2:43" ht="28.5" customHeight="1" x14ac:dyDescent="0.4">
      <c r="B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44652</v>
      </c>
      <c r="C14" s="590"/>
      <c r="D14" s="1791" t="s">
        <v>399</v>
      </c>
      <c r="E14" s="1759"/>
      <c r="F14" s="1792"/>
      <c r="G14" s="2125">
        <f>IFERROR(VLOOKUP(J2,AK4:AN15,4,0),"")</f>
        <v>1500</v>
      </c>
      <c r="H14" s="2126"/>
      <c r="I14" s="1794"/>
      <c r="J14" s="1795"/>
      <c r="K14" s="1"/>
      <c r="L14" s="162">
        <f>DATE(L2,INDEX({4,5,6,7,8,9,10,11,12,1,2,3},MATCH(J2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44652</v>
      </c>
      <c r="M14" s="590"/>
      <c r="N14" s="1791" t="s">
        <v>402</v>
      </c>
      <c r="O14" s="1759"/>
      <c r="P14" s="1792"/>
      <c r="Q14" s="1787">
        <f>IFERROR(VLOOKUP(J2,AK4:AN15,4,0),"")</f>
        <v>1500</v>
      </c>
      <c r="R14" s="1788"/>
      <c r="S14" s="1794"/>
      <c r="T14" s="1795"/>
      <c r="AK14" s="1284" t="s">
        <v>40</v>
      </c>
      <c r="AL14" s="1284" t="s">
        <v>40</v>
      </c>
      <c r="AM14" s="288">
        <f>HOME!$F$2</f>
        <v>2023</v>
      </c>
      <c r="AN14" s="1285">
        <f>' प्रमाण निश्चिती '!AB19</f>
        <v>1500</v>
      </c>
      <c r="AO14" s="191"/>
      <c r="AP14" s="191"/>
      <c r="AQ14" s="572"/>
    </row>
    <row r="15" spans="2:43" ht="28.5" customHeight="1" x14ac:dyDescent="0.4">
      <c r="B15" s="591" t="s">
        <v>394</v>
      </c>
      <c r="C15" s="592"/>
      <c r="D15" s="593" t="s">
        <v>403</v>
      </c>
      <c r="E15" s="350" t="str">
        <f>IFERROR(VLOOKUP(J2,AK4:AN15,2,0),"")</f>
        <v>एप्रिल</v>
      </c>
      <c r="F15" s="356">
        <f>IFERROR(VLOOKUP(J2,AK4:AN15,3,0),"")</f>
        <v>2022</v>
      </c>
      <c r="G15" s="2127"/>
      <c r="H15" s="2128"/>
      <c r="I15" s="1783"/>
      <c r="J15" s="1784"/>
      <c r="K15" s="1"/>
      <c r="L15" s="591" t="s">
        <v>394</v>
      </c>
      <c r="M15" s="592"/>
      <c r="N15" s="593" t="s">
        <v>403</v>
      </c>
      <c r="O15" s="350" t="str">
        <f>IFERROR(VLOOKUP(J2,AK4:AN15,2,0),"")</f>
        <v>एप्रिल</v>
      </c>
      <c r="P15" s="356">
        <f>IFERROR(VLOOKUP(J2,AK4:AN15,3,0),"")</f>
        <v>2022</v>
      </c>
      <c r="Q15" s="594"/>
      <c r="R15" s="595"/>
      <c r="S15" s="1783"/>
      <c r="T15" s="1784"/>
      <c r="AK15" s="1284" t="s">
        <v>41</v>
      </c>
      <c r="AL15" s="1284" t="s">
        <v>41</v>
      </c>
      <c r="AM15" s="288">
        <f>HOME!$F$2</f>
        <v>2023</v>
      </c>
      <c r="AN15" s="1285">
        <f>' प्रमाण निश्चिती '!AB20</f>
        <v>1500</v>
      </c>
      <c r="AO15" s="191"/>
      <c r="AP15" s="191"/>
      <c r="AQ15" s="572"/>
    </row>
    <row r="16" spans="2:43" ht="28.5" customHeight="1" x14ac:dyDescent="0.4">
      <c r="B16" s="163">
        <f>EOMONTH(B14,0)</f>
        <v>44681</v>
      </c>
      <c r="C16" s="592"/>
      <c r="D16" s="1783"/>
      <c r="E16" s="1799"/>
      <c r="F16" s="1779"/>
      <c r="G16" s="2116"/>
      <c r="H16" s="2117"/>
      <c r="I16" s="1783"/>
      <c r="J16" s="1784"/>
      <c r="K16" s="1"/>
      <c r="L16" s="163">
        <f>EOMONTH(B14,0)</f>
        <v>44681</v>
      </c>
      <c r="M16" s="592"/>
      <c r="N16" s="1783"/>
      <c r="O16" s="1799"/>
      <c r="P16" s="1779"/>
      <c r="Q16" s="2116"/>
      <c r="R16" s="2117"/>
      <c r="S16" s="1783"/>
      <c r="T16" s="1784"/>
      <c r="AK16" s="191"/>
      <c r="AL16" s="191"/>
      <c r="AM16" s="191"/>
      <c r="AN16" s="191"/>
      <c r="AO16" s="191"/>
      <c r="AP16" s="191"/>
      <c r="AQ16" s="572"/>
    </row>
    <row r="17" spans="2:43" ht="28.5" customHeight="1" x14ac:dyDescent="0.4">
      <c r="B17" s="596"/>
      <c r="C17" s="592"/>
      <c r="D17" s="1783"/>
      <c r="E17" s="1799"/>
      <c r="F17" s="1779"/>
      <c r="G17" s="2116"/>
      <c r="H17" s="2117"/>
      <c r="I17" s="1783"/>
      <c r="J17" s="1784"/>
      <c r="K17" s="1"/>
      <c r="L17" s="596"/>
      <c r="M17" s="592"/>
      <c r="N17" s="1783"/>
      <c r="O17" s="1799"/>
      <c r="P17" s="1779"/>
      <c r="Q17" s="2116"/>
      <c r="R17" s="2117"/>
      <c r="S17" s="1783"/>
      <c r="T17" s="1784"/>
      <c r="AK17" s="191"/>
      <c r="AL17" s="191"/>
      <c r="AM17" s="191"/>
      <c r="AN17" s="191"/>
      <c r="AO17" s="191"/>
      <c r="AP17" s="191"/>
      <c r="AQ17" s="572"/>
    </row>
    <row r="18" spans="2:43" ht="28.5" customHeight="1" x14ac:dyDescent="0.4">
      <c r="B18" s="596"/>
      <c r="C18" s="592"/>
      <c r="D18" s="1783"/>
      <c r="E18" s="1799"/>
      <c r="F18" s="1779"/>
      <c r="G18" s="1783"/>
      <c r="H18" s="1779"/>
      <c r="I18" s="1783"/>
      <c r="J18" s="1784"/>
      <c r="K18" s="1"/>
      <c r="L18" s="596"/>
      <c r="M18" s="592"/>
      <c r="N18" s="1783"/>
      <c r="O18" s="1799"/>
      <c r="P18" s="1779"/>
      <c r="Q18" s="1783"/>
      <c r="R18" s="1779"/>
      <c r="S18" s="1783"/>
      <c r="T18" s="1784"/>
      <c r="AK18" s="572"/>
      <c r="AL18" s="572"/>
      <c r="AM18" s="572"/>
      <c r="AN18" s="572"/>
      <c r="AO18" s="572"/>
      <c r="AP18" s="572"/>
      <c r="AQ18" s="572"/>
    </row>
    <row r="19" spans="2:43" ht="28.5" customHeight="1" x14ac:dyDescent="0.4">
      <c r="B19" s="596"/>
      <c r="C19" s="592"/>
      <c r="D19" s="1783"/>
      <c r="E19" s="1799"/>
      <c r="F19" s="1779"/>
      <c r="G19" s="1783"/>
      <c r="H19" s="1779"/>
      <c r="I19" s="1783"/>
      <c r="J19" s="1784"/>
      <c r="K19" s="1"/>
      <c r="L19" s="596"/>
      <c r="M19" s="592"/>
      <c r="N19" s="1783"/>
      <c r="O19" s="1799"/>
      <c r="P19" s="1779"/>
      <c r="Q19" s="1783"/>
      <c r="R19" s="1779"/>
      <c r="S19" s="1783"/>
      <c r="T19" s="1784"/>
      <c r="AK19" s="572"/>
      <c r="AL19" s="572"/>
      <c r="AM19" s="572"/>
      <c r="AN19" s="572"/>
      <c r="AO19" s="572"/>
      <c r="AP19" s="572"/>
      <c r="AQ19" s="572"/>
    </row>
    <row r="20" spans="2:43" ht="28.5" customHeight="1" x14ac:dyDescent="0.4">
      <c r="B20" s="596"/>
      <c r="C20" s="592"/>
      <c r="D20" s="1783"/>
      <c r="E20" s="1799"/>
      <c r="F20" s="1779"/>
      <c r="G20" s="1783"/>
      <c r="H20" s="1779"/>
      <c r="I20" s="1783"/>
      <c r="J20" s="1784"/>
      <c r="K20" s="1"/>
      <c r="L20" s="596"/>
      <c r="M20" s="592"/>
      <c r="N20" s="1783"/>
      <c r="O20" s="1799"/>
      <c r="P20" s="1779"/>
      <c r="Q20" s="1783"/>
      <c r="R20" s="1779"/>
      <c r="S20" s="1783"/>
      <c r="T20" s="1784"/>
    </row>
    <row r="21" spans="2:43" ht="28.5" customHeight="1" x14ac:dyDescent="0.4">
      <c r="B21" s="597"/>
      <c r="C21" s="598"/>
      <c r="D21" s="2107"/>
      <c r="E21" s="2108"/>
      <c r="F21" s="2109"/>
      <c r="G21" s="2107"/>
      <c r="H21" s="2109"/>
      <c r="I21" s="2107"/>
      <c r="J21" s="2110"/>
      <c r="K21" s="1"/>
      <c r="L21" s="597"/>
      <c r="M21" s="598"/>
      <c r="N21" s="2107"/>
      <c r="O21" s="2108"/>
      <c r="P21" s="2109"/>
      <c r="Q21" s="2107"/>
      <c r="R21" s="2109"/>
      <c r="S21" s="2107"/>
      <c r="T21" s="2110"/>
    </row>
    <row r="22" spans="2:43" ht="30.75" customHeight="1" x14ac:dyDescent="0.4">
      <c r="B22" s="2119" t="s">
        <v>29</v>
      </c>
      <c r="C22" s="2120"/>
      <c r="D22" s="2120"/>
      <c r="E22" s="2120"/>
      <c r="F22" s="2121"/>
      <c r="G22" s="2122">
        <f>G14</f>
        <v>1500</v>
      </c>
      <c r="H22" s="2123"/>
      <c r="I22" s="599">
        <f>IFERROR(ROUND(G22,0),"")</f>
        <v>1500</v>
      </c>
      <c r="J22" s="600"/>
      <c r="K22" s="1"/>
      <c r="L22" s="2111" t="s">
        <v>29</v>
      </c>
      <c r="M22" s="2112"/>
      <c r="N22" s="2112"/>
      <c r="O22" s="2112"/>
      <c r="P22" s="2113"/>
      <c r="Q22" s="2114">
        <f>Q14</f>
        <v>1500</v>
      </c>
      <c r="R22" s="2115"/>
      <c r="S22" s="599">
        <f>IFERROR(ROUND(Q22,0),"")</f>
        <v>1500</v>
      </c>
      <c r="T22" s="600"/>
    </row>
    <row r="23" spans="2:43" ht="28.5" customHeight="1" x14ac:dyDescent="0.4">
      <c r="B23" s="1278" t="s">
        <v>189</v>
      </c>
      <c r="C23" s="765"/>
      <c r="D23" s="2124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E23" s="2124"/>
      <c r="F23" s="2124"/>
      <c r="G23" s="2124"/>
      <c r="H23" s="765" t="s">
        <v>190</v>
      </c>
      <c r="I23" s="765"/>
      <c r="J23" s="1279"/>
      <c r="K23" s="1"/>
      <c r="L23" s="535" t="s">
        <v>189</v>
      </c>
      <c r="M23" s="528"/>
      <c r="N23" s="1759" t="str">
        <f>IFERROR(IF(S22=0,"शून्य",IF(VALUE(RIGHT(INT(S22/10^3),2))=0,"",INDEX(MA_Sankhya,RIGHT(INT(S22/10^3),2))&amp;" हजार ")&amp;IF(RIGHT(S22,3)="100","शंभर",IF(VALUE(RIGHT(INT(S22/10^2),1))=0,"",INDEX(MA_Sankhya,RIGHT(INT(S22/10^2),1))&amp;"शे "))&amp;IF(VALUE(RIGHT(S22,2))=0,"",INDEX(MA_Sankhya,RIGHT(S22,2))))," ")&amp;" रुपये"&amp;" फक्त/-"</f>
        <v>एक हजार पाचशे  रुपये फक्त/-</v>
      </c>
      <c r="O23" s="1759"/>
      <c r="P23" s="1759"/>
      <c r="Q23" s="1759"/>
      <c r="R23" s="528" t="s">
        <v>190</v>
      </c>
      <c r="S23" s="528"/>
      <c r="T23" s="536"/>
    </row>
    <row r="24" spans="2:43" ht="28.5" customHeight="1" x14ac:dyDescent="0.4">
      <c r="B24" s="1278" t="s">
        <v>191</v>
      </c>
      <c r="C24" s="765"/>
      <c r="D24" s="765"/>
      <c r="E24" s="765"/>
      <c r="F24" s="765"/>
      <c r="G24" s="765"/>
      <c r="H24" s="765"/>
      <c r="I24" s="765"/>
      <c r="J24" s="1279"/>
      <c r="K24" s="1"/>
      <c r="L24" s="535" t="s">
        <v>191</v>
      </c>
      <c r="M24" s="528"/>
      <c r="N24" s="528"/>
      <c r="O24" s="528"/>
      <c r="P24" s="528"/>
      <c r="Q24" s="528"/>
      <c r="R24" s="528"/>
      <c r="S24" s="528"/>
      <c r="T24" s="536"/>
    </row>
    <row r="25" spans="2:43" ht="28.5" customHeight="1" x14ac:dyDescent="0.4">
      <c r="B25" s="1278"/>
      <c r="C25" s="765"/>
      <c r="D25" s="765"/>
      <c r="E25" s="765"/>
      <c r="F25" s="765"/>
      <c r="G25" s="765"/>
      <c r="H25" s="765"/>
      <c r="I25" s="765"/>
      <c r="J25" s="1279"/>
      <c r="K25" s="1"/>
      <c r="L25" s="535"/>
      <c r="M25" s="528"/>
      <c r="N25" s="528"/>
      <c r="O25" s="528"/>
      <c r="P25" s="528"/>
      <c r="Q25" s="528"/>
      <c r="R25" s="528"/>
      <c r="S25" s="528"/>
      <c r="T25" s="536"/>
    </row>
    <row r="26" spans="2:43" ht="28.5" customHeight="1" x14ac:dyDescent="0.4">
      <c r="B26" s="1278" t="s">
        <v>192</v>
      </c>
      <c r="C26" s="765"/>
      <c r="D26" s="765"/>
      <c r="E26" s="765"/>
      <c r="F26" s="765"/>
      <c r="G26" s="765"/>
      <c r="H26" s="765"/>
      <c r="I26" s="765"/>
      <c r="J26" s="1279"/>
      <c r="K26" s="1"/>
      <c r="L26" s="535" t="s">
        <v>192</v>
      </c>
      <c r="M26" s="528"/>
      <c r="N26" s="528"/>
      <c r="O26" s="528"/>
      <c r="P26" s="528"/>
      <c r="Q26" s="528"/>
      <c r="R26" s="528"/>
      <c r="S26" s="528"/>
      <c r="T26" s="536"/>
    </row>
    <row r="27" spans="2:43" ht="28.5" customHeight="1" x14ac:dyDescent="0.4">
      <c r="B27" s="534"/>
      <c r="C27" s="1"/>
      <c r="D27" s="1"/>
      <c r="E27" s="1"/>
      <c r="F27" s="1"/>
      <c r="G27" s="1"/>
      <c r="H27" s="1"/>
      <c r="I27" s="1"/>
      <c r="J27" s="533"/>
      <c r="K27" s="1"/>
      <c r="L27" s="534"/>
      <c r="M27" s="1"/>
      <c r="N27" s="1"/>
      <c r="O27" s="1"/>
      <c r="P27" s="1"/>
      <c r="Q27" s="1"/>
      <c r="R27" s="1"/>
      <c r="S27" s="1"/>
      <c r="T27" s="533"/>
    </row>
    <row r="28" spans="2:43" ht="28.5" customHeight="1" x14ac:dyDescent="0.4">
      <c r="B28" s="459" t="s">
        <v>193</v>
      </c>
      <c r="C28" s="460"/>
      <c r="D28" s="460"/>
      <c r="E28" s="1772" t="s">
        <v>194</v>
      </c>
      <c r="F28" s="1772"/>
      <c r="G28" s="460" t="s">
        <v>195</v>
      </c>
      <c r="H28" s="460"/>
      <c r="I28" s="460"/>
      <c r="J28" s="601"/>
      <c r="K28" s="465"/>
      <c r="L28" s="459" t="s">
        <v>193</v>
      </c>
      <c r="M28" s="460"/>
      <c r="N28" s="460"/>
      <c r="O28" s="1772" t="s">
        <v>194</v>
      </c>
      <c r="P28" s="1772"/>
      <c r="Q28" s="460" t="s">
        <v>195</v>
      </c>
      <c r="R28" s="460"/>
      <c r="S28" s="460"/>
      <c r="T28" s="601"/>
    </row>
    <row r="29" spans="2:43" ht="28.5" customHeight="1" x14ac:dyDescent="0.4">
      <c r="B29" s="2118" t="s">
        <v>196</v>
      </c>
      <c r="C29" s="1811"/>
      <c r="D29" s="1811"/>
      <c r="E29" s="1811"/>
      <c r="F29" s="1811"/>
      <c r="G29" s="1776">
        <f>C8</f>
        <v>0</v>
      </c>
      <c r="H29" s="1776"/>
      <c r="I29" s="1776"/>
      <c r="J29" s="1777"/>
      <c r="K29" s="465"/>
      <c r="L29" s="1771" t="s">
        <v>196</v>
      </c>
      <c r="M29" s="1772"/>
      <c r="N29" s="1772"/>
      <c r="O29" s="1772"/>
      <c r="P29" s="1772"/>
      <c r="Q29" s="1380">
        <f>M8</f>
        <v>0</v>
      </c>
      <c r="R29" s="1380"/>
      <c r="S29" s="1380"/>
      <c r="T29" s="1813"/>
    </row>
    <row r="30" spans="2:43" ht="28.5" customHeight="1" x14ac:dyDescent="0.4">
      <c r="B30" s="467"/>
      <c r="C30" s="465"/>
      <c r="D30" s="465"/>
      <c r="E30" s="465"/>
      <c r="F30" s="465"/>
      <c r="G30" s="465"/>
      <c r="H30" s="465"/>
      <c r="I30" s="465"/>
      <c r="J30" s="466"/>
      <c r="K30" s="465"/>
      <c r="L30" s="467"/>
      <c r="M30" s="465"/>
      <c r="N30" s="465"/>
      <c r="O30" s="465"/>
      <c r="P30" s="465"/>
      <c r="Q30" s="465"/>
      <c r="R30" s="465"/>
      <c r="S30" s="465"/>
      <c r="T30" s="466"/>
    </row>
    <row r="31" spans="2:43" ht="28.5" customHeight="1" thickBot="1" x14ac:dyDescent="0.45">
      <c r="B31" s="1274" t="s">
        <v>197</v>
      </c>
      <c r="C31" s="537"/>
      <c r="D31" s="537"/>
      <c r="E31" s="537"/>
      <c r="F31" s="537"/>
      <c r="G31" s="537"/>
      <c r="H31" s="537"/>
      <c r="I31" s="537"/>
      <c r="J31" s="538"/>
      <c r="K31" s="465"/>
      <c r="L31" s="1274" t="s">
        <v>197</v>
      </c>
      <c r="M31" s="537"/>
      <c r="N31" s="537"/>
      <c r="O31" s="537"/>
      <c r="P31" s="537"/>
      <c r="Q31" s="537"/>
      <c r="R31" s="537"/>
      <c r="S31" s="537"/>
      <c r="T31" s="538"/>
    </row>
    <row r="32" spans="2:43" ht="18.75" customHeight="1" thickBot="1" x14ac:dyDescent="0.35">
      <c r="B32" s="602"/>
      <c r="C32" s="603"/>
      <c r="D32" s="603"/>
      <c r="E32" s="603"/>
      <c r="F32" s="603"/>
      <c r="G32" s="603"/>
      <c r="H32" s="603"/>
      <c r="I32" s="603"/>
      <c r="J32" s="604"/>
      <c r="L32" s="605"/>
      <c r="M32" s="606"/>
      <c r="N32" s="606"/>
      <c r="O32" s="606"/>
      <c r="P32" s="606"/>
      <c r="Q32" s="606"/>
      <c r="R32" s="606"/>
      <c r="S32" s="606"/>
      <c r="T32" s="607"/>
    </row>
  </sheetData>
  <sheetProtection algorithmName="SHA-512" hashValue="RrW1CT2vTgj/XEFKiOL6HFP+jovQVvksbOTIny+6xMUrcH7aWSAPWTna0Z9IAa1y8hahmYJY6E7X4/XpB6szng==" saltValue="F6Z1jxh5fefuW+leNbdMXA==" spinCount="100000" sheet="1" objects="1" scenarios="1" selectLockedCells="1"/>
  <protectedRanges>
    <protectedRange sqref="J2:L2" name="Range1"/>
  </protectedRanges>
  <mergeCells count="84">
    <mergeCell ref="B6:C6"/>
    <mergeCell ref="L6:M6"/>
    <mergeCell ref="J2:K2"/>
    <mergeCell ref="B4:J4"/>
    <mergeCell ref="L4:T4"/>
    <mergeCell ref="B5:J5"/>
    <mergeCell ref="L5:T5"/>
    <mergeCell ref="S9:T9"/>
    <mergeCell ref="B7:J7"/>
    <mergeCell ref="L7:T7"/>
    <mergeCell ref="C8:G8"/>
    <mergeCell ref="I8:J8"/>
    <mergeCell ref="M8:Q8"/>
    <mergeCell ref="S8:T8"/>
    <mergeCell ref="C9:D9"/>
    <mergeCell ref="F9:G9"/>
    <mergeCell ref="I9:J9"/>
    <mergeCell ref="M9:N9"/>
    <mergeCell ref="P9:Q9"/>
    <mergeCell ref="S14:T14"/>
    <mergeCell ref="B11:J11"/>
    <mergeCell ref="L11:T11"/>
    <mergeCell ref="D13:F13"/>
    <mergeCell ref="G13:H13"/>
    <mergeCell ref="I13:J13"/>
    <mergeCell ref="N13:P13"/>
    <mergeCell ref="Q13:R13"/>
    <mergeCell ref="S13:T13"/>
    <mergeCell ref="D14:F14"/>
    <mergeCell ref="G14:H14"/>
    <mergeCell ref="I14:J14"/>
    <mergeCell ref="N14:P14"/>
    <mergeCell ref="Q14:R14"/>
    <mergeCell ref="S17:T17"/>
    <mergeCell ref="G15:H15"/>
    <mergeCell ref="I15:J15"/>
    <mergeCell ref="S15:T15"/>
    <mergeCell ref="D16:F16"/>
    <mergeCell ref="G16:H16"/>
    <mergeCell ref="I16:J16"/>
    <mergeCell ref="N16:P16"/>
    <mergeCell ref="Q16:R16"/>
    <mergeCell ref="S16:T16"/>
    <mergeCell ref="D17:F17"/>
    <mergeCell ref="G17:H17"/>
    <mergeCell ref="I17:J17"/>
    <mergeCell ref="N17:P17"/>
    <mergeCell ref="Q17:R17"/>
    <mergeCell ref="S19:T19"/>
    <mergeCell ref="D18:F18"/>
    <mergeCell ref="G18:H18"/>
    <mergeCell ref="I18:J18"/>
    <mergeCell ref="N18:P18"/>
    <mergeCell ref="Q18:R18"/>
    <mergeCell ref="S18:T18"/>
    <mergeCell ref="D19:F19"/>
    <mergeCell ref="G19:H19"/>
    <mergeCell ref="I19:J19"/>
    <mergeCell ref="N19:P19"/>
    <mergeCell ref="Q19:R19"/>
    <mergeCell ref="S21:T21"/>
    <mergeCell ref="D20:F20"/>
    <mergeCell ref="G20:H20"/>
    <mergeCell ref="I20:J20"/>
    <mergeCell ref="N20:P20"/>
    <mergeCell ref="Q20:R20"/>
    <mergeCell ref="S20:T20"/>
    <mergeCell ref="D21:F21"/>
    <mergeCell ref="G21:H21"/>
    <mergeCell ref="I21:J21"/>
    <mergeCell ref="N21:P21"/>
    <mergeCell ref="Q21:R21"/>
    <mergeCell ref="Q29:T29"/>
    <mergeCell ref="B22:F22"/>
    <mergeCell ref="G22:H22"/>
    <mergeCell ref="L22:P22"/>
    <mergeCell ref="Q22:R22"/>
    <mergeCell ref="D23:G23"/>
    <mergeCell ref="N23:Q23"/>
    <mergeCell ref="E28:F28"/>
    <mergeCell ref="O28:P28"/>
    <mergeCell ref="B29:F29"/>
    <mergeCell ref="G29:J29"/>
    <mergeCell ref="L29:P29"/>
  </mergeCells>
  <conditionalFormatting sqref="D6">
    <cfRule type="cellIs" dxfId="7" priority="2" operator="equal">
      <formula>0</formula>
    </cfRule>
  </conditionalFormatting>
  <conditionalFormatting sqref="N6">
    <cfRule type="cellIs" dxfId="6" priority="1" operator="equal">
      <formula>0</formula>
    </cfRule>
  </conditionalFormatting>
  <dataValidations count="1">
    <dataValidation type="list" allowBlank="1" showInputMessage="1" showErrorMessage="1" sqref="J2">
      <formula1>month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L2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00FF"/>
  </sheetPr>
  <dimension ref="B3:P274"/>
  <sheetViews>
    <sheetView showZeros="0" zoomScaleNormal="100" workbookViewId="0">
      <selection activeCell="B5" sqref="B5:K5"/>
    </sheetView>
  </sheetViews>
  <sheetFormatPr defaultRowHeight="33" customHeight="1" x14ac:dyDescent="0.3"/>
  <cols>
    <col min="1" max="1" width="7.140625" style="15" customWidth="1"/>
    <col min="2" max="2" width="6.7109375" style="15" customWidth="1"/>
    <col min="3" max="3" width="47" style="15" customWidth="1"/>
    <col min="4" max="4" width="9.42578125" style="15" customWidth="1"/>
    <col min="5" max="6" width="8.85546875" style="15" customWidth="1"/>
    <col min="7" max="7" width="8.5703125" style="15" customWidth="1"/>
    <col min="8" max="10" width="9.140625" style="15" customWidth="1"/>
    <col min="11" max="11" width="9" style="15" customWidth="1"/>
    <col min="12" max="12" width="9.85546875" style="15" customWidth="1"/>
    <col min="13" max="13" width="9" style="15" customWidth="1"/>
    <col min="14" max="14" width="9.42578125" style="15" customWidth="1"/>
    <col min="15" max="15" width="10.28515625" style="15" customWidth="1"/>
    <col min="16" max="16384" width="9.140625" style="15"/>
  </cols>
  <sheetData>
    <row r="3" spans="2:16" ht="13.5" customHeight="1" thickBot="1" x14ac:dyDescent="0.35"/>
    <row r="4" spans="2:16" ht="33" customHeight="1" x14ac:dyDescent="0.3">
      <c r="B4" s="2138" t="s">
        <v>487</v>
      </c>
      <c r="C4" s="2139"/>
      <c r="D4" s="2139"/>
      <c r="E4" s="2139"/>
      <c r="F4" s="2139"/>
      <c r="G4" s="2139"/>
      <c r="H4" s="2139"/>
      <c r="I4" s="2139"/>
      <c r="J4" s="2139"/>
      <c r="K4" s="2139"/>
      <c r="L4" s="2139"/>
      <c r="M4" s="2139"/>
      <c r="N4" s="2139"/>
      <c r="O4" s="2140"/>
    </row>
    <row r="5" spans="2:16" ht="33" customHeight="1" x14ac:dyDescent="0.3">
      <c r="B5" s="2151" t="s">
        <v>488</v>
      </c>
      <c r="C5" s="2152"/>
      <c r="D5" s="2152"/>
      <c r="E5" s="2152"/>
      <c r="F5" s="2152"/>
      <c r="G5" s="2152"/>
      <c r="H5" s="2152"/>
      <c r="I5" s="2152"/>
      <c r="J5" s="2152" t="s">
        <v>520</v>
      </c>
      <c r="K5" s="2152"/>
      <c r="L5" s="2152">
        <f>HOME!$E$2</f>
        <v>2022</v>
      </c>
      <c r="M5" s="2152"/>
      <c r="N5" s="2153">
        <f>HOME!$F$2</f>
        <v>2023</v>
      </c>
      <c r="O5" s="2154"/>
    </row>
    <row r="6" spans="2:16" ht="33" customHeight="1" x14ac:dyDescent="0.3">
      <c r="B6" s="402"/>
      <c r="C6" s="653" t="s">
        <v>489</v>
      </c>
      <c r="D6" s="1466" t="str">
        <f>'शाळा माहिती'!D4</f>
        <v>जि.प.प्रा.शा.बोरजाई वस्ती</v>
      </c>
      <c r="E6" s="1466"/>
      <c r="F6" s="1466"/>
      <c r="G6" s="1466"/>
      <c r="H6" s="1466"/>
      <c r="I6" s="1466"/>
      <c r="J6" s="2142" t="s">
        <v>362</v>
      </c>
      <c r="K6" s="2142"/>
      <c r="L6" s="2141" t="s">
        <v>703</v>
      </c>
      <c r="M6" s="2141"/>
      <c r="O6" s="420"/>
    </row>
    <row r="7" spans="2:16" ht="33" customHeight="1" x14ac:dyDescent="0.3">
      <c r="B7" s="402"/>
      <c r="C7" s="653" t="s">
        <v>256</v>
      </c>
      <c r="D7" s="1466" t="str">
        <f>'शाळा माहिती'!D6</f>
        <v>जामगाव</v>
      </c>
      <c r="E7" s="1466"/>
      <c r="F7" s="1466"/>
      <c r="G7" s="1466"/>
      <c r="H7" s="1466"/>
      <c r="I7" s="1466"/>
      <c r="J7" s="2142" t="s">
        <v>377</v>
      </c>
      <c r="K7" s="2142"/>
      <c r="L7" s="1466" t="str">
        <f>'शाळा माहिती'!D7</f>
        <v>गंगापूर</v>
      </c>
      <c r="M7" s="1466"/>
      <c r="O7" s="420"/>
    </row>
    <row r="8" spans="2:16" ht="33" customHeight="1" thickBot="1" x14ac:dyDescent="0.35">
      <c r="B8" s="654"/>
      <c r="C8" s="655" t="s">
        <v>515</v>
      </c>
      <c r="D8" s="2144">
        <f>'शाळा माहिती'!D10</f>
        <v>27190220701</v>
      </c>
      <c r="E8" s="2144"/>
      <c r="F8" s="2144"/>
      <c r="G8" s="2144"/>
      <c r="H8" s="2144"/>
      <c r="I8" s="2144"/>
      <c r="J8" s="2143" t="s">
        <v>378</v>
      </c>
      <c r="K8" s="2143"/>
      <c r="L8" s="2144" t="str">
        <f>'शाळा माहिती'!D8</f>
        <v>औरंगाबाद</v>
      </c>
      <c r="M8" s="2144"/>
      <c r="N8" s="656"/>
      <c r="O8" s="657"/>
    </row>
    <row r="9" spans="2:16" ht="33" customHeight="1" thickBot="1" x14ac:dyDescent="0.35">
      <c r="B9" s="2145" t="s">
        <v>460</v>
      </c>
      <c r="C9" s="2147" t="s">
        <v>535</v>
      </c>
      <c r="D9" s="2149" t="s">
        <v>94</v>
      </c>
      <c r="E9" s="2150"/>
      <c r="F9" s="680">
        <f>$L$5</f>
        <v>2022</v>
      </c>
      <c r="G9" s="2149" t="s">
        <v>37</v>
      </c>
      <c r="H9" s="2150"/>
      <c r="I9" s="680">
        <f>$L$5</f>
        <v>2022</v>
      </c>
      <c r="J9" s="2149" t="s">
        <v>39</v>
      </c>
      <c r="K9" s="2150"/>
      <c r="L9" s="681">
        <f>$L$5</f>
        <v>2022</v>
      </c>
      <c r="M9" s="2155" t="s">
        <v>41</v>
      </c>
      <c r="N9" s="2150"/>
      <c r="O9" s="682">
        <f>$N$5</f>
        <v>2023</v>
      </c>
    </row>
    <row r="10" spans="2:16" ht="33" customHeight="1" x14ac:dyDescent="0.3">
      <c r="B10" s="2146"/>
      <c r="C10" s="2148"/>
      <c r="D10" s="658" t="s">
        <v>533</v>
      </c>
      <c r="E10" s="658" t="s">
        <v>534</v>
      </c>
      <c r="F10" s="659" t="s">
        <v>490</v>
      </c>
      <c r="G10" s="658" t="s">
        <v>533</v>
      </c>
      <c r="H10" s="658" t="s">
        <v>534</v>
      </c>
      <c r="I10" s="659" t="s">
        <v>490</v>
      </c>
      <c r="J10" s="658" t="s">
        <v>533</v>
      </c>
      <c r="K10" s="658" t="s">
        <v>534</v>
      </c>
      <c r="L10" s="659" t="s">
        <v>490</v>
      </c>
      <c r="M10" s="658" t="s">
        <v>533</v>
      </c>
      <c r="N10" s="658" t="s">
        <v>534</v>
      </c>
      <c r="O10" s="660" t="s">
        <v>490</v>
      </c>
    </row>
    <row r="11" spans="2:16" ht="33" customHeight="1" x14ac:dyDescent="0.3">
      <c r="B11" s="677">
        <v>1</v>
      </c>
      <c r="C11" s="661"/>
      <c r="D11" s="662"/>
      <c r="E11" s="662"/>
      <c r="F11" s="662"/>
      <c r="G11" s="662"/>
      <c r="H11" s="662"/>
      <c r="I11" s="662"/>
      <c r="J11" s="662"/>
      <c r="K11" s="662"/>
      <c r="L11" s="662"/>
      <c r="M11" s="662"/>
      <c r="N11" s="662"/>
      <c r="O11" s="663"/>
      <c r="P11" s="402"/>
    </row>
    <row r="12" spans="2:16" ht="33" customHeight="1" x14ac:dyDescent="0.3">
      <c r="B12" s="677">
        <v>2</v>
      </c>
      <c r="C12" s="661"/>
      <c r="D12" s="664"/>
      <c r="E12" s="664"/>
      <c r="F12" s="664"/>
      <c r="G12" s="664"/>
      <c r="H12" s="665"/>
      <c r="I12" s="665"/>
      <c r="J12" s="665"/>
      <c r="K12" s="665"/>
      <c r="L12" s="665"/>
      <c r="M12" s="665"/>
      <c r="N12" s="666"/>
      <c r="O12" s="667"/>
    </row>
    <row r="13" spans="2:16" ht="33" customHeight="1" x14ac:dyDescent="0.3">
      <c r="B13" s="677">
        <v>3</v>
      </c>
      <c r="C13" s="661"/>
      <c r="D13" s="664"/>
      <c r="E13" s="664"/>
      <c r="F13" s="664"/>
      <c r="G13" s="664"/>
      <c r="H13" s="665"/>
      <c r="I13" s="665"/>
      <c r="J13" s="665"/>
      <c r="K13" s="665"/>
      <c r="L13" s="665"/>
      <c r="M13" s="665"/>
      <c r="N13" s="666"/>
      <c r="O13" s="667"/>
    </row>
    <row r="14" spans="2:16" ht="33" customHeight="1" x14ac:dyDescent="0.3">
      <c r="B14" s="677">
        <v>4</v>
      </c>
      <c r="C14" s="661"/>
      <c r="D14" s="664"/>
      <c r="E14" s="664"/>
      <c r="F14" s="664"/>
      <c r="G14" s="664"/>
      <c r="H14" s="665"/>
      <c r="I14" s="665"/>
      <c r="J14" s="665"/>
      <c r="K14" s="665"/>
      <c r="L14" s="665"/>
      <c r="M14" s="665"/>
      <c r="N14" s="666"/>
      <c r="O14" s="667"/>
    </row>
    <row r="15" spans="2:16" ht="33" customHeight="1" x14ac:dyDescent="0.3">
      <c r="B15" s="677">
        <v>5</v>
      </c>
      <c r="C15" s="661"/>
      <c r="D15" s="664"/>
      <c r="E15" s="664"/>
      <c r="F15" s="664"/>
      <c r="G15" s="664"/>
      <c r="H15" s="665"/>
      <c r="I15" s="665"/>
      <c r="J15" s="665"/>
      <c r="K15" s="665"/>
      <c r="L15" s="665"/>
      <c r="M15" s="665"/>
      <c r="N15" s="666"/>
      <c r="O15" s="667"/>
    </row>
    <row r="16" spans="2:16" ht="33" customHeight="1" x14ac:dyDescent="0.3">
      <c r="B16" s="677">
        <v>6</v>
      </c>
      <c r="C16" s="661"/>
      <c r="D16" s="664"/>
      <c r="E16" s="664"/>
      <c r="F16" s="664"/>
      <c r="G16" s="664"/>
      <c r="H16" s="665"/>
      <c r="I16" s="665"/>
      <c r="J16" s="665"/>
      <c r="K16" s="665"/>
      <c r="L16" s="665"/>
      <c r="M16" s="665"/>
      <c r="N16" s="666"/>
      <c r="O16" s="667"/>
    </row>
    <row r="17" spans="2:15" ht="33" customHeight="1" x14ac:dyDescent="0.3">
      <c r="B17" s="677">
        <v>7</v>
      </c>
      <c r="C17" s="661"/>
      <c r="D17" s="664"/>
      <c r="E17" s="664"/>
      <c r="F17" s="664"/>
      <c r="G17" s="664"/>
      <c r="H17" s="665"/>
      <c r="I17" s="665"/>
      <c r="J17" s="665"/>
      <c r="K17" s="665"/>
      <c r="L17" s="665"/>
      <c r="M17" s="665"/>
      <c r="N17" s="666"/>
      <c r="O17" s="667"/>
    </row>
    <row r="18" spans="2:15" ht="33" customHeight="1" x14ac:dyDescent="0.3">
      <c r="B18" s="677">
        <v>8</v>
      </c>
      <c r="C18" s="661"/>
      <c r="D18" s="664"/>
      <c r="E18" s="664"/>
      <c r="F18" s="664"/>
      <c r="G18" s="664"/>
      <c r="H18" s="665"/>
      <c r="I18" s="665"/>
      <c r="J18" s="665"/>
      <c r="K18" s="665"/>
      <c r="L18" s="665"/>
      <c r="M18" s="665"/>
      <c r="N18" s="666"/>
      <c r="O18" s="667"/>
    </row>
    <row r="19" spans="2:15" ht="33" customHeight="1" x14ac:dyDescent="0.3">
      <c r="B19" s="677">
        <v>9</v>
      </c>
      <c r="C19" s="661"/>
      <c r="D19" s="664"/>
      <c r="E19" s="664"/>
      <c r="F19" s="664"/>
      <c r="G19" s="664"/>
      <c r="H19" s="665"/>
      <c r="I19" s="665"/>
      <c r="J19" s="665"/>
      <c r="K19" s="665"/>
      <c r="L19" s="665"/>
      <c r="M19" s="665"/>
      <c r="N19" s="666"/>
      <c r="O19" s="667"/>
    </row>
    <row r="20" spans="2:15" ht="33" customHeight="1" x14ac:dyDescent="0.3">
      <c r="B20" s="677">
        <v>10</v>
      </c>
      <c r="C20" s="661"/>
      <c r="D20" s="664"/>
      <c r="E20" s="664"/>
      <c r="F20" s="664"/>
      <c r="G20" s="664"/>
      <c r="H20" s="665"/>
      <c r="I20" s="665"/>
      <c r="J20" s="665"/>
      <c r="K20" s="665"/>
      <c r="L20" s="665"/>
      <c r="M20" s="665"/>
      <c r="N20" s="666"/>
      <c r="O20" s="667"/>
    </row>
    <row r="21" spans="2:15" ht="33" customHeight="1" x14ac:dyDescent="0.3">
      <c r="B21" s="677">
        <v>11</v>
      </c>
      <c r="C21" s="661"/>
      <c r="D21" s="664"/>
      <c r="E21" s="664"/>
      <c r="F21" s="664"/>
      <c r="G21" s="664"/>
      <c r="H21" s="665"/>
      <c r="I21" s="665"/>
      <c r="J21" s="665"/>
      <c r="K21" s="665"/>
      <c r="L21" s="665"/>
      <c r="M21" s="665"/>
      <c r="N21" s="666"/>
      <c r="O21" s="667"/>
    </row>
    <row r="22" spans="2:15" ht="33" customHeight="1" x14ac:dyDescent="0.3">
      <c r="B22" s="677">
        <v>12</v>
      </c>
      <c r="C22" s="661"/>
      <c r="D22" s="664"/>
      <c r="E22" s="664"/>
      <c r="F22" s="664"/>
      <c r="G22" s="664"/>
      <c r="H22" s="665"/>
      <c r="I22" s="665"/>
      <c r="J22" s="665"/>
      <c r="K22" s="665"/>
      <c r="L22" s="665"/>
      <c r="M22" s="665"/>
      <c r="N22" s="666"/>
      <c r="O22" s="667"/>
    </row>
    <row r="23" spans="2:15" ht="33" customHeight="1" x14ac:dyDescent="0.3">
      <c r="B23" s="677">
        <v>13</v>
      </c>
      <c r="C23" s="661"/>
      <c r="D23" s="664"/>
      <c r="E23" s="664"/>
      <c r="F23" s="664"/>
      <c r="G23" s="664"/>
      <c r="H23" s="665"/>
      <c r="I23" s="665"/>
      <c r="J23" s="665"/>
      <c r="K23" s="665"/>
      <c r="L23" s="665"/>
      <c r="M23" s="665"/>
      <c r="N23" s="666"/>
      <c r="O23" s="667"/>
    </row>
    <row r="24" spans="2:15" ht="33" customHeight="1" x14ac:dyDescent="0.3">
      <c r="B24" s="677">
        <v>14</v>
      </c>
      <c r="C24" s="661"/>
      <c r="D24" s="664"/>
      <c r="E24" s="664"/>
      <c r="F24" s="664"/>
      <c r="G24" s="664"/>
      <c r="H24" s="665"/>
      <c r="I24" s="665"/>
      <c r="J24" s="665"/>
      <c r="K24" s="665"/>
      <c r="L24" s="665"/>
      <c r="M24" s="665"/>
      <c r="N24" s="666"/>
      <c r="O24" s="667"/>
    </row>
    <row r="25" spans="2:15" ht="33" customHeight="1" x14ac:dyDescent="0.3">
      <c r="B25" s="677">
        <v>15</v>
      </c>
      <c r="C25" s="661"/>
      <c r="D25" s="664"/>
      <c r="E25" s="664"/>
      <c r="F25" s="664"/>
      <c r="G25" s="664"/>
      <c r="H25" s="665"/>
      <c r="I25" s="665"/>
      <c r="J25" s="665"/>
      <c r="K25" s="665"/>
      <c r="L25" s="665"/>
      <c r="M25" s="665"/>
      <c r="N25" s="666"/>
      <c r="O25" s="667"/>
    </row>
    <row r="26" spans="2:15" ht="33" customHeight="1" x14ac:dyDescent="0.3">
      <c r="B26" s="677">
        <v>16</v>
      </c>
      <c r="C26" s="661"/>
      <c r="D26" s="664"/>
      <c r="E26" s="664"/>
      <c r="F26" s="664"/>
      <c r="G26" s="664"/>
      <c r="H26" s="665"/>
      <c r="I26" s="665"/>
      <c r="J26" s="665"/>
      <c r="K26" s="665"/>
      <c r="L26" s="665"/>
      <c r="M26" s="665"/>
      <c r="N26" s="666"/>
      <c r="O26" s="667"/>
    </row>
    <row r="27" spans="2:15" ht="33" customHeight="1" x14ac:dyDescent="0.3">
      <c r="B27" s="677">
        <v>17</v>
      </c>
      <c r="C27" s="661"/>
      <c r="D27" s="664"/>
      <c r="E27" s="664"/>
      <c r="F27" s="664"/>
      <c r="G27" s="664"/>
      <c r="H27" s="665"/>
      <c r="I27" s="665"/>
      <c r="J27" s="665"/>
      <c r="K27" s="665"/>
      <c r="L27" s="665"/>
      <c r="M27" s="665"/>
      <c r="N27" s="666"/>
      <c r="O27" s="667"/>
    </row>
    <row r="28" spans="2:15" ht="33" customHeight="1" x14ac:dyDescent="0.3">
      <c r="B28" s="677">
        <v>18</v>
      </c>
      <c r="C28" s="661"/>
      <c r="D28" s="664"/>
      <c r="E28" s="664"/>
      <c r="F28" s="664"/>
      <c r="G28" s="664"/>
      <c r="H28" s="665"/>
      <c r="I28" s="665"/>
      <c r="J28" s="665"/>
      <c r="K28" s="665"/>
      <c r="L28" s="665"/>
      <c r="M28" s="665"/>
      <c r="N28" s="666"/>
      <c r="O28" s="667"/>
    </row>
    <row r="29" spans="2:15" ht="33" customHeight="1" x14ac:dyDescent="0.3">
      <c r="B29" s="677">
        <v>19</v>
      </c>
      <c r="C29" s="661"/>
      <c r="D29" s="664"/>
      <c r="E29" s="664"/>
      <c r="F29" s="664"/>
      <c r="G29" s="664"/>
      <c r="H29" s="665"/>
      <c r="I29" s="665"/>
      <c r="J29" s="665"/>
      <c r="K29" s="665"/>
      <c r="L29" s="665"/>
      <c r="M29" s="665"/>
      <c r="N29" s="666"/>
      <c r="O29" s="667"/>
    </row>
    <row r="30" spans="2:15" ht="33" customHeight="1" x14ac:dyDescent="0.3">
      <c r="B30" s="677">
        <v>20</v>
      </c>
      <c r="C30" s="661"/>
      <c r="D30" s="664"/>
      <c r="E30" s="664"/>
      <c r="F30" s="664"/>
      <c r="G30" s="664"/>
      <c r="H30" s="665"/>
      <c r="I30" s="665"/>
      <c r="J30" s="665"/>
      <c r="K30" s="665"/>
      <c r="L30" s="665"/>
      <c r="M30" s="665"/>
      <c r="N30" s="666"/>
      <c r="O30" s="667"/>
    </row>
    <row r="31" spans="2:15" ht="33" customHeight="1" x14ac:dyDescent="0.3">
      <c r="B31" s="677">
        <v>21</v>
      </c>
      <c r="C31" s="661"/>
      <c r="D31" s="664"/>
      <c r="E31" s="664"/>
      <c r="F31" s="664"/>
      <c r="G31" s="664"/>
      <c r="H31" s="665"/>
      <c r="I31" s="665"/>
      <c r="J31" s="665"/>
      <c r="K31" s="665"/>
      <c r="L31" s="665"/>
      <c r="M31" s="665"/>
      <c r="N31" s="666"/>
      <c r="O31" s="667"/>
    </row>
    <row r="32" spans="2:15" ht="33" customHeight="1" x14ac:dyDescent="0.3">
      <c r="B32" s="677">
        <v>22</v>
      </c>
      <c r="C32" s="661"/>
      <c r="D32" s="664"/>
      <c r="E32" s="664"/>
      <c r="F32" s="664"/>
      <c r="G32" s="664"/>
      <c r="H32" s="665"/>
      <c r="I32" s="665"/>
      <c r="J32" s="665"/>
      <c r="K32" s="665"/>
      <c r="L32" s="665"/>
      <c r="M32" s="665"/>
      <c r="N32" s="666"/>
      <c r="O32" s="667"/>
    </row>
    <row r="33" spans="2:15" ht="33" customHeight="1" x14ac:dyDescent="0.3">
      <c r="B33" s="677">
        <v>23</v>
      </c>
      <c r="C33" s="661"/>
      <c r="D33" s="664"/>
      <c r="E33" s="664"/>
      <c r="F33" s="664"/>
      <c r="G33" s="664"/>
      <c r="H33" s="665"/>
      <c r="I33" s="665"/>
      <c r="J33" s="665"/>
      <c r="K33" s="665"/>
      <c r="L33" s="665"/>
      <c r="M33" s="665"/>
      <c r="N33" s="666"/>
      <c r="O33" s="667"/>
    </row>
    <row r="34" spans="2:15" ht="33" customHeight="1" x14ac:dyDescent="0.3">
      <c r="B34" s="678">
        <v>24</v>
      </c>
      <c r="C34" s="668"/>
      <c r="D34" s="669"/>
      <c r="E34" s="669"/>
      <c r="F34" s="669"/>
      <c r="G34" s="669"/>
      <c r="H34" s="670"/>
      <c r="I34" s="670"/>
      <c r="J34" s="670"/>
      <c r="K34" s="670"/>
      <c r="L34" s="670"/>
      <c r="M34" s="670"/>
      <c r="N34" s="671"/>
      <c r="O34" s="672"/>
    </row>
    <row r="35" spans="2:15" ht="33" customHeight="1" x14ac:dyDescent="0.3">
      <c r="B35" s="677">
        <v>25</v>
      </c>
      <c r="C35" s="673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7"/>
    </row>
    <row r="36" spans="2:15" ht="33" customHeight="1" x14ac:dyDescent="0.3">
      <c r="B36" s="677">
        <v>26</v>
      </c>
      <c r="C36" s="673"/>
      <c r="D36" s="666"/>
      <c r="E36" s="666"/>
      <c r="F36" s="666"/>
      <c r="G36" s="666"/>
      <c r="H36" s="666"/>
      <c r="I36" s="666"/>
      <c r="J36" s="666"/>
      <c r="K36" s="666"/>
      <c r="L36" s="666"/>
      <c r="M36" s="666"/>
      <c r="N36" s="666"/>
      <c r="O36" s="667"/>
    </row>
    <row r="37" spans="2:15" ht="33" customHeight="1" x14ac:dyDescent="0.3">
      <c r="B37" s="677">
        <v>27</v>
      </c>
      <c r="C37" s="673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7"/>
    </row>
    <row r="38" spans="2:15" ht="33" customHeight="1" x14ac:dyDescent="0.3">
      <c r="B38" s="677">
        <v>28</v>
      </c>
      <c r="C38" s="673"/>
      <c r="D38" s="666"/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7"/>
    </row>
    <row r="39" spans="2:15" ht="33" customHeight="1" x14ac:dyDescent="0.3">
      <c r="B39" s="677">
        <v>29</v>
      </c>
      <c r="C39" s="673"/>
      <c r="D39" s="666"/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7"/>
    </row>
    <row r="40" spans="2:15" ht="33" customHeight="1" thickBot="1" x14ac:dyDescent="0.35">
      <c r="B40" s="679">
        <v>30</v>
      </c>
      <c r="C40" s="674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6"/>
    </row>
    <row r="42" spans="2:15" ht="33" customHeight="1" thickBot="1" x14ac:dyDescent="0.35"/>
    <row r="43" spans="2:15" ht="33" customHeight="1" x14ac:dyDescent="0.3">
      <c r="B43" s="2156" t="s">
        <v>487</v>
      </c>
      <c r="C43" s="2157"/>
      <c r="D43" s="2157"/>
      <c r="E43" s="2157"/>
      <c r="F43" s="2157"/>
      <c r="G43" s="2157"/>
      <c r="H43" s="2157"/>
      <c r="I43" s="2157"/>
      <c r="J43" s="2157"/>
      <c r="K43" s="2157"/>
      <c r="L43" s="2157"/>
      <c r="M43" s="2157"/>
      <c r="N43" s="2157"/>
      <c r="O43" s="2158"/>
    </row>
    <row r="44" spans="2:15" ht="33" customHeight="1" x14ac:dyDescent="0.3">
      <c r="B44" s="2159" t="s">
        <v>488</v>
      </c>
      <c r="C44" s="2160"/>
      <c r="D44" s="2160"/>
      <c r="E44" s="2160"/>
      <c r="F44" s="2160"/>
      <c r="G44" s="2160"/>
      <c r="H44" s="2160"/>
      <c r="I44" s="2160"/>
      <c r="J44" s="2152" t="s">
        <v>520</v>
      </c>
      <c r="K44" s="2152"/>
      <c r="L44" s="2152">
        <f>HOME!$E$2</f>
        <v>2022</v>
      </c>
      <c r="M44" s="2152"/>
      <c r="N44" s="2153">
        <f>HOME!$F$2</f>
        <v>2023</v>
      </c>
      <c r="O44" s="2154"/>
    </row>
    <row r="45" spans="2:15" ht="33" customHeight="1" x14ac:dyDescent="0.3">
      <c r="B45" s="402"/>
      <c r="C45" s="653" t="s">
        <v>489</v>
      </c>
      <c r="D45" s="1466" t="str">
        <f>'शाळा माहिती'!D4</f>
        <v>जि.प.प्रा.शा.बोरजाई वस्ती</v>
      </c>
      <c r="E45" s="1466"/>
      <c r="F45" s="1466"/>
      <c r="G45" s="1466"/>
      <c r="H45" s="1466"/>
      <c r="I45" s="1466"/>
      <c r="J45" s="2142" t="s">
        <v>362</v>
      </c>
      <c r="K45" s="2142"/>
      <c r="L45" s="2141" t="s">
        <v>705</v>
      </c>
      <c r="M45" s="2141"/>
      <c r="O45" s="420"/>
    </row>
    <row r="46" spans="2:15" ht="33" customHeight="1" x14ac:dyDescent="0.3">
      <c r="B46" s="402"/>
      <c r="C46" s="653" t="s">
        <v>256</v>
      </c>
      <c r="D46" s="1466" t="str">
        <f>'शाळा माहिती'!D6</f>
        <v>जामगाव</v>
      </c>
      <c r="E46" s="1466"/>
      <c r="F46" s="1466"/>
      <c r="G46" s="1466"/>
      <c r="H46" s="1466"/>
      <c r="I46" s="1466"/>
      <c r="J46" s="2142" t="s">
        <v>377</v>
      </c>
      <c r="K46" s="2142"/>
      <c r="L46" s="1466" t="str">
        <f>'शाळा माहिती'!D7</f>
        <v>गंगापूर</v>
      </c>
      <c r="M46" s="1466"/>
      <c r="O46" s="420"/>
    </row>
    <row r="47" spans="2:15" ht="33" customHeight="1" thickBot="1" x14ac:dyDescent="0.35">
      <c r="B47" s="654"/>
      <c r="C47" s="655" t="s">
        <v>515</v>
      </c>
      <c r="D47" s="2144">
        <f>'शाळा माहिती'!D10</f>
        <v>27190220701</v>
      </c>
      <c r="E47" s="2144"/>
      <c r="F47" s="2144"/>
      <c r="G47" s="2144"/>
      <c r="H47" s="2144"/>
      <c r="I47" s="2144"/>
      <c r="J47" s="2143" t="s">
        <v>378</v>
      </c>
      <c r="K47" s="2143"/>
      <c r="L47" s="2144" t="str">
        <f>'शाळा माहिती'!D8</f>
        <v>औरंगाबाद</v>
      </c>
      <c r="M47" s="2144"/>
      <c r="N47" s="656"/>
      <c r="O47" s="657"/>
    </row>
    <row r="48" spans="2:15" ht="33" customHeight="1" thickBot="1" x14ac:dyDescent="0.35">
      <c r="B48" s="2145" t="s">
        <v>460</v>
      </c>
      <c r="C48" s="2147" t="s">
        <v>535</v>
      </c>
      <c r="D48" s="2149" t="s">
        <v>94</v>
      </c>
      <c r="E48" s="2150"/>
      <c r="F48" s="680">
        <f>$L$5</f>
        <v>2022</v>
      </c>
      <c r="G48" s="2149" t="s">
        <v>37</v>
      </c>
      <c r="H48" s="2150"/>
      <c r="I48" s="680">
        <f>$L$5</f>
        <v>2022</v>
      </c>
      <c r="J48" s="2149" t="s">
        <v>39</v>
      </c>
      <c r="K48" s="2150"/>
      <c r="L48" s="681">
        <f>$L$5</f>
        <v>2022</v>
      </c>
      <c r="M48" s="2155" t="s">
        <v>41</v>
      </c>
      <c r="N48" s="2150"/>
      <c r="O48" s="682">
        <f>$N$5</f>
        <v>2023</v>
      </c>
    </row>
    <row r="49" spans="2:16" ht="33" customHeight="1" x14ac:dyDescent="0.3">
      <c r="B49" s="2146"/>
      <c r="C49" s="2148"/>
      <c r="D49" s="658" t="s">
        <v>533</v>
      </c>
      <c r="E49" s="658" t="s">
        <v>534</v>
      </c>
      <c r="F49" s="659" t="s">
        <v>490</v>
      </c>
      <c r="G49" s="658" t="s">
        <v>533</v>
      </c>
      <c r="H49" s="658" t="s">
        <v>534</v>
      </c>
      <c r="I49" s="659" t="s">
        <v>490</v>
      </c>
      <c r="J49" s="658" t="s">
        <v>533</v>
      </c>
      <c r="K49" s="658" t="s">
        <v>534</v>
      </c>
      <c r="L49" s="659" t="s">
        <v>490</v>
      </c>
      <c r="M49" s="658" t="s">
        <v>533</v>
      </c>
      <c r="N49" s="658" t="s">
        <v>534</v>
      </c>
      <c r="O49" s="660" t="s">
        <v>490</v>
      </c>
    </row>
    <row r="50" spans="2:16" ht="33" customHeight="1" x14ac:dyDescent="0.3">
      <c r="B50" s="677">
        <v>1</v>
      </c>
      <c r="C50" s="661"/>
      <c r="D50" s="662"/>
      <c r="E50" s="662"/>
      <c r="F50" s="662"/>
      <c r="G50" s="662"/>
      <c r="H50" s="662"/>
      <c r="I50" s="662"/>
      <c r="J50" s="662"/>
      <c r="K50" s="662"/>
      <c r="L50" s="662"/>
      <c r="M50" s="662"/>
      <c r="N50" s="662"/>
      <c r="O50" s="663"/>
      <c r="P50" s="402"/>
    </row>
    <row r="51" spans="2:16" ht="33" customHeight="1" x14ac:dyDescent="0.3">
      <c r="B51" s="677">
        <v>2</v>
      </c>
      <c r="C51" s="661"/>
      <c r="D51" s="664"/>
      <c r="E51" s="664"/>
      <c r="F51" s="664"/>
      <c r="G51" s="664"/>
      <c r="H51" s="665"/>
      <c r="I51" s="665"/>
      <c r="J51" s="665"/>
      <c r="K51" s="665"/>
      <c r="L51" s="665"/>
      <c r="M51" s="665"/>
      <c r="N51" s="666"/>
      <c r="O51" s="667"/>
    </row>
    <row r="52" spans="2:16" ht="33" customHeight="1" x14ac:dyDescent="0.3">
      <c r="B52" s="677">
        <v>3</v>
      </c>
      <c r="C52" s="661"/>
      <c r="D52" s="664"/>
      <c r="E52" s="664"/>
      <c r="F52" s="664"/>
      <c r="G52" s="664"/>
      <c r="H52" s="665"/>
      <c r="I52" s="665"/>
      <c r="J52" s="665"/>
      <c r="K52" s="665"/>
      <c r="L52" s="665"/>
      <c r="M52" s="665"/>
      <c r="N52" s="666"/>
      <c r="O52" s="667"/>
    </row>
    <row r="53" spans="2:16" ht="33" customHeight="1" x14ac:dyDescent="0.3">
      <c r="B53" s="677">
        <v>4</v>
      </c>
      <c r="C53" s="661"/>
      <c r="D53" s="664"/>
      <c r="E53" s="664"/>
      <c r="F53" s="664"/>
      <c r="G53" s="664"/>
      <c r="H53" s="665"/>
      <c r="I53" s="665"/>
      <c r="J53" s="665"/>
      <c r="K53" s="665"/>
      <c r="L53" s="665"/>
      <c r="M53" s="665"/>
      <c r="N53" s="666"/>
      <c r="O53" s="667"/>
    </row>
    <row r="54" spans="2:16" ht="33" customHeight="1" x14ac:dyDescent="0.3">
      <c r="B54" s="677">
        <v>5</v>
      </c>
      <c r="C54" s="661"/>
      <c r="D54" s="664"/>
      <c r="E54" s="664"/>
      <c r="F54" s="664"/>
      <c r="G54" s="664"/>
      <c r="H54" s="665"/>
      <c r="I54" s="665"/>
      <c r="J54" s="665"/>
      <c r="K54" s="665"/>
      <c r="L54" s="665"/>
      <c r="M54" s="665"/>
      <c r="N54" s="666"/>
      <c r="O54" s="667"/>
    </row>
    <row r="55" spans="2:16" ht="33" customHeight="1" x14ac:dyDescent="0.3">
      <c r="B55" s="677">
        <v>6</v>
      </c>
      <c r="C55" s="661"/>
      <c r="D55" s="664"/>
      <c r="E55" s="664"/>
      <c r="F55" s="664"/>
      <c r="G55" s="664"/>
      <c r="H55" s="665"/>
      <c r="I55" s="665"/>
      <c r="J55" s="665"/>
      <c r="K55" s="665"/>
      <c r="L55" s="665"/>
      <c r="M55" s="665"/>
      <c r="N55" s="666"/>
      <c r="O55" s="667"/>
    </row>
    <row r="56" spans="2:16" ht="33" customHeight="1" x14ac:dyDescent="0.3">
      <c r="B56" s="677">
        <v>7</v>
      </c>
      <c r="C56" s="661"/>
      <c r="D56" s="664"/>
      <c r="E56" s="664"/>
      <c r="F56" s="664"/>
      <c r="G56" s="664"/>
      <c r="H56" s="665"/>
      <c r="I56" s="665"/>
      <c r="J56" s="665"/>
      <c r="K56" s="665"/>
      <c r="L56" s="665"/>
      <c r="M56" s="665"/>
      <c r="N56" s="666"/>
      <c r="O56" s="667"/>
    </row>
    <row r="57" spans="2:16" ht="33" customHeight="1" x14ac:dyDescent="0.3">
      <c r="B57" s="677">
        <v>8</v>
      </c>
      <c r="C57" s="661"/>
      <c r="D57" s="664"/>
      <c r="E57" s="664"/>
      <c r="F57" s="664"/>
      <c r="G57" s="664"/>
      <c r="H57" s="665"/>
      <c r="I57" s="665"/>
      <c r="J57" s="665"/>
      <c r="K57" s="665"/>
      <c r="L57" s="665"/>
      <c r="M57" s="665"/>
      <c r="N57" s="666"/>
      <c r="O57" s="667"/>
    </row>
    <row r="58" spans="2:16" ht="33" customHeight="1" x14ac:dyDescent="0.3">
      <c r="B58" s="677">
        <v>9</v>
      </c>
      <c r="C58" s="661"/>
      <c r="D58" s="664"/>
      <c r="E58" s="664"/>
      <c r="F58" s="664"/>
      <c r="G58" s="664"/>
      <c r="H58" s="665"/>
      <c r="I58" s="665"/>
      <c r="J58" s="665"/>
      <c r="K58" s="665"/>
      <c r="L58" s="665"/>
      <c r="M58" s="665"/>
      <c r="N58" s="666"/>
      <c r="O58" s="667"/>
    </row>
    <row r="59" spans="2:16" ht="33" customHeight="1" x14ac:dyDescent="0.3">
      <c r="B59" s="677">
        <v>10</v>
      </c>
      <c r="C59" s="661"/>
      <c r="D59" s="664"/>
      <c r="E59" s="664"/>
      <c r="F59" s="664"/>
      <c r="G59" s="664"/>
      <c r="H59" s="665"/>
      <c r="I59" s="665"/>
      <c r="J59" s="665"/>
      <c r="K59" s="665"/>
      <c r="L59" s="665"/>
      <c r="M59" s="665"/>
      <c r="N59" s="666"/>
      <c r="O59" s="667"/>
    </row>
    <row r="60" spans="2:16" ht="33" customHeight="1" x14ac:dyDescent="0.3">
      <c r="B60" s="677">
        <v>11</v>
      </c>
      <c r="C60" s="661"/>
      <c r="D60" s="664"/>
      <c r="E60" s="664"/>
      <c r="F60" s="664"/>
      <c r="G60" s="664"/>
      <c r="H60" s="665"/>
      <c r="I60" s="665"/>
      <c r="J60" s="665"/>
      <c r="K60" s="665"/>
      <c r="L60" s="665"/>
      <c r="M60" s="665"/>
      <c r="N60" s="666"/>
      <c r="O60" s="667"/>
    </row>
    <row r="61" spans="2:16" ht="33" customHeight="1" x14ac:dyDescent="0.3">
      <c r="B61" s="677">
        <v>12</v>
      </c>
      <c r="C61" s="661"/>
      <c r="D61" s="664"/>
      <c r="E61" s="664"/>
      <c r="F61" s="664"/>
      <c r="G61" s="664"/>
      <c r="H61" s="665"/>
      <c r="I61" s="665"/>
      <c r="J61" s="665"/>
      <c r="K61" s="665"/>
      <c r="L61" s="665"/>
      <c r="M61" s="665"/>
      <c r="N61" s="666"/>
      <c r="O61" s="667"/>
    </row>
    <row r="62" spans="2:16" ht="33" customHeight="1" x14ac:dyDescent="0.3">
      <c r="B62" s="677">
        <v>13</v>
      </c>
      <c r="C62" s="661"/>
      <c r="D62" s="664"/>
      <c r="E62" s="664"/>
      <c r="F62" s="664"/>
      <c r="G62" s="664"/>
      <c r="H62" s="665"/>
      <c r="I62" s="665"/>
      <c r="J62" s="665"/>
      <c r="K62" s="665"/>
      <c r="L62" s="665"/>
      <c r="M62" s="665"/>
      <c r="N62" s="666"/>
      <c r="O62" s="667"/>
    </row>
    <row r="63" spans="2:16" ht="33" customHeight="1" x14ac:dyDescent="0.3">
      <c r="B63" s="677">
        <v>14</v>
      </c>
      <c r="C63" s="661"/>
      <c r="D63" s="664"/>
      <c r="E63" s="664"/>
      <c r="F63" s="664"/>
      <c r="G63" s="664"/>
      <c r="H63" s="665"/>
      <c r="I63" s="665"/>
      <c r="J63" s="665"/>
      <c r="K63" s="665"/>
      <c r="L63" s="665"/>
      <c r="M63" s="665"/>
      <c r="N63" s="666"/>
      <c r="O63" s="667"/>
    </row>
    <row r="64" spans="2:16" ht="33" customHeight="1" x14ac:dyDescent="0.3">
      <c r="B64" s="677">
        <v>15</v>
      </c>
      <c r="C64" s="661"/>
      <c r="D64" s="664"/>
      <c r="E64" s="664"/>
      <c r="F64" s="664"/>
      <c r="G64" s="664"/>
      <c r="H64" s="665"/>
      <c r="I64" s="665"/>
      <c r="J64" s="665"/>
      <c r="K64" s="665"/>
      <c r="L64" s="665"/>
      <c r="M64" s="665"/>
      <c r="N64" s="666"/>
      <c r="O64" s="667"/>
    </row>
    <row r="65" spans="2:15" ht="33" customHeight="1" x14ac:dyDescent="0.3">
      <c r="B65" s="677">
        <v>16</v>
      </c>
      <c r="C65" s="661"/>
      <c r="D65" s="664"/>
      <c r="E65" s="664"/>
      <c r="F65" s="664"/>
      <c r="G65" s="664"/>
      <c r="H65" s="665"/>
      <c r="I65" s="665"/>
      <c r="J65" s="665"/>
      <c r="K65" s="665"/>
      <c r="L65" s="665"/>
      <c r="M65" s="665"/>
      <c r="N65" s="666"/>
      <c r="O65" s="667"/>
    </row>
    <row r="66" spans="2:15" ht="33" customHeight="1" x14ac:dyDescent="0.3">
      <c r="B66" s="677">
        <v>17</v>
      </c>
      <c r="C66" s="661"/>
      <c r="D66" s="664"/>
      <c r="E66" s="664"/>
      <c r="F66" s="664"/>
      <c r="G66" s="664"/>
      <c r="H66" s="665"/>
      <c r="I66" s="665"/>
      <c r="J66" s="665"/>
      <c r="K66" s="665"/>
      <c r="L66" s="665"/>
      <c r="M66" s="665"/>
      <c r="N66" s="666"/>
      <c r="O66" s="667"/>
    </row>
    <row r="67" spans="2:15" ht="33" customHeight="1" x14ac:dyDescent="0.3">
      <c r="B67" s="677">
        <v>18</v>
      </c>
      <c r="C67" s="661"/>
      <c r="D67" s="664"/>
      <c r="E67" s="664"/>
      <c r="F67" s="664"/>
      <c r="G67" s="664"/>
      <c r="H67" s="665"/>
      <c r="I67" s="665"/>
      <c r="J67" s="665"/>
      <c r="K67" s="665"/>
      <c r="L67" s="665"/>
      <c r="M67" s="665"/>
      <c r="N67" s="666"/>
      <c r="O67" s="667"/>
    </row>
    <row r="68" spans="2:15" ht="33" customHeight="1" x14ac:dyDescent="0.3">
      <c r="B68" s="677">
        <v>19</v>
      </c>
      <c r="C68" s="661"/>
      <c r="D68" s="664"/>
      <c r="E68" s="664"/>
      <c r="F68" s="664"/>
      <c r="G68" s="664"/>
      <c r="H68" s="665"/>
      <c r="I68" s="665"/>
      <c r="J68" s="665"/>
      <c r="K68" s="665"/>
      <c r="L68" s="665"/>
      <c r="M68" s="665"/>
      <c r="N68" s="666"/>
      <c r="O68" s="667"/>
    </row>
    <row r="69" spans="2:15" ht="33" customHeight="1" x14ac:dyDescent="0.3">
      <c r="B69" s="677">
        <v>20</v>
      </c>
      <c r="C69" s="661"/>
      <c r="D69" s="664"/>
      <c r="E69" s="664"/>
      <c r="F69" s="664"/>
      <c r="G69" s="664"/>
      <c r="H69" s="665"/>
      <c r="I69" s="665"/>
      <c r="J69" s="665"/>
      <c r="K69" s="665"/>
      <c r="L69" s="665"/>
      <c r="M69" s="665"/>
      <c r="N69" s="666"/>
      <c r="O69" s="667"/>
    </row>
    <row r="70" spans="2:15" ht="33" customHeight="1" x14ac:dyDescent="0.3">
      <c r="B70" s="677">
        <v>21</v>
      </c>
      <c r="C70" s="661"/>
      <c r="D70" s="664"/>
      <c r="E70" s="664"/>
      <c r="F70" s="664"/>
      <c r="G70" s="664"/>
      <c r="H70" s="665"/>
      <c r="I70" s="665"/>
      <c r="J70" s="665"/>
      <c r="K70" s="665"/>
      <c r="L70" s="665"/>
      <c r="M70" s="665"/>
      <c r="N70" s="666"/>
      <c r="O70" s="667"/>
    </row>
    <row r="71" spans="2:15" ht="33" customHeight="1" x14ac:dyDescent="0.3">
      <c r="B71" s="677">
        <v>22</v>
      </c>
      <c r="C71" s="661"/>
      <c r="D71" s="664"/>
      <c r="E71" s="664"/>
      <c r="F71" s="664"/>
      <c r="G71" s="664"/>
      <c r="H71" s="665"/>
      <c r="I71" s="665"/>
      <c r="J71" s="665"/>
      <c r="K71" s="665"/>
      <c r="L71" s="665"/>
      <c r="M71" s="665"/>
      <c r="N71" s="666"/>
      <c r="O71" s="667"/>
    </row>
    <row r="72" spans="2:15" ht="33" customHeight="1" x14ac:dyDescent="0.3">
      <c r="B72" s="677">
        <v>23</v>
      </c>
      <c r="C72" s="661"/>
      <c r="D72" s="664"/>
      <c r="E72" s="664"/>
      <c r="F72" s="664"/>
      <c r="G72" s="664"/>
      <c r="H72" s="665"/>
      <c r="I72" s="665"/>
      <c r="J72" s="665"/>
      <c r="K72" s="665"/>
      <c r="L72" s="665"/>
      <c r="M72" s="665"/>
      <c r="N72" s="666"/>
      <c r="O72" s="667"/>
    </row>
    <row r="73" spans="2:15" ht="33" customHeight="1" x14ac:dyDescent="0.3">
      <c r="B73" s="678">
        <v>24</v>
      </c>
      <c r="C73" s="668"/>
      <c r="D73" s="669"/>
      <c r="E73" s="669"/>
      <c r="F73" s="669"/>
      <c r="G73" s="669"/>
      <c r="H73" s="670"/>
      <c r="I73" s="670"/>
      <c r="J73" s="670"/>
      <c r="K73" s="670"/>
      <c r="L73" s="670"/>
      <c r="M73" s="670"/>
      <c r="N73" s="671"/>
      <c r="O73" s="672"/>
    </row>
    <row r="74" spans="2:15" ht="33" customHeight="1" x14ac:dyDescent="0.3">
      <c r="B74" s="677">
        <v>25</v>
      </c>
      <c r="C74" s="673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7"/>
    </row>
    <row r="75" spans="2:15" ht="33" customHeight="1" x14ac:dyDescent="0.3">
      <c r="B75" s="677">
        <v>26</v>
      </c>
      <c r="C75" s="673"/>
      <c r="D75" s="666"/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7"/>
    </row>
    <row r="76" spans="2:15" ht="33" customHeight="1" x14ac:dyDescent="0.3">
      <c r="B76" s="677">
        <v>27</v>
      </c>
      <c r="C76" s="673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7"/>
    </row>
    <row r="77" spans="2:15" ht="33" customHeight="1" x14ac:dyDescent="0.3">
      <c r="B77" s="677">
        <v>28</v>
      </c>
      <c r="C77" s="673"/>
      <c r="D77" s="666"/>
      <c r="E77" s="666"/>
      <c r="F77" s="666"/>
      <c r="G77" s="666"/>
      <c r="H77" s="666"/>
      <c r="I77" s="666"/>
      <c r="J77" s="666"/>
      <c r="K77" s="666"/>
      <c r="L77" s="666"/>
      <c r="M77" s="666"/>
      <c r="N77" s="666"/>
      <c r="O77" s="667"/>
    </row>
    <row r="78" spans="2:15" ht="33" customHeight="1" x14ac:dyDescent="0.3">
      <c r="B78" s="677">
        <v>29</v>
      </c>
      <c r="C78" s="673"/>
      <c r="D78" s="666"/>
      <c r="E78" s="666"/>
      <c r="F78" s="666"/>
      <c r="G78" s="666"/>
      <c r="H78" s="666"/>
      <c r="I78" s="666"/>
      <c r="J78" s="666"/>
      <c r="K78" s="666"/>
      <c r="L78" s="666"/>
      <c r="M78" s="666"/>
      <c r="N78" s="666"/>
      <c r="O78" s="667"/>
    </row>
    <row r="79" spans="2:15" ht="33" customHeight="1" thickBot="1" x14ac:dyDescent="0.35">
      <c r="B79" s="679">
        <v>30</v>
      </c>
      <c r="C79" s="674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6"/>
    </row>
    <row r="81" spans="2:16" ht="33" customHeight="1" thickBot="1" x14ac:dyDescent="0.35"/>
    <row r="82" spans="2:16" ht="33" customHeight="1" x14ac:dyDescent="0.3">
      <c r="B82" s="2156" t="s">
        <v>487</v>
      </c>
      <c r="C82" s="2157"/>
      <c r="D82" s="2157"/>
      <c r="E82" s="2157"/>
      <c r="F82" s="2157"/>
      <c r="G82" s="2157"/>
      <c r="H82" s="2157"/>
      <c r="I82" s="2157"/>
      <c r="J82" s="2157"/>
      <c r="K82" s="2157"/>
      <c r="L82" s="2157"/>
      <c r="M82" s="2157"/>
      <c r="N82" s="2157"/>
      <c r="O82" s="2158"/>
    </row>
    <row r="83" spans="2:16" ht="33" customHeight="1" x14ac:dyDescent="0.3">
      <c r="B83" s="2159" t="s">
        <v>488</v>
      </c>
      <c r="C83" s="2160"/>
      <c r="D83" s="2160"/>
      <c r="E83" s="2160"/>
      <c r="F83" s="2160"/>
      <c r="G83" s="2160"/>
      <c r="H83" s="2160"/>
      <c r="I83" s="2160"/>
      <c r="J83" s="2152" t="s">
        <v>520</v>
      </c>
      <c r="K83" s="2152"/>
      <c r="L83" s="2152">
        <f>HOME!$E$2</f>
        <v>2022</v>
      </c>
      <c r="M83" s="2152"/>
      <c r="N83" s="2153">
        <f>HOME!$F$2</f>
        <v>2023</v>
      </c>
      <c r="O83" s="2154"/>
    </row>
    <row r="84" spans="2:16" ht="33" customHeight="1" x14ac:dyDescent="0.3">
      <c r="B84" s="402"/>
      <c r="C84" s="653" t="s">
        <v>489</v>
      </c>
      <c r="D84" s="1466" t="str">
        <f>'शाळा माहिती'!D4</f>
        <v>जि.प.प्रा.शा.बोरजाई वस्ती</v>
      </c>
      <c r="E84" s="1466"/>
      <c r="F84" s="1466"/>
      <c r="G84" s="1466"/>
      <c r="H84" s="1466"/>
      <c r="I84" s="1466"/>
      <c r="J84" s="2142" t="s">
        <v>362</v>
      </c>
      <c r="K84" s="2142"/>
      <c r="L84" s="2141" t="s">
        <v>706</v>
      </c>
      <c r="M84" s="2141"/>
      <c r="O84" s="420"/>
    </row>
    <row r="85" spans="2:16" ht="33" customHeight="1" x14ac:dyDescent="0.3">
      <c r="B85" s="402"/>
      <c r="C85" s="653" t="s">
        <v>256</v>
      </c>
      <c r="D85" s="1466" t="str">
        <f>'शाळा माहिती'!D6</f>
        <v>जामगाव</v>
      </c>
      <c r="E85" s="1466"/>
      <c r="F85" s="1466"/>
      <c r="G85" s="1466"/>
      <c r="H85" s="1466"/>
      <c r="I85" s="1466"/>
      <c r="J85" s="2142" t="s">
        <v>377</v>
      </c>
      <c r="K85" s="2142"/>
      <c r="L85" s="1466" t="str">
        <f>'शाळा माहिती'!D7</f>
        <v>गंगापूर</v>
      </c>
      <c r="M85" s="1466"/>
      <c r="O85" s="420"/>
    </row>
    <row r="86" spans="2:16" ht="33" customHeight="1" thickBot="1" x14ac:dyDescent="0.35">
      <c r="B86" s="654"/>
      <c r="C86" s="655" t="s">
        <v>515</v>
      </c>
      <c r="D86" s="2144">
        <f>'शाळा माहिती'!D10</f>
        <v>27190220701</v>
      </c>
      <c r="E86" s="2144"/>
      <c r="F86" s="2144"/>
      <c r="G86" s="2144"/>
      <c r="H86" s="2144"/>
      <c r="I86" s="2144"/>
      <c r="J86" s="2143" t="s">
        <v>378</v>
      </c>
      <c r="K86" s="2143"/>
      <c r="L86" s="2144" t="str">
        <f>'शाळा माहिती'!D8</f>
        <v>औरंगाबाद</v>
      </c>
      <c r="M86" s="2144"/>
      <c r="N86" s="656"/>
      <c r="O86" s="657"/>
    </row>
    <row r="87" spans="2:16" ht="33" customHeight="1" thickBot="1" x14ac:dyDescent="0.35">
      <c r="B87" s="2145" t="s">
        <v>460</v>
      </c>
      <c r="C87" s="2147" t="s">
        <v>535</v>
      </c>
      <c r="D87" s="2149" t="s">
        <v>94</v>
      </c>
      <c r="E87" s="2150"/>
      <c r="F87" s="680">
        <f>$L$5</f>
        <v>2022</v>
      </c>
      <c r="G87" s="2149" t="s">
        <v>37</v>
      </c>
      <c r="H87" s="2150"/>
      <c r="I87" s="680">
        <f>$L$5</f>
        <v>2022</v>
      </c>
      <c r="J87" s="2149" t="s">
        <v>39</v>
      </c>
      <c r="K87" s="2150"/>
      <c r="L87" s="681">
        <f>$L$5</f>
        <v>2022</v>
      </c>
      <c r="M87" s="2155" t="s">
        <v>41</v>
      </c>
      <c r="N87" s="2150"/>
      <c r="O87" s="682">
        <f>$N$5</f>
        <v>2023</v>
      </c>
    </row>
    <row r="88" spans="2:16" ht="33" customHeight="1" x14ac:dyDescent="0.3">
      <c r="B88" s="2146"/>
      <c r="C88" s="2148"/>
      <c r="D88" s="658" t="s">
        <v>533</v>
      </c>
      <c r="E88" s="658" t="s">
        <v>534</v>
      </c>
      <c r="F88" s="659" t="s">
        <v>490</v>
      </c>
      <c r="G88" s="658" t="s">
        <v>533</v>
      </c>
      <c r="H88" s="658" t="s">
        <v>534</v>
      </c>
      <c r="I88" s="659" t="s">
        <v>490</v>
      </c>
      <c r="J88" s="658" t="s">
        <v>533</v>
      </c>
      <c r="K88" s="658" t="s">
        <v>534</v>
      </c>
      <c r="L88" s="659" t="s">
        <v>490</v>
      </c>
      <c r="M88" s="658" t="s">
        <v>533</v>
      </c>
      <c r="N88" s="658" t="s">
        <v>534</v>
      </c>
      <c r="O88" s="660" t="s">
        <v>490</v>
      </c>
    </row>
    <row r="89" spans="2:16" ht="33" customHeight="1" x14ac:dyDescent="0.3">
      <c r="B89" s="677">
        <v>1</v>
      </c>
      <c r="C89" s="661"/>
      <c r="D89" s="662"/>
      <c r="E89" s="662"/>
      <c r="F89" s="662"/>
      <c r="G89" s="662"/>
      <c r="H89" s="662"/>
      <c r="I89" s="662"/>
      <c r="J89" s="662"/>
      <c r="K89" s="662"/>
      <c r="L89" s="662"/>
      <c r="M89" s="662"/>
      <c r="N89" s="662"/>
      <c r="O89" s="663"/>
      <c r="P89" s="402"/>
    </row>
    <row r="90" spans="2:16" ht="33" customHeight="1" x14ac:dyDescent="0.3">
      <c r="B90" s="677">
        <v>2</v>
      </c>
      <c r="C90" s="661"/>
      <c r="D90" s="664"/>
      <c r="E90" s="664"/>
      <c r="F90" s="664"/>
      <c r="G90" s="664"/>
      <c r="H90" s="665"/>
      <c r="I90" s="665"/>
      <c r="J90" s="665"/>
      <c r="K90" s="665"/>
      <c r="L90" s="665"/>
      <c r="M90" s="665"/>
      <c r="N90" s="666"/>
      <c r="O90" s="667"/>
    </row>
    <row r="91" spans="2:16" ht="33" customHeight="1" x14ac:dyDescent="0.3">
      <c r="B91" s="677">
        <v>3</v>
      </c>
      <c r="C91" s="661"/>
      <c r="D91" s="664"/>
      <c r="E91" s="664"/>
      <c r="F91" s="664"/>
      <c r="G91" s="664"/>
      <c r="H91" s="665"/>
      <c r="I91" s="665"/>
      <c r="J91" s="665"/>
      <c r="K91" s="665"/>
      <c r="L91" s="665"/>
      <c r="M91" s="665"/>
      <c r="N91" s="666"/>
      <c r="O91" s="667"/>
    </row>
    <row r="92" spans="2:16" ht="33" customHeight="1" x14ac:dyDescent="0.3">
      <c r="B92" s="677">
        <v>4</v>
      </c>
      <c r="C92" s="661"/>
      <c r="D92" s="664"/>
      <c r="E92" s="664"/>
      <c r="F92" s="664"/>
      <c r="G92" s="664"/>
      <c r="H92" s="665"/>
      <c r="I92" s="665"/>
      <c r="J92" s="665"/>
      <c r="K92" s="665"/>
      <c r="L92" s="665"/>
      <c r="M92" s="665"/>
      <c r="N92" s="666"/>
      <c r="O92" s="667"/>
    </row>
    <row r="93" spans="2:16" ht="33" customHeight="1" x14ac:dyDescent="0.3">
      <c r="B93" s="677">
        <v>5</v>
      </c>
      <c r="C93" s="661"/>
      <c r="D93" s="664"/>
      <c r="E93" s="664"/>
      <c r="F93" s="664"/>
      <c r="G93" s="664"/>
      <c r="H93" s="665"/>
      <c r="I93" s="665"/>
      <c r="J93" s="665"/>
      <c r="K93" s="665"/>
      <c r="L93" s="665"/>
      <c r="M93" s="665"/>
      <c r="N93" s="666"/>
      <c r="O93" s="667"/>
    </row>
    <row r="94" spans="2:16" ht="33" customHeight="1" x14ac:dyDescent="0.3">
      <c r="B94" s="677">
        <v>6</v>
      </c>
      <c r="C94" s="661"/>
      <c r="D94" s="664"/>
      <c r="E94" s="664"/>
      <c r="F94" s="664"/>
      <c r="G94" s="664"/>
      <c r="H94" s="665"/>
      <c r="I94" s="665"/>
      <c r="J94" s="665"/>
      <c r="K94" s="665"/>
      <c r="L94" s="665"/>
      <c r="M94" s="665"/>
      <c r="N94" s="666"/>
      <c r="O94" s="667"/>
    </row>
    <row r="95" spans="2:16" ht="33" customHeight="1" x14ac:dyDescent="0.3">
      <c r="B95" s="677">
        <v>7</v>
      </c>
      <c r="C95" s="661"/>
      <c r="D95" s="664"/>
      <c r="E95" s="664"/>
      <c r="F95" s="664"/>
      <c r="G95" s="664"/>
      <c r="H95" s="665"/>
      <c r="I95" s="665"/>
      <c r="J95" s="665"/>
      <c r="K95" s="665"/>
      <c r="L95" s="665"/>
      <c r="M95" s="665"/>
      <c r="N95" s="666"/>
      <c r="O95" s="667"/>
    </row>
    <row r="96" spans="2:16" ht="33" customHeight="1" x14ac:dyDescent="0.3">
      <c r="B96" s="677">
        <v>8</v>
      </c>
      <c r="C96" s="661"/>
      <c r="D96" s="664"/>
      <c r="E96" s="664"/>
      <c r="F96" s="664"/>
      <c r="G96" s="664"/>
      <c r="H96" s="665"/>
      <c r="I96" s="665"/>
      <c r="J96" s="665"/>
      <c r="K96" s="665"/>
      <c r="L96" s="665"/>
      <c r="M96" s="665"/>
      <c r="N96" s="666"/>
      <c r="O96" s="667"/>
    </row>
    <row r="97" spans="2:15" ht="33" customHeight="1" x14ac:dyDescent="0.3">
      <c r="B97" s="677">
        <v>9</v>
      </c>
      <c r="C97" s="661"/>
      <c r="D97" s="664"/>
      <c r="E97" s="664"/>
      <c r="F97" s="664"/>
      <c r="G97" s="664"/>
      <c r="H97" s="665"/>
      <c r="I97" s="665"/>
      <c r="J97" s="665"/>
      <c r="K97" s="665"/>
      <c r="L97" s="665"/>
      <c r="M97" s="665"/>
      <c r="N97" s="666"/>
      <c r="O97" s="667"/>
    </row>
    <row r="98" spans="2:15" ht="33" customHeight="1" x14ac:dyDescent="0.3">
      <c r="B98" s="677">
        <v>10</v>
      </c>
      <c r="C98" s="661"/>
      <c r="D98" s="664"/>
      <c r="E98" s="664"/>
      <c r="F98" s="664"/>
      <c r="G98" s="664"/>
      <c r="H98" s="665"/>
      <c r="I98" s="665"/>
      <c r="J98" s="665"/>
      <c r="K98" s="665"/>
      <c r="L98" s="665"/>
      <c r="M98" s="665"/>
      <c r="N98" s="666"/>
      <c r="O98" s="667"/>
    </row>
    <row r="99" spans="2:15" ht="33" customHeight="1" x14ac:dyDescent="0.3">
      <c r="B99" s="677">
        <v>11</v>
      </c>
      <c r="C99" s="661"/>
      <c r="D99" s="664"/>
      <c r="E99" s="664"/>
      <c r="F99" s="664"/>
      <c r="G99" s="664"/>
      <c r="H99" s="665"/>
      <c r="I99" s="665"/>
      <c r="J99" s="665"/>
      <c r="K99" s="665"/>
      <c r="L99" s="665"/>
      <c r="M99" s="665"/>
      <c r="N99" s="666"/>
      <c r="O99" s="667"/>
    </row>
    <row r="100" spans="2:15" ht="33" customHeight="1" x14ac:dyDescent="0.3">
      <c r="B100" s="677">
        <v>12</v>
      </c>
      <c r="C100" s="661"/>
      <c r="D100" s="664"/>
      <c r="E100" s="664"/>
      <c r="F100" s="664"/>
      <c r="G100" s="664"/>
      <c r="H100" s="665"/>
      <c r="I100" s="665"/>
      <c r="J100" s="665"/>
      <c r="K100" s="665"/>
      <c r="L100" s="665"/>
      <c r="M100" s="665"/>
      <c r="N100" s="666"/>
      <c r="O100" s="667"/>
    </row>
    <row r="101" spans="2:15" ht="33" customHeight="1" x14ac:dyDescent="0.3">
      <c r="B101" s="677">
        <v>13</v>
      </c>
      <c r="C101" s="661"/>
      <c r="D101" s="664"/>
      <c r="E101" s="664"/>
      <c r="F101" s="664"/>
      <c r="G101" s="664"/>
      <c r="H101" s="665"/>
      <c r="I101" s="665"/>
      <c r="J101" s="665"/>
      <c r="K101" s="665"/>
      <c r="L101" s="665"/>
      <c r="M101" s="665"/>
      <c r="N101" s="666"/>
      <c r="O101" s="667"/>
    </row>
    <row r="102" spans="2:15" ht="33" customHeight="1" x14ac:dyDescent="0.3">
      <c r="B102" s="677">
        <v>14</v>
      </c>
      <c r="C102" s="661"/>
      <c r="D102" s="664"/>
      <c r="E102" s="664"/>
      <c r="F102" s="664"/>
      <c r="G102" s="664"/>
      <c r="H102" s="665"/>
      <c r="I102" s="665"/>
      <c r="J102" s="665"/>
      <c r="K102" s="665"/>
      <c r="L102" s="665"/>
      <c r="M102" s="665"/>
      <c r="N102" s="666"/>
      <c r="O102" s="667"/>
    </row>
    <row r="103" spans="2:15" ht="33" customHeight="1" x14ac:dyDescent="0.3">
      <c r="B103" s="677">
        <v>15</v>
      </c>
      <c r="C103" s="661"/>
      <c r="D103" s="664"/>
      <c r="E103" s="664"/>
      <c r="F103" s="664"/>
      <c r="G103" s="664"/>
      <c r="H103" s="665"/>
      <c r="I103" s="665"/>
      <c r="J103" s="665"/>
      <c r="K103" s="665"/>
      <c r="L103" s="665"/>
      <c r="M103" s="665"/>
      <c r="N103" s="666"/>
      <c r="O103" s="667"/>
    </row>
    <row r="104" spans="2:15" ht="33" customHeight="1" x14ac:dyDescent="0.3">
      <c r="B104" s="677">
        <v>16</v>
      </c>
      <c r="C104" s="661"/>
      <c r="D104" s="664"/>
      <c r="E104" s="664"/>
      <c r="F104" s="664"/>
      <c r="G104" s="664"/>
      <c r="H104" s="665"/>
      <c r="I104" s="665"/>
      <c r="J104" s="665"/>
      <c r="K104" s="665"/>
      <c r="L104" s="665"/>
      <c r="M104" s="665"/>
      <c r="N104" s="666"/>
      <c r="O104" s="667"/>
    </row>
    <row r="105" spans="2:15" ht="33" customHeight="1" x14ac:dyDescent="0.3">
      <c r="B105" s="677">
        <v>17</v>
      </c>
      <c r="C105" s="661"/>
      <c r="D105" s="664"/>
      <c r="E105" s="664"/>
      <c r="F105" s="664"/>
      <c r="G105" s="664"/>
      <c r="H105" s="665"/>
      <c r="I105" s="665"/>
      <c r="J105" s="665"/>
      <c r="K105" s="665"/>
      <c r="L105" s="665"/>
      <c r="M105" s="665"/>
      <c r="N105" s="666"/>
      <c r="O105" s="667"/>
    </row>
    <row r="106" spans="2:15" ht="33" customHeight="1" x14ac:dyDescent="0.3">
      <c r="B106" s="677">
        <v>18</v>
      </c>
      <c r="C106" s="661"/>
      <c r="D106" s="664"/>
      <c r="E106" s="664"/>
      <c r="F106" s="664"/>
      <c r="G106" s="664"/>
      <c r="H106" s="665"/>
      <c r="I106" s="665"/>
      <c r="J106" s="665"/>
      <c r="K106" s="665"/>
      <c r="L106" s="665"/>
      <c r="M106" s="665"/>
      <c r="N106" s="666"/>
      <c r="O106" s="667"/>
    </row>
    <row r="107" spans="2:15" ht="33" customHeight="1" x14ac:dyDescent="0.3">
      <c r="B107" s="677">
        <v>19</v>
      </c>
      <c r="C107" s="661"/>
      <c r="D107" s="664"/>
      <c r="E107" s="664"/>
      <c r="F107" s="664"/>
      <c r="G107" s="664"/>
      <c r="H107" s="665"/>
      <c r="I107" s="665"/>
      <c r="J107" s="665"/>
      <c r="K107" s="665"/>
      <c r="L107" s="665"/>
      <c r="M107" s="665"/>
      <c r="N107" s="666"/>
      <c r="O107" s="667"/>
    </row>
    <row r="108" spans="2:15" ht="33" customHeight="1" x14ac:dyDescent="0.3">
      <c r="B108" s="677">
        <v>20</v>
      </c>
      <c r="C108" s="661"/>
      <c r="D108" s="664"/>
      <c r="E108" s="664"/>
      <c r="F108" s="664"/>
      <c r="G108" s="664"/>
      <c r="H108" s="665"/>
      <c r="I108" s="665"/>
      <c r="J108" s="665"/>
      <c r="K108" s="665"/>
      <c r="L108" s="665"/>
      <c r="M108" s="665"/>
      <c r="N108" s="666"/>
      <c r="O108" s="667"/>
    </row>
    <row r="109" spans="2:15" ht="33" customHeight="1" x14ac:dyDescent="0.3">
      <c r="B109" s="677">
        <v>21</v>
      </c>
      <c r="C109" s="661"/>
      <c r="D109" s="664"/>
      <c r="E109" s="664"/>
      <c r="F109" s="664"/>
      <c r="G109" s="664"/>
      <c r="H109" s="665"/>
      <c r="I109" s="665"/>
      <c r="J109" s="665"/>
      <c r="K109" s="665"/>
      <c r="L109" s="665"/>
      <c r="M109" s="665"/>
      <c r="N109" s="666"/>
      <c r="O109" s="667"/>
    </row>
    <row r="110" spans="2:15" ht="33" customHeight="1" x14ac:dyDescent="0.3">
      <c r="B110" s="677">
        <v>22</v>
      </c>
      <c r="C110" s="661"/>
      <c r="D110" s="664"/>
      <c r="E110" s="664"/>
      <c r="F110" s="664"/>
      <c r="G110" s="664"/>
      <c r="H110" s="665"/>
      <c r="I110" s="665"/>
      <c r="J110" s="665"/>
      <c r="K110" s="665"/>
      <c r="L110" s="665"/>
      <c r="M110" s="665"/>
      <c r="N110" s="666"/>
      <c r="O110" s="667"/>
    </row>
    <row r="111" spans="2:15" ht="33" customHeight="1" x14ac:dyDescent="0.3">
      <c r="B111" s="677">
        <v>23</v>
      </c>
      <c r="C111" s="661"/>
      <c r="D111" s="664"/>
      <c r="E111" s="664"/>
      <c r="F111" s="664"/>
      <c r="G111" s="664"/>
      <c r="H111" s="665"/>
      <c r="I111" s="665"/>
      <c r="J111" s="665"/>
      <c r="K111" s="665"/>
      <c r="L111" s="665"/>
      <c r="M111" s="665"/>
      <c r="N111" s="666"/>
      <c r="O111" s="667"/>
    </row>
    <row r="112" spans="2:15" ht="33" customHeight="1" x14ac:dyDescent="0.3">
      <c r="B112" s="678">
        <v>24</v>
      </c>
      <c r="C112" s="668"/>
      <c r="D112" s="669"/>
      <c r="E112" s="669"/>
      <c r="F112" s="669"/>
      <c r="G112" s="669"/>
      <c r="H112" s="670"/>
      <c r="I112" s="670"/>
      <c r="J112" s="670"/>
      <c r="K112" s="670"/>
      <c r="L112" s="670"/>
      <c r="M112" s="670"/>
      <c r="N112" s="671"/>
      <c r="O112" s="672"/>
    </row>
    <row r="113" spans="2:16" ht="33" customHeight="1" x14ac:dyDescent="0.3">
      <c r="B113" s="677">
        <v>25</v>
      </c>
      <c r="C113" s="673"/>
      <c r="D113" s="666"/>
      <c r="E113" s="666"/>
      <c r="F113" s="666"/>
      <c r="G113" s="666"/>
      <c r="H113" s="666"/>
      <c r="I113" s="666"/>
      <c r="J113" s="666"/>
      <c r="K113" s="666"/>
      <c r="L113" s="666"/>
      <c r="M113" s="666"/>
      <c r="N113" s="666"/>
      <c r="O113" s="667"/>
    </row>
    <row r="114" spans="2:16" ht="33" customHeight="1" x14ac:dyDescent="0.3">
      <c r="B114" s="677">
        <v>26</v>
      </c>
      <c r="C114" s="673"/>
      <c r="D114" s="666"/>
      <c r="E114" s="666"/>
      <c r="F114" s="666"/>
      <c r="G114" s="666"/>
      <c r="H114" s="666"/>
      <c r="I114" s="666"/>
      <c r="J114" s="666"/>
      <c r="K114" s="666"/>
      <c r="L114" s="666"/>
      <c r="M114" s="666"/>
      <c r="N114" s="666"/>
      <c r="O114" s="667"/>
    </row>
    <row r="115" spans="2:16" ht="33" customHeight="1" x14ac:dyDescent="0.3">
      <c r="B115" s="677">
        <v>27</v>
      </c>
      <c r="C115" s="673"/>
      <c r="D115" s="666"/>
      <c r="E115" s="666"/>
      <c r="F115" s="666"/>
      <c r="G115" s="666"/>
      <c r="H115" s="666"/>
      <c r="I115" s="666"/>
      <c r="J115" s="666"/>
      <c r="K115" s="666"/>
      <c r="L115" s="666"/>
      <c r="M115" s="666"/>
      <c r="N115" s="666"/>
      <c r="O115" s="667"/>
    </row>
    <row r="116" spans="2:16" ht="33" customHeight="1" x14ac:dyDescent="0.3">
      <c r="B116" s="677">
        <v>28</v>
      </c>
      <c r="C116" s="673"/>
      <c r="D116" s="666"/>
      <c r="E116" s="666"/>
      <c r="F116" s="666"/>
      <c r="G116" s="666"/>
      <c r="H116" s="666"/>
      <c r="I116" s="666"/>
      <c r="J116" s="666"/>
      <c r="K116" s="666"/>
      <c r="L116" s="666"/>
      <c r="M116" s="666"/>
      <c r="N116" s="666"/>
      <c r="O116" s="667"/>
    </row>
    <row r="117" spans="2:16" ht="33" customHeight="1" x14ac:dyDescent="0.3">
      <c r="B117" s="677">
        <v>29</v>
      </c>
      <c r="C117" s="673"/>
      <c r="D117" s="666"/>
      <c r="E117" s="666"/>
      <c r="F117" s="666"/>
      <c r="G117" s="666"/>
      <c r="H117" s="666"/>
      <c r="I117" s="666"/>
      <c r="J117" s="666"/>
      <c r="K117" s="666"/>
      <c r="L117" s="666"/>
      <c r="M117" s="666"/>
      <c r="N117" s="666"/>
      <c r="O117" s="667"/>
    </row>
    <row r="118" spans="2:16" ht="33" customHeight="1" thickBot="1" x14ac:dyDescent="0.35">
      <c r="B118" s="679">
        <v>30</v>
      </c>
      <c r="C118" s="674"/>
      <c r="D118" s="675"/>
      <c r="E118" s="675"/>
      <c r="F118" s="675"/>
      <c r="G118" s="675"/>
      <c r="H118" s="675"/>
      <c r="I118" s="675"/>
      <c r="J118" s="675"/>
      <c r="K118" s="675"/>
      <c r="L118" s="675"/>
      <c r="M118" s="675"/>
      <c r="N118" s="675"/>
      <c r="O118" s="676"/>
    </row>
    <row r="120" spans="2:16" ht="33" customHeight="1" thickBot="1" x14ac:dyDescent="0.35"/>
    <row r="121" spans="2:16" ht="33" customHeight="1" x14ac:dyDescent="0.3">
      <c r="B121" s="2156" t="s">
        <v>487</v>
      </c>
      <c r="C121" s="2157"/>
      <c r="D121" s="2157"/>
      <c r="E121" s="2157"/>
      <c r="F121" s="2157"/>
      <c r="G121" s="2157"/>
      <c r="H121" s="2157"/>
      <c r="I121" s="2157"/>
      <c r="J121" s="2157"/>
      <c r="K121" s="2157"/>
      <c r="L121" s="2157"/>
      <c r="M121" s="2157"/>
      <c r="N121" s="2157"/>
      <c r="O121" s="2158"/>
    </row>
    <row r="122" spans="2:16" ht="33" customHeight="1" x14ac:dyDescent="0.3">
      <c r="B122" s="2159" t="s">
        <v>488</v>
      </c>
      <c r="C122" s="2160"/>
      <c r="D122" s="2160"/>
      <c r="E122" s="2160"/>
      <c r="F122" s="2160"/>
      <c r="G122" s="2160"/>
      <c r="H122" s="2160"/>
      <c r="I122" s="2160"/>
      <c r="J122" s="2152" t="s">
        <v>520</v>
      </c>
      <c r="K122" s="2152"/>
      <c r="L122" s="2152">
        <f>HOME!$E$2</f>
        <v>2022</v>
      </c>
      <c r="M122" s="2152"/>
      <c r="N122" s="2153">
        <f>HOME!$F$2</f>
        <v>2023</v>
      </c>
      <c r="O122" s="2154"/>
    </row>
    <row r="123" spans="2:16" ht="33" customHeight="1" x14ac:dyDescent="0.3">
      <c r="B123" s="402"/>
      <c r="C123" s="653" t="s">
        <v>489</v>
      </c>
      <c r="D123" s="1466" t="str">
        <f>'शाळा माहिती'!D4</f>
        <v>जि.प.प्रा.शा.बोरजाई वस्ती</v>
      </c>
      <c r="E123" s="1466"/>
      <c r="F123" s="1466"/>
      <c r="G123" s="1466"/>
      <c r="H123" s="1466"/>
      <c r="I123" s="1466"/>
      <c r="J123" s="2142" t="s">
        <v>362</v>
      </c>
      <c r="K123" s="2142"/>
      <c r="L123" s="2141" t="s">
        <v>539</v>
      </c>
      <c r="M123" s="2141"/>
      <c r="O123" s="420"/>
    </row>
    <row r="124" spans="2:16" ht="33" customHeight="1" x14ac:dyDescent="0.3">
      <c r="B124" s="402"/>
      <c r="C124" s="653" t="s">
        <v>256</v>
      </c>
      <c r="D124" s="1466" t="str">
        <f>'शाळा माहिती'!D6</f>
        <v>जामगाव</v>
      </c>
      <c r="E124" s="1466"/>
      <c r="F124" s="1466"/>
      <c r="G124" s="1466"/>
      <c r="H124" s="1466"/>
      <c r="I124" s="1466"/>
      <c r="J124" s="2142" t="s">
        <v>377</v>
      </c>
      <c r="K124" s="2142"/>
      <c r="L124" s="1466" t="str">
        <f>'शाळा माहिती'!D7</f>
        <v>गंगापूर</v>
      </c>
      <c r="M124" s="1466"/>
      <c r="O124" s="420"/>
    </row>
    <row r="125" spans="2:16" ht="33" customHeight="1" thickBot="1" x14ac:dyDescent="0.35">
      <c r="B125" s="654"/>
      <c r="C125" s="655" t="s">
        <v>515</v>
      </c>
      <c r="D125" s="2144">
        <f>'शाळा माहिती'!D10</f>
        <v>27190220701</v>
      </c>
      <c r="E125" s="2144"/>
      <c r="F125" s="2144"/>
      <c r="G125" s="2144"/>
      <c r="H125" s="2144"/>
      <c r="I125" s="2144"/>
      <c r="J125" s="2143" t="s">
        <v>378</v>
      </c>
      <c r="K125" s="2143"/>
      <c r="L125" s="2144" t="str">
        <f>'शाळा माहिती'!D8</f>
        <v>औरंगाबाद</v>
      </c>
      <c r="M125" s="2144"/>
      <c r="N125" s="656"/>
      <c r="O125" s="657"/>
    </row>
    <row r="126" spans="2:16" ht="33" customHeight="1" thickBot="1" x14ac:dyDescent="0.35">
      <c r="B126" s="2145" t="s">
        <v>460</v>
      </c>
      <c r="C126" s="2147" t="s">
        <v>535</v>
      </c>
      <c r="D126" s="2149" t="s">
        <v>94</v>
      </c>
      <c r="E126" s="2150"/>
      <c r="F126" s="680">
        <f>$L$5</f>
        <v>2022</v>
      </c>
      <c r="G126" s="2149" t="s">
        <v>37</v>
      </c>
      <c r="H126" s="2150"/>
      <c r="I126" s="680">
        <f>$L$5</f>
        <v>2022</v>
      </c>
      <c r="J126" s="2149" t="s">
        <v>39</v>
      </c>
      <c r="K126" s="2150"/>
      <c r="L126" s="681">
        <f>$L$5</f>
        <v>2022</v>
      </c>
      <c r="M126" s="2155" t="s">
        <v>41</v>
      </c>
      <c r="N126" s="2150"/>
      <c r="O126" s="682">
        <f>$N$5</f>
        <v>2023</v>
      </c>
    </row>
    <row r="127" spans="2:16" ht="33" customHeight="1" x14ac:dyDescent="0.3">
      <c r="B127" s="2146"/>
      <c r="C127" s="2148"/>
      <c r="D127" s="658" t="s">
        <v>533</v>
      </c>
      <c r="E127" s="658" t="s">
        <v>534</v>
      </c>
      <c r="F127" s="659" t="s">
        <v>490</v>
      </c>
      <c r="G127" s="658" t="s">
        <v>533</v>
      </c>
      <c r="H127" s="658" t="s">
        <v>534</v>
      </c>
      <c r="I127" s="659" t="s">
        <v>490</v>
      </c>
      <c r="J127" s="658" t="s">
        <v>533</v>
      </c>
      <c r="K127" s="658" t="s">
        <v>534</v>
      </c>
      <c r="L127" s="659" t="s">
        <v>490</v>
      </c>
      <c r="M127" s="658" t="s">
        <v>533</v>
      </c>
      <c r="N127" s="658" t="s">
        <v>534</v>
      </c>
      <c r="O127" s="660" t="s">
        <v>490</v>
      </c>
    </row>
    <row r="128" spans="2:16" ht="33" customHeight="1" x14ac:dyDescent="0.3">
      <c r="B128" s="677">
        <v>1</v>
      </c>
      <c r="C128" s="661"/>
      <c r="D128" s="662"/>
      <c r="E128" s="662"/>
      <c r="F128" s="662"/>
      <c r="G128" s="662"/>
      <c r="H128" s="662"/>
      <c r="I128" s="662"/>
      <c r="J128" s="662"/>
      <c r="K128" s="662"/>
      <c r="L128" s="662"/>
      <c r="M128" s="662"/>
      <c r="N128" s="662"/>
      <c r="O128" s="663"/>
      <c r="P128" s="402"/>
    </row>
    <row r="129" spans="2:15" ht="33" customHeight="1" x14ac:dyDescent="0.3">
      <c r="B129" s="677">
        <v>2</v>
      </c>
      <c r="C129" s="661"/>
      <c r="D129" s="664"/>
      <c r="E129" s="664"/>
      <c r="F129" s="664"/>
      <c r="G129" s="664"/>
      <c r="H129" s="665"/>
      <c r="I129" s="665"/>
      <c r="J129" s="665"/>
      <c r="K129" s="665"/>
      <c r="L129" s="665"/>
      <c r="M129" s="665"/>
      <c r="N129" s="666"/>
      <c r="O129" s="667"/>
    </row>
    <row r="130" spans="2:15" ht="33" customHeight="1" x14ac:dyDescent="0.3">
      <c r="B130" s="677">
        <v>3</v>
      </c>
      <c r="C130" s="661"/>
      <c r="D130" s="664"/>
      <c r="E130" s="664"/>
      <c r="F130" s="664"/>
      <c r="G130" s="664"/>
      <c r="H130" s="665"/>
      <c r="I130" s="665"/>
      <c r="J130" s="665"/>
      <c r="K130" s="665"/>
      <c r="L130" s="665"/>
      <c r="M130" s="665"/>
      <c r="N130" s="666"/>
      <c r="O130" s="667"/>
    </row>
    <row r="131" spans="2:15" ht="33" customHeight="1" x14ac:dyDescent="0.3">
      <c r="B131" s="677">
        <v>4</v>
      </c>
      <c r="C131" s="661"/>
      <c r="D131" s="664"/>
      <c r="E131" s="664"/>
      <c r="F131" s="664"/>
      <c r="G131" s="664"/>
      <c r="H131" s="665"/>
      <c r="I131" s="665"/>
      <c r="J131" s="665"/>
      <c r="K131" s="665"/>
      <c r="L131" s="665"/>
      <c r="M131" s="665"/>
      <c r="N131" s="666"/>
      <c r="O131" s="667"/>
    </row>
    <row r="132" spans="2:15" ht="33" customHeight="1" x14ac:dyDescent="0.3">
      <c r="B132" s="677">
        <v>5</v>
      </c>
      <c r="C132" s="661"/>
      <c r="D132" s="664"/>
      <c r="E132" s="664"/>
      <c r="F132" s="664"/>
      <c r="G132" s="664"/>
      <c r="H132" s="665"/>
      <c r="I132" s="665"/>
      <c r="J132" s="665"/>
      <c r="K132" s="665"/>
      <c r="L132" s="665"/>
      <c r="M132" s="665"/>
      <c r="N132" s="666"/>
      <c r="O132" s="667"/>
    </row>
    <row r="133" spans="2:15" ht="33" customHeight="1" x14ac:dyDescent="0.3">
      <c r="B133" s="677">
        <v>6</v>
      </c>
      <c r="C133" s="661"/>
      <c r="D133" s="664"/>
      <c r="E133" s="664"/>
      <c r="F133" s="664"/>
      <c r="G133" s="664"/>
      <c r="H133" s="665"/>
      <c r="I133" s="665"/>
      <c r="J133" s="665"/>
      <c r="K133" s="665"/>
      <c r="L133" s="665"/>
      <c r="M133" s="665"/>
      <c r="N133" s="666"/>
      <c r="O133" s="667"/>
    </row>
    <row r="134" spans="2:15" ht="33" customHeight="1" x14ac:dyDescent="0.3">
      <c r="B134" s="677">
        <v>7</v>
      </c>
      <c r="C134" s="661"/>
      <c r="D134" s="664"/>
      <c r="E134" s="664"/>
      <c r="F134" s="664"/>
      <c r="G134" s="664"/>
      <c r="H134" s="665"/>
      <c r="I134" s="665"/>
      <c r="J134" s="665"/>
      <c r="K134" s="665"/>
      <c r="L134" s="665"/>
      <c r="M134" s="665"/>
      <c r="N134" s="666"/>
      <c r="O134" s="667"/>
    </row>
    <row r="135" spans="2:15" ht="33" customHeight="1" x14ac:dyDescent="0.3">
      <c r="B135" s="677">
        <v>8</v>
      </c>
      <c r="C135" s="661"/>
      <c r="D135" s="664"/>
      <c r="E135" s="664"/>
      <c r="F135" s="664"/>
      <c r="G135" s="664"/>
      <c r="H135" s="665"/>
      <c r="I135" s="665"/>
      <c r="J135" s="665"/>
      <c r="K135" s="665"/>
      <c r="L135" s="665"/>
      <c r="M135" s="665"/>
      <c r="N135" s="666"/>
      <c r="O135" s="667"/>
    </row>
    <row r="136" spans="2:15" ht="33" customHeight="1" x14ac:dyDescent="0.3">
      <c r="B136" s="677">
        <v>9</v>
      </c>
      <c r="C136" s="661"/>
      <c r="D136" s="664"/>
      <c r="E136" s="664"/>
      <c r="F136" s="664"/>
      <c r="G136" s="664"/>
      <c r="H136" s="665"/>
      <c r="I136" s="665"/>
      <c r="J136" s="665"/>
      <c r="K136" s="665"/>
      <c r="L136" s="665"/>
      <c r="M136" s="665"/>
      <c r="N136" s="666"/>
      <c r="O136" s="667"/>
    </row>
    <row r="137" spans="2:15" ht="33" customHeight="1" x14ac:dyDescent="0.3">
      <c r="B137" s="677">
        <v>10</v>
      </c>
      <c r="C137" s="661"/>
      <c r="D137" s="664"/>
      <c r="E137" s="664"/>
      <c r="F137" s="664"/>
      <c r="G137" s="664"/>
      <c r="H137" s="665"/>
      <c r="I137" s="665"/>
      <c r="J137" s="665"/>
      <c r="K137" s="665"/>
      <c r="L137" s="665"/>
      <c r="M137" s="665"/>
      <c r="N137" s="666"/>
      <c r="O137" s="667"/>
    </row>
    <row r="138" spans="2:15" ht="33" customHeight="1" x14ac:dyDescent="0.3">
      <c r="B138" s="677">
        <v>11</v>
      </c>
      <c r="C138" s="661"/>
      <c r="D138" s="664"/>
      <c r="E138" s="664"/>
      <c r="F138" s="664"/>
      <c r="G138" s="664"/>
      <c r="H138" s="665"/>
      <c r="I138" s="665"/>
      <c r="J138" s="665"/>
      <c r="K138" s="665"/>
      <c r="L138" s="665"/>
      <c r="M138" s="665"/>
      <c r="N138" s="666"/>
      <c r="O138" s="667"/>
    </row>
    <row r="139" spans="2:15" ht="33" customHeight="1" x14ac:dyDescent="0.3">
      <c r="B139" s="677">
        <v>12</v>
      </c>
      <c r="C139" s="661"/>
      <c r="D139" s="664"/>
      <c r="E139" s="664"/>
      <c r="F139" s="664"/>
      <c r="G139" s="664"/>
      <c r="H139" s="665"/>
      <c r="I139" s="665"/>
      <c r="J139" s="665"/>
      <c r="K139" s="665"/>
      <c r="L139" s="665"/>
      <c r="M139" s="665"/>
      <c r="N139" s="666"/>
      <c r="O139" s="667"/>
    </row>
    <row r="140" spans="2:15" ht="33" customHeight="1" x14ac:dyDescent="0.3">
      <c r="B140" s="677">
        <v>13</v>
      </c>
      <c r="C140" s="661"/>
      <c r="D140" s="664"/>
      <c r="E140" s="664"/>
      <c r="F140" s="664"/>
      <c r="G140" s="664"/>
      <c r="H140" s="665"/>
      <c r="I140" s="665"/>
      <c r="J140" s="665"/>
      <c r="K140" s="665"/>
      <c r="L140" s="665"/>
      <c r="M140" s="665"/>
      <c r="N140" s="666"/>
      <c r="O140" s="667"/>
    </row>
    <row r="141" spans="2:15" ht="33" customHeight="1" x14ac:dyDescent="0.3">
      <c r="B141" s="677">
        <v>14</v>
      </c>
      <c r="C141" s="661"/>
      <c r="D141" s="664"/>
      <c r="E141" s="664"/>
      <c r="F141" s="664"/>
      <c r="G141" s="664"/>
      <c r="H141" s="665"/>
      <c r="I141" s="665"/>
      <c r="J141" s="665"/>
      <c r="K141" s="665"/>
      <c r="L141" s="665"/>
      <c r="M141" s="665"/>
      <c r="N141" s="666"/>
      <c r="O141" s="667"/>
    </row>
    <row r="142" spans="2:15" ht="33" customHeight="1" x14ac:dyDescent="0.3">
      <c r="B142" s="677">
        <v>15</v>
      </c>
      <c r="C142" s="661"/>
      <c r="D142" s="664"/>
      <c r="E142" s="664"/>
      <c r="F142" s="664"/>
      <c r="G142" s="664"/>
      <c r="H142" s="665"/>
      <c r="I142" s="665"/>
      <c r="J142" s="665"/>
      <c r="K142" s="665"/>
      <c r="L142" s="665"/>
      <c r="M142" s="665"/>
      <c r="N142" s="666"/>
      <c r="O142" s="667"/>
    </row>
    <row r="143" spans="2:15" ht="33" customHeight="1" x14ac:dyDescent="0.3">
      <c r="B143" s="677">
        <v>16</v>
      </c>
      <c r="C143" s="661"/>
      <c r="D143" s="664"/>
      <c r="E143" s="664"/>
      <c r="F143" s="664"/>
      <c r="G143" s="664"/>
      <c r="H143" s="665"/>
      <c r="I143" s="665"/>
      <c r="J143" s="665"/>
      <c r="K143" s="665"/>
      <c r="L143" s="665"/>
      <c r="M143" s="665"/>
      <c r="N143" s="666"/>
      <c r="O143" s="667"/>
    </row>
    <row r="144" spans="2:15" ht="33" customHeight="1" x14ac:dyDescent="0.3">
      <c r="B144" s="677">
        <v>17</v>
      </c>
      <c r="C144" s="661"/>
      <c r="D144" s="664"/>
      <c r="E144" s="664"/>
      <c r="F144" s="664"/>
      <c r="G144" s="664"/>
      <c r="H144" s="665"/>
      <c r="I144" s="665"/>
      <c r="J144" s="665"/>
      <c r="K144" s="665"/>
      <c r="L144" s="665"/>
      <c r="M144" s="665"/>
      <c r="N144" s="666"/>
      <c r="O144" s="667"/>
    </row>
    <row r="145" spans="2:15" ht="33" customHeight="1" x14ac:dyDescent="0.3">
      <c r="B145" s="677">
        <v>18</v>
      </c>
      <c r="C145" s="661"/>
      <c r="D145" s="664"/>
      <c r="E145" s="664"/>
      <c r="F145" s="664"/>
      <c r="G145" s="664"/>
      <c r="H145" s="665"/>
      <c r="I145" s="665"/>
      <c r="J145" s="665"/>
      <c r="K145" s="665"/>
      <c r="L145" s="665"/>
      <c r="M145" s="665"/>
      <c r="N145" s="666"/>
      <c r="O145" s="667"/>
    </row>
    <row r="146" spans="2:15" ht="33" customHeight="1" x14ac:dyDescent="0.3">
      <c r="B146" s="677">
        <v>19</v>
      </c>
      <c r="C146" s="661"/>
      <c r="D146" s="664"/>
      <c r="E146" s="664"/>
      <c r="F146" s="664"/>
      <c r="G146" s="664"/>
      <c r="H146" s="665"/>
      <c r="I146" s="665"/>
      <c r="J146" s="665"/>
      <c r="K146" s="665"/>
      <c r="L146" s="665"/>
      <c r="M146" s="665"/>
      <c r="N146" s="666"/>
      <c r="O146" s="667"/>
    </row>
    <row r="147" spans="2:15" ht="33" customHeight="1" x14ac:dyDescent="0.3">
      <c r="B147" s="677">
        <v>20</v>
      </c>
      <c r="C147" s="661"/>
      <c r="D147" s="664"/>
      <c r="E147" s="664"/>
      <c r="F147" s="664"/>
      <c r="G147" s="664"/>
      <c r="H147" s="665"/>
      <c r="I147" s="665"/>
      <c r="J147" s="665"/>
      <c r="K147" s="665"/>
      <c r="L147" s="665"/>
      <c r="M147" s="665"/>
      <c r="N147" s="666"/>
      <c r="O147" s="667"/>
    </row>
    <row r="148" spans="2:15" ht="33" customHeight="1" x14ac:dyDescent="0.3">
      <c r="B148" s="677">
        <v>21</v>
      </c>
      <c r="C148" s="661"/>
      <c r="D148" s="664"/>
      <c r="E148" s="664"/>
      <c r="F148" s="664"/>
      <c r="G148" s="664"/>
      <c r="H148" s="665"/>
      <c r="I148" s="665"/>
      <c r="J148" s="665"/>
      <c r="K148" s="665"/>
      <c r="L148" s="665"/>
      <c r="M148" s="665"/>
      <c r="N148" s="666"/>
      <c r="O148" s="667"/>
    </row>
    <row r="149" spans="2:15" ht="33" customHeight="1" x14ac:dyDescent="0.3">
      <c r="B149" s="677">
        <v>22</v>
      </c>
      <c r="C149" s="661"/>
      <c r="D149" s="664"/>
      <c r="E149" s="664"/>
      <c r="F149" s="664"/>
      <c r="G149" s="664"/>
      <c r="H149" s="665"/>
      <c r="I149" s="665"/>
      <c r="J149" s="665"/>
      <c r="K149" s="665"/>
      <c r="L149" s="665"/>
      <c r="M149" s="665"/>
      <c r="N149" s="666"/>
      <c r="O149" s="667"/>
    </row>
    <row r="150" spans="2:15" ht="33" customHeight="1" x14ac:dyDescent="0.3">
      <c r="B150" s="677">
        <v>23</v>
      </c>
      <c r="C150" s="661"/>
      <c r="D150" s="664"/>
      <c r="E150" s="664"/>
      <c r="F150" s="664"/>
      <c r="G150" s="664"/>
      <c r="H150" s="665"/>
      <c r="I150" s="665"/>
      <c r="J150" s="665"/>
      <c r="K150" s="665"/>
      <c r="L150" s="665"/>
      <c r="M150" s="665"/>
      <c r="N150" s="666"/>
      <c r="O150" s="667"/>
    </row>
    <row r="151" spans="2:15" ht="33" customHeight="1" x14ac:dyDescent="0.3">
      <c r="B151" s="678">
        <v>24</v>
      </c>
      <c r="C151" s="668"/>
      <c r="D151" s="669"/>
      <c r="E151" s="669"/>
      <c r="F151" s="669"/>
      <c r="G151" s="669"/>
      <c r="H151" s="670"/>
      <c r="I151" s="670"/>
      <c r="J151" s="670"/>
      <c r="K151" s="670"/>
      <c r="L151" s="670"/>
      <c r="M151" s="670"/>
      <c r="N151" s="671"/>
      <c r="O151" s="672"/>
    </row>
    <row r="152" spans="2:15" ht="33" customHeight="1" x14ac:dyDescent="0.3">
      <c r="B152" s="677">
        <v>25</v>
      </c>
      <c r="C152" s="673"/>
      <c r="D152" s="666"/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7"/>
    </row>
    <row r="153" spans="2:15" ht="33" customHeight="1" x14ac:dyDescent="0.3">
      <c r="B153" s="677">
        <v>26</v>
      </c>
      <c r="C153" s="673"/>
      <c r="D153" s="666"/>
      <c r="E153" s="666"/>
      <c r="F153" s="666"/>
      <c r="G153" s="666"/>
      <c r="H153" s="666"/>
      <c r="I153" s="666"/>
      <c r="J153" s="666"/>
      <c r="K153" s="666"/>
      <c r="L153" s="666"/>
      <c r="M153" s="666"/>
      <c r="N153" s="666"/>
      <c r="O153" s="667"/>
    </row>
    <row r="154" spans="2:15" ht="33" customHeight="1" x14ac:dyDescent="0.3">
      <c r="B154" s="677">
        <v>27</v>
      </c>
      <c r="C154" s="673"/>
      <c r="D154" s="666"/>
      <c r="E154" s="666"/>
      <c r="F154" s="666"/>
      <c r="G154" s="666"/>
      <c r="H154" s="666"/>
      <c r="I154" s="666"/>
      <c r="J154" s="666"/>
      <c r="K154" s="666"/>
      <c r="L154" s="666"/>
      <c r="M154" s="666"/>
      <c r="N154" s="666"/>
      <c r="O154" s="667"/>
    </row>
    <row r="155" spans="2:15" ht="33" customHeight="1" x14ac:dyDescent="0.3">
      <c r="B155" s="677">
        <v>28</v>
      </c>
      <c r="C155" s="673"/>
      <c r="D155" s="666"/>
      <c r="E155" s="666"/>
      <c r="F155" s="666"/>
      <c r="G155" s="666"/>
      <c r="H155" s="666"/>
      <c r="I155" s="666"/>
      <c r="J155" s="666"/>
      <c r="K155" s="666"/>
      <c r="L155" s="666"/>
      <c r="M155" s="666"/>
      <c r="N155" s="666"/>
      <c r="O155" s="667"/>
    </row>
    <row r="156" spans="2:15" ht="33" customHeight="1" x14ac:dyDescent="0.3">
      <c r="B156" s="677">
        <v>29</v>
      </c>
      <c r="C156" s="673"/>
      <c r="D156" s="666"/>
      <c r="E156" s="666"/>
      <c r="F156" s="666"/>
      <c r="G156" s="666"/>
      <c r="H156" s="666"/>
      <c r="I156" s="666"/>
      <c r="J156" s="666"/>
      <c r="K156" s="666"/>
      <c r="L156" s="666"/>
      <c r="M156" s="666"/>
      <c r="N156" s="666"/>
      <c r="O156" s="667"/>
    </row>
    <row r="157" spans="2:15" ht="33" customHeight="1" thickBot="1" x14ac:dyDescent="0.35">
      <c r="B157" s="679">
        <v>30</v>
      </c>
      <c r="C157" s="674"/>
      <c r="D157" s="675"/>
      <c r="E157" s="675"/>
      <c r="F157" s="675"/>
      <c r="G157" s="675"/>
      <c r="H157" s="675"/>
      <c r="I157" s="675"/>
      <c r="J157" s="675"/>
      <c r="K157" s="675"/>
      <c r="L157" s="675"/>
      <c r="M157" s="675"/>
      <c r="N157" s="675"/>
      <c r="O157" s="676"/>
    </row>
    <row r="159" spans="2:15" ht="33" customHeight="1" thickBot="1" x14ac:dyDescent="0.35"/>
    <row r="160" spans="2:15" ht="33" customHeight="1" x14ac:dyDescent="0.3">
      <c r="B160" s="2156" t="s">
        <v>487</v>
      </c>
      <c r="C160" s="2157"/>
      <c r="D160" s="2157"/>
      <c r="E160" s="2157"/>
      <c r="F160" s="2157"/>
      <c r="G160" s="2157"/>
      <c r="H160" s="2157"/>
      <c r="I160" s="2157"/>
      <c r="J160" s="2157"/>
      <c r="K160" s="2157"/>
      <c r="L160" s="2157"/>
      <c r="M160" s="2157"/>
      <c r="N160" s="2157"/>
      <c r="O160" s="2158"/>
    </row>
    <row r="161" spans="2:16" ht="33" customHeight="1" x14ac:dyDescent="0.3">
      <c r="B161" s="2159" t="s">
        <v>488</v>
      </c>
      <c r="C161" s="2160"/>
      <c r="D161" s="2160"/>
      <c r="E161" s="2160"/>
      <c r="F161" s="2160"/>
      <c r="G161" s="2160"/>
      <c r="H161" s="2160"/>
      <c r="I161" s="2160"/>
      <c r="J161" s="2152" t="s">
        <v>520</v>
      </c>
      <c r="K161" s="2152"/>
      <c r="L161" s="2152">
        <f>HOME!$E$2</f>
        <v>2022</v>
      </c>
      <c r="M161" s="2152"/>
      <c r="N161" s="2153">
        <f>HOME!$F$2</f>
        <v>2023</v>
      </c>
      <c r="O161" s="2154"/>
    </row>
    <row r="162" spans="2:16" ht="33" customHeight="1" x14ac:dyDescent="0.3">
      <c r="B162" s="402"/>
      <c r="C162" s="653" t="s">
        <v>489</v>
      </c>
      <c r="D162" s="1466" t="str">
        <f>'शाळा माहिती'!D4</f>
        <v>जि.प.प्रा.शा.बोरजाई वस्ती</v>
      </c>
      <c r="E162" s="1466"/>
      <c r="F162" s="1466"/>
      <c r="G162" s="1466"/>
      <c r="H162" s="1466"/>
      <c r="I162" s="1466"/>
      <c r="J162" s="2142" t="s">
        <v>362</v>
      </c>
      <c r="K162" s="2142"/>
      <c r="L162" s="2141" t="s">
        <v>707</v>
      </c>
      <c r="M162" s="2141"/>
      <c r="O162" s="420"/>
    </row>
    <row r="163" spans="2:16" ht="33" customHeight="1" x14ac:dyDescent="0.3">
      <c r="B163" s="402"/>
      <c r="C163" s="653" t="s">
        <v>256</v>
      </c>
      <c r="D163" s="1466" t="str">
        <f>'शाळा माहिती'!D6</f>
        <v>जामगाव</v>
      </c>
      <c r="E163" s="1466"/>
      <c r="F163" s="1466"/>
      <c r="G163" s="1466"/>
      <c r="H163" s="1466"/>
      <c r="I163" s="1466"/>
      <c r="J163" s="2142" t="s">
        <v>377</v>
      </c>
      <c r="K163" s="2142"/>
      <c r="L163" s="1466" t="str">
        <f>'शाळा माहिती'!D7</f>
        <v>गंगापूर</v>
      </c>
      <c r="M163" s="1466"/>
      <c r="O163" s="420"/>
    </row>
    <row r="164" spans="2:16" ht="33" customHeight="1" thickBot="1" x14ac:dyDescent="0.35">
      <c r="B164" s="654"/>
      <c r="C164" s="655" t="s">
        <v>515</v>
      </c>
      <c r="D164" s="2144">
        <f>'शाळा माहिती'!D10</f>
        <v>27190220701</v>
      </c>
      <c r="E164" s="2144"/>
      <c r="F164" s="2144"/>
      <c r="G164" s="2144"/>
      <c r="H164" s="2144"/>
      <c r="I164" s="2144"/>
      <c r="J164" s="2143" t="s">
        <v>378</v>
      </c>
      <c r="K164" s="2143"/>
      <c r="L164" s="2144" t="str">
        <f>'शाळा माहिती'!D8</f>
        <v>औरंगाबाद</v>
      </c>
      <c r="M164" s="2144"/>
      <c r="N164" s="656"/>
      <c r="O164" s="657"/>
    </row>
    <row r="165" spans="2:16" ht="33" customHeight="1" thickBot="1" x14ac:dyDescent="0.35">
      <c r="B165" s="2145" t="s">
        <v>460</v>
      </c>
      <c r="C165" s="2147" t="s">
        <v>535</v>
      </c>
      <c r="D165" s="2149" t="s">
        <v>94</v>
      </c>
      <c r="E165" s="2150"/>
      <c r="F165" s="680">
        <f>$L$5</f>
        <v>2022</v>
      </c>
      <c r="G165" s="2149" t="s">
        <v>37</v>
      </c>
      <c r="H165" s="2150"/>
      <c r="I165" s="680">
        <f>$L$5</f>
        <v>2022</v>
      </c>
      <c r="J165" s="2149" t="s">
        <v>39</v>
      </c>
      <c r="K165" s="2150"/>
      <c r="L165" s="681">
        <f>$L$5</f>
        <v>2022</v>
      </c>
      <c r="M165" s="2155" t="s">
        <v>41</v>
      </c>
      <c r="N165" s="2150"/>
      <c r="O165" s="682">
        <f>$N$5</f>
        <v>2023</v>
      </c>
    </row>
    <row r="166" spans="2:16" ht="33" customHeight="1" x14ac:dyDescent="0.3">
      <c r="B166" s="2146"/>
      <c r="C166" s="2148"/>
      <c r="D166" s="658" t="s">
        <v>533</v>
      </c>
      <c r="E166" s="658" t="s">
        <v>534</v>
      </c>
      <c r="F166" s="659" t="s">
        <v>490</v>
      </c>
      <c r="G166" s="658" t="s">
        <v>533</v>
      </c>
      <c r="H166" s="658" t="s">
        <v>534</v>
      </c>
      <c r="I166" s="659" t="s">
        <v>490</v>
      </c>
      <c r="J166" s="658" t="s">
        <v>533</v>
      </c>
      <c r="K166" s="658" t="s">
        <v>534</v>
      </c>
      <c r="L166" s="659" t="s">
        <v>490</v>
      </c>
      <c r="M166" s="658" t="s">
        <v>533</v>
      </c>
      <c r="N166" s="658" t="s">
        <v>534</v>
      </c>
      <c r="O166" s="660" t="s">
        <v>490</v>
      </c>
    </row>
    <row r="167" spans="2:16" ht="33" customHeight="1" x14ac:dyDescent="0.3">
      <c r="B167" s="677">
        <v>1</v>
      </c>
      <c r="C167" s="661"/>
      <c r="D167" s="662"/>
      <c r="E167" s="662"/>
      <c r="F167" s="662"/>
      <c r="G167" s="662"/>
      <c r="H167" s="662"/>
      <c r="I167" s="662"/>
      <c r="J167" s="662"/>
      <c r="K167" s="662"/>
      <c r="L167" s="662"/>
      <c r="M167" s="662"/>
      <c r="N167" s="662"/>
      <c r="O167" s="663"/>
      <c r="P167" s="402"/>
    </row>
    <row r="168" spans="2:16" ht="33" customHeight="1" x14ac:dyDescent="0.3">
      <c r="B168" s="677">
        <v>2</v>
      </c>
      <c r="C168" s="661"/>
      <c r="D168" s="664"/>
      <c r="E168" s="664"/>
      <c r="F168" s="664"/>
      <c r="G168" s="664"/>
      <c r="H168" s="665"/>
      <c r="I168" s="665"/>
      <c r="J168" s="665"/>
      <c r="K168" s="665"/>
      <c r="L168" s="665"/>
      <c r="M168" s="665"/>
      <c r="N168" s="666"/>
      <c r="O168" s="667"/>
    </row>
    <row r="169" spans="2:16" ht="33" customHeight="1" x14ac:dyDescent="0.3">
      <c r="B169" s="677">
        <v>3</v>
      </c>
      <c r="C169" s="661"/>
      <c r="D169" s="664"/>
      <c r="E169" s="664"/>
      <c r="F169" s="664"/>
      <c r="G169" s="664"/>
      <c r="H169" s="665"/>
      <c r="I169" s="665"/>
      <c r="J169" s="665"/>
      <c r="K169" s="665"/>
      <c r="L169" s="665"/>
      <c r="M169" s="665"/>
      <c r="N169" s="666"/>
      <c r="O169" s="667"/>
    </row>
    <row r="170" spans="2:16" ht="33" customHeight="1" x14ac:dyDescent="0.3">
      <c r="B170" s="677">
        <v>4</v>
      </c>
      <c r="C170" s="661"/>
      <c r="D170" s="664"/>
      <c r="E170" s="664"/>
      <c r="F170" s="664"/>
      <c r="G170" s="664"/>
      <c r="H170" s="665"/>
      <c r="I170" s="665"/>
      <c r="J170" s="665"/>
      <c r="K170" s="665"/>
      <c r="L170" s="665"/>
      <c r="M170" s="665"/>
      <c r="N170" s="666"/>
      <c r="O170" s="667"/>
    </row>
    <row r="171" spans="2:16" ht="33" customHeight="1" x14ac:dyDescent="0.3">
      <c r="B171" s="677">
        <v>5</v>
      </c>
      <c r="C171" s="661"/>
      <c r="D171" s="664"/>
      <c r="E171" s="664"/>
      <c r="F171" s="664"/>
      <c r="G171" s="664"/>
      <c r="H171" s="665"/>
      <c r="I171" s="665"/>
      <c r="J171" s="665"/>
      <c r="K171" s="665"/>
      <c r="L171" s="665"/>
      <c r="M171" s="665"/>
      <c r="N171" s="666"/>
      <c r="O171" s="667"/>
    </row>
    <row r="172" spans="2:16" ht="33" customHeight="1" x14ac:dyDescent="0.3">
      <c r="B172" s="677">
        <v>6</v>
      </c>
      <c r="C172" s="661"/>
      <c r="D172" s="664"/>
      <c r="E172" s="664"/>
      <c r="F172" s="664"/>
      <c r="G172" s="664"/>
      <c r="H172" s="665"/>
      <c r="I172" s="665"/>
      <c r="J172" s="665"/>
      <c r="K172" s="665"/>
      <c r="L172" s="665"/>
      <c r="M172" s="665"/>
      <c r="N172" s="666"/>
      <c r="O172" s="667"/>
    </row>
    <row r="173" spans="2:16" ht="33" customHeight="1" x14ac:dyDescent="0.3">
      <c r="B173" s="677">
        <v>7</v>
      </c>
      <c r="C173" s="661"/>
      <c r="D173" s="664"/>
      <c r="E173" s="664"/>
      <c r="F173" s="664"/>
      <c r="G173" s="664"/>
      <c r="H173" s="665"/>
      <c r="I173" s="665"/>
      <c r="J173" s="665"/>
      <c r="K173" s="665"/>
      <c r="L173" s="665"/>
      <c r="M173" s="665"/>
      <c r="N173" s="666"/>
      <c r="O173" s="667"/>
    </row>
    <row r="174" spans="2:16" ht="33" customHeight="1" x14ac:dyDescent="0.3">
      <c r="B174" s="677">
        <v>8</v>
      </c>
      <c r="C174" s="661"/>
      <c r="D174" s="664"/>
      <c r="E174" s="664"/>
      <c r="F174" s="664"/>
      <c r="G174" s="664"/>
      <c r="H174" s="665"/>
      <c r="I174" s="665"/>
      <c r="J174" s="665"/>
      <c r="K174" s="665"/>
      <c r="L174" s="665"/>
      <c r="M174" s="665"/>
      <c r="N174" s="666"/>
      <c r="O174" s="667"/>
    </row>
    <row r="175" spans="2:16" ht="33" customHeight="1" x14ac:dyDescent="0.3">
      <c r="B175" s="677">
        <v>9</v>
      </c>
      <c r="C175" s="661"/>
      <c r="D175" s="664"/>
      <c r="E175" s="664"/>
      <c r="F175" s="664"/>
      <c r="G175" s="664"/>
      <c r="H175" s="665"/>
      <c r="I175" s="665"/>
      <c r="J175" s="665"/>
      <c r="K175" s="665"/>
      <c r="L175" s="665"/>
      <c r="M175" s="665"/>
      <c r="N175" s="666"/>
      <c r="O175" s="667"/>
    </row>
    <row r="176" spans="2:16" ht="33" customHeight="1" x14ac:dyDescent="0.3">
      <c r="B176" s="677">
        <v>10</v>
      </c>
      <c r="C176" s="661"/>
      <c r="D176" s="664"/>
      <c r="E176" s="664"/>
      <c r="F176" s="664"/>
      <c r="G176" s="664"/>
      <c r="H176" s="665"/>
      <c r="I176" s="665"/>
      <c r="J176" s="665"/>
      <c r="K176" s="665"/>
      <c r="L176" s="665"/>
      <c r="M176" s="665"/>
      <c r="N176" s="666"/>
      <c r="O176" s="667"/>
    </row>
    <row r="177" spans="2:15" ht="33" customHeight="1" x14ac:dyDescent="0.3">
      <c r="B177" s="677">
        <v>11</v>
      </c>
      <c r="C177" s="661"/>
      <c r="D177" s="664"/>
      <c r="E177" s="664"/>
      <c r="F177" s="664"/>
      <c r="G177" s="664"/>
      <c r="H177" s="665"/>
      <c r="I177" s="665"/>
      <c r="J177" s="665"/>
      <c r="K177" s="665"/>
      <c r="L177" s="665"/>
      <c r="M177" s="665"/>
      <c r="N177" s="666"/>
      <c r="O177" s="667"/>
    </row>
    <row r="178" spans="2:15" ht="33" customHeight="1" x14ac:dyDescent="0.3">
      <c r="B178" s="677">
        <v>12</v>
      </c>
      <c r="C178" s="661"/>
      <c r="D178" s="664"/>
      <c r="E178" s="664"/>
      <c r="F178" s="664"/>
      <c r="G178" s="664"/>
      <c r="H178" s="665"/>
      <c r="I178" s="665"/>
      <c r="J178" s="665"/>
      <c r="K178" s="665"/>
      <c r="L178" s="665"/>
      <c r="M178" s="665"/>
      <c r="N178" s="666"/>
      <c r="O178" s="667"/>
    </row>
    <row r="179" spans="2:15" ht="33" customHeight="1" x14ac:dyDescent="0.3">
      <c r="B179" s="677">
        <v>13</v>
      </c>
      <c r="C179" s="661"/>
      <c r="D179" s="664"/>
      <c r="E179" s="664"/>
      <c r="F179" s="664"/>
      <c r="G179" s="664"/>
      <c r="H179" s="665"/>
      <c r="I179" s="665"/>
      <c r="J179" s="665"/>
      <c r="K179" s="665"/>
      <c r="L179" s="665"/>
      <c r="M179" s="665"/>
      <c r="N179" s="666"/>
      <c r="O179" s="667"/>
    </row>
    <row r="180" spans="2:15" ht="33" customHeight="1" x14ac:dyDescent="0.3">
      <c r="B180" s="677">
        <v>14</v>
      </c>
      <c r="C180" s="661"/>
      <c r="D180" s="664"/>
      <c r="E180" s="664"/>
      <c r="F180" s="664"/>
      <c r="G180" s="664"/>
      <c r="H180" s="665"/>
      <c r="I180" s="665"/>
      <c r="J180" s="665"/>
      <c r="K180" s="665"/>
      <c r="L180" s="665"/>
      <c r="M180" s="665"/>
      <c r="N180" s="666"/>
      <c r="O180" s="667"/>
    </row>
    <row r="181" spans="2:15" ht="33" customHeight="1" x14ac:dyDescent="0.3">
      <c r="B181" s="677">
        <v>15</v>
      </c>
      <c r="C181" s="661"/>
      <c r="D181" s="664"/>
      <c r="E181" s="664"/>
      <c r="F181" s="664"/>
      <c r="G181" s="664"/>
      <c r="H181" s="665"/>
      <c r="I181" s="665"/>
      <c r="J181" s="665"/>
      <c r="K181" s="665"/>
      <c r="L181" s="665"/>
      <c r="M181" s="665"/>
      <c r="N181" s="666"/>
      <c r="O181" s="667"/>
    </row>
    <row r="182" spans="2:15" ht="33" customHeight="1" x14ac:dyDescent="0.3">
      <c r="B182" s="677">
        <v>16</v>
      </c>
      <c r="C182" s="661"/>
      <c r="D182" s="664"/>
      <c r="E182" s="664"/>
      <c r="F182" s="664"/>
      <c r="G182" s="664"/>
      <c r="H182" s="665"/>
      <c r="I182" s="665"/>
      <c r="J182" s="665"/>
      <c r="K182" s="665"/>
      <c r="L182" s="665"/>
      <c r="M182" s="665"/>
      <c r="N182" s="666"/>
      <c r="O182" s="667"/>
    </row>
    <row r="183" spans="2:15" ht="33" customHeight="1" x14ac:dyDescent="0.3">
      <c r="B183" s="677">
        <v>17</v>
      </c>
      <c r="C183" s="661"/>
      <c r="D183" s="664"/>
      <c r="E183" s="664"/>
      <c r="F183" s="664"/>
      <c r="G183" s="664"/>
      <c r="H183" s="665"/>
      <c r="I183" s="665"/>
      <c r="J183" s="665"/>
      <c r="K183" s="665"/>
      <c r="L183" s="665"/>
      <c r="M183" s="665"/>
      <c r="N183" s="666"/>
      <c r="O183" s="667"/>
    </row>
    <row r="184" spans="2:15" ht="33" customHeight="1" x14ac:dyDescent="0.3">
      <c r="B184" s="677">
        <v>18</v>
      </c>
      <c r="C184" s="661"/>
      <c r="D184" s="664"/>
      <c r="E184" s="664"/>
      <c r="F184" s="664"/>
      <c r="G184" s="664"/>
      <c r="H184" s="665"/>
      <c r="I184" s="665"/>
      <c r="J184" s="665"/>
      <c r="K184" s="665"/>
      <c r="L184" s="665"/>
      <c r="M184" s="665"/>
      <c r="N184" s="666"/>
      <c r="O184" s="667"/>
    </row>
    <row r="185" spans="2:15" ht="33" customHeight="1" x14ac:dyDescent="0.3">
      <c r="B185" s="677">
        <v>19</v>
      </c>
      <c r="C185" s="661"/>
      <c r="D185" s="664"/>
      <c r="E185" s="664"/>
      <c r="F185" s="664"/>
      <c r="G185" s="664"/>
      <c r="H185" s="665"/>
      <c r="I185" s="665"/>
      <c r="J185" s="665"/>
      <c r="K185" s="665"/>
      <c r="L185" s="665"/>
      <c r="M185" s="665"/>
      <c r="N185" s="666"/>
      <c r="O185" s="667"/>
    </row>
    <row r="186" spans="2:15" ht="33" customHeight="1" x14ac:dyDescent="0.3">
      <c r="B186" s="677">
        <v>20</v>
      </c>
      <c r="C186" s="661"/>
      <c r="D186" s="664"/>
      <c r="E186" s="664"/>
      <c r="F186" s="664"/>
      <c r="G186" s="664"/>
      <c r="H186" s="665"/>
      <c r="I186" s="665"/>
      <c r="J186" s="665"/>
      <c r="K186" s="665"/>
      <c r="L186" s="665"/>
      <c r="M186" s="665"/>
      <c r="N186" s="666"/>
      <c r="O186" s="667"/>
    </row>
    <row r="187" spans="2:15" ht="33" customHeight="1" x14ac:dyDescent="0.3">
      <c r="B187" s="677">
        <v>21</v>
      </c>
      <c r="C187" s="661"/>
      <c r="D187" s="664"/>
      <c r="E187" s="664"/>
      <c r="F187" s="664"/>
      <c r="G187" s="664"/>
      <c r="H187" s="665"/>
      <c r="I187" s="665"/>
      <c r="J187" s="665"/>
      <c r="K187" s="665"/>
      <c r="L187" s="665"/>
      <c r="M187" s="665"/>
      <c r="N187" s="666"/>
      <c r="O187" s="667"/>
    </row>
    <row r="188" spans="2:15" ht="33" customHeight="1" x14ac:dyDescent="0.3">
      <c r="B188" s="677">
        <v>22</v>
      </c>
      <c r="C188" s="661"/>
      <c r="D188" s="664"/>
      <c r="E188" s="664"/>
      <c r="F188" s="664"/>
      <c r="G188" s="664"/>
      <c r="H188" s="665"/>
      <c r="I188" s="665"/>
      <c r="J188" s="665"/>
      <c r="K188" s="665"/>
      <c r="L188" s="665"/>
      <c r="M188" s="665"/>
      <c r="N188" s="666"/>
      <c r="O188" s="667"/>
    </row>
    <row r="189" spans="2:15" ht="33" customHeight="1" x14ac:dyDescent="0.3">
      <c r="B189" s="677">
        <v>23</v>
      </c>
      <c r="C189" s="661"/>
      <c r="D189" s="664"/>
      <c r="E189" s="664"/>
      <c r="F189" s="664"/>
      <c r="G189" s="664"/>
      <c r="H189" s="665"/>
      <c r="I189" s="665"/>
      <c r="J189" s="665"/>
      <c r="K189" s="665"/>
      <c r="L189" s="665"/>
      <c r="M189" s="665"/>
      <c r="N189" s="666"/>
      <c r="O189" s="667"/>
    </row>
    <row r="190" spans="2:15" ht="33" customHeight="1" x14ac:dyDescent="0.3">
      <c r="B190" s="678">
        <v>24</v>
      </c>
      <c r="C190" s="668"/>
      <c r="D190" s="669"/>
      <c r="E190" s="669"/>
      <c r="F190" s="669"/>
      <c r="G190" s="669"/>
      <c r="H190" s="670"/>
      <c r="I190" s="670"/>
      <c r="J190" s="670"/>
      <c r="K190" s="670"/>
      <c r="L190" s="670"/>
      <c r="M190" s="670"/>
      <c r="N190" s="671"/>
      <c r="O190" s="672"/>
    </row>
    <row r="191" spans="2:15" ht="33" customHeight="1" x14ac:dyDescent="0.3">
      <c r="B191" s="677">
        <v>25</v>
      </c>
      <c r="C191" s="673"/>
      <c r="D191" s="666"/>
      <c r="E191" s="666"/>
      <c r="F191" s="666"/>
      <c r="G191" s="666"/>
      <c r="H191" s="666"/>
      <c r="I191" s="666"/>
      <c r="J191" s="666"/>
      <c r="K191" s="666"/>
      <c r="L191" s="666"/>
      <c r="M191" s="666"/>
      <c r="N191" s="666"/>
      <c r="O191" s="667"/>
    </row>
    <row r="192" spans="2:15" ht="33" customHeight="1" x14ac:dyDescent="0.3">
      <c r="B192" s="677">
        <v>26</v>
      </c>
      <c r="C192" s="673"/>
      <c r="D192" s="666"/>
      <c r="E192" s="666"/>
      <c r="F192" s="666"/>
      <c r="G192" s="666"/>
      <c r="H192" s="666"/>
      <c r="I192" s="666"/>
      <c r="J192" s="666"/>
      <c r="K192" s="666"/>
      <c r="L192" s="666"/>
      <c r="M192" s="666"/>
      <c r="N192" s="666"/>
      <c r="O192" s="667"/>
    </row>
    <row r="193" spans="2:16" ht="33" customHeight="1" x14ac:dyDescent="0.3">
      <c r="B193" s="677">
        <v>27</v>
      </c>
      <c r="C193" s="673"/>
      <c r="D193" s="666"/>
      <c r="E193" s="666"/>
      <c r="F193" s="666"/>
      <c r="G193" s="666"/>
      <c r="H193" s="666"/>
      <c r="I193" s="666"/>
      <c r="J193" s="666"/>
      <c r="K193" s="666"/>
      <c r="L193" s="666"/>
      <c r="M193" s="666"/>
      <c r="N193" s="666"/>
      <c r="O193" s="667"/>
    </row>
    <row r="194" spans="2:16" ht="33" customHeight="1" x14ac:dyDescent="0.3">
      <c r="B194" s="677">
        <v>28</v>
      </c>
      <c r="C194" s="673"/>
      <c r="D194" s="666"/>
      <c r="E194" s="666"/>
      <c r="F194" s="666"/>
      <c r="G194" s="666"/>
      <c r="H194" s="666"/>
      <c r="I194" s="666"/>
      <c r="J194" s="666"/>
      <c r="K194" s="666"/>
      <c r="L194" s="666"/>
      <c r="M194" s="666"/>
      <c r="N194" s="666"/>
      <c r="O194" s="667"/>
    </row>
    <row r="195" spans="2:16" ht="33" customHeight="1" x14ac:dyDescent="0.3">
      <c r="B195" s="677">
        <v>29</v>
      </c>
      <c r="C195" s="673"/>
      <c r="D195" s="666"/>
      <c r="E195" s="666"/>
      <c r="F195" s="666"/>
      <c r="G195" s="666"/>
      <c r="H195" s="666"/>
      <c r="I195" s="666"/>
      <c r="J195" s="666"/>
      <c r="K195" s="666"/>
      <c r="L195" s="666"/>
      <c r="M195" s="666"/>
      <c r="N195" s="666"/>
      <c r="O195" s="667"/>
    </row>
    <row r="196" spans="2:16" ht="33" customHeight="1" thickBot="1" x14ac:dyDescent="0.35">
      <c r="B196" s="679">
        <v>30</v>
      </c>
      <c r="C196" s="674"/>
      <c r="D196" s="675"/>
      <c r="E196" s="675"/>
      <c r="F196" s="675"/>
      <c r="G196" s="675"/>
      <c r="H196" s="675"/>
      <c r="I196" s="675"/>
      <c r="J196" s="675"/>
      <c r="K196" s="675"/>
      <c r="L196" s="675"/>
      <c r="M196" s="675"/>
      <c r="N196" s="675"/>
      <c r="O196" s="676"/>
    </row>
    <row r="198" spans="2:16" ht="33" customHeight="1" thickBot="1" x14ac:dyDescent="0.35"/>
    <row r="199" spans="2:16" ht="33" customHeight="1" x14ac:dyDescent="0.3">
      <c r="B199" s="2156" t="s">
        <v>487</v>
      </c>
      <c r="C199" s="2157"/>
      <c r="D199" s="2157"/>
      <c r="E199" s="2157"/>
      <c r="F199" s="2157"/>
      <c r="G199" s="2157"/>
      <c r="H199" s="2157"/>
      <c r="I199" s="2157"/>
      <c r="J199" s="2157"/>
      <c r="K199" s="2157"/>
      <c r="L199" s="2157"/>
      <c r="M199" s="2157"/>
      <c r="N199" s="2157"/>
      <c r="O199" s="2158"/>
    </row>
    <row r="200" spans="2:16" ht="33" customHeight="1" x14ac:dyDescent="0.3">
      <c r="B200" s="2159" t="s">
        <v>488</v>
      </c>
      <c r="C200" s="2160"/>
      <c r="D200" s="2160"/>
      <c r="E200" s="2160"/>
      <c r="F200" s="2160"/>
      <c r="G200" s="2160"/>
      <c r="H200" s="2160"/>
      <c r="I200" s="2160"/>
      <c r="J200" s="2152" t="s">
        <v>520</v>
      </c>
      <c r="K200" s="2152"/>
      <c r="L200" s="2152">
        <f>HOME!$E$2</f>
        <v>2022</v>
      </c>
      <c r="M200" s="2152"/>
      <c r="N200" s="2153">
        <f>HOME!$F$2</f>
        <v>2023</v>
      </c>
      <c r="O200" s="2154"/>
    </row>
    <row r="201" spans="2:16" ht="33" customHeight="1" x14ac:dyDescent="0.3">
      <c r="B201" s="402"/>
      <c r="C201" s="653" t="s">
        <v>489</v>
      </c>
      <c r="D201" s="1466" t="str">
        <f>'शाळा माहिती'!D4</f>
        <v>जि.प.प्रा.शा.बोरजाई वस्ती</v>
      </c>
      <c r="E201" s="1466"/>
      <c r="F201" s="1466"/>
      <c r="G201" s="1466"/>
      <c r="H201" s="1466"/>
      <c r="I201" s="1466"/>
      <c r="J201" s="2142" t="s">
        <v>362</v>
      </c>
      <c r="K201" s="2142"/>
      <c r="L201" s="2141" t="s">
        <v>704</v>
      </c>
      <c r="M201" s="2141"/>
      <c r="O201" s="420"/>
    </row>
    <row r="202" spans="2:16" ht="33" customHeight="1" x14ac:dyDescent="0.3">
      <c r="B202" s="402"/>
      <c r="C202" s="653" t="s">
        <v>256</v>
      </c>
      <c r="D202" s="1466" t="str">
        <f>'शाळा माहिती'!D6</f>
        <v>जामगाव</v>
      </c>
      <c r="E202" s="1466"/>
      <c r="F202" s="1466"/>
      <c r="G202" s="1466"/>
      <c r="H202" s="1466"/>
      <c r="I202" s="1466"/>
      <c r="J202" s="2142" t="s">
        <v>377</v>
      </c>
      <c r="K202" s="2142"/>
      <c r="L202" s="1466" t="str">
        <f>'शाळा माहिती'!D7</f>
        <v>गंगापूर</v>
      </c>
      <c r="M202" s="1466"/>
      <c r="O202" s="420"/>
    </row>
    <row r="203" spans="2:16" ht="33" customHeight="1" thickBot="1" x14ac:dyDescent="0.35">
      <c r="B203" s="654"/>
      <c r="C203" s="655" t="s">
        <v>515</v>
      </c>
      <c r="D203" s="2144">
        <f>'शाळा माहिती'!D10</f>
        <v>27190220701</v>
      </c>
      <c r="E203" s="2144"/>
      <c r="F203" s="2144"/>
      <c r="G203" s="2144"/>
      <c r="H203" s="2144"/>
      <c r="I203" s="2144"/>
      <c r="J203" s="2143" t="s">
        <v>378</v>
      </c>
      <c r="K203" s="2143"/>
      <c r="L203" s="2144" t="str">
        <f>'शाळा माहिती'!D8</f>
        <v>औरंगाबाद</v>
      </c>
      <c r="M203" s="2144"/>
      <c r="N203" s="656"/>
      <c r="O203" s="657"/>
    </row>
    <row r="204" spans="2:16" ht="33" customHeight="1" thickBot="1" x14ac:dyDescent="0.35">
      <c r="B204" s="2145" t="s">
        <v>460</v>
      </c>
      <c r="C204" s="2147" t="s">
        <v>535</v>
      </c>
      <c r="D204" s="2149" t="s">
        <v>94</v>
      </c>
      <c r="E204" s="2150"/>
      <c r="F204" s="680">
        <f>$L$5</f>
        <v>2022</v>
      </c>
      <c r="G204" s="2149" t="s">
        <v>37</v>
      </c>
      <c r="H204" s="2150"/>
      <c r="I204" s="680">
        <f>$L$5</f>
        <v>2022</v>
      </c>
      <c r="J204" s="2149" t="s">
        <v>39</v>
      </c>
      <c r="K204" s="2150"/>
      <c r="L204" s="681">
        <f>$L$5</f>
        <v>2022</v>
      </c>
      <c r="M204" s="2155" t="s">
        <v>41</v>
      </c>
      <c r="N204" s="2150"/>
      <c r="O204" s="682">
        <f>$N$5</f>
        <v>2023</v>
      </c>
    </row>
    <row r="205" spans="2:16" ht="33" customHeight="1" x14ac:dyDescent="0.3">
      <c r="B205" s="2146"/>
      <c r="C205" s="2148"/>
      <c r="D205" s="658" t="s">
        <v>533</v>
      </c>
      <c r="E205" s="658" t="s">
        <v>534</v>
      </c>
      <c r="F205" s="659" t="s">
        <v>490</v>
      </c>
      <c r="G205" s="658" t="s">
        <v>533</v>
      </c>
      <c r="H205" s="658" t="s">
        <v>534</v>
      </c>
      <c r="I205" s="659" t="s">
        <v>490</v>
      </c>
      <c r="J205" s="658" t="s">
        <v>533</v>
      </c>
      <c r="K205" s="658" t="s">
        <v>534</v>
      </c>
      <c r="L205" s="659" t="s">
        <v>490</v>
      </c>
      <c r="M205" s="658" t="s">
        <v>533</v>
      </c>
      <c r="N205" s="658" t="s">
        <v>534</v>
      </c>
      <c r="O205" s="660" t="s">
        <v>490</v>
      </c>
    </row>
    <row r="206" spans="2:16" ht="33" customHeight="1" x14ac:dyDescent="0.3">
      <c r="B206" s="677">
        <v>1</v>
      </c>
      <c r="C206" s="661"/>
      <c r="D206" s="662"/>
      <c r="E206" s="662"/>
      <c r="F206" s="662"/>
      <c r="G206" s="662"/>
      <c r="H206" s="662"/>
      <c r="I206" s="662"/>
      <c r="J206" s="662"/>
      <c r="K206" s="662"/>
      <c r="L206" s="662"/>
      <c r="M206" s="662"/>
      <c r="N206" s="662"/>
      <c r="O206" s="663"/>
      <c r="P206" s="402"/>
    </row>
    <row r="207" spans="2:16" ht="33" customHeight="1" x14ac:dyDescent="0.3">
      <c r="B207" s="677">
        <v>2</v>
      </c>
      <c r="C207" s="661"/>
      <c r="D207" s="664"/>
      <c r="E207" s="664"/>
      <c r="F207" s="664"/>
      <c r="G207" s="664"/>
      <c r="H207" s="665"/>
      <c r="I207" s="665"/>
      <c r="J207" s="665"/>
      <c r="K207" s="665"/>
      <c r="L207" s="665"/>
      <c r="M207" s="665"/>
      <c r="N207" s="666"/>
      <c r="O207" s="667"/>
    </row>
    <row r="208" spans="2:16" ht="33" customHeight="1" x14ac:dyDescent="0.3">
      <c r="B208" s="677">
        <v>3</v>
      </c>
      <c r="C208" s="661"/>
      <c r="D208" s="664"/>
      <c r="E208" s="664"/>
      <c r="F208" s="664"/>
      <c r="G208" s="664"/>
      <c r="H208" s="665"/>
      <c r="I208" s="665"/>
      <c r="J208" s="665"/>
      <c r="K208" s="665"/>
      <c r="L208" s="665"/>
      <c r="M208" s="665"/>
      <c r="N208" s="666"/>
      <c r="O208" s="667"/>
    </row>
    <row r="209" spans="2:15" ht="33" customHeight="1" x14ac:dyDescent="0.3">
      <c r="B209" s="677">
        <v>4</v>
      </c>
      <c r="C209" s="661"/>
      <c r="D209" s="664"/>
      <c r="E209" s="664"/>
      <c r="F209" s="664"/>
      <c r="G209" s="664"/>
      <c r="H209" s="665"/>
      <c r="I209" s="665"/>
      <c r="J209" s="665"/>
      <c r="K209" s="665"/>
      <c r="L209" s="665"/>
      <c r="M209" s="665"/>
      <c r="N209" s="666"/>
      <c r="O209" s="667"/>
    </row>
    <row r="210" spans="2:15" ht="33" customHeight="1" x14ac:dyDescent="0.3">
      <c r="B210" s="677">
        <v>5</v>
      </c>
      <c r="C210" s="661"/>
      <c r="D210" s="664"/>
      <c r="E210" s="664"/>
      <c r="F210" s="664"/>
      <c r="G210" s="664"/>
      <c r="H210" s="665"/>
      <c r="I210" s="665"/>
      <c r="J210" s="665"/>
      <c r="K210" s="665"/>
      <c r="L210" s="665"/>
      <c r="M210" s="665"/>
      <c r="N210" s="666"/>
      <c r="O210" s="667"/>
    </row>
    <row r="211" spans="2:15" ht="33" customHeight="1" x14ac:dyDescent="0.3">
      <c r="B211" s="677">
        <v>6</v>
      </c>
      <c r="C211" s="661"/>
      <c r="D211" s="664"/>
      <c r="E211" s="664"/>
      <c r="F211" s="664"/>
      <c r="G211" s="664"/>
      <c r="H211" s="665"/>
      <c r="I211" s="665"/>
      <c r="J211" s="665"/>
      <c r="K211" s="665"/>
      <c r="L211" s="665"/>
      <c r="M211" s="665"/>
      <c r="N211" s="666"/>
      <c r="O211" s="667"/>
    </row>
    <row r="212" spans="2:15" ht="33" customHeight="1" x14ac:dyDescent="0.3">
      <c r="B212" s="677">
        <v>7</v>
      </c>
      <c r="C212" s="661"/>
      <c r="D212" s="664"/>
      <c r="E212" s="664"/>
      <c r="F212" s="664"/>
      <c r="G212" s="664"/>
      <c r="H212" s="665"/>
      <c r="I212" s="665"/>
      <c r="J212" s="665"/>
      <c r="K212" s="665"/>
      <c r="L212" s="665"/>
      <c r="M212" s="665"/>
      <c r="N212" s="666"/>
      <c r="O212" s="667"/>
    </row>
    <row r="213" spans="2:15" ht="33" customHeight="1" x14ac:dyDescent="0.3">
      <c r="B213" s="677">
        <v>8</v>
      </c>
      <c r="C213" s="661"/>
      <c r="D213" s="664"/>
      <c r="E213" s="664"/>
      <c r="F213" s="664"/>
      <c r="G213" s="664"/>
      <c r="H213" s="665"/>
      <c r="I213" s="665"/>
      <c r="J213" s="665"/>
      <c r="K213" s="665"/>
      <c r="L213" s="665"/>
      <c r="M213" s="665"/>
      <c r="N213" s="666"/>
      <c r="O213" s="667"/>
    </row>
    <row r="214" spans="2:15" ht="33" customHeight="1" x14ac:dyDescent="0.3">
      <c r="B214" s="677">
        <v>9</v>
      </c>
      <c r="C214" s="661"/>
      <c r="D214" s="664"/>
      <c r="E214" s="664"/>
      <c r="F214" s="664"/>
      <c r="G214" s="664"/>
      <c r="H214" s="665"/>
      <c r="I214" s="665"/>
      <c r="J214" s="665"/>
      <c r="K214" s="665"/>
      <c r="L214" s="665"/>
      <c r="M214" s="665"/>
      <c r="N214" s="666"/>
      <c r="O214" s="667"/>
    </row>
    <row r="215" spans="2:15" ht="33" customHeight="1" x14ac:dyDescent="0.3">
      <c r="B215" s="677">
        <v>10</v>
      </c>
      <c r="C215" s="661"/>
      <c r="D215" s="664"/>
      <c r="E215" s="664"/>
      <c r="F215" s="664"/>
      <c r="G215" s="664"/>
      <c r="H215" s="665"/>
      <c r="I215" s="665"/>
      <c r="J215" s="665"/>
      <c r="K215" s="665"/>
      <c r="L215" s="665"/>
      <c r="M215" s="665"/>
      <c r="N215" s="666"/>
      <c r="O215" s="667"/>
    </row>
    <row r="216" spans="2:15" ht="33" customHeight="1" x14ac:dyDescent="0.3">
      <c r="B216" s="677">
        <v>11</v>
      </c>
      <c r="C216" s="661"/>
      <c r="D216" s="664"/>
      <c r="E216" s="664"/>
      <c r="F216" s="664"/>
      <c r="G216" s="664"/>
      <c r="H216" s="665"/>
      <c r="I216" s="665"/>
      <c r="J216" s="665"/>
      <c r="K216" s="665"/>
      <c r="L216" s="665"/>
      <c r="M216" s="665"/>
      <c r="N216" s="666"/>
      <c r="O216" s="667"/>
    </row>
    <row r="217" spans="2:15" ht="33" customHeight="1" x14ac:dyDescent="0.3">
      <c r="B217" s="677">
        <v>12</v>
      </c>
      <c r="C217" s="661"/>
      <c r="D217" s="664"/>
      <c r="E217" s="664"/>
      <c r="F217" s="664"/>
      <c r="G217" s="664"/>
      <c r="H217" s="665"/>
      <c r="I217" s="665"/>
      <c r="J217" s="665"/>
      <c r="K217" s="665"/>
      <c r="L217" s="665"/>
      <c r="M217" s="665"/>
      <c r="N217" s="666"/>
      <c r="O217" s="667"/>
    </row>
    <row r="218" spans="2:15" ht="33" customHeight="1" x14ac:dyDescent="0.3">
      <c r="B218" s="677">
        <v>13</v>
      </c>
      <c r="C218" s="661"/>
      <c r="D218" s="664"/>
      <c r="E218" s="664"/>
      <c r="F218" s="664"/>
      <c r="G218" s="664"/>
      <c r="H218" s="665"/>
      <c r="I218" s="665"/>
      <c r="J218" s="665"/>
      <c r="K218" s="665"/>
      <c r="L218" s="665"/>
      <c r="M218" s="665"/>
      <c r="N218" s="666"/>
      <c r="O218" s="667"/>
    </row>
    <row r="219" spans="2:15" ht="33" customHeight="1" x14ac:dyDescent="0.3">
      <c r="B219" s="677">
        <v>14</v>
      </c>
      <c r="C219" s="661"/>
      <c r="D219" s="664"/>
      <c r="E219" s="664"/>
      <c r="F219" s="664"/>
      <c r="G219" s="664"/>
      <c r="H219" s="665"/>
      <c r="I219" s="665"/>
      <c r="J219" s="665"/>
      <c r="K219" s="665"/>
      <c r="L219" s="665"/>
      <c r="M219" s="665"/>
      <c r="N219" s="666"/>
      <c r="O219" s="667"/>
    </row>
    <row r="220" spans="2:15" ht="33" customHeight="1" x14ac:dyDescent="0.3">
      <c r="B220" s="677">
        <v>15</v>
      </c>
      <c r="C220" s="661"/>
      <c r="D220" s="664"/>
      <c r="E220" s="664"/>
      <c r="F220" s="664"/>
      <c r="G220" s="664"/>
      <c r="H220" s="665"/>
      <c r="I220" s="665"/>
      <c r="J220" s="665"/>
      <c r="K220" s="665"/>
      <c r="L220" s="665"/>
      <c r="M220" s="665"/>
      <c r="N220" s="666"/>
      <c r="O220" s="667"/>
    </row>
    <row r="221" spans="2:15" ht="33" customHeight="1" x14ac:dyDescent="0.3">
      <c r="B221" s="677">
        <v>16</v>
      </c>
      <c r="C221" s="661"/>
      <c r="D221" s="664"/>
      <c r="E221" s="664"/>
      <c r="F221" s="664"/>
      <c r="G221" s="664"/>
      <c r="H221" s="665"/>
      <c r="I221" s="665"/>
      <c r="J221" s="665"/>
      <c r="K221" s="665"/>
      <c r="L221" s="665"/>
      <c r="M221" s="665"/>
      <c r="N221" s="666"/>
      <c r="O221" s="667"/>
    </row>
    <row r="222" spans="2:15" ht="33" customHeight="1" x14ac:dyDescent="0.3">
      <c r="B222" s="677">
        <v>17</v>
      </c>
      <c r="C222" s="661"/>
      <c r="D222" s="664"/>
      <c r="E222" s="664"/>
      <c r="F222" s="664"/>
      <c r="G222" s="664"/>
      <c r="H222" s="665"/>
      <c r="I222" s="665"/>
      <c r="J222" s="665"/>
      <c r="K222" s="665"/>
      <c r="L222" s="665"/>
      <c r="M222" s="665"/>
      <c r="N222" s="666"/>
      <c r="O222" s="667"/>
    </row>
    <row r="223" spans="2:15" ht="33" customHeight="1" x14ac:dyDescent="0.3">
      <c r="B223" s="677">
        <v>18</v>
      </c>
      <c r="C223" s="661"/>
      <c r="D223" s="664"/>
      <c r="E223" s="664"/>
      <c r="F223" s="664"/>
      <c r="G223" s="664"/>
      <c r="H223" s="665"/>
      <c r="I223" s="665"/>
      <c r="J223" s="665"/>
      <c r="K223" s="665"/>
      <c r="L223" s="665"/>
      <c r="M223" s="665"/>
      <c r="N223" s="666"/>
      <c r="O223" s="667"/>
    </row>
    <row r="224" spans="2:15" ht="33" customHeight="1" x14ac:dyDescent="0.3">
      <c r="B224" s="677">
        <v>19</v>
      </c>
      <c r="C224" s="661"/>
      <c r="D224" s="664"/>
      <c r="E224" s="664"/>
      <c r="F224" s="664"/>
      <c r="G224" s="664"/>
      <c r="H224" s="665"/>
      <c r="I224" s="665"/>
      <c r="J224" s="665"/>
      <c r="K224" s="665"/>
      <c r="L224" s="665"/>
      <c r="M224" s="665"/>
      <c r="N224" s="666"/>
      <c r="O224" s="667"/>
    </row>
    <row r="225" spans="2:15" ht="33" customHeight="1" x14ac:dyDescent="0.3">
      <c r="B225" s="677">
        <v>20</v>
      </c>
      <c r="C225" s="661"/>
      <c r="D225" s="664"/>
      <c r="E225" s="664"/>
      <c r="F225" s="664"/>
      <c r="G225" s="664"/>
      <c r="H225" s="665"/>
      <c r="I225" s="665"/>
      <c r="J225" s="665"/>
      <c r="K225" s="665"/>
      <c r="L225" s="665"/>
      <c r="M225" s="665"/>
      <c r="N225" s="666"/>
      <c r="O225" s="667"/>
    </row>
    <row r="226" spans="2:15" ht="33" customHeight="1" x14ac:dyDescent="0.3">
      <c r="B226" s="677">
        <v>21</v>
      </c>
      <c r="C226" s="661"/>
      <c r="D226" s="664"/>
      <c r="E226" s="664"/>
      <c r="F226" s="664"/>
      <c r="G226" s="664"/>
      <c r="H226" s="665"/>
      <c r="I226" s="665"/>
      <c r="J226" s="665"/>
      <c r="K226" s="665"/>
      <c r="L226" s="665"/>
      <c r="M226" s="665"/>
      <c r="N226" s="666"/>
      <c r="O226" s="667"/>
    </row>
    <row r="227" spans="2:15" ht="33" customHeight="1" x14ac:dyDescent="0.3">
      <c r="B227" s="677">
        <v>22</v>
      </c>
      <c r="C227" s="661"/>
      <c r="D227" s="664"/>
      <c r="E227" s="664"/>
      <c r="F227" s="664"/>
      <c r="G227" s="664"/>
      <c r="H227" s="665"/>
      <c r="I227" s="665"/>
      <c r="J227" s="665"/>
      <c r="K227" s="665"/>
      <c r="L227" s="665"/>
      <c r="M227" s="665"/>
      <c r="N227" s="666"/>
      <c r="O227" s="667"/>
    </row>
    <row r="228" spans="2:15" ht="33" customHeight="1" x14ac:dyDescent="0.3">
      <c r="B228" s="677">
        <v>23</v>
      </c>
      <c r="C228" s="661"/>
      <c r="D228" s="664"/>
      <c r="E228" s="664"/>
      <c r="F228" s="664"/>
      <c r="G228" s="664"/>
      <c r="H228" s="665"/>
      <c r="I228" s="665"/>
      <c r="J228" s="665"/>
      <c r="K228" s="665"/>
      <c r="L228" s="665"/>
      <c r="M228" s="665"/>
      <c r="N228" s="666"/>
      <c r="O228" s="667"/>
    </row>
    <row r="229" spans="2:15" ht="33" customHeight="1" x14ac:dyDescent="0.3">
      <c r="B229" s="678">
        <v>24</v>
      </c>
      <c r="C229" s="668"/>
      <c r="D229" s="669"/>
      <c r="E229" s="669"/>
      <c r="F229" s="669"/>
      <c r="G229" s="669"/>
      <c r="H229" s="670"/>
      <c r="I229" s="670"/>
      <c r="J229" s="670"/>
      <c r="K229" s="670"/>
      <c r="L229" s="670"/>
      <c r="M229" s="670"/>
      <c r="N229" s="671"/>
      <c r="O229" s="672"/>
    </row>
    <row r="230" spans="2:15" ht="33" customHeight="1" x14ac:dyDescent="0.3">
      <c r="B230" s="677">
        <v>25</v>
      </c>
      <c r="C230" s="673"/>
      <c r="D230" s="666"/>
      <c r="E230" s="666"/>
      <c r="F230" s="666"/>
      <c r="G230" s="666"/>
      <c r="H230" s="666"/>
      <c r="I230" s="666"/>
      <c r="J230" s="666"/>
      <c r="K230" s="666"/>
      <c r="L230" s="666"/>
      <c r="M230" s="666"/>
      <c r="N230" s="666"/>
      <c r="O230" s="667"/>
    </row>
    <row r="231" spans="2:15" ht="33" customHeight="1" x14ac:dyDescent="0.3">
      <c r="B231" s="677">
        <v>26</v>
      </c>
      <c r="C231" s="673"/>
      <c r="D231" s="666"/>
      <c r="E231" s="666"/>
      <c r="F231" s="666"/>
      <c r="G231" s="666"/>
      <c r="H231" s="666"/>
      <c r="I231" s="666"/>
      <c r="J231" s="666"/>
      <c r="K231" s="666"/>
      <c r="L231" s="666"/>
      <c r="M231" s="666"/>
      <c r="N231" s="666"/>
      <c r="O231" s="667"/>
    </row>
    <row r="232" spans="2:15" ht="33" customHeight="1" x14ac:dyDescent="0.3">
      <c r="B232" s="677">
        <v>27</v>
      </c>
      <c r="C232" s="673"/>
      <c r="D232" s="666"/>
      <c r="E232" s="666"/>
      <c r="F232" s="666"/>
      <c r="G232" s="666"/>
      <c r="H232" s="666"/>
      <c r="I232" s="666"/>
      <c r="J232" s="666"/>
      <c r="K232" s="666"/>
      <c r="L232" s="666"/>
      <c r="M232" s="666"/>
      <c r="N232" s="666"/>
      <c r="O232" s="667"/>
    </row>
    <row r="233" spans="2:15" ht="33" customHeight="1" x14ac:dyDescent="0.3">
      <c r="B233" s="677">
        <v>28</v>
      </c>
      <c r="C233" s="673"/>
      <c r="D233" s="666"/>
      <c r="E233" s="666"/>
      <c r="F233" s="666"/>
      <c r="G233" s="666"/>
      <c r="H233" s="666"/>
      <c r="I233" s="666"/>
      <c r="J233" s="666"/>
      <c r="K233" s="666"/>
      <c r="L233" s="666"/>
      <c r="M233" s="666"/>
      <c r="N233" s="666"/>
      <c r="O233" s="667"/>
    </row>
    <row r="234" spans="2:15" ht="33" customHeight="1" x14ac:dyDescent="0.3">
      <c r="B234" s="677">
        <v>29</v>
      </c>
      <c r="C234" s="673"/>
      <c r="D234" s="666"/>
      <c r="E234" s="666"/>
      <c r="F234" s="666"/>
      <c r="G234" s="666"/>
      <c r="H234" s="666"/>
      <c r="I234" s="666"/>
      <c r="J234" s="666"/>
      <c r="K234" s="666"/>
      <c r="L234" s="666"/>
      <c r="M234" s="666"/>
      <c r="N234" s="666"/>
      <c r="O234" s="667"/>
    </row>
    <row r="235" spans="2:15" ht="33" customHeight="1" thickBot="1" x14ac:dyDescent="0.35">
      <c r="B235" s="679">
        <v>30</v>
      </c>
      <c r="C235" s="674"/>
      <c r="D235" s="675"/>
      <c r="E235" s="675"/>
      <c r="F235" s="675"/>
      <c r="G235" s="675"/>
      <c r="H235" s="675"/>
      <c r="I235" s="675"/>
      <c r="J235" s="675"/>
      <c r="K235" s="675"/>
      <c r="L235" s="675"/>
      <c r="M235" s="675"/>
      <c r="N235" s="675"/>
      <c r="O235" s="676"/>
    </row>
    <row r="237" spans="2:15" ht="33" customHeight="1" thickBot="1" x14ac:dyDescent="0.35"/>
    <row r="238" spans="2:15" ht="33" customHeight="1" x14ac:dyDescent="0.3">
      <c r="B238" s="2156" t="s">
        <v>487</v>
      </c>
      <c r="C238" s="2157"/>
      <c r="D238" s="2157"/>
      <c r="E238" s="2157"/>
      <c r="F238" s="2157"/>
      <c r="G238" s="2157"/>
      <c r="H238" s="2157"/>
      <c r="I238" s="2157"/>
      <c r="J238" s="2157"/>
      <c r="K238" s="2157"/>
      <c r="L238" s="2157"/>
      <c r="M238" s="2157"/>
      <c r="N238" s="2157"/>
      <c r="O238" s="2158"/>
    </row>
    <row r="239" spans="2:15" ht="33" customHeight="1" x14ac:dyDescent="0.3">
      <c r="B239" s="2159" t="s">
        <v>488</v>
      </c>
      <c r="C239" s="2160"/>
      <c r="D239" s="2160"/>
      <c r="E239" s="2160"/>
      <c r="F239" s="2160"/>
      <c r="G239" s="2160"/>
      <c r="H239" s="2160"/>
      <c r="I239" s="2160"/>
      <c r="J239" s="2152" t="s">
        <v>520</v>
      </c>
      <c r="K239" s="2152"/>
      <c r="L239" s="2152">
        <f>HOME!$E$2</f>
        <v>2022</v>
      </c>
      <c r="M239" s="2152"/>
      <c r="N239" s="2153">
        <f>HOME!$F$2</f>
        <v>2023</v>
      </c>
      <c r="O239" s="2154"/>
    </row>
    <row r="240" spans="2:15" ht="33" customHeight="1" x14ac:dyDescent="0.3">
      <c r="B240" s="402"/>
      <c r="C240" s="653" t="s">
        <v>489</v>
      </c>
      <c r="D240" s="1466" t="str">
        <f>'शाळा माहिती'!D4</f>
        <v>जि.प.प्रा.शा.बोरजाई वस्ती</v>
      </c>
      <c r="E240" s="1466"/>
      <c r="F240" s="1466"/>
      <c r="G240" s="1466"/>
      <c r="H240" s="1466"/>
      <c r="I240" s="1466"/>
      <c r="J240" s="2142" t="s">
        <v>362</v>
      </c>
      <c r="K240" s="2142"/>
      <c r="L240" s="2141" t="s">
        <v>708</v>
      </c>
      <c r="M240" s="2141"/>
      <c r="O240" s="420"/>
    </row>
    <row r="241" spans="2:16" ht="33" customHeight="1" x14ac:dyDescent="0.3">
      <c r="B241" s="402"/>
      <c r="C241" s="653" t="s">
        <v>256</v>
      </c>
      <c r="D241" s="1466" t="str">
        <f>'शाळा माहिती'!D6</f>
        <v>जामगाव</v>
      </c>
      <c r="E241" s="1466"/>
      <c r="F241" s="1466"/>
      <c r="G241" s="1466"/>
      <c r="H241" s="1466"/>
      <c r="I241" s="1466"/>
      <c r="J241" s="2142" t="s">
        <v>377</v>
      </c>
      <c r="K241" s="2142"/>
      <c r="L241" s="1466" t="str">
        <f>'शाळा माहिती'!D7</f>
        <v>गंगापूर</v>
      </c>
      <c r="M241" s="1466"/>
      <c r="O241" s="420"/>
    </row>
    <row r="242" spans="2:16" ht="33" customHeight="1" thickBot="1" x14ac:dyDescent="0.35">
      <c r="B242" s="654"/>
      <c r="C242" s="655" t="s">
        <v>515</v>
      </c>
      <c r="D242" s="2144">
        <f>'शाळा माहिती'!D10</f>
        <v>27190220701</v>
      </c>
      <c r="E242" s="2144"/>
      <c r="F242" s="2144"/>
      <c r="G242" s="2144"/>
      <c r="H242" s="2144"/>
      <c r="I242" s="2144"/>
      <c r="J242" s="2143" t="s">
        <v>378</v>
      </c>
      <c r="K242" s="2143"/>
      <c r="L242" s="2144" t="str">
        <f>'शाळा माहिती'!D8</f>
        <v>औरंगाबाद</v>
      </c>
      <c r="M242" s="2144"/>
      <c r="N242" s="656"/>
      <c r="O242" s="657"/>
    </row>
    <row r="243" spans="2:16" ht="33" customHeight="1" thickBot="1" x14ac:dyDescent="0.35">
      <c r="B243" s="2145" t="s">
        <v>460</v>
      </c>
      <c r="C243" s="2147" t="s">
        <v>535</v>
      </c>
      <c r="D243" s="2149" t="s">
        <v>94</v>
      </c>
      <c r="E243" s="2150"/>
      <c r="F243" s="680">
        <f>$L$5</f>
        <v>2022</v>
      </c>
      <c r="G243" s="2149" t="s">
        <v>37</v>
      </c>
      <c r="H243" s="2150"/>
      <c r="I243" s="680">
        <f>$L$5</f>
        <v>2022</v>
      </c>
      <c r="J243" s="2149" t="s">
        <v>39</v>
      </c>
      <c r="K243" s="2150"/>
      <c r="L243" s="681">
        <f>$L$5</f>
        <v>2022</v>
      </c>
      <c r="M243" s="2155" t="s">
        <v>41</v>
      </c>
      <c r="N243" s="2150"/>
      <c r="O243" s="682">
        <f>$N$5</f>
        <v>2023</v>
      </c>
    </row>
    <row r="244" spans="2:16" ht="33" customHeight="1" x14ac:dyDescent="0.3">
      <c r="B244" s="2146"/>
      <c r="C244" s="2148"/>
      <c r="D244" s="658" t="s">
        <v>533</v>
      </c>
      <c r="E244" s="658" t="s">
        <v>534</v>
      </c>
      <c r="F244" s="659" t="s">
        <v>490</v>
      </c>
      <c r="G244" s="658" t="s">
        <v>533</v>
      </c>
      <c r="H244" s="658" t="s">
        <v>534</v>
      </c>
      <c r="I244" s="659" t="s">
        <v>490</v>
      </c>
      <c r="J244" s="658" t="s">
        <v>533</v>
      </c>
      <c r="K244" s="658" t="s">
        <v>534</v>
      </c>
      <c r="L244" s="659" t="s">
        <v>490</v>
      </c>
      <c r="M244" s="658" t="s">
        <v>533</v>
      </c>
      <c r="N244" s="658" t="s">
        <v>534</v>
      </c>
      <c r="O244" s="660" t="s">
        <v>490</v>
      </c>
    </row>
    <row r="245" spans="2:16" ht="33" customHeight="1" x14ac:dyDescent="0.3">
      <c r="B245" s="677">
        <v>1</v>
      </c>
      <c r="C245" s="661"/>
      <c r="D245" s="662"/>
      <c r="E245" s="662"/>
      <c r="F245" s="662"/>
      <c r="G245" s="662"/>
      <c r="H245" s="662"/>
      <c r="I245" s="662"/>
      <c r="J245" s="662"/>
      <c r="K245" s="662"/>
      <c r="L245" s="662"/>
      <c r="M245" s="662"/>
      <c r="N245" s="662"/>
      <c r="O245" s="663"/>
      <c r="P245" s="402"/>
    </row>
    <row r="246" spans="2:16" ht="33" customHeight="1" x14ac:dyDescent="0.3">
      <c r="B246" s="677">
        <v>2</v>
      </c>
      <c r="C246" s="661"/>
      <c r="D246" s="664"/>
      <c r="E246" s="664"/>
      <c r="F246" s="664"/>
      <c r="G246" s="664"/>
      <c r="H246" s="665"/>
      <c r="I246" s="665"/>
      <c r="J246" s="665"/>
      <c r="K246" s="665"/>
      <c r="L246" s="665"/>
      <c r="M246" s="665"/>
      <c r="N246" s="666"/>
      <c r="O246" s="667"/>
    </row>
    <row r="247" spans="2:16" ht="33" customHeight="1" x14ac:dyDescent="0.3">
      <c r="B247" s="677">
        <v>3</v>
      </c>
      <c r="C247" s="661"/>
      <c r="D247" s="664"/>
      <c r="E247" s="664"/>
      <c r="F247" s="664"/>
      <c r="G247" s="664"/>
      <c r="H247" s="665"/>
      <c r="I247" s="665"/>
      <c r="J247" s="665"/>
      <c r="K247" s="665"/>
      <c r="L247" s="665"/>
      <c r="M247" s="665"/>
      <c r="N247" s="666"/>
      <c r="O247" s="667"/>
    </row>
    <row r="248" spans="2:16" ht="33" customHeight="1" x14ac:dyDescent="0.3">
      <c r="B248" s="677">
        <v>4</v>
      </c>
      <c r="C248" s="661"/>
      <c r="D248" s="664"/>
      <c r="E248" s="664"/>
      <c r="F248" s="664"/>
      <c r="G248" s="664"/>
      <c r="H248" s="665"/>
      <c r="I248" s="665"/>
      <c r="J248" s="665"/>
      <c r="K248" s="665"/>
      <c r="L248" s="665"/>
      <c r="M248" s="665"/>
      <c r="N248" s="666"/>
      <c r="O248" s="667"/>
    </row>
    <row r="249" spans="2:16" ht="33" customHeight="1" x14ac:dyDescent="0.3">
      <c r="B249" s="677">
        <v>5</v>
      </c>
      <c r="C249" s="661"/>
      <c r="D249" s="664"/>
      <c r="E249" s="664"/>
      <c r="F249" s="664"/>
      <c r="G249" s="664"/>
      <c r="H249" s="665"/>
      <c r="I249" s="665"/>
      <c r="J249" s="665"/>
      <c r="K249" s="665"/>
      <c r="L249" s="665"/>
      <c r="M249" s="665"/>
      <c r="N249" s="666"/>
      <c r="O249" s="667"/>
    </row>
    <row r="250" spans="2:16" ht="33" customHeight="1" x14ac:dyDescent="0.3">
      <c r="B250" s="677">
        <v>6</v>
      </c>
      <c r="C250" s="661"/>
      <c r="D250" s="664"/>
      <c r="E250" s="664"/>
      <c r="F250" s="664"/>
      <c r="G250" s="664"/>
      <c r="H250" s="665"/>
      <c r="I250" s="665"/>
      <c r="J250" s="665"/>
      <c r="K250" s="665"/>
      <c r="L250" s="665"/>
      <c r="M250" s="665"/>
      <c r="N250" s="666"/>
      <c r="O250" s="667"/>
    </row>
    <row r="251" spans="2:16" ht="33" customHeight="1" x14ac:dyDescent="0.3">
      <c r="B251" s="677">
        <v>7</v>
      </c>
      <c r="C251" s="661"/>
      <c r="D251" s="664"/>
      <c r="E251" s="664"/>
      <c r="F251" s="664"/>
      <c r="G251" s="664"/>
      <c r="H251" s="665"/>
      <c r="I251" s="665"/>
      <c r="J251" s="665"/>
      <c r="K251" s="665"/>
      <c r="L251" s="665"/>
      <c r="M251" s="665"/>
      <c r="N251" s="666"/>
      <c r="O251" s="667"/>
    </row>
    <row r="252" spans="2:16" ht="33" customHeight="1" x14ac:dyDescent="0.3">
      <c r="B252" s="677">
        <v>8</v>
      </c>
      <c r="C252" s="661"/>
      <c r="D252" s="664"/>
      <c r="E252" s="664"/>
      <c r="F252" s="664"/>
      <c r="G252" s="664"/>
      <c r="H252" s="665"/>
      <c r="I252" s="665"/>
      <c r="J252" s="665"/>
      <c r="K252" s="665"/>
      <c r="L252" s="665"/>
      <c r="M252" s="665"/>
      <c r="N252" s="666"/>
      <c r="O252" s="667"/>
    </row>
    <row r="253" spans="2:16" ht="33" customHeight="1" x14ac:dyDescent="0.3">
      <c r="B253" s="677">
        <v>9</v>
      </c>
      <c r="C253" s="661"/>
      <c r="D253" s="664"/>
      <c r="E253" s="664"/>
      <c r="F253" s="664"/>
      <c r="G253" s="664"/>
      <c r="H253" s="665"/>
      <c r="I253" s="665"/>
      <c r="J253" s="665"/>
      <c r="K253" s="665"/>
      <c r="L253" s="665"/>
      <c r="M253" s="665"/>
      <c r="N253" s="666"/>
      <c r="O253" s="667"/>
    </row>
    <row r="254" spans="2:16" ht="33" customHeight="1" x14ac:dyDescent="0.3">
      <c r="B254" s="677">
        <v>10</v>
      </c>
      <c r="C254" s="661"/>
      <c r="D254" s="664"/>
      <c r="E254" s="664"/>
      <c r="F254" s="664"/>
      <c r="G254" s="664"/>
      <c r="H254" s="665"/>
      <c r="I254" s="665"/>
      <c r="J254" s="665"/>
      <c r="K254" s="665"/>
      <c r="L254" s="665"/>
      <c r="M254" s="665"/>
      <c r="N254" s="666"/>
      <c r="O254" s="667"/>
    </row>
    <row r="255" spans="2:16" ht="33" customHeight="1" x14ac:dyDescent="0.3">
      <c r="B255" s="677">
        <v>11</v>
      </c>
      <c r="C255" s="661"/>
      <c r="D255" s="664"/>
      <c r="E255" s="664"/>
      <c r="F255" s="664"/>
      <c r="G255" s="664"/>
      <c r="H255" s="665"/>
      <c r="I255" s="665"/>
      <c r="J255" s="665"/>
      <c r="K255" s="665"/>
      <c r="L255" s="665"/>
      <c r="M255" s="665"/>
      <c r="N255" s="666"/>
      <c r="O255" s="667"/>
    </row>
    <row r="256" spans="2:16" ht="33" customHeight="1" x14ac:dyDescent="0.3">
      <c r="B256" s="677">
        <v>12</v>
      </c>
      <c r="C256" s="661"/>
      <c r="D256" s="664"/>
      <c r="E256" s="664"/>
      <c r="F256" s="664"/>
      <c r="G256" s="664"/>
      <c r="H256" s="665"/>
      <c r="I256" s="665"/>
      <c r="J256" s="665"/>
      <c r="K256" s="665"/>
      <c r="L256" s="665"/>
      <c r="M256" s="665"/>
      <c r="N256" s="666"/>
      <c r="O256" s="667"/>
    </row>
    <row r="257" spans="2:15" ht="33" customHeight="1" x14ac:dyDescent="0.3">
      <c r="B257" s="677">
        <v>13</v>
      </c>
      <c r="C257" s="661"/>
      <c r="D257" s="664"/>
      <c r="E257" s="664"/>
      <c r="F257" s="664"/>
      <c r="G257" s="664"/>
      <c r="H257" s="665"/>
      <c r="I257" s="665"/>
      <c r="J257" s="665"/>
      <c r="K257" s="665"/>
      <c r="L257" s="665"/>
      <c r="M257" s="665"/>
      <c r="N257" s="666"/>
      <c r="O257" s="667"/>
    </row>
    <row r="258" spans="2:15" ht="33" customHeight="1" x14ac:dyDescent="0.3">
      <c r="B258" s="677">
        <v>14</v>
      </c>
      <c r="C258" s="661"/>
      <c r="D258" s="664"/>
      <c r="E258" s="664"/>
      <c r="F258" s="664"/>
      <c r="G258" s="664"/>
      <c r="H258" s="665"/>
      <c r="I258" s="665"/>
      <c r="J258" s="665"/>
      <c r="K258" s="665"/>
      <c r="L258" s="665"/>
      <c r="M258" s="665"/>
      <c r="N258" s="666"/>
      <c r="O258" s="667"/>
    </row>
    <row r="259" spans="2:15" ht="33" customHeight="1" x14ac:dyDescent="0.3">
      <c r="B259" s="677">
        <v>15</v>
      </c>
      <c r="C259" s="661"/>
      <c r="D259" s="664"/>
      <c r="E259" s="664"/>
      <c r="F259" s="664"/>
      <c r="G259" s="664"/>
      <c r="H259" s="665"/>
      <c r="I259" s="665"/>
      <c r="J259" s="665"/>
      <c r="K259" s="665"/>
      <c r="L259" s="665"/>
      <c r="M259" s="665"/>
      <c r="N259" s="666"/>
      <c r="O259" s="667"/>
    </row>
    <row r="260" spans="2:15" ht="33" customHeight="1" x14ac:dyDescent="0.3">
      <c r="B260" s="677">
        <v>16</v>
      </c>
      <c r="C260" s="661"/>
      <c r="D260" s="664"/>
      <c r="E260" s="664"/>
      <c r="F260" s="664"/>
      <c r="G260" s="664"/>
      <c r="H260" s="665"/>
      <c r="I260" s="665"/>
      <c r="J260" s="665"/>
      <c r="K260" s="665"/>
      <c r="L260" s="665"/>
      <c r="M260" s="665"/>
      <c r="N260" s="666"/>
      <c r="O260" s="667"/>
    </row>
    <row r="261" spans="2:15" ht="33" customHeight="1" x14ac:dyDescent="0.3">
      <c r="B261" s="677">
        <v>17</v>
      </c>
      <c r="C261" s="661"/>
      <c r="D261" s="664"/>
      <c r="E261" s="664"/>
      <c r="F261" s="664"/>
      <c r="G261" s="664"/>
      <c r="H261" s="665"/>
      <c r="I261" s="665"/>
      <c r="J261" s="665"/>
      <c r="K261" s="665"/>
      <c r="L261" s="665"/>
      <c r="M261" s="665"/>
      <c r="N261" s="666"/>
      <c r="O261" s="667"/>
    </row>
    <row r="262" spans="2:15" ht="33" customHeight="1" x14ac:dyDescent="0.3">
      <c r="B262" s="677">
        <v>18</v>
      </c>
      <c r="C262" s="661"/>
      <c r="D262" s="664"/>
      <c r="E262" s="664"/>
      <c r="F262" s="664"/>
      <c r="G262" s="664"/>
      <c r="H262" s="665"/>
      <c r="I262" s="665"/>
      <c r="J262" s="665"/>
      <c r="K262" s="665"/>
      <c r="L262" s="665"/>
      <c r="M262" s="665"/>
      <c r="N262" s="666"/>
      <c r="O262" s="667"/>
    </row>
    <row r="263" spans="2:15" ht="33" customHeight="1" x14ac:dyDescent="0.3">
      <c r="B263" s="677">
        <v>19</v>
      </c>
      <c r="C263" s="661"/>
      <c r="D263" s="664"/>
      <c r="E263" s="664"/>
      <c r="F263" s="664"/>
      <c r="G263" s="664"/>
      <c r="H263" s="665"/>
      <c r="I263" s="665"/>
      <c r="J263" s="665"/>
      <c r="K263" s="665"/>
      <c r="L263" s="665"/>
      <c r="M263" s="665"/>
      <c r="N263" s="666"/>
      <c r="O263" s="667"/>
    </row>
    <row r="264" spans="2:15" ht="33" customHeight="1" x14ac:dyDescent="0.3">
      <c r="B264" s="677">
        <v>20</v>
      </c>
      <c r="C264" s="661"/>
      <c r="D264" s="664"/>
      <c r="E264" s="664"/>
      <c r="F264" s="664"/>
      <c r="G264" s="664"/>
      <c r="H264" s="665"/>
      <c r="I264" s="665"/>
      <c r="J264" s="665"/>
      <c r="K264" s="665"/>
      <c r="L264" s="665"/>
      <c r="M264" s="665"/>
      <c r="N264" s="666"/>
      <c r="O264" s="667"/>
    </row>
    <row r="265" spans="2:15" ht="33" customHeight="1" x14ac:dyDescent="0.3">
      <c r="B265" s="677">
        <v>21</v>
      </c>
      <c r="C265" s="661"/>
      <c r="D265" s="664"/>
      <c r="E265" s="664"/>
      <c r="F265" s="664"/>
      <c r="G265" s="664"/>
      <c r="H265" s="665"/>
      <c r="I265" s="665"/>
      <c r="J265" s="665"/>
      <c r="K265" s="665"/>
      <c r="L265" s="665"/>
      <c r="M265" s="665"/>
      <c r="N265" s="666"/>
      <c r="O265" s="667"/>
    </row>
    <row r="266" spans="2:15" ht="33" customHeight="1" x14ac:dyDescent="0.3">
      <c r="B266" s="677">
        <v>22</v>
      </c>
      <c r="C266" s="661"/>
      <c r="D266" s="664"/>
      <c r="E266" s="664"/>
      <c r="F266" s="664"/>
      <c r="G266" s="664"/>
      <c r="H266" s="665"/>
      <c r="I266" s="665"/>
      <c r="J266" s="665"/>
      <c r="K266" s="665"/>
      <c r="L266" s="665"/>
      <c r="M266" s="665"/>
      <c r="N266" s="666"/>
      <c r="O266" s="667"/>
    </row>
    <row r="267" spans="2:15" ht="33" customHeight="1" x14ac:dyDescent="0.3">
      <c r="B267" s="677">
        <v>23</v>
      </c>
      <c r="C267" s="661"/>
      <c r="D267" s="664"/>
      <c r="E267" s="664"/>
      <c r="F267" s="664"/>
      <c r="G267" s="664"/>
      <c r="H267" s="665"/>
      <c r="I267" s="665"/>
      <c r="J267" s="665"/>
      <c r="K267" s="665"/>
      <c r="L267" s="665"/>
      <c r="M267" s="665"/>
      <c r="N267" s="666"/>
      <c r="O267" s="667"/>
    </row>
    <row r="268" spans="2:15" ht="33" customHeight="1" x14ac:dyDescent="0.3">
      <c r="B268" s="678">
        <v>24</v>
      </c>
      <c r="C268" s="668"/>
      <c r="D268" s="669"/>
      <c r="E268" s="669"/>
      <c r="F268" s="669"/>
      <c r="G268" s="669"/>
      <c r="H268" s="670"/>
      <c r="I268" s="670"/>
      <c r="J268" s="670"/>
      <c r="K268" s="670"/>
      <c r="L268" s="670"/>
      <c r="M268" s="670"/>
      <c r="N268" s="671"/>
      <c r="O268" s="672"/>
    </row>
    <row r="269" spans="2:15" ht="33" customHeight="1" x14ac:dyDescent="0.3">
      <c r="B269" s="677">
        <v>25</v>
      </c>
      <c r="C269" s="673"/>
      <c r="D269" s="666"/>
      <c r="E269" s="666"/>
      <c r="F269" s="666"/>
      <c r="G269" s="666"/>
      <c r="H269" s="666"/>
      <c r="I269" s="666"/>
      <c r="J269" s="666"/>
      <c r="K269" s="666"/>
      <c r="L269" s="666"/>
      <c r="M269" s="666"/>
      <c r="N269" s="666"/>
      <c r="O269" s="667"/>
    </row>
    <row r="270" spans="2:15" ht="33" customHeight="1" x14ac:dyDescent="0.3">
      <c r="B270" s="677">
        <v>26</v>
      </c>
      <c r="C270" s="673"/>
      <c r="D270" s="666"/>
      <c r="E270" s="666"/>
      <c r="F270" s="666"/>
      <c r="G270" s="666"/>
      <c r="H270" s="666"/>
      <c r="I270" s="666"/>
      <c r="J270" s="666"/>
      <c r="K270" s="666"/>
      <c r="L270" s="666"/>
      <c r="M270" s="666"/>
      <c r="N270" s="666"/>
      <c r="O270" s="667"/>
    </row>
    <row r="271" spans="2:15" ht="33" customHeight="1" x14ac:dyDescent="0.3">
      <c r="B271" s="677">
        <v>27</v>
      </c>
      <c r="C271" s="673"/>
      <c r="D271" s="666"/>
      <c r="E271" s="666"/>
      <c r="F271" s="666"/>
      <c r="G271" s="666"/>
      <c r="H271" s="666"/>
      <c r="I271" s="666"/>
      <c r="J271" s="666"/>
      <c r="K271" s="666"/>
      <c r="L271" s="666"/>
      <c r="M271" s="666"/>
      <c r="N271" s="666"/>
      <c r="O271" s="667"/>
    </row>
    <row r="272" spans="2:15" ht="33" customHeight="1" x14ac:dyDescent="0.3">
      <c r="B272" s="677">
        <v>28</v>
      </c>
      <c r="C272" s="673"/>
      <c r="D272" s="666"/>
      <c r="E272" s="666"/>
      <c r="F272" s="666"/>
      <c r="G272" s="666"/>
      <c r="H272" s="666"/>
      <c r="I272" s="666"/>
      <c r="J272" s="666"/>
      <c r="K272" s="666"/>
      <c r="L272" s="666"/>
      <c r="M272" s="666"/>
      <c r="N272" s="666"/>
      <c r="O272" s="667"/>
    </row>
    <row r="273" spans="2:15" ht="33" customHeight="1" x14ac:dyDescent="0.3">
      <c r="B273" s="677">
        <v>29</v>
      </c>
      <c r="C273" s="673"/>
      <c r="D273" s="666"/>
      <c r="E273" s="666"/>
      <c r="F273" s="666"/>
      <c r="G273" s="666"/>
      <c r="H273" s="666"/>
      <c r="I273" s="666"/>
      <c r="J273" s="666"/>
      <c r="K273" s="666"/>
      <c r="L273" s="666"/>
      <c r="M273" s="666"/>
      <c r="N273" s="666"/>
      <c r="O273" s="667"/>
    </row>
    <row r="274" spans="2:15" ht="33" customHeight="1" thickBot="1" x14ac:dyDescent="0.35">
      <c r="B274" s="679">
        <v>30</v>
      </c>
      <c r="C274" s="674"/>
      <c r="D274" s="675"/>
      <c r="E274" s="675"/>
      <c r="F274" s="675"/>
      <c r="G274" s="675"/>
      <c r="H274" s="675"/>
      <c r="I274" s="675"/>
      <c r="J274" s="675"/>
      <c r="K274" s="675"/>
      <c r="L274" s="675"/>
      <c r="M274" s="675"/>
      <c r="N274" s="675"/>
      <c r="O274" s="676"/>
    </row>
  </sheetData>
  <sheetProtection algorithmName="SHA-512" hashValue="zRQBvU00GUJ5l6lZVEtKWAVYlX7iHrn4SOfpJdLNFGoLi19kDk5WZj4Jn9qfPhW+dwh9Z7dS4yb7OtTygOgiJg==" saltValue="LjYUQOaB0vgnl8PppJQZ9w==" spinCount="100000" sheet="1" objects="1" scenarios="1" selectLockedCells="1"/>
  <protectedRanges>
    <protectedRange sqref="L6 L45 L84 L123 L162 L201 L240" name="Range2"/>
    <protectedRange sqref="B11:O40 B50:O79 B89:O118 B128:O157 B167:O196 B206:O235 B245:O274" name="Range3"/>
  </protectedRanges>
  <mergeCells count="140">
    <mergeCell ref="B243:B244"/>
    <mergeCell ref="C243:C244"/>
    <mergeCell ref="D241:I241"/>
    <mergeCell ref="J241:K241"/>
    <mergeCell ref="L241:M241"/>
    <mergeCell ref="D242:I242"/>
    <mergeCell ref="J242:K242"/>
    <mergeCell ref="L242:M242"/>
    <mergeCell ref="D243:E243"/>
    <mergeCell ref="G243:H243"/>
    <mergeCell ref="J243:K243"/>
    <mergeCell ref="M243:N243"/>
    <mergeCell ref="B238:O238"/>
    <mergeCell ref="D240:I240"/>
    <mergeCell ref="J240:K240"/>
    <mergeCell ref="L240:M240"/>
    <mergeCell ref="B204:B205"/>
    <mergeCell ref="C204:C205"/>
    <mergeCell ref="N239:O239"/>
    <mergeCell ref="D204:E204"/>
    <mergeCell ref="G204:H204"/>
    <mergeCell ref="J204:K204"/>
    <mergeCell ref="M204:N204"/>
    <mergeCell ref="B239:I239"/>
    <mergeCell ref="J239:K239"/>
    <mergeCell ref="L239:M239"/>
    <mergeCell ref="D202:I202"/>
    <mergeCell ref="J202:K202"/>
    <mergeCell ref="L202:M202"/>
    <mergeCell ref="D203:I203"/>
    <mergeCell ref="J203:K203"/>
    <mergeCell ref="L203:M203"/>
    <mergeCell ref="B199:O199"/>
    <mergeCell ref="D201:I201"/>
    <mergeCell ref="J201:K201"/>
    <mergeCell ref="L201:M201"/>
    <mergeCell ref="B200:I200"/>
    <mergeCell ref="J200:K200"/>
    <mergeCell ref="L200:M200"/>
    <mergeCell ref="N200:O200"/>
    <mergeCell ref="B165:B166"/>
    <mergeCell ref="C165:C166"/>
    <mergeCell ref="D165:E165"/>
    <mergeCell ref="G165:H165"/>
    <mergeCell ref="J165:K165"/>
    <mergeCell ref="M165:N165"/>
    <mergeCell ref="D163:I163"/>
    <mergeCell ref="J163:K163"/>
    <mergeCell ref="L163:M163"/>
    <mergeCell ref="D164:I164"/>
    <mergeCell ref="J164:K164"/>
    <mergeCell ref="L164:M164"/>
    <mergeCell ref="B160:O160"/>
    <mergeCell ref="D162:I162"/>
    <mergeCell ref="J162:K162"/>
    <mergeCell ref="L162:M162"/>
    <mergeCell ref="B126:B127"/>
    <mergeCell ref="C126:C127"/>
    <mergeCell ref="D126:E126"/>
    <mergeCell ref="G126:H126"/>
    <mergeCell ref="J126:K126"/>
    <mergeCell ref="M126:N126"/>
    <mergeCell ref="B161:I161"/>
    <mergeCell ref="J161:K161"/>
    <mergeCell ref="L161:M161"/>
    <mergeCell ref="N161:O161"/>
    <mergeCell ref="D124:I124"/>
    <mergeCell ref="J124:K124"/>
    <mergeCell ref="L124:M124"/>
    <mergeCell ref="D125:I125"/>
    <mergeCell ref="J125:K125"/>
    <mergeCell ref="L125:M125"/>
    <mergeCell ref="B121:O121"/>
    <mergeCell ref="D123:I123"/>
    <mergeCell ref="J123:K123"/>
    <mergeCell ref="L123:M123"/>
    <mergeCell ref="B122:I122"/>
    <mergeCell ref="J122:K122"/>
    <mergeCell ref="L122:M122"/>
    <mergeCell ref="N122:O122"/>
    <mergeCell ref="B87:B88"/>
    <mergeCell ref="C87:C88"/>
    <mergeCell ref="D87:E87"/>
    <mergeCell ref="G87:H87"/>
    <mergeCell ref="J87:K87"/>
    <mergeCell ref="M87:N87"/>
    <mergeCell ref="D85:I85"/>
    <mergeCell ref="J85:K85"/>
    <mergeCell ref="L85:M85"/>
    <mergeCell ref="D86:I86"/>
    <mergeCell ref="J86:K86"/>
    <mergeCell ref="L86:M86"/>
    <mergeCell ref="B82:O82"/>
    <mergeCell ref="D84:I84"/>
    <mergeCell ref="J84:K84"/>
    <mergeCell ref="L84:M84"/>
    <mergeCell ref="B48:B49"/>
    <mergeCell ref="C48:C49"/>
    <mergeCell ref="D48:E48"/>
    <mergeCell ref="G48:H48"/>
    <mergeCell ref="J48:K48"/>
    <mergeCell ref="M48:N48"/>
    <mergeCell ref="B83:I83"/>
    <mergeCell ref="J83:K83"/>
    <mergeCell ref="L83:M83"/>
    <mergeCell ref="N83:O83"/>
    <mergeCell ref="D46:I46"/>
    <mergeCell ref="J46:K46"/>
    <mergeCell ref="L46:M46"/>
    <mergeCell ref="D47:I47"/>
    <mergeCell ref="J47:K47"/>
    <mergeCell ref="L47:M47"/>
    <mergeCell ref="B43:O43"/>
    <mergeCell ref="D45:I45"/>
    <mergeCell ref="J45:K45"/>
    <mergeCell ref="L45:M45"/>
    <mergeCell ref="B44:I44"/>
    <mergeCell ref="J44:K44"/>
    <mergeCell ref="L44:M44"/>
    <mergeCell ref="N44:O44"/>
    <mergeCell ref="B4:O4"/>
    <mergeCell ref="L6:M6"/>
    <mergeCell ref="J6:K6"/>
    <mergeCell ref="J7:K7"/>
    <mergeCell ref="L7:M7"/>
    <mergeCell ref="J8:K8"/>
    <mergeCell ref="L8:M8"/>
    <mergeCell ref="B9:B10"/>
    <mergeCell ref="C9:C10"/>
    <mergeCell ref="D6:I6"/>
    <mergeCell ref="D7:I7"/>
    <mergeCell ref="D8:I8"/>
    <mergeCell ref="D9:E9"/>
    <mergeCell ref="B5:I5"/>
    <mergeCell ref="J5:K5"/>
    <mergeCell ref="L5:M5"/>
    <mergeCell ref="N5:O5"/>
    <mergeCell ref="G9:H9"/>
    <mergeCell ref="J9:K9"/>
    <mergeCell ref="M9:N9"/>
  </mergeCells>
  <dataValidations count="1">
    <dataValidation type="list" allowBlank="1" showInputMessage="1" showErrorMessage="1" sqref="L6 L45 L84 L123 L162 L201 L240">
      <formula1>"पहिली,दुसरी,तिसरी,चौथी,पाचवी,सहावी,सातवी,आठवी"</formula1>
    </dataValidation>
  </dataValidations>
  <printOptions horizontalCentered="1"/>
  <pageMargins left="0.19685039370078741" right="0.19685039370078741" top="0.43307086614173229" bottom="0.19685039370078741" header="0.19685039370078741" footer="0.19685039370078741"/>
  <pageSetup paperSize="9" scale="55" orientation="portrait" r:id="rId1"/>
  <rowBreaks count="6" manualBreakCount="6">
    <brk id="41" max="15" man="1"/>
    <brk id="80" max="15" man="1"/>
    <brk id="119" max="15" man="1"/>
    <brk id="158" max="15" man="1"/>
    <brk id="197" max="15" man="1"/>
    <brk id="236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00FF"/>
    <pageSetUpPr fitToPage="1"/>
  </sheetPr>
  <dimension ref="B1:K39"/>
  <sheetViews>
    <sheetView showZeros="0" zoomScaleNormal="100" workbookViewId="0">
      <selection activeCell="D5" sqref="D5:J6"/>
    </sheetView>
  </sheetViews>
  <sheetFormatPr defaultRowHeight="37.5" customHeight="1" x14ac:dyDescent="0.3"/>
  <cols>
    <col min="1" max="1" width="9.140625" style="15"/>
    <col min="2" max="2" width="6.5703125" style="15" customWidth="1"/>
    <col min="3" max="3" width="14.5703125" style="15" customWidth="1"/>
    <col min="4" max="4" width="13.7109375" style="15" customWidth="1"/>
    <col min="5" max="5" width="9.140625" style="15"/>
    <col min="6" max="6" width="16.85546875" style="15" customWidth="1"/>
    <col min="7" max="7" width="11.140625" style="15" customWidth="1"/>
    <col min="8" max="8" width="36.28515625" style="15" customWidth="1"/>
    <col min="9" max="9" width="15.140625" style="15" customWidth="1"/>
    <col min="10" max="10" width="12.42578125" style="15" customWidth="1"/>
    <col min="11" max="11" width="18" style="15" customWidth="1"/>
    <col min="12" max="12" width="6" style="15" customWidth="1"/>
    <col min="13" max="16384" width="9.140625" style="15"/>
  </cols>
  <sheetData>
    <row r="1" spans="2:11" ht="37.5" customHeight="1" thickBot="1" x14ac:dyDescent="0.35"/>
    <row r="2" spans="2:11" ht="33.75" customHeight="1" thickBot="1" x14ac:dyDescent="0.35">
      <c r="B2" s="2161" t="s">
        <v>175</v>
      </c>
      <c r="C2" s="2162"/>
      <c r="D2" s="2162"/>
      <c r="E2" s="2162"/>
      <c r="F2" s="611" t="s">
        <v>284</v>
      </c>
      <c r="G2" s="627" t="s">
        <v>702</v>
      </c>
      <c r="H2" s="612" t="s">
        <v>260</v>
      </c>
      <c r="I2" s="179">
        <f>HOME!E2</f>
        <v>2022</v>
      </c>
      <c r="J2" s="179">
        <f>HOME!F2</f>
        <v>2023</v>
      </c>
      <c r="K2" s="613"/>
    </row>
    <row r="3" spans="2:11" ht="33" customHeight="1" thickBot="1" x14ac:dyDescent="0.55000000000000004">
      <c r="B3" s="402"/>
      <c r="C3" s="1069" t="s">
        <v>113</v>
      </c>
      <c r="D3" s="2081" t="str">
        <f>'शाळा माहिती'!D4</f>
        <v>जि.प.प्रा.शा.बोरजाई वस्ती</v>
      </c>
      <c r="E3" s="2081"/>
      <c r="F3" s="2081"/>
      <c r="G3" s="2081"/>
      <c r="H3" s="2081"/>
      <c r="I3" s="1071" t="s">
        <v>256</v>
      </c>
      <c r="J3" s="365" t="str">
        <f>'शाळा माहिती'!D6</f>
        <v>जामगाव</v>
      </c>
      <c r="K3" s="616"/>
    </row>
    <row r="4" spans="2:11" ht="30" customHeight="1" thickBot="1" x14ac:dyDescent="0.35">
      <c r="B4" s="402"/>
      <c r="C4" s="1069" t="s">
        <v>258</v>
      </c>
      <c r="D4" s="173" t="str">
        <f>'शाळा माहिती'!D7</f>
        <v>गंगापूर</v>
      </c>
      <c r="E4" s="1070" t="s">
        <v>259</v>
      </c>
      <c r="F4" s="173" t="str">
        <f>'शाळा माहिती'!D8</f>
        <v>औरंगाबाद</v>
      </c>
      <c r="G4" s="618"/>
      <c r="H4" s="1071" t="s">
        <v>257</v>
      </c>
      <c r="I4" s="628" t="s">
        <v>38</v>
      </c>
      <c r="J4" s="629">
        <v>2022</v>
      </c>
      <c r="K4" s="616"/>
    </row>
    <row r="5" spans="2:11" ht="36" customHeight="1" x14ac:dyDescent="0.3">
      <c r="B5" s="2172" t="s">
        <v>86</v>
      </c>
      <c r="C5" s="2174" t="s">
        <v>176</v>
      </c>
      <c r="D5" s="2167" t="s">
        <v>177</v>
      </c>
      <c r="E5" s="2169" t="s">
        <v>248</v>
      </c>
      <c r="F5" s="2167" t="s">
        <v>178</v>
      </c>
      <c r="G5" s="2169" t="s">
        <v>266</v>
      </c>
      <c r="H5" s="2167" t="s">
        <v>179</v>
      </c>
      <c r="I5" s="2168" t="s">
        <v>180</v>
      </c>
      <c r="J5" s="2165" t="s">
        <v>249</v>
      </c>
      <c r="K5" s="2163" t="s">
        <v>181</v>
      </c>
    </row>
    <row r="6" spans="2:11" ht="35.25" customHeight="1" x14ac:dyDescent="0.3">
      <c r="B6" s="2173"/>
      <c r="C6" s="2175"/>
      <c r="D6" s="2168"/>
      <c r="E6" s="2170"/>
      <c r="F6" s="2168"/>
      <c r="G6" s="2170"/>
      <c r="H6" s="2168"/>
      <c r="I6" s="2171"/>
      <c r="J6" s="2166"/>
      <c r="K6" s="2164"/>
    </row>
    <row r="7" spans="2:11" ht="37.5" customHeight="1" x14ac:dyDescent="0.3">
      <c r="B7" s="1039">
        <v>1</v>
      </c>
      <c r="C7" s="1072">
        <f>DATE(J4,INDEX({4,5,6,7,8,9,10,11,12,1,2,3},MATCH(I4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44866</v>
      </c>
      <c r="D7" s="1073" t="str">
        <f>IF(C7="","",INDEX({"रवि";"सोम";"मंगळ";"बुध";"गुरू";"शुक्र";"शनि"},WEEKDAY(C7)))</f>
        <v>मंगळ</v>
      </c>
      <c r="E7" s="1074">
        <f>HLOOKUP(I4,'दैनिक माहिती'!J470:AQ503,3,0)</f>
        <v>0</v>
      </c>
      <c r="F7" s="1073">
        <f>HLOOKUP(I4,'दैनिक माहिती'!BF120:BQ151,2,0)</f>
        <v>0</v>
      </c>
      <c r="G7" s="1074">
        <f>HLOOKUP(I4,'दैनिक माहिती'!J506:AQ539,3,0)</f>
        <v>0</v>
      </c>
      <c r="H7" s="1075">
        <f>HLOOKUP(I4,'दैनिक माहिती'!C393:N424,2,0)</f>
        <v>0</v>
      </c>
      <c r="I7" s="1073">
        <f>HLOOKUP(I4,'दैनिक माहिती'!Q393:AB424,2,0)</f>
        <v>0</v>
      </c>
      <c r="J7" s="1076"/>
      <c r="K7" s="1077"/>
    </row>
    <row r="8" spans="2:11" ht="37.5" customHeight="1" x14ac:dyDescent="0.45">
      <c r="B8" s="1039">
        <v>2</v>
      </c>
      <c r="C8" s="1072">
        <f>C7+1</f>
        <v>44867</v>
      </c>
      <c r="D8" s="1073" t="str">
        <f>IF(C8="","",INDEX({"रवि";"सोम";"मंगळ";"बुध";"गुरू";"शुक्र";"शनि"},WEEKDAY(C8)))</f>
        <v>बुध</v>
      </c>
      <c r="E8" s="1078">
        <f>HLOOKUP(I4,'दैनिक माहिती'!J470:AQ503,4,0)</f>
        <v>0</v>
      </c>
      <c r="F8" s="1052">
        <f>HLOOKUP(I4,'दैनिक माहिती'!BF120:BQ151,3,0)</f>
        <v>0</v>
      </c>
      <c r="G8" s="1079">
        <f>HLOOKUP(I4,'दैनिक माहिती'!J506:AQ539,4,0)</f>
        <v>0</v>
      </c>
      <c r="H8" s="1075">
        <f>HLOOKUP(I4,'दैनिक माहिती'!C393:N424,3,0)</f>
        <v>0</v>
      </c>
      <c r="I8" s="1073">
        <f>HLOOKUP(I4,'दैनिक माहिती'!Q393:AB424,3,0)</f>
        <v>0</v>
      </c>
      <c r="J8" s="1080"/>
      <c r="K8" s="1081"/>
    </row>
    <row r="9" spans="2:11" ht="37.5" customHeight="1" x14ac:dyDescent="0.45">
      <c r="B9" s="1039">
        <v>3</v>
      </c>
      <c r="C9" s="1072">
        <f t="shared" ref="C9:C37" si="0">C8+1</f>
        <v>44868</v>
      </c>
      <c r="D9" s="1073" t="str">
        <f>IF(C9="","",INDEX({"रवि";"सोम";"मंगळ";"बुध";"गुरू";"शुक्र";"शनि"},WEEKDAY(C9)))</f>
        <v>गुरू</v>
      </c>
      <c r="E9" s="1078">
        <f>HLOOKUP(I4,'दैनिक माहिती'!J470:AQ503,5,0)</f>
        <v>0</v>
      </c>
      <c r="F9" s="1052">
        <f>HLOOKUP(I4,'दैनिक माहिती'!BF120:BQ151,4,0)</f>
        <v>0</v>
      </c>
      <c r="G9" s="1079">
        <f>HLOOKUP(I4,'दैनिक माहिती'!J506:AQ539,5,0)</f>
        <v>0</v>
      </c>
      <c r="H9" s="1075">
        <f>HLOOKUP(I4,'दैनिक माहिती'!C393:N424,4,0)</f>
        <v>0</v>
      </c>
      <c r="I9" s="1073">
        <f>HLOOKUP(I4,'दैनिक माहिती'!Q393:AB424,4,0)</f>
        <v>0</v>
      </c>
      <c r="J9" s="1080"/>
      <c r="K9" s="1081"/>
    </row>
    <row r="10" spans="2:11" ht="37.5" customHeight="1" x14ac:dyDescent="0.45">
      <c r="B10" s="1039">
        <v>4</v>
      </c>
      <c r="C10" s="1072">
        <f t="shared" si="0"/>
        <v>44869</v>
      </c>
      <c r="D10" s="1073" t="str">
        <f>IF(C10="","",INDEX({"रवि";"सोम";"मंगळ";"बुध";"गुरू";"शुक्र";"शनि"},WEEKDAY(C10)))</f>
        <v>शुक्र</v>
      </c>
      <c r="E10" s="1078">
        <f>HLOOKUP(I4,'दैनिक माहिती'!J470:AQ503,6,0)</f>
        <v>0</v>
      </c>
      <c r="F10" s="1052">
        <f>HLOOKUP(I4,'दैनिक माहिती'!BF120:BQ151,5,0)</f>
        <v>0</v>
      </c>
      <c r="G10" s="1079">
        <f>HLOOKUP(I4,'दैनिक माहिती'!J506:AQ539,6,0)</f>
        <v>0</v>
      </c>
      <c r="H10" s="1075">
        <f>HLOOKUP(I4,'दैनिक माहिती'!C393:N424,5,0)</f>
        <v>0</v>
      </c>
      <c r="I10" s="1073">
        <f>HLOOKUP(I4,'दैनिक माहिती'!Q393:AB424,5,0)</f>
        <v>0</v>
      </c>
      <c r="J10" s="1080"/>
      <c r="K10" s="1081"/>
    </row>
    <row r="11" spans="2:11" ht="37.5" customHeight="1" x14ac:dyDescent="0.45">
      <c r="B11" s="1039">
        <v>5</v>
      </c>
      <c r="C11" s="1072">
        <f t="shared" si="0"/>
        <v>44870</v>
      </c>
      <c r="D11" s="1073" t="str">
        <f>IF(C11="","",INDEX({"रवि";"सोम";"मंगळ";"बुध";"गुरू";"शुक्र";"शनि"},WEEKDAY(C11)))</f>
        <v>शनि</v>
      </c>
      <c r="E11" s="1078">
        <f>HLOOKUP(I4,'दैनिक माहिती'!J470:AQ503,7,0)</f>
        <v>0</v>
      </c>
      <c r="F11" s="1052">
        <f>HLOOKUP(I4,'दैनिक माहिती'!BF120:BQ151,6,0)</f>
        <v>0</v>
      </c>
      <c r="G11" s="1079">
        <f>HLOOKUP(I4,'दैनिक माहिती'!J506:AQ539,7,0)</f>
        <v>0</v>
      </c>
      <c r="H11" s="1075">
        <f>HLOOKUP(I4,'दैनिक माहिती'!C393:N424,6,0)</f>
        <v>0</v>
      </c>
      <c r="I11" s="1073">
        <f>HLOOKUP(I4,'दैनिक माहिती'!Q393:AB424,6,0)</f>
        <v>0</v>
      </c>
      <c r="J11" s="1080"/>
      <c r="K11" s="1081"/>
    </row>
    <row r="12" spans="2:11" ht="37.5" customHeight="1" x14ac:dyDescent="0.45">
      <c r="B12" s="1039">
        <v>6</v>
      </c>
      <c r="C12" s="1072">
        <f t="shared" si="0"/>
        <v>44871</v>
      </c>
      <c r="D12" s="1073" t="str">
        <f>IF(C12="","",INDEX({"रवि";"सोम";"मंगळ";"बुध";"गुरू";"शुक्र";"शनि"},WEEKDAY(C12)))</f>
        <v>रवि</v>
      </c>
      <c r="E12" s="1078">
        <f>HLOOKUP(I4,'दैनिक माहिती'!J470:AQ503,8,0)</f>
        <v>0</v>
      </c>
      <c r="F12" s="1052">
        <f>HLOOKUP(I4,'दैनिक माहिती'!BF120:BQ151,7,0)</f>
        <v>0</v>
      </c>
      <c r="G12" s="1079">
        <f>HLOOKUP(I4,'दैनिक माहिती'!J506:AQ539,8,0)</f>
        <v>0</v>
      </c>
      <c r="H12" s="1075">
        <f>HLOOKUP(I4,'दैनिक माहिती'!C393:N424,7,0)</f>
        <v>0</v>
      </c>
      <c r="I12" s="1073">
        <f>HLOOKUP(I4,'दैनिक माहिती'!Q393:AB424,7,0)</f>
        <v>0</v>
      </c>
      <c r="J12" s="1080"/>
      <c r="K12" s="1081"/>
    </row>
    <row r="13" spans="2:11" ht="37.5" customHeight="1" x14ac:dyDescent="0.45">
      <c r="B13" s="1039">
        <v>7</v>
      </c>
      <c r="C13" s="1072">
        <f t="shared" si="0"/>
        <v>44872</v>
      </c>
      <c r="D13" s="1073" t="str">
        <f>IF(C13="","",INDEX({"रवि";"सोम";"मंगळ";"बुध";"गुरू";"शुक्र";"शनि"},WEEKDAY(C13)))</f>
        <v>सोम</v>
      </c>
      <c r="E13" s="1078">
        <f>HLOOKUP(I4,'दैनिक माहिती'!J470:AQ503,9,0)</f>
        <v>0</v>
      </c>
      <c r="F13" s="1052">
        <f>HLOOKUP(I4,'दैनिक माहिती'!BF120:BQ151,8,0)</f>
        <v>0</v>
      </c>
      <c r="G13" s="1079">
        <f>HLOOKUP(I4,'दैनिक माहिती'!J506:AQ539,9,0)</f>
        <v>0</v>
      </c>
      <c r="H13" s="1075">
        <f>HLOOKUP(I4,'दैनिक माहिती'!C393:N424,8,0)</f>
        <v>0</v>
      </c>
      <c r="I13" s="1073">
        <f>HLOOKUP(I4,'दैनिक माहिती'!Q393:AB424,8,0)</f>
        <v>0</v>
      </c>
      <c r="J13" s="1080"/>
      <c r="K13" s="1081"/>
    </row>
    <row r="14" spans="2:11" ht="37.5" customHeight="1" x14ac:dyDescent="0.45">
      <c r="B14" s="1039">
        <v>8</v>
      </c>
      <c r="C14" s="1072">
        <f t="shared" si="0"/>
        <v>44873</v>
      </c>
      <c r="D14" s="1073" t="str">
        <f>IF(C14="","",INDEX({"रवि";"सोम";"मंगळ";"बुध";"गुरू";"शुक्र";"शनि"},WEEKDAY(C14)))</f>
        <v>मंगळ</v>
      </c>
      <c r="E14" s="1078">
        <f>HLOOKUP(I4,'दैनिक माहिती'!J470:AQ503,10,0)</f>
        <v>0</v>
      </c>
      <c r="F14" s="1052">
        <f>HLOOKUP(I4,'दैनिक माहिती'!BF120:BQ151,9,0)</f>
        <v>0</v>
      </c>
      <c r="G14" s="1079">
        <f>HLOOKUP(I4,'दैनिक माहिती'!J506:AQ539,10,0)</f>
        <v>0</v>
      </c>
      <c r="H14" s="1075">
        <f>HLOOKUP(I4,'दैनिक माहिती'!C393:N424,9,0)</f>
        <v>0</v>
      </c>
      <c r="I14" s="1073">
        <f>HLOOKUP(I4,'दैनिक माहिती'!Q393:AB424,9,0)</f>
        <v>0</v>
      </c>
      <c r="J14" s="1080"/>
      <c r="K14" s="1081"/>
    </row>
    <row r="15" spans="2:11" ht="37.5" customHeight="1" x14ac:dyDescent="0.45">
      <c r="B15" s="1039">
        <v>9</v>
      </c>
      <c r="C15" s="1072">
        <f t="shared" si="0"/>
        <v>44874</v>
      </c>
      <c r="D15" s="1073" t="str">
        <f>IF(C15="","",INDEX({"रवि";"सोम";"मंगळ";"बुध";"गुरू";"शुक्र";"शनि"},WEEKDAY(C15)))</f>
        <v>बुध</v>
      </c>
      <c r="E15" s="1078">
        <f>HLOOKUP(I4,'दैनिक माहिती'!J470:AQ503,11,0)</f>
        <v>22</v>
      </c>
      <c r="F15" s="1052" t="str">
        <f>HLOOKUP(I4,'दैनिक माहिती'!BF120:BQ151,10,0)</f>
        <v>वाटाणा</v>
      </c>
      <c r="G15" s="1079">
        <f>HLOOKUP(I4,'दैनिक माहिती'!J506:AQ539,11,0)</f>
        <v>22</v>
      </c>
      <c r="H15" s="1075" t="str">
        <f>HLOOKUP(I4,'दैनिक माहिती'!C393:N424,10,0)</f>
        <v>श्री.मोहन भिकाजी तागड</v>
      </c>
      <c r="I15" s="1073" t="str">
        <f>HLOOKUP(I4,'दैनिक माहिती'!Q393:AB424,10,0)</f>
        <v>रुचकर</v>
      </c>
      <c r="J15" s="1080"/>
      <c r="K15" s="1081"/>
    </row>
    <row r="16" spans="2:11" ht="37.5" customHeight="1" x14ac:dyDescent="0.45">
      <c r="B16" s="1039">
        <v>10</v>
      </c>
      <c r="C16" s="1072">
        <f t="shared" si="0"/>
        <v>44875</v>
      </c>
      <c r="D16" s="1073" t="str">
        <f>IF(C16="","",INDEX({"रवि";"सोम";"मंगळ";"बुध";"गुरू";"शुक्र";"शनि"},WEEKDAY(C16)))</f>
        <v>गुरू</v>
      </c>
      <c r="E16" s="1078">
        <f>HLOOKUP(I4,'दैनिक माहिती'!J470:AQ503,12,0)</f>
        <v>22</v>
      </c>
      <c r="F16" s="1052" t="str">
        <f>HLOOKUP(I4,'दैनिक माहिती'!BF120:BQ151,11,0)</f>
        <v>हरभरा</v>
      </c>
      <c r="G16" s="1079">
        <f>HLOOKUP(I4,'दैनिक माहिती'!J506:AQ539,12,0)</f>
        <v>22</v>
      </c>
      <c r="H16" s="1075" t="str">
        <f>HLOOKUP(I4,'दैनिक माहिती'!C393:N424,11,0)</f>
        <v xml:space="preserve">श्री.प्रविण ज्ञानदेव कोल्हे </v>
      </c>
      <c r="I16" s="1073" t="str">
        <f>HLOOKUP(I4,'दैनिक माहिती'!Q393:AB424,11,0)</f>
        <v>स्वादिष्ठ</v>
      </c>
      <c r="J16" s="1080"/>
      <c r="K16" s="1081"/>
    </row>
    <row r="17" spans="2:11" ht="37.5" customHeight="1" x14ac:dyDescent="0.45">
      <c r="B17" s="1039">
        <v>11</v>
      </c>
      <c r="C17" s="1072">
        <f t="shared" si="0"/>
        <v>44876</v>
      </c>
      <c r="D17" s="1073" t="str">
        <f>IF(C17="","",INDEX({"रवि";"सोम";"मंगळ";"बुध";"गुरू";"शुक्र";"शनि"},WEEKDAY(C17)))</f>
        <v>शुक्र</v>
      </c>
      <c r="E17" s="1078">
        <f>HLOOKUP(I4,'दैनिक माहिती'!J470:AQ503,13,0)</f>
        <v>22</v>
      </c>
      <c r="F17" s="1052" t="str">
        <f>HLOOKUP(I4,'दैनिक माहिती'!BF120:BQ151,12,0)</f>
        <v>वाटाणा</v>
      </c>
      <c r="G17" s="1079">
        <f>HLOOKUP(I4,'दैनिक माहिती'!J506:AQ539,13,0)</f>
        <v>22</v>
      </c>
      <c r="H17" s="1075" t="str">
        <f>HLOOKUP(I4,'दैनिक माहिती'!C393:N424,12,0)</f>
        <v>सौ.रंजना राजेंद्र मेहेरे</v>
      </c>
      <c r="I17" s="1073" t="str">
        <f>HLOOKUP(I4,'दैनिक माहिती'!Q393:AB424,12,0)</f>
        <v>चविष्ठ</v>
      </c>
      <c r="J17" s="1080"/>
      <c r="K17" s="1081"/>
    </row>
    <row r="18" spans="2:11" ht="37.5" customHeight="1" x14ac:dyDescent="0.45">
      <c r="B18" s="1039">
        <v>12</v>
      </c>
      <c r="C18" s="1072">
        <f t="shared" si="0"/>
        <v>44877</v>
      </c>
      <c r="D18" s="1073" t="str">
        <f>IF(C18="","",INDEX({"रवि";"सोम";"मंगळ";"बुध";"गुरू";"शुक्र";"शनि"},WEEKDAY(C18)))</f>
        <v>शनि</v>
      </c>
      <c r="E18" s="1078">
        <f>HLOOKUP(I4,'दैनिक माहिती'!J470:AQ503,14,0)</f>
        <v>22</v>
      </c>
      <c r="F18" s="1052" t="str">
        <f>HLOOKUP(I4,'दैनिक माहिती'!BF120:BQ151,13,0)</f>
        <v>मुगडाळ</v>
      </c>
      <c r="G18" s="1079">
        <f>HLOOKUP(I4,'दैनिक माहिती'!J506:AQ539,14,0)</f>
        <v>22</v>
      </c>
      <c r="H18" s="1075" t="str">
        <f>HLOOKUP(I4,'दैनिक माहिती'!C393:N424,13,0)</f>
        <v xml:space="preserve">श्री.प्रविण ज्ञानदेव कोल्हे </v>
      </c>
      <c r="I18" s="1073" t="str">
        <f>HLOOKUP(I4,'दैनिक माहिती'!Q393:AB424,13,0)</f>
        <v>स्वादिष्ठ</v>
      </c>
      <c r="J18" s="1080"/>
      <c r="K18" s="1081"/>
    </row>
    <row r="19" spans="2:11" ht="37.5" customHeight="1" x14ac:dyDescent="0.45">
      <c r="B19" s="1039">
        <v>13</v>
      </c>
      <c r="C19" s="1072">
        <f t="shared" si="0"/>
        <v>44878</v>
      </c>
      <c r="D19" s="1073" t="str">
        <f>IF(C19="","",INDEX({"रवि";"सोम";"मंगळ";"बुध";"गुरू";"शुक्र";"शनि"},WEEKDAY(C19)))</f>
        <v>रवि</v>
      </c>
      <c r="E19" s="1078">
        <f>HLOOKUP(I4,'दैनिक माहिती'!J470:AQ503,15,0)</f>
        <v>0</v>
      </c>
      <c r="F19" s="1052">
        <f>HLOOKUP(I4,'दैनिक माहिती'!BF120:BQ151,14,0)</f>
        <v>0</v>
      </c>
      <c r="G19" s="1079">
        <f>HLOOKUP(I4,'दैनिक माहिती'!J506:AQ539,15,0)</f>
        <v>0</v>
      </c>
      <c r="H19" s="1075">
        <f>HLOOKUP(I4,'दैनिक माहिती'!C393:N424,14,0)</f>
        <v>0</v>
      </c>
      <c r="I19" s="1073">
        <f>HLOOKUP(I4,'दैनिक माहिती'!Q393:AB424,14,0)</f>
        <v>0</v>
      </c>
      <c r="J19" s="1080"/>
      <c r="K19" s="1081"/>
    </row>
    <row r="20" spans="2:11" ht="37.5" customHeight="1" x14ac:dyDescent="0.45">
      <c r="B20" s="1039">
        <v>14</v>
      </c>
      <c r="C20" s="1072">
        <f t="shared" si="0"/>
        <v>44879</v>
      </c>
      <c r="D20" s="1073" t="str">
        <f>IF(C20="","",INDEX({"रवि";"सोम";"मंगळ";"बुध";"गुरू";"शुक्र";"शनि"},WEEKDAY(C20)))</f>
        <v>सोम</v>
      </c>
      <c r="E20" s="1078">
        <f>HLOOKUP(I4,'दैनिक माहिती'!J470:AQ503,16,0)</f>
        <v>22</v>
      </c>
      <c r="F20" s="1052" t="str">
        <f>HLOOKUP(I4,'दैनिक माहिती'!BF120:BQ151,15,0)</f>
        <v>मुगडाळ</v>
      </c>
      <c r="G20" s="1079">
        <f>HLOOKUP(I4,'दैनिक माहिती'!J506:AQ539,16,0)</f>
        <v>22</v>
      </c>
      <c r="H20" s="1075" t="str">
        <f>HLOOKUP(I4,'दैनिक माहिती'!C393:N424,15,0)</f>
        <v>सौ.रंजना राजेंद्र मेहेरे</v>
      </c>
      <c r="I20" s="1073" t="str">
        <f>HLOOKUP(I4,'दैनिक माहिती'!Q393:AB424,15,0)</f>
        <v>छान</v>
      </c>
      <c r="J20" s="1080"/>
      <c r="K20" s="1081"/>
    </row>
    <row r="21" spans="2:11" ht="37.5" customHeight="1" x14ac:dyDescent="0.45">
      <c r="B21" s="1039">
        <v>15</v>
      </c>
      <c r="C21" s="1072">
        <f t="shared" si="0"/>
        <v>44880</v>
      </c>
      <c r="D21" s="1073" t="str">
        <f>IF(C21="","",INDEX({"रवि";"सोम";"मंगळ";"बुध";"गुरू";"शुक्र";"शनि"},WEEKDAY(C21)))</f>
        <v>मंगळ</v>
      </c>
      <c r="E21" s="1078">
        <f>HLOOKUP(I4,'दैनिक माहिती'!J470:AQ503,17,0)</f>
        <v>22</v>
      </c>
      <c r="F21" s="1052" t="str">
        <f>HLOOKUP(I4,'दैनिक माहिती'!BF120:BQ151,16,0)</f>
        <v>हरभरा</v>
      </c>
      <c r="G21" s="1079">
        <f>HLOOKUP(I4,'दैनिक माहिती'!J506:AQ539,17,0)</f>
        <v>22</v>
      </c>
      <c r="H21" s="1075" t="str">
        <f>HLOOKUP(I4,'दैनिक माहिती'!C393:N424,16,0)</f>
        <v>श्री.मोहन भिकाजी तागड</v>
      </c>
      <c r="I21" s="1073" t="str">
        <f>HLOOKUP(I4,'दैनिक माहिती'!Q393:AB424,16,0)</f>
        <v>रुचकर</v>
      </c>
      <c r="J21" s="1080"/>
      <c r="K21" s="1081"/>
    </row>
    <row r="22" spans="2:11" ht="37.5" customHeight="1" x14ac:dyDescent="0.45">
      <c r="B22" s="1039">
        <v>16</v>
      </c>
      <c r="C22" s="1072">
        <f t="shared" si="0"/>
        <v>44881</v>
      </c>
      <c r="D22" s="1073" t="str">
        <f>IF(C22="","",INDEX({"रवि";"सोम";"मंगळ";"बुध";"गुरू";"शुक्र";"शनि"},WEEKDAY(C22)))</f>
        <v>बुध</v>
      </c>
      <c r="E22" s="1078">
        <f>HLOOKUP(I4,'दैनिक माहिती'!J470:AQ503,18,0)</f>
        <v>22</v>
      </c>
      <c r="F22" s="1078" t="str">
        <f>HLOOKUP(I4,'दैनिक माहिती'!BF120:BQ151,17,0)</f>
        <v>वाटाणा</v>
      </c>
      <c r="G22" s="1079">
        <f>HLOOKUP(I4,'दैनिक माहिती'!J506:AQ539,18,0)</f>
        <v>22</v>
      </c>
      <c r="H22" s="1075" t="str">
        <f>HLOOKUP(I4,'दैनिक माहिती'!C393:N424,17,0)</f>
        <v xml:space="preserve">श्री.प्रविण ज्ञानदेव कोल्हे </v>
      </c>
      <c r="I22" s="1073" t="str">
        <f>HLOOKUP(I4,'दैनिक माहिती'!Q393:AB424,17,0)</f>
        <v>स्वादिष्ठ</v>
      </c>
      <c r="J22" s="1080"/>
      <c r="K22" s="1081"/>
    </row>
    <row r="23" spans="2:11" ht="37.5" customHeight="1" x14ac:dyDescent="0.45">
      <c r="B23" s="1039">
        <v>17</v>
      </c>
      <c r="C23" s="1072">
        <f t="shared" si="0"/>
        <v>44882</v>
      </c>
      <c r="D23" s="1073" t="str">
        <f>IF(C23="","",INDEX({"रवि";"सोम";"मंगळ";"बुध";"गुरू";"शुक्र";"शनि"},WEEKDAY(C23)))</f>
        <v>गुरू</v>
      </c>
      <c r="E23" s="1078">
        <f>HLOOKUP(I4,'दैनिक माहिती'!J470:AQ503,19,0)</f>
        <v>22</v>
      </c>
      <c r="F23" s="1078" t="str">
        <f>HLOOKUP(I4,'दैनिक माहिती'!BF120:BQ151,18,0)</f>
        <v>हरभरा</v>
      </c>
      <c r="G23" s="1079">
        <f>HLOOKUP(I4,'दैनिक माहिती'!J506:AQ539,19,0)</f>
        <v>22</v>
      </c>
      <c r="H23" s="1075" t="str">
        <f>HLOOKUP(I4,'दैनिक माहिती'!C393:N424,18,0)</f>
        <v>सौ.रंजना राजेंद्र मेहेरे</v>
      </c>
      <c r="I23" s="1073" t="str">
        <f>HLOOKUP(I4,'दैनिक माहिती'!Q393:AB424,18,0)</f>
        <v>चविष्ठ</v>
      </c>
      <c r="J23" s="1080"/>
      <c r="K23" s="1081"/>
    </row>
    <row r="24" spans="2:11" ht="37.5" customHeight="1" x14ac:dyDescent="0.45">
      <c r="B24" s="1039">
        <v>18</v>
      </c>
      <c r="C24" s="1072">
        <f t="shared" si="0"/>
        <v>44883</v>
      </c>
      <c r="D24" s="1073" t="str">
        <f>IF(C24="","",INDEX({"रवि";"सोम";"मंगळ";"बुध";"गुरू";"शुक्र";"शनि"},WEEKDAY(C24)))</f>
        <v>शुक्र</v>
      </c>
      <c r="E24" s="1078">
        <f>HLOOKUP(I4,'दैनिक माहिती'!J470:AQ503,20,0)</f>
        <v>22</v>
      </c>
      <c r="F24" s="1078" t="str">
        <f>HLOOKUP(I4,'दैनिक माहिती'!BF120:BQ151,19,0)</f>
        <v>वाटाणा</v>
      </c>
      <c r="G24" s="1079">
        <f>HLOOKUP(I4,'दैनिक माहिती'!J506:AQ539,20,0)</f>
        <v>22</v>
      </c>
      <c r="H24" s="1075" t="str">
        <f>HLOOKUP(I4,'दैनिक माहिती'!C393:N424,19,0)</f>
        <v xml:space="preserve">श्री.प्रविण ज्ञानदेव कोल्हे </v>
      </c>
      <c r="I24" s="1073" t="str">
        <f>HLOOKUP(I4,'दैनिक माहिती'!Q393:AB424,19,0)</f>
        <v>स्वादिष्ठ</v>
      </c>
      <c r="J24" s="1080"/>
      <c r="K24" s="1081"/>
    </row>
    <row r="25" spans="2:11" ht="37.5" customHeight="1" x14ac:dyDescent="0.45">
      <c r="B25" s="1039">
        <v>19</v>
      </c>
      <c r="C25" s="1072">
        <f t="shared" si="0"/>
        <v>44884</v>
      </c>
      <c r="D25" s="1073" t="str">
        <f>IF(C25="","",INDEX({"रवि";"सोम";"मंगळ";"बुध";"गुरू";"शुक्र";"शनि"},WEEKDAY(C25)))</f>
        <v>शनि</v>
      </c>
      <c r="E25" s="1078">
        <f>HLOOKUP(I4,'दैनिक माहिती'!J470:AQ503,21,0)</f>
        <v>22</v>
      </c>
      <c r="F25" s="1078" t="str">
        <f>HLOOKUP(I4,'दैनिक माहिती'!BF120:BQ151,20,0)</f>
        <v>मुगडाळ</v>
      </c>
      <c r="G25" s="1079">
        <f>HLOOKUP(I4,'दैनिक माहिती'!J506:AQ539,21,0)</f>
        <v>22</v>
      </c>
      <c r="H25" s="1075" t="str">
        <f>HLOOKUP(I4,'दैनिक माहिती'!C393:N424,20,0)</f>
        <v>श्रीम.रुपाली गणेश तागड</v>
      </c>
      <c r="I25" s="1073" t="str">
        <f>HLOOKUP(I4,'दैनिक माहिती'!Q393:AB424,20,0)</f>
        <v>उत्तम</v>
      </c>
      <c r="J25" s="1080"/>
      <c r="K25" s="1081"/>
    </row>
    <row r="26" spans="2:11" ht="37.5" customHeight="1" x14ac:dyDescent="0.45">
      <c r="B26" s="1039">
        <v>20</v>
      </c>
      <c r="C26" s="1072">
        <f t="shared" si="0"/>
        <v>44885</v>
      </c>
      <c r="D26" s="1073" t="str">
        <f>IF(C26="","",INDEX({"रवि";"सोम";"मंगळ";"बुध";"गुरू";"शुक्र";"शनि"},WEEKDAY(C26)))</f>
        <v>रवि</v>
      </c>
      <c r="E26" s="1078">
        <f>HLOOKUP(I4,'दैनिक माहिती'!J470:AQ503,22,0)</f>
        <v>0</v>
      </c>
      <c r="F26" s="1078">
        <f>HLOOKUP(I4,'दैनिक माहिती'!BF120:BQ151,21,0)</f>
        <v>0</v>
      </c>
      <c r="G26" s="1079">
        <f>HLOOKUP(I4,'दैनिक माहिती'!J506:AQ539,22,0)</f>
        <v>0</v>
      </c>
      <c r="H26" s="1075">
        <f>HLOOKUP(I4,'दैनिक माहिती'!C393:N424,21,0)</f>
        <v>0</v>
      </c>
      <c r="I26" s="1073">
        <f>HLOOKUP(I4,'दैनिक माहिती'!Q393:AB424,21,0)</f>
        <v>0</v>
      </c>
      <c r="J26" s="1080"/>
      <c r="K26" s="1081"/>
    </row>
    <row r="27" spans="2:11" ht="37.5" customHeight="1" x14ac:dyDescent="0.45">
      <c r="B27" s="1039">
        <v>21</v>
      </c>
      <c r="C27" s="1072">
        <f t="shared" si="0"/>
        <v>44886</v>
      </c>
      <c r="D27" s="1073" t="str">
        <f>IF(C27="","",INDEX({"रवि";"सोम";"मंगळ";"बुध";"गुरू";"शुक्र";"शनि"},WEEKDAY(C27)))</f>
        <v>सोम</v>
      </c>
      <c r="E27" s="1078">
        <f>HLOOKUP(I4,'दैनिक माहिती'!J470:AQ503,23,0)</f>
        <v>22</v>
      </c>
      <c r="F27" s="1078" t="str">
        <f>HLOOKUP(I4,'दैनिक माहिती'!BF120:BQ151,22,0)</f>
        <v>मुगडाळ</v>
      </c>
      <c r="G27" s="1079">
        <f>HLOOKUP(I4,'दैनिक माहिती'!J506:AQ539,23,0)</f>
        <v>22</v>
      </c>
      <c r="H27" s="1075" t="str">
        <f>HLOOKUP(I4,'दैनिक माहिती'!C393:N424,22,0)</f>
        <v>श्री.मोहन भिकाजी तागड</v>
      </c>
      <c r="I27" s="1073" t="str">
        <f>HLOOKUP(I4,'दैनिक माहिती'!Q393:AB424,22,0)</f>
        <v>रुचकर</v>
      </c>
      <c r="J27" s="1080"/>
      <c r="K27" s="1081"/>
    </row>
    <row r="28" spans="2:11" ht="37.5" customHeight="1" x14ac:dyDescent="0.45">
      <c r="B28" s="1039">
        <v>22</v>
      </c>
      <c r="C28" s="1072">
        <f t="shared" si="0"/>
        <v>44887</v>
      </c>
      <c r="D28" s="1073" t="str">
        <f>IF(C28="","",INDEX({"रवि";"सोम";"मंगळ";"बुध";"गुरू";"शुक्र";"शनि"},WEEKDAY(C28)))</f>
        <v>मंगळ</v>
      </c>
      <c r="E28" s="1078">
        <f>HLOOKUP(I4,'दैनिक माहिती'!J470:AQ503,24,0)</f>
        <v>22</v>
      </c>
      <c r="F28" s="1078" t="str">
        <f>HLOOKUP(I4,'दैनिक माहिती'!BF120:BQ151,23,0)</f>
        <v>हरभरा</v>
      </c>
      <c r="G28" s="1079">
        <f>HLOOKUP(I4,'दैनिक माहिती'!J506:AQ539,24,0)</f>
        <v>22</v>
      </c>
      <c r="H28" s="1075" t="str">
        <f>HLOOKUP(I4,'दैनिक माहिती'!C393:N424,23,0)</f>
        <v xml:space="preserve">श्री.प्रविण ज्ञानदेव कोल्हे </v>
      </c>
      <c r="I28" s="1073" t="str">
        <f>HLOOKUP(I4,'दैनिक माहिती'!Q393:AB424,23,0)</f>
        <v>स्वादिष्ठ</v>
      </c>
      <c r="J28" s="1080"/>
      <c r="K28" s="1081"/>
    </row>
    <row r="29" spans="2:11" ht="37.5" customHeight="1" x14ac:dyDescent="0.45">
      <c r="B29" s="1039">
        <v>23</v>
      </c>
      <c r="C29" s="1072">
        <f t="shared" si="0"/>
        <v>44888</v>
      </c>
      <c r="D29" s="1073" t="str">
        <f>IF(C29="","",INDEX({"रवि";"सोम";"मंगळ";"बुध";"गुरू";"शुक्र";"शनि"},WEEKDAY(C29)))</f>
        <v>बुध</v>
      </c>
      <c r="E29" s="1078">
        <f>HLOOKUP(I4,'दैनिक माहिती'!J470:AQ503,25,0)</f>
        <v>22</v>
      </c>
      <c r="F29" s="1078" t="str">
        <f>HLOOKUP(I4,'दैनिक माहिती'!BF120:BQ151,24,0)</f>
        <v>वाटाणा</v>
      </c>
      <c r="G29" s="1079">
        <f>HLOOKUP(I4,'दैनिक माहिती'!J506:AQ539,25,0)</f>
        <v>22</v>
      </c>
      <c r="H29" s="1075" t="str">
        <f>HLOOKUP(I4,'दैनिक माहिती'!C393:N424,24,0)</f>
        <v>सौ.रंजना राजेंद्र मेहेरे</v>
      </c>
      <c r="I29" s="1073" t="str">
        <f>HLOOKUP(I4,'दैनिक माहिती'!Q393:AB424,24,0)</f>
        <v>चविष्ठ</v>
      </c>
      <c r="J29" s="1080"/>
      <c r="K29" s="1081"/>
    </row>
    <row r="30" spans="2:11" ht="37.5" customHeight="1" x14ac:dyDescent="0.45">
      <c r="B30" s="1039">
        <v>24</v>
      </c>
      <c r="C30" s="1072">
        <f t="shared" si="0"/>
        <v>44889</v>
      </c>
      <c r="D30" s="1073" t="str">
        <f>IF(C30="","",INDEX({"रवि";"सोम";"मंगळ";"बुध";"गुरू";"शुक्र";"शनि"},WEEKDAY(C30)))</f>
        <v>गुरू</v>
      </c>
      <c r="E30" s="1078">
        <f>HLOOKUP(I4,'दैनिक माहिती'!J470:AQ503,26,0)</f>
        <v>22</v>
      </c>
      <c r="F30" s="1078" t="str">
        <f>HLOOKUP(I4,'दैनिक माहिती'!BF120:BQ151,25,0)</f>
        <v>हरभरा</v>
      </c>
      <c r="G30" s="1079">
        <f>HLOOKUP(I4,'दैनिक माहिती'!J506:AQ539,26,0)</f>
        <v>22</v>
      </c>
      <c r="H30" s="1075" t="str">
        <f>HLOOKUP(I4,'दैनिक माहिती'!C393:N424,25,0)</f>
        <v xml:space="preserve">श्री.प्रविण ज्ञानदेव कोल्हे </v>
      </c>
      <c r="I30" s="1073" t="str">
        <f>HLOOKUP(I4,'दैनिक माहिती'!Q393:AB424,25,0)</f>
        <v>स्वादिष्ठ</v>
      </c>
      <c r="J30" s="1080"/>
      <c r="K30" s="1081"/>
    </row>
    <row r="31" spans="2:11" ht="37.5" customHeight="1" x14ac:dyDescent="0.45">
      <c r="B31" s="1039">
        <v>25</v>
      </c>
      <c r="C31" s="1072">
        <f t="shared" si="0"/>
        <v>44890</v>
      </c>
      <c r="D31" s="1073" t="str">
        <f>IF(C31="","",INDEX({"रवि";"सोम";"मंगळ";"बुध";"गुरू";"शुक्र";"शनि"},WEEKDAY(C31)))</f>
        <v>शुक्र</v>
      </c>
      <c r="E31" s="1078">
        <f>HLOOKUP(I4,'दैनिक माहिती'!J470:AQ503,27,0)</f>
        <v>22</v>
      </c>
      <c r="F31" s="1078" t="str">
        <f>HLOOKUP(I4,'दैनिक माहिती'!BF120:BQ151,26,0)</f>
        <v>वाटाणा</v>
      </c>
      <c r="G31" s="1079">
        <f>HLOOKUP(I4,'दैनिक माहिती'!J506:AQ539,27,0)</f>
        <v>22</v>
      </c>
      <c r="H31" s="1075" t="str">
        <f>HLOOKUP(I4,'दैनिक माहिती'!C393:N424,26,0)</f>
        <v>श्रीम.रुपाली गणेश तागड</v>
      </c>
      <c r="I31" s="1073" t="str">
        <f>HLOOKUP(I4,'दैनिक माहिती'!Q393:AB424,26,0)</f>
        <v>उत्तम</v>
      </c>
      <c r="J31" s="1080"/>
      <c r="K31" s="1081"/>
    </row>
    <row r="32" spans="2:11" ht="37.5" customHeight="1" x14ac:dyDescent="0.45">
      <c r="B32" s="1039">
        <v>26</v>
      </c>
      <c r="C32" s="1072">
        <f t="shared" si="0"/>
        <v>44891</v>
      </c>
      <c r="D32" s="1073" t="str">
        <f>IF(C32="","",INDEX({"रवि";"सोम";"मंगळ";"बुध";"गुरू";"शुक्र";"शनि"},WEEKDAY(C32)))</f>
        <v>शनि</v>
      </c>
      <c r="E32" s="1078">
        <f>HLOOKUP(I4,'दैनिक माहिती'!J470:AQ503,28,0)</f>
        <v>22</v>
      </c>
      <c r="F32" s="1078" t="str">
        <f>HLOOKUP(I4,'दैनिक माहिती'!BF120:BQ151,27,0)</f>
        <v>मुगडाळ</v>
      </c>
      <c r="G32" s="1079">
        <f>HLOOKUP(I4,'दैनिक माहिती'!J506:AQ539,28,0)</f>
        <v>22</v>
      </c>
      <c r="H32" s="1075" t="str">
        <f>HLOOKUP(I4,'दैनिक माहिती'!C393:N424,27,0)</f>
        <v>सौ.रंजना राजेंद्र मेहेरे</v>
      </c>
      <c r="I32" s="1073" t="str">
        <f>HLOOKUP(I4,'दैनिक माहिती'!Q393:AB424,27,0)</f>
        <v>छान</v>
      </c>
      <c r="J32" s="1080"/>
      <c r="K32" s="1081"/>
    </row>
    <row r="33" spans="2:11" ht="37.5" customHeight="1" x14ac:dyDescent="0.45">
      <c r="B33" s="1039">
        <v>27</v>
      </c>
      <c r="C33" s="1072">
        <f t="shared" si="0"/>
        <v>44892</v>
      </c>
      <c r="D33" s="1073" t="str">
        <f>IF(C33="","",INDEX({"रवि";"सोम";"मंगळ";"बुध";"गुरू";"शुक्र";"शनि"},WEEKDAY(C33)))</f>
        <v>रवि</v>
      </c>
      <c r="E33" s="1078">
        <f>HLOOKUP(I4,'दैनिक माहिती'!J470:AQ503,29,0)</f>
        <v>0</v>
      </c>
      <c r="F33" s="1078">
        <f>HLOOKUP(I4,'दैनिक माहिती'!BF120:BQ151,28,0)</f>
        <v>0</v>
      </c>
      <c r="G33" s="1079">
        <f>HLOOKUP(I4,'दैनिक माहिती'!J506:AQ539,29,0)</f>
        <v>0</v>
      </c>
      <c r="H33" s="1075">
        <f>HLOOKUP(I4,'दैनिक माहिती'!C393:N424,28,0)</f>
        <v>0</v>
      </c>
      <c r="I33" s="1073">
        <f>HLOOKUP(I4,'दैनिक माहिती'!Q393:AB424,28,0)</f>
        <v>0</v>
      </c>
      <c r="J33" s="1080"/>
      <c r="K33" s="1081"/>
    </row>
    <row r="34" spans="2:11" ht="37.5" customHeight="1" x14ac:dyDescent="0.45">
      <c r="B34" s="1039">
        <v>28</v>
      </c>
      <c r="C34" s="1072">
        <f t="shared" si="0"/>
        <v>44893</v>
      </c>
      <c r="D34" s="1073" t="str">
        <f>IF(C34="","",INDEX({"रवि";"सोम";"मंगळ";"बुध";"गुरू";"शुक्र";"शनि"},WEEKDAY(C34)))</f>
        <v>सोम</v>
      </c>
      <c r="E34" s="1078">
        <f>HLOOKUP(I4,'दैनिक माहिती'!J470:AQ503,30,0)</f>
        <v>22</v>
      </c>
      <c r="F34" s="1078" t="str">
        <f>HLOOKUP(I4,'दैनिक माहिती'!BF120:BQ151,29,0)</f>
        <v>मुगडाळ</v>
      </c>
      <c r="G34" s="1079">
        <f>HLOOKUP(I4,'दैनिक माहिती'!J506:AQ539,30,0)</f>
        <v>22</v>
      </c>
      <c r="H34" s="1075" t="str">
        <f>HLOOKUP(I4,'दैनिक माहिती'!C393:N424,29,0)</f>
        <v>सौ.रंजना राजेंद्र मेहेरे</v>
      </c>
      <c r="I34" s="1073" t="str">
        <f>HLOOKUP(I4,'दैनिक माहिती'!Q393:AB424,29,0)</f>
        <v>चविष्ठ</v>
      </c>
      <c r="J34" s="1080"/>
      <c r="K34" s="1081"/>
    </row>
    <row r="35" spans="2:11" ht="37.5" customHeight="1" x14ac:dyDescent="0.45">
      <c r="B35" s="1039">
        <v>29</v>
      </c>
      <c r="C35" s="1072">
        <f t="shared" si="0"/>
        <v>44894</v>
      </c>
      <c r="D35" s="1073" t="str">
        <f>IF(C35="","",INDEX({"रवि";"सोम";"मंगळ";"बुध";"गुरू";"शुक्र";"शनि"},WEEKDAY(C35)))</f>
        <v>मंगळ</v>
      </c>
      <c r="E35" s="1078">
        <f>HLOOKUP(I4,'दैनिक माहिती'!J470:AQ503,31,0)</f>
        <v>22</v>
      </c>
      <c r="F35" s="1078" t="str">
        <f>HLOOKUP(I4,'दैनिक माहिती'!BF120:BQ151,30,0)</f>
        <v>हरभरा</v>
      </c>
      <c r="G35" s="1079">
        <f>HLOOKUP(I4,'दैनिक माहिती'!J506:AQ539,31,0)</f>
        <v>22</v>
      </c>
      <c r="H35" s="1075" t="str">
        <f>HLOOKUP(I4,'दैनिक माहिती'!C393:N424,30,0)</f>
        <v xml:space="preserve">श्री.प्रविण ज्ञानदेव कोल्हे </v>
      </c>
      <c r="I35" s="1073" t="str">
        <f>HLOOKUP(I4,'दैनिक माहिती'!Q393:AB424,30,0)</f>
        <v>स्वादिष्ठ</v>
      </c>
      <c r="J35" s="1080"/>
      <c r="K35" s="1081"/>
    </row>
    <row r="36" spans="2:11" ht="37.5" customHeight="1" x14ac:dyDescent="0.45">
      <c r="B36" s="1039">
        <v>30</v>
      </c>
      <c r="C36" s="1072">
        <f t="shared" si="0"/>
        <v>44895</v>
      </c>
      <c r="D36" s="1073" t="str">
        <f>IF(C36="","",INDEX({"रवि";"सोम";"मंगळ";"बुध";"गुरू";"शुक्र";"शनि"},WEEKDAY(C36)))</f>
        <v>बुध</v>
      </c>
      <c r="E36" s="1052">
        <f>HLOOKUP(I4,'दैनिक माहिती'!J470:AQ503,32,0)</f>
        <v>22</v>
      </c>
      <c r="F36" s="1052" t="str">
        <f>HLOOKUP(I4,'दैनिक माहिती'!BF120:BQ151,31,0)</f>
        <v>वाटाणा</v>
      </c>
      <c r="G36" s="1082">
        <f>HLOOKUP(I4,'दैनिक माहिती'!J506:AQ539,32,0)</f>
        <v>22</v>
      </c>
      <c r="H36" s="1083" t="str">
        <f>HLOOKUP(I4,'दैनिक माहिती'!C393:N424,31,0)</f>
        <v>श्रीम.रुपाली गणेश तागड</v>
      </c>
      <c r="I36" s="104" t="str">
        <f>HLOOKUP(I4,'दैनिक माहिती'!Q393:AB424,31,0)</f>
        <v>उत्तम</v>
      </c>
      <c r="J36" s="1080"/>
      <c r="K36" s="1081"/>
    </row>
    <row r="37" spans="2:11" ht="37.5" customHeight="1" x14ac:dyDescent="0.45">
      <c r="B37" s="1039">
        <v>31</v>
      </c>
      <c r="C37" s="1072">
        <f t="shared" si="0"/>
        <v>44896</v>
      </c>
      <c r="D37" s="1073" t="str">
        <f>IF(C37="","",INDEX({"रवि";"सोम";"मंगळ";"बुध";"गुरू";"शुक्र";"शनि"},WEEKDAY(C37)))</f>
        <v>गुरू</v>
      </c>
      <c r="E37" s="1052">
        <f>HLOOKUP(I4,'दैनिक माहिती'!J470:AQ503,33,0)</f>
        <v>0</v>
      </c>
      <c r="F37" s="1052">
        <f>HLOOKUP(I4,'दैनिक माहिती'!BF120:BQ151,32,0)</f>
        <v>0</v>
      </c>
      <c r="G37" s="1082">
        <f>HLOOKUP(I4,'दैनिक माहिती'!J506:AQ539,33,0)</f>
        <v>0</v>
      </c>
      <c r="H37" s="1083">
        <f>HLOOKUP(I4,'दैनिक माहिती'!C393:N424,32,0)</f>
        <v>0</v>
      </c>
      <c r="I37" s="104">
        <f>HLOOKUP(I4,'दैनिक माहिती'!Q393:AB424,32,0)</f>
        <v>0</v>
      </c>
      <c r="J37" s="1080"/>
      <c r="K37" s="1081"/>
    </row>
    <row r="38" spans="2:11" ht="37.5" customHeight="1" thickBot="1" x14ac:dyDescent="0.5">
      <c r="B38" s="1084"/>
      <c r="C38" s="1085" t="s">
        <v>35</v>
      </c>
      <c r="D38" s="1086"/>
      <c r="E38" s="1087">
        <f>HLOOKUP(I4,'दैनिक माहिती'!J470:AQ503,34,0)</f>
        <v>418</v>
      </c>
      <c r="F38" s="1088"/>
      <c r="G38" s="1089">
        <f>HLOOKUP(I4,'दैनिक माहिती'!J506:AQ539,34,0)</f>
        <v>418</v>
      </c>
      <c r="H38" s="1090"/>
      <c r="I38" s="1091"/>
      <c r="J38" s="1092"/>
      <c r="K38" s="1093"/>
    </row>
    <row r="39" spans="2:11" ht="37.5" customHeight="1" x14ac:dyDescent="0.3">
      <c r="C39" s="626"/>
    </row>
  </sheetData>
  <sheetProtection algorithmName="SHA-512" hashValue="WXjXrT0QlE9xMQ97PCwDCoYX7TX4zBfl0FBRFEGrEE2rB+CElQgPsa8OSVm3s1o8hN3qYhfLPmvNMjE65BLsPg==" saltValue="Bu93latmSsFnSBWVtgIyJQ==" spinCount="100000" sheet="1" objects="1" scenarios="1" selectLockedCells="1"/>
  <protectedRanges>
    <protectedRange sqref="G2" name="Range2"/>
    <protectedRange sqref="I4:J4" name="Range1"/>
  </protectedRanges>
  <mergeCells count="12">
    <mergeCell ref="B2:E2"/>
    <mergeCell ref="K5:K6"/>
    <mergeCell ref="J5:J6"/>
    <mergeCell ref="H5:H6"/>
    <mergeCell ref="F5:F6"/>
    <mergeCell ref="G5:G6"/>
    <mergeCell ref="I5:I6"/>
    <mergeCell ref="B5:B6"/>
    <mergeCell ref="C5:C6"/>
    <mergeCell ref="D5:D6"/>
    <mergeCell ref="E5:E6"/>
    <mergeCell ref="D3:H3"/>
  </mergeCells>
  <conditionalFormatting sqref="E8:E38">
    <cfRule type="containsText" dxfId="5" priority="1" operator="containsText" text="सुट्टी">
      <formula>NOT(ISERROR(SEARCH("सुट्टी",E8)))</formula>
    </cfRule>
  </conditionalFormatting>
  <conditionalFormatting sqref="F8:G38">
    <cfRule type="cellIs" dxfId="4" priority="3" operator="lessThan">
      <formula>1</formula>
    </cfRule>
  </conditionalFormatting>
  <conditionalFormatting sqref="E8:G38">
    <cfRule type="cellIs" dxfId="3" priority="2" operator="equal">
      <formula>0</formula>
    </cfRule>
  </conditionalFormatting>
  <dataValidations count="2">
    <dataValidation type="list" allowBlank="1" showInputMessage="1" showErrorMessage="1" sqref="I4">
      <formula1>month</formula1>
    </dataValidation>
    <dataValidation type="list" allowBlank="1" showInputMessage="1" showErrorMessage="1" sqref="G2">
      <formula1>"1 ते 5 ,6 ते 8 ,1 ते  8"</formula1>
    </dataValidation>
  </dataValidations>
  <printOptions horizontalCentered="1"/>
  <pageMargins left="3.937007874015748E-2" right="3.937007874015748E-2" top="3.937007874015748E-2" bottom="3.937007874015748E-2" header="0.31496062992125984" footer="3.937007874015748E-2"/>
  <pageSetup paperSize="512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J4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00FF"/>
  </sheetPr>
  <dimension ref="B1:K40"/>
  <sheetViews>
    <sheetView showZeros="0" zoomScaleNormal="100" workbookViewId="0">
      <selection activeCell="D5" sqref="D5:J5"/>
    </sheetView>
  </sheetViews>
  <sheetFormatPr defaultRowHeight="35.25" customHeight="1" x14ac:dyDescent="0.3"/>
  <cols>
    <col min="1" max="1" width="9.140625" style="15"/>
    <col min="2" max="2" width="6.5703125" style="15" customWidth="1"/>
    <col min="3" max="3" width="14.5703125" style="15" customWidth="1"/>
    <col min="4" max="4" width="13.7109375" style="15" customWidth="1"/>
    <col min="5" max="5" width="9.140625" style="15"/>
    <col min="6" max="6" width="19.28515625" style="15" customWidth="1"/>
    <col min="7" max="7" width="20.85546875" style="15" customWidth="1"/>
    <col min="8" max="8" width="11.140625" style="15" customWidth="1"/>
    <col min="9" max="9" width="22" style="15" customWidth="1"/>
    <col min="10" max="10" width="23.85546875" style="15" customWidth="1"/>
    <col min="11" max="11" width="18" style="15" customWidth="1"/>
    <col min="12" max="12" width="6" style="15" customWidth="1"/>
    <col min="13" max="16384" width="9.140625" style="15"/>
  </cols>
  <sheetData>
    <row r="1" spans="2:11" ht="35.25" customHeight="1" thickBot="1" x14ac:dyDescent="0.35"/>
    <row r="2" spans="2:11" ht="35.25" customHeight="1" thickBot="1" x14ac:dyDescent="0.35">
      <c r="B2" s="2068" t="s">
        <v>521</v>
      </c>
      <c r="C2" s="2069"/>
      <c r="D2" s="2069"/>
      <c r="E2" s="2069"/>
      <c r="F2" s="631" t="s">
        <v>284</v>
      </c>
      <c r="G2" s="639" t="s">
        <v>31</v>
      </c>
      <c r="H2" s="632" t="s">
        <v>528</v>
      </c>
      <c r="I2" s="179">
        <f>HOME!E2</f>
        <v>2022</v>
      </c>
      <c r="J2" s="324">
        <f>HOME!F2</f>
        <v>2023</v>
      </c>
      <c r="K2" s="613"/>
    </row>
    <row r="3" spans="2:11" ht="35.25" customHeight="1" x14ac:dyDescent="0.3">
      <c r="B3" s="633"/>
      <c r="C3" s="2176" t="s">
        <v>522</v>
      </c>
      <c r="D3" s="2176"/>
      <c r="E3" s="2177" t="str">
        <f>IFERROR('शाळा माहिती'!D21,"")</f>
        <v>श्रीम.सुनंदा सुखदेव लकारे</v>
      </c>
      <c r="F3" s="2177"/>
      <c r="G3" s="2177"/>
      <c r="H3" s="2177"/>
      <c r="I3" s="206" t="s">
        <v>523</v>
      </c>
      <c r="J3" s="2177" t="s">
        <v>398</v>
      </c>
      <c r="K3" s="2178"/>
    </row>
    <row r="4" spans="2:11" ht="35.25" customHeight="1" thickBot="1" x14ac:dyDescent="0.55000000000000004">
      <c r="B4" s="402"/>
      <c r="C4" s="614" t="s">
        <v>113</v>
      </c>
      <c r="D4" s="2081" t="str">
        <f>IFERROR('शाळा माहिती'!D4,"")</f>
        <v>जि.प.प्रा.शा.बोरजाई वस्ती</v>
      </c>
      <c r="E4" s="2081"/>
      <c r="F4" s="2081"/>
      <c r="G4" s="2081"/>
      <c r="H4" s="2081"/>
      <c r="I4" s="615" t="s">
        <v>256</v>
      </c>
      <c r="J4" s="365" t="str">
        <f>IFERROR('शाळा माहिती'!D6,"")</f>
        <v>जामगाव</v>
      </c>
      <c r="K4" s="616"/>
    </row>
    <row r="5" spans="2:11" ht="35.25" customHeight="1" thickBot="1" x14ac:dyDescent="0.35">
      <c r="B5" s="402"/>
      <c r="C5" s="614" t="s">
        <v>258</v>
      </c>
      <c r="D5" s="173" t="str">
        <f>IFERROR('शाळा माहिती'!D7,"")</f>
        <v>गंगापूर</v>
      </c>
      <c r="E5" s="617" t="s">
        <v>259</v>
      </c>
      <c r="F5" s="173" t="str">
        <f>IFERROR('शाळा माहिती'!D8,"")</f>
        <v>औरंगाबाद</v>
      </c>
      <c r="G5" s="618"/>
      <c r="H5" s="615" t="s">
        <v>257</v>
      </c>
      <c r="I5" s="628" t="s">
        <v>94</v>
      </c>
      <c r="J5" s="629">
        <v>2022</v>
      </c>
      <c r="K5" s="616"/>
    </row>
    <row r="6" spans="2:11" ht="35.25" customHeight="1" x14ac:dyDescent="0.3">
      <c r="B6" s="2082" t="s">
        <v>86</v>
      </c>
      <c r="C6" s="2084" t="s">
        <v>176</v>
      </c>
      <c r="D6" s="2086" t="s">
        <v>177</v>
      </c>
      <c r="E6" s="2088" t="s">
        <v>526</v>
      </c>
      <c r="F6" s="2075" t="s">
        <v>530</v>
      </c>
      <c r="G6" s="2076"/>
      <c r="H6" s="2088" t="s">
        <v>527</v>
      </c>
      <c r="I6" s="2075" t="s">
        <v>530</v>
      </c>
      <c r="J6" s="2076"/>
      <c r="K6" s="2073" t="s">
        <v>454</v>
      </c>
    </row>
    <row r="7" spans="2:11" ht="35.25" customHeight="1" x14ac:dyDescent="0.3">
      <c r="B7" s="2083"/>
      <c r="C7" s="2085"/>
      <c r="D7" s="2087"/>
      <c r="E7" s="2089"/>
      <c r="F7" s="2077"/>
      <c r="G7" s="2078"/>
      <c r="H7" s="2090"/>
      <c r="I7" s="2077"/>
      <c r="J7" s="2078"/>
      <c r="K7" s="2074"/>
    </row>
    <row r="8" spans="2:11" ht="35.25" customHeight="1" x14ac:dyDescent="0.4">
      <c r="B8" s="417">
        <v>1</v>
      </c>
      <c r="C8" s="174">
        <f>DATE(J5,INDEX({4,5,6,7,8,9,10,11,12,1,2,3},MATCH(I5,{"एप्रिल","मे","जून","जुलै","ऑगस्ट","सप्टेंबर","ऑक्टोबर","नोव्हेंबर","डिसेंबर","जानेवारी","फेब्रुवारी","मार्च"},0)),1)</f>
        <v>44713</v>
      </c>
      <c r="D8" s="175" t="str">
        <f>IF(C8="","",INDEX({"रवि";"सोम";"मंगळ";"बुध";"गुरू";"शुक्र";"शनि"},WEEKDAY(C8)))</f>
        <v>बुध</v>
      </c>
      <c r="E8" s="178"/>
      <c r="F8" s="207"/>
      <c r="G8" s="208"/>
      <c r="H8" s="176"/>
      <c r="I8" s="176"/>
      <c r="J8" s="634"/>
      <c r="K8" s="619"/>
    </row>
    <row r="9" spans="2:11" ht="35.25" customHeight="1" x14ac:dyDescent="0.4">
      <c r="B9" s="417">
        <v>2</v>
      </c>
      <c r="C9" s="174">
        <f>C8+1</f>
        <v>44714</v>
      </c>
      <c r="D9" s="175" t="str">
        <f>IF(C9="","",INDEX({"रवि";"सोम";"मंगळ";"बुध";"गुरू";"शुक्र";"शनि"},WEEKDAY(C9)))</f>
        <v>गुरू</v>
      </c>
      <c r="E9" s="177"/>
      <c r="F9" s="209"/>
      <c r="G9" s="210"/>
      <c r="H9" s="176"/>
      <c r="I9" s="176"/>
      <c r="J9" s="635"/>
      <c r="K9" s="620"/>
    </row>
    <row r="10" spans="2:11" ht="35.25" customHeight="1" x14ac:dyDescent="0.4">
      <c r="B10" s="417">
        <v>3</v>
      </c>
      <c r="C10" s="174">
        <f t="shared" ref="C10:C38" si="0">C9+1</f>
        <v>44715</v>
      </c>
      <c r="D10" s="175" t="str">
        <f>IF(C10="","",INDEX({"रवि";"सोम";"मंगळ";"बुध";"गुरू";"शुक्र";"शनि"},WEEKDAY(C10)))</f>
        <v>शुक्र</v>
      </c>
      <c r="E10" s="177"/>
      <c r="F10" s="209"/>
      <c r="G10" s="210"/>
      <c r="H10" s="176"/>
      <c r="I10" s="176"/>
      <c r="J10" s="635"/>
      <c r="K10" s="620"/>
    </row>
    <row r="11" spans="2:11" ht="35.25" customHeight="1" x14ac:dyDescent="0.4">
      <c r="B11" s="417">
        <v>4</v>
      </c>
      <c r="C11" s="174">
        <f t="shared" si="0"/>
        <v>44716</v>
      </c>
      <c r="D11" s="175" t="str">
        <f>IF(C11="","",INDEX({"रवि";"सोम";"मंगळ";"बुध";"गुरू";"शुक्र";"शनि"},WEEKDAY(C11)))</f>
        <v>शनि</v>
      </c>
      <c r="E11" s="177"/>
      <c r="F11" s="211"/>
      <c r="G11" s="212"/>
      <c r="H11" s="176"/>
      <c r="I11" s="176"/>
      <c r="J11" s="635"/>
      <c r="K11" s="620"/>
    </row>
    <row r="12" spans="2:11" ht="35.25" customHeight="1" x14ac:dyDescent="0.4">
      <c r="B12" s="417">
        <v>5</v>
      </c>
      <c r="C12" s="174">
        <f t="shared" si="0"/>
        <v>44717</v>
      </c>
      <c r="D12" s="175" t="str">
        <f>IF(C12="","",INDEX({"रवि";"सोम";"मंगळ";"बुध";"गुरू";"शुक्र";"शनि"},WEEKDAY(C12)))</f>
        <v>रवि</v>
      </c>
      <c r="E12" s="177"/>
      <c r="F12" s="211"/>
      <c r="G12" s="212"/>
      <c r="H12" s="176"/>
      <c r="I12" s="176"/>
      <c r="J12" s="635"/>
      <c r="K12" s="620"/>
    </row>
    <row r="13" spans="2:11" ht="35.25" customHeight="1" x14ac:dyDescent="0.4">
      <c r="B13" s="417">
        <v>6</v>
      </c>
      <c r="C13" s="174">
        <f t="shared" si="0"/>
        <v>44718</v>
      </c>
      <c r="D13" s="175" t="str">
        <f>IF(C13="","",INDEX({"रवि";"सोम";"मंगळ";"बुध";"गुरू";"शुक्र";"शनि"},WEEKDAY(C13)))</f>
        <v>सोम</v>
      </c>
      <c r="E13" s="177"/>
      <c r="F13" s="211"/>
      <c r="G13" s="212"/>
      <c r="H13" s="176"/>
      <c r="I13" s="176"/>
      <c r="J13" s="635"/>
      <c r="K13" s="620"/>
    </row>
    <row r="14" spans="2:11" ht="35.25" customHeight="1" x14ac:dyDescent="0.4">
      <c r="B14" s="417">
        <v>7</v>
      </c>
      <c r="C14" s="174">
        <f t="shared" si="0"/>
        <v>44719</v>
      </c>
      <c r="D14" s="175" t="str">
        <f>IF(C14="","",INDEX({"रवि";"सोम";"मंगळ";"बुध";"गुरू";"शुक्र";"शनि"},WEEKDAY(C14)))</f>
        <v>मंगळ</v>
      </c>
      <c r="E14" s="177"/>
      <c r="F14" s="211"/>
      <c r="G14" s="212"/>
      <c r="H14" s="176"/>
      <c r="I14" s="176"/>
      <c r="J14" s="635"/>
      <c r="K14" s="620"/>
    </row>
    <row r="15" spans="2:11" ht="35.25" customHeight="1" x14ac:dyDescent="0.4">
      <c r="B15" s="417">
        <v>8</v>
      </c>
      <c r="C15" s="174">
        <f t="shared" si="0"/>
        <v>44720</v>
      </c>
      <c r="D15" s="175" t="str">
        <f>IF(C15="","",INDEX({"रवि";"सोम";"मंगळ";"बुध";"गुरू";"शुक्र";"शनि"},WEEKDAY(C15)))</f>
        <v>बुध</v>
      </c>
      <c r="E15" s="177"/>
      <c r="F15" s="211"/>
      <c r="G15" s="212"/>
      <c r="H15" s="176"/>
      <c r="I15" s="176"/>
      <c r="J15" s="635"/>
      <c r="K15" s="620"/>
    </row>
    <row r="16" spans="2:11" ht="35.25" customHeight="1" x14ac:dyDescent="0.4">
      <c r="B16" s="417">
        <v>9</v>
      </c>
      <c r="C16" s="174">
        <f t="shared" si="0"/>
        <v>44721</v>
      </c>
      <c r="D16" s="175" t="str">
        <f>IF(C16="","",INDEX({"रवि";"सोम";"मंगळ";"बुध";"गुरू";"शुक्र";"शनि"},WEEKDAY(C16)))</f>
        <v>गुरू</v>
      </c>
      <c r="E16" s="177"/>
      <c r="F16" s="211"/>
      <c r="G16" s="212"/>
      <c r="H16" s="176"/>
      <c r="I16" s="176"/>
      <c r="J16" s="635"/>
      <c r="K16" s="620"/>
    </row>
    <row r="17" spans="2:11" ht="35.25" customHeight="1" x14ac:dyDescent="0.4">
      <c r="B17" s="417">
        <v>10</v>
      </c>
      <c r="C17" s="174">
        <f t="shared" si="0"/>
        <v>44722</v>
      </c>
      <c r="D17" s="175" t="str">
        <f>IF(C17="","",INDEX({"रवि";"सोम";"मंगळ";"बुध";"गुरू";"शुक्र";"शनि"},WEEKDAY(C17)))</f>
        <v>शुक्र</v>
      </c>
      <c r="E17" s="177"/>
      <c r="F17" s="211"/>
      <c r="G17" s="212"/>
      <c r="H17" s="176"/>
      <c r="I17" s="176"/>
      <c r="J17" s="635"/>
      <c r="K17" s="620"/>
    </row>
    <row r="18" spans="2:11" ht="35.25" customHeight="1" x14ac:dyDescent="0.4">
      <c r="B18" s="417">
        <v>11</v>
      </c>
      <c r="C18" s="174">
        <f t="shared" si="0"/>
        <v>44723</v>
      </c>
      <c r="D18" s="175" t="str">
        <f>IF(C18="","",INDEX({"रवि";"सोम";"मंगळ";"बुध";"गुरू";"शुक्र";"शनि"},WEEKDAY(C18)))</f>
        <v>शनि</v>
      </c>
      <c r="E18" s="177"/>
      <c r="F18" s="211"/>
      <c r="G18" s="213"/>
      <c r="H18" s="176"/>
      <c r="I18" s="176"/>
      <c r="J18" s="635"/>
      <c r="K18" s="620"/>
    </row>
    <row r="19" spans="2:11" ht="35.25" customHeight="1" x14ac:dyDescent="0.4">
      <c r="B19" s="417">
        <v>12</v>
      </c>
      <c r="C19" s="174">
        <f t="shared" si="0"/>
        <v>44724</v>
      </c>
      <c r="D19" s="175" t="str">
        <f>IF(C19="","",INDEX({"रवि";"सोम";"मंगळ";"बुध";"गुरू";"शुक्र";"शनि"},WEEKDAY(C19)))</f>
        <v>रवि</v>
      </c>
      <c r="E19" s="177"/>
      <c r="F19" s="211"/>
      <c r="G19" s="212"/>
      <c r="H19" s="176"/>
      <c r="I19" s="176"/>
      <c r="J19" s="635"/>
      <c r="K19" s="620"/>
    </row>
    <row r="20" spans="2:11" ht="35.25" customHeight="1" x14ac:dyDescent="0.4">
      <c r="B20" s="417">
        <v>13</v>
      </c>
      <c r="C20" s="174">
        <f t="shared" si="0"/>
        <v>44725</v>
      </c>
      <c r="D20" s="175" t="str">
        <f>IF(C20="","",INDEX({"रवि";"सोम";"मंगळ";"बुध";"गुरू";"शुक्र";"शनि"},WEEKDAY(C20)))</f>
        <v>सोम</v>
      </c>
      <c r="E20" s="177"/>
      <c r="F20" s="211"/>
      <c r="G20" s="212"/>
      <c r="H20" s="176"/>
      <c r="I20" s="176"/>
      <c r="J20" s="635"/>
      <c r="K20" s="620"/>
    </row>
    <row r="21" spans="2:11" ht="35.25" customHeight="1" x14ac:dyDescent="0.4">
      <c r="B21" s="417">
        <v>14</v>
      </c>
      <c r="C21" s="174">
        <f t="shared" si="0"/>
        <v>44726</v>
      </c>
      <c r="D21" s="175" t="str">
        <f>IF(C21="","",INDEX({"रवि";"सोम";"मंगळ";"बुध";"गुरू";"शुक्र";"शनि"},WEEKDAY(C21)))</f>
        <v>मंगळ</v>
      </c>
      <c r="E21" s="177"/>
      <c r="F21" s="211"/>
      <c r="G21" s="212"/>
      <c r="H21" s="176"/>
      <c r="I21" s="176"/>
      <c r="J21" s="635"/>
      <c r="K21" s="620"/>
    </row>
    <row r="22" spans="2:11" ht="35.25" customHeight="1" x14ac:dyDescent="0.4">
      <c r="B22" s="417">
        <v>15</v>
      </c>
      <c r="C22" s="174">
        <f t="shared" si="0"/>
        <v>44727</v>
      </c>
      <c r="D22" s="175" t="str">
        <f>IF(C22="","",INDEX({"रवि";"सोम";"मंगळ";"बुध";"गुरू";"शुक्र";"शनि"},WEEKDAY(C22)))</f>
        <v>बुध</v>
      </c>
      <c r="E22" s="177"/>
      <c r="F22" s="211"/>
      <c r="G22" s="212"/>
      <c r="H22" s="176"/>
      <c r="I22" s="176"/>
      <c r="J22" s="635"/>
      <c r="K22" s="620"/>
    </row>
    <row r="23" spans="2:11" ht="35.25" customHeight="1" x14ac:dyDescent="0.4">
      <c r="B23" s="417">
        <v>16</v>
      </c>
      <c r="C23" s="174">
        <f t="shared" si="0"/>
        <v>44728</v>
      </c>
      <c r="D23" s="175" t="str">
        <f>IF(C23="","",INDEX({"रवि";"सोम";"मंगळ";"बुध";"गुरू";"शुक्र";"शनि"},WEEKDAY(C23)))</f>
        <v>गुरू</v>
      </c>
      <c r="E23" s="177"/>
      <c r="F23" s="214"/>
      <c r="G23" s="212"/>
      <c r="H23" s="176"/>
      <c r="I23" s="176"/>
      <c r="J23" s="635"/>
      <c r="K23" s="620"/>
    </row>
    <row r="24" spans="2:11" ht="35.25" customHeight="1" x14ac:dyDescent="0.4">
      <c r="B24" s="417">
        <v>17</v>
      </c>
      <c r="C24" s="174">
        <f t="shared" si="0"/>
        <v>44729</v>
      </c>
      <c r="D24" s="175" t="str">
        <f>IF(C24="","",INDEX({"रवि";"सोम";"मंगळ";"बुध";"गुरू";"शुक्र";"शनि"},WEEKDAY(C24)))</f>
        <v>शुक्र</v>
      </c>
      <c r="E24" s="177"/>
      <c r="F24" s="214"/>
      <c r="G24" s="212"/>
      <c r="H24" s="176"/>
      <c r="I24" s="176"/>
      <c r="J24" s="635"/>
      <c r="K24" s="620"/>
    </row>
    <row r="25" spans="2:11" ht="35.25" customHeight="1" x14ac:dyDescent="0.4">
      <c r="B25" s="417">
        <v>18</v>
      </c>
      <c r="C25" s="174">
        <f t="shared" si="0"/>
        <v>44730</v>
      </c>
      <c r="D25" s="175" t="str">
        <f>IF(C25="","",INDEX({"रवि";"सोम";"मंगळ";"बुध";"गुरू";"शुक्र";"शनि"},WEEKDAY(C25)))</f>
        <v>शनि</v>
      </c>
      <c r="E25" s="177"/>
      <c r="F25" s="214"/>
      <c r="G25" s="212"/>
      <c r="H25" s="176"/>
      <c r="I25" s="176"/>
      <c r="J25" s="635"/>
      <c r="K25" s="620"/>
    </row>
    <row r="26" spans="2:11" ht="35.25" customHeight="1" x14ac:dyDescent="0.4">
      <c r="B26" s="417">
        <v>19</v>
      </c>
      <c r="C26" s="174">
        <f t="shared" si="0"/>
        <v>44731</v>
      </c>
      <c r="D26" s="175" t="str">
        <f>IF(C26="","",INDEX({"रवि";"सोम";"मंगळ";"बुध";"गुरू";"शुक्र";"शनि"},WEEKDAY(C26)))</f>
        <v>रवि</v>
      </c>
      <c r="E26" s="177"/>
      <c r="F26" s="214"/>
      <c r="G26" s="212"/>
      <c r="H26" s="176"/>
      <c r="I26" s="176"/>
      <c r="J26" s="635"/>
      <c r="K26" s="620"/>
    </row>
    <row r="27" spans="2:11" ht="35.25" customHeight="1" x14ac:dyDescent="0.4">
      <c r="B27" s="417">
        <v>20</v>
      </c>
      <c r="C27" s="174">
        <f t="shared" si="0"/>
        <v>44732</v>
      </c>
      <c r="D27" s="175" t="str">
        <f>IF(C27="","",INDEX({"रवि";"सोम";"मंगळ";"बुध";"गुरू";"शुक्र";"शनि"},WEEKDAY(C27)))</f>
        <v>सोम</v>
      </c>
      <c r="E27" s="177"/>
      <c r="F27" s="214"/>
      <c r="G27" s="212"/>
      <c r="H27" s="176"/>
      <c r="I27" s="176"/>
      <c r="J27" s="635"/>
      <c r="K27" s="620"/>
    </row>
    <row r="28" spans="2:11" ht="35.25" customHeight="1" x14ac:dyDescent="0.4">
      <c r="B28" s="417">
        <v>21</v>
      </c>
      <c r="C28" s="174">
        <f t="shared" si="0"/>
        <v>44733</v>
      </c>
      <c r="D28" s="175" t="str">
        <f>IF(C28="","",INDEX({"रवि";"सोम";"मंगळ";"बुध";"गुरू";"शुक्र";"शनि"},WEEKDAY(C28)))</f>
        <v>मंगळ</v>
      </c>
      <c r="E28" s="177"/>
      <c r="F28" s="214"/>
      <c r="G28" s="212"/>
      <c r="H28" s="176"/>
      <c r="I28" s="176"/>
      <c r="J28" s="635"/>
      <c r="K28" s="620"/>
    </row>
    <row r="29" spans="2:11" ht="35.25" customHeight="1" x14ac:dyDescent="0.4">
      <c r="B29" s="417">
        <v>22</v>
      </c>
      <c r="C29" s="174">
        <f t="shared" si="0"/>
        <v>44734</v>
      </c>
      <c r="D29" s="175" t="str">
        <f>IF(C29="","",INDEX({"रवि";"सोम";"मंगळ";"बुध";"गुरू";"शुक्र";"शनि"},WEEKDAY(C29)))</f>
        <v>बुध</v>
      </c>
      <c r="E29" s="177"/>
      <c r="F29" s="214"/>
      <c r="G29" s="212"/>
      <c r="H29" s="176"/>
      <c r="I29" s="176"/>
      <c r="J29" s="635"/>
      <c r="K29" s="620"/>
    </row>
    <row r="30" spans="2:11" ht="35.25" customHeight="1" x14ac:dyDescent="0.4">
      <c r="B30" s="417">
        <v>23</v>
      </c>
      <c r="C30" s="174">
        <f t="shared" si="0"/>
        <v>44735</v>
      </c>
      <c r="D30" s="175" t="str">
        <f>IF(C30="","",INDEX({"रवि";"सोम";"मंगळ";"बुध";"गुरू";"शुक्र";"शनि"},WEEKDAY(C30)))</f>
        <v>गुरू</v>
      </c>
      <c r="E30" s="177"/>
      <c r="F30" s="214"/>
      <c r="G30" s="212"/>
      <c r="H30" s="176"/>
      <c r="I30" s="176"/>
      <c r="J30" s="635"/>
      <c r="K30" s="620"/>
    </row>
    <row r="31" spans="2:11" ht="35.25" customHeight="1" x14ac:dyDescent="0.4">
      <c r="B31" s="417">
        <v>24</v>
      </c>
      <c r="C31" s="174">
        <f t="shared" si="0"/>
        <v>44736</v>
      </c>
      <c r="D31" s="175" t="str">
        <f>IF(C31="","",INDEX({"रवि";"सोम";"मंगळ";"बुध";"गुरू";"शुक्र";"शनि"},WEEKDAY(C31)))</f>
        <v>शुक्र</v>
      </c>
      <c r="E31" s="177"/>
      <c r="F31" s="214"/>
      <c r="G31" s="212"/>
      <c r="H31" s="176"/>
      <c r="I31" s="176"/>
      <c r="J31" s="635"/>
      <c r="K31" s="620"/>
    </row>
    <row r="32" spans="2:11" ht="35.25" customHeight="1" x14ac:dyDescent="0.4">
      <c r="B32" s="417">
        <v>25</v>
      </c>
      <c r="C32" s="174">
        <f t="shared" si="0"/>
        <v>44737</v>
      </c>
      <c r="D32" s="175" t="str">
        <f>IF(C32="","",INDEX({"रवि";"सोम";"मंगळ";"बुध";"गुरू";"शुक्र";"शनि"},WEEKDAY(C32)))</f>
        <v>शनि</v>
      </c>
      <c r="E32" s="177"/>
      <c r="F32" s="214"/>
      <c r="G32" s="213"/>
      <c r="H32" s="176"/>
      <c r="I32" s="176"/>
      <c r="J32" s="635"/>
      <c r="K32" s="620"/>
    </row>
    <row r="33" spans="2:11" ht="35.25" customHeight="1" x14ac:dyDescent="0.4">
      <c r="B33" s="417">
        <v>26</v>
      </c>
      <c r="C33" s="174">
        <f t="shared" si="0"/>
        <v>44738</v>
      </c>
      <c r="D33" s="175" t="str">
        <f>IF(C33="","",INDEX({"रवि";"सोम";"मंगळ";"बुध";"गुरू";"शुक्र";"शनि"},WEEKDAY(C33)))</f>
        <v>रवि</v>
      </c>
      <c r="E33" s="177"/>
      <c r="F33" s="214"/>
      <c r="G33" s="212"/>
      <c r="H33" s="176"/>
      <c r="I33" s="176"/>
      <c r="J33" s="635"/>
      <c r="K33" s="620"/>
    </row>
    <row r="34" spans="2:11" ht="35.25" customHeight="1" x14ac:dyDescent="0.4">
      <c r="B34" s="417">
        <v>27</v>
      </c>
      <c r="C34" s="174">
        <f t="shared" si="0"/>
        <v>44739</v>
      </c>
      <c r="D34" s="175" t="str">
        <f>IF(C34="","",INDEX({"रवि";"सोम";"मंगळ";"बुध";"गुरू";"शुक्र";"शनि"},WEEKDAY(C34)))</f>
        <v>सोम</v>
      </c>
      <c r="E34" s="177"/>
      <c r="F34" s="214"/>
      <c r="G34" s="212"/>
      <c r="H34" s="176"/>
      <c r="I34" s="176"/>
      <c r="J34" s="635"/>
      <c r="K34" s="620"/>
    </row>
    <row r="35" spans="2:11" ht="35.25" customHeight="1" x14ac:dyDescent="0.4">
      <c r="B35" s="417">
        <v>28</v>
      </c>
      <c r="C35" s="174">
        <f t="shared" si="0"/>
        <v>44740</v>
      </c>
      <c r="D35" s="175" t="str">
        <f>IF(C35="","",INDEX({"रवि";"सोम";"मंगळ";"बुध";"गुरू";"शुक्र";"शनि"},WEEKDAY(C35)))</f>
        <v>मंगळ</v>
      </c>
      <c r="E35" s="177"/>
      <c r="F35" s="214"/>
      <c r="G35" s="212"/>
      <c r="H35" s="176"/>
      <c r="I35" s="176"/>
      <c r="J35" s="635"/>
      <c r="K35" s="620"/>
    </row>
    <row r="36" spans="2:11" ht="35.25" customHeight="1" x14ac:dyDescent="0.4">
      <c r="B36" s="417">
        <v>29</v>
      </c>
      <c r="C36" s="174">
        <f t="shared" si="0"/>
        <v>44741</v>
      </c>
      <c r="D36" s="175" t="str">
        <f>IF(C36="","",INDEX({"रवि";"सोम";"मंगळ";"बुध";"गुरू";"शुक्र";"शनि"},WEEKDAY(C36)))</f>
        <v>बुध</v>
      </c>
      <c r="E36" s="177"/>
      <c r="F36" s="214"/>
      <c r="G36" s="213"/>
      <c r="H36" s="176"/>
      <c r="I36" s="176"/>
      <c r="J36" s="635"/>
      <c r="K36" s="620"/>
    </row>
    <row r="37" spans="2:11" ht="35.25" customHeight="1" x14ac:dyDescent="0.4">
      <c r="B37" s="417">
        <v>30</v>
      </c>
      <c r="C37" s="174">
        <f t="shared" si="0"/>
        <v>44742</v>
      </c>
      <c r="D37" s="175" t="str">
        <f>IF(C37="","",INDEX({"रवि";"सोम";"मंगळ";"बुध";"गुरू";"शुक्र";"शनि"},WEEKDAY(C37)))</f>
        <v>गुरू</v>
      </c>
      <c r="E37" s="352"/>
      <c r="F37" s="211"/>
      <c r="G37" s="215"/>
      <c r="H37" s="355"/>
      <c r="I37" s="355"/>
      <c r="J37" s="635"/>
      <c r="K37" s="620"/>
    </row>
    <row r="38" spans="2:11" ht="35.25" customHeight="1" x14ac:dyDescent="0.4">
      <c r="B38" s="417">
        <v>31</v>
      </c>
      <c r="C38" s="174">
        <f t="shared" si="0"/>
        <v>44743</v>
      </c>
      <c r="D38" s="175" t="str">
        <f>IF(C38="","",INDEX({"रवि";"सोम";"मंगळ";"बुध";"गुरू";"शुक्र";"शनि"},WEEKDAY(C38)))</f>
        <v>शुक्र</v>
      </c>
      <c r="E38" s="352"/>
      <c r="F38" s="211"/>
      <c r="G38" s="215"/>
      <c r="H38" s="355"/>
      <c r="I38" s="355"/>
      <c r="J38" s="635"/>
      <c r="K38" s="620"/>
    </row>
    <row r="39" spans="2:11" ht="35.25" customHeight="1" thickBot="1" x14ac:dyDescent="0.45">
      <c r="B39" s="621"/>
      <c r="C39" s="622" t="s">
        <v>35</v>
      </c>
      <c r="D39" s="623"/>
      <c r="E39" s="180"/>
      <c r="F39" s="636"/>
      <c r="G39" s="216"/>
      <c r="H39" s="624"/>
      <c r="I39" s="637"/>
      <c r="J39" s="638"/>
      <c r="K39" s="625"/>
    </row>
    <row r="40" spans="2:11" ht="35.25" customHeight="1" x14ac:dyDescent="0.3">
      <c r="C40" s="626"/>
    </row>
  </sheetData>
  <sheetProtection algorithmName="SHA-512" hashValue="+sn4xOdNiJ7fmwjqJbhm2PUFA7m65f1bEvbFdmIPcz6NispVY9OxLMmZ/cKBbUXcFZi4kTDMhzyj43BFI2crJw==" saltValue="8vnb2aAk80q232OFCOBmVA==" spinCount="100000" sheet="1" objects="1" scenarios="1" selectLockedCells="1"/>
  <protectedRanges>
    <protectedRange sqref="G2" name="Range3"/>
    <protectedRange sqref="I5:J5" name="Range1"/>
    <protectedRange sqref="E8:K39" name="Range2"/>
  </protectedRanges>
  <mergeCells count="13">
    <mergeCell ref="I6:J7"/>
    <mergeCell ref="H6:H7"/>
    <mergeCell ref="K6:K7"/>
    <mergeCell ref="C3:D3"/>
    <mergeCell ref="E3:H3"/>
    <mergeCell ref="J3:K3"/>
    <mergeCell ref="B2:E2"/>
    <mergeCell ref="D4:H4"/>
    <mergeCell ref="B6:B7"/>
    <mergeCell ref="C6:C7"/>
    <mergeCell ref="D6:D7"/>
    <mergeCell ref="E6:E7"/>
    <mergeCell ref="F6:G7"/>
  </mergeCells>
  <conditionalFormatting sqref="E9:E39">
    <cfRule type="containsText" dxfId="2" priority="1" operator="containsText" text="सुट्टी">
      <formula>NOT(ISERROR(SEARCH("सुट्टी",E9)))</formula>
    </cfRule>
  </conditionalFormatting>
  <conditionalFormatting sqref="F11:G39 F9:F10">
    <cfRule type="cellIs" dxfId="1" priority="3" operator="lessThan">
      <formula>1</formula>
    </cfRule>
  </conditionalFormatting>
  <conditionalFormatting sqref="E11:G39 E9:F10">
    <cfRule type="cellIs" dxfId="0" priority="2" operator="equal">
      <formula>0</formula>
    </cfRule>
  </conditionalFormatting>
  <dataValidations count="2">
    <dataValidation type="list" allowBlank="1" showInputMessage="1" showErrorMessage="1" sqref="I5">
      <formula1>month</formula1>
    </dataValidation>
    <dataValidation type="list" allowBlank="1" showInputMessage="1" showErrorMessage="1" sqref="G2">
      <formula1>"1 ते 5,6 ते 8,1 ते 8"</formula1>
    </dataValidation>
  </dataValidations>
  <printOptions horizontalCentered="1" verticalCentered="1"/>
  <pageMargins left="0.23622047244094491" right="0.31496062992125984" top="3.937007874015748E-2" bottom="3.937007874015748E-2" header="0.31496062992125984" footer="3.937007874015748E-2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J5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00FF"/>
  </sheetPr>
  <dimension ref="B2:AE45"/>
  <sheetViews>
    <sheetView showZeros="0" zoomScaleNormal="100" workbookViewId="0">
      <selection activeCell="D5" sqref="D5:J5"/>
    </sheetView>
  </sheetViews>
  <sheetFormatPr defaultRowHeight="25.5" customHeight="1" x14ac:dyDescent="0.3"/>
  <cols>
    <col min="1" max="2" width="9.140625" style="15"/>
    <col min="3" max="3" width="48.42578125" style="15" customWidth="1"/>
    <col min="4" max="4" width="20.85546875" style="15" customWidth="1"/>
    <col min="5" max="5" width="16.42578125" style="15" customWidth="1"/>
    <col min="6" max="16384" width="9.140625" style="15"/>
  </cols>
  <sheetData>
    <row r="2" spans="2:31" ht="25.5" customHeight="1" thickBot="1" x14ac:dyDescent="0.35"/>
    <row r="3" spans="2:31" ht="25.5" customHeight="1" thickBot="1" x14ac:dyDescent="0.35">
      <c r="B3" s="2188" t="s">
        <v>478</v>
      </c>
      <c r="C3" s="2189"/>
      <c r="D3" s="2189"/>
      <c r="E3" s="2189"/>
      <c r="F3" s="2190"/>
    </row>
    <row r="4" spans="2:31" ht="33" customHeight="1" thickBot="1" x14ac:dyDescent="0.5">
      <c r="B4" s="641" t="s">
        <v>334</v>
      </c>
      <c r="C4" s="640" t="str">
        <f>IFERROR('शाळा माहिती'!D4,"")</f>
        <v>जि.प.प्रा.शा.बोरजाई वस्ती</v>
      </c>
      <c r="D4" s="642" t="s">
        <v>532</v>
      </c>
      <c r="E4" s="325">
        <v>1</v>
      </c>
      <c r="F4" s="643"/>
    </row>
    <row r="5" spans="2:31" ht="35.25" customHeight="1" thickBot="1" x14ac:dyDescent="0.5">
      <c r="B5" s="644"/>
      <c r="C5" s="645" t="s">
        <v>257</v>
      </c>
      <c r="D5" s="221" t="s">
        <v>94</v>
      </c>
      <c r="E5" s="222">
        <v>2020</v>
      </c>
      <c r="F5" s="646"/>
    </row>
    <row r="6" spans="2:31" ht="25.5" customHeight="1" x14ac:dyDescent="0.35">
      <c r="B6" s="644"/>
      <c r="C6" s="647"/>
      <c r="D6" s="647"/>
      <c r="E6" s="647"/>
      <c r="F6" s="646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</row>
    <row r="7" spans="2:31" ht="25.5" customHeight="1" x14ac:dyDescent="0.45">
      <c r="B7" s="2181" t="s">
        <v>479</v>
      </c>
      <c r="C7" s="1460"/>
      <c r="D7" s="1460"/>
      <c r="E7" s="1460"/>
      <c r="F7" s="1459"/>
    </row>
    <row r="8" spans="2:31" ht="25.5" customHeight="1" x14ac:dyDescent="0.45">
      <c r="B8" s="2181" t="s">
        <v>480</v>
      </c>
      <c r="C8" s="1460"/>
      <c r="D8" s="1460"/>
      <c r="E8" s="1460"/>
      <c r="F8" s="1459"/>
    </row>
    <row r="9" spans="2:31" ht="25.5" customHeight="1" x14ac:dyDescent="0.45">
      <c r="B9" s="2181" t="s">
        <v>537</v>
      </c>
      <c r="C9" s="1460"/>
      <c r="D9" s="1460"/>
      <c r="E9" s="1460"/>
      <c r="F9" s="1459"/>
    </row>
    <row r="10" spans="2:31" ht="25.5" customHeight="1" x14ac:dyDescent="0.45">
      <c r="B10" s="2181" t="s">
        <v>481</v>
      </c>
      <c r="C10" s="1460"/>
      <c r="D10" s="1460"/>
      <c r="E10" s="1460"/>
      <c r="F10" s="1459"/>
    </row>
    <row r="11" spans="2:31" ht="25.5" customHeight="1" x14ac:dyDescent="0.45">
      <c r="B11" s="2181" t="s">
        <v>482</v>
      </c>
      <c r="C11" s="1460"/>
      <c r="D11" s="1460"/>
      <c r="E11" s="1460"/>
      <c r="F11" s="1459"/>
    </row>
    <row r="12" spans="2:31" ht="25.5" customHeight="1" x14ac:dyDescent="0.45">
      <c r="B12" s="648"/>
      <c r="C12" s="422"/>
      <c r="D12" s="422" t="s">
        <v>483</v>
      </c>
      <c r="E12" s="332"/>
      <c r="F12" s="643"/>
    </row>
    <row r="13" spans="2:31" ht="25.5" customHeight="1" x14ac:dyDescent="0.45">
      <c r="B13" s="648"/>
      <c r="C13" s="422"/>
      <c r="D13" s="422" t="s">
        <v>484</v>
      </c>
      <c r="E13" s="332"/>
      <c r="F13" s="643"/>
    </row>
    <row r="14" spans="2:31" ht="25.5" customHeight="1" x14ac:dyDescent="0.45">
      <c r="B14" s="648" t="s">
        <v>536</v>
      </c>
      <c r="C14" s="422"/>
      <c r="D14" s="422"/>
      <c r="E14" s="422"/>
      <c r="F14" s="643"/>
    </row>
    <row r="15" spans="2:31" ht="25.5" customHeight="1" x14ac:dyDescent="0.45">
      <c r="B15" s="649" t="s">
        <v>433</v>
      </c>
      <c r="C15" s="332"/>
      <c r="D15" s="332"/>
      <c r="E15" s="332"/>
      <c r="F15" s="643"/>
    </row>
    <row r="16" spans="2:31" ht="25.5" customHeight="1" x14ac:dyDescent="0.45">
      <c r="B16" s="649" t="s">
        <v>435</v>
      </c>
      <c r="C16" s="332"/>
      <c r="D16" s="332"/>
      <c r="E16" s="332"/>
      <c r="F16" s="643"/>
    </row>
    <row r="17" spans="2:6" ht="25.5" customHeight="1" x14ac:dyDescent="0.45">
      <c r="B17" s="649" t="s">
        <v>437</v>
      </c>
      <c r="C17" s="332"/>
      <c r="D17" s="332"/>
      <c r="E17" s="332"/>
      <c r="F17" s="643"/>
    </row>
    <row r="18" spans="2:6" ht="25.5" customHeight="1" x14ac:dyDescent="0.45">
      <c r="B18" s="649" t="s">
        <v>439</v>
      </c>
      <c r="C18" s="332"/>
      <c r="D18" s="332"/>
      <c r="E18" s="332"/>
      <c r="F18" s="643"/>
    </row>
    <row r="19" spans="2:6" ht="25.5" customHeight="1" x14ac:dyDescent="0.45">
      <c r="B19" s="649" t="s">
        <v>441</v>
      </c>
      <c r="C19" s="332"/>
      <c r="D19" s="332"/>
      <c r="E19" s="332"/>
      <c r="F19" s="643"/>
    </row>
    <row r="20" spans="2:6" ht="25.5" customHeight="1" x14ac:dyDescent="0.45">
      <c r="B20" s="649" t="s">
        <v>442</v>
      </c>
      <c r="C20" s="332"/>
      <c r="D20" s="332"/>
      <c r="E20" s="332"/>
      <c r="F20" s="643"/>
    </row>
    <row r="21" spans="2:6" ht="25.5" customHeight="1" x14ac:dyDescent="0.45">
      <c r="B21" s="648"/>
      <c r="C21" s="422" t="s">
        <v>538</v>
      </c>
      <c r="D21" s="422"/>
      <c r="E21" s="422"/>
      <c r="F21" s="643"/>
    </row>
    <row r="22" spans="2:6" ht="25.5" customHeight="1" x14ac:dyDescent="0.45">
      <c r="B22" s="648"/>
      <c r="C22" s="422"/>
      <c r="D22" s="422" t="s">
        <v>483</v>
      </c>
      <c r="E22" s="332"/>
      <c r="F22" s="643"/>
    </row>
    <row r="23" spans="2:6" ht="25.5" customHeight="1" x14ac:dyDescent="0.45">
      <c r="B23" s="648"/>
      <c r="C23" s="422"/>
      <c r="D23" s="422" t="s">
        <v>484</v>
      </c>
      <c r="E23" s="332"/>
      <c r="F23" s="643"/>
    </row>
    <row r="24" spans="2:6" ht="25.5" customHeight="1" x14ac:dyDescent="0.35">
      <c r="B24" s="644"/>
      <c r="C24" s="647"/>
      <c r="D24" s="647"/>
      <c r="E24" s="647"/>
      <c r="F24" s="646"/>
    </row>
    <row r="25" spans="2:6" ht="25.5" customHeight="1" x14ac:dyDescent="0.35">
      <c r="B25" s="644"/>
      <c r="C25" s="647"/>
      <c r="D25" s="647"/>
      <c r="E25" s="647"/>
      <c r="F25" s="646"/>
    </row>
    <row r="26" spans="2:6" ht="25.5" customHeight="1" x14ac:dyDescent="0.3">
      <c r="B26" s="2183" t="s">
        <v>485</v>
      </c>
      <c r="C26" s="2184"/>
      <c r="D26" s="2184"/>
      <c r="E26" s="2184"/>
      <c r="F26" s="2185"/>
    </row>
    <row r="27" spans="2:6" ht="25.5" customHeight="1" x14ac:dyDescent="0.35">
      <c r="B27" s="644"/>
      <c r="C27" s="647"/>
      <c r="D27" s="31" t="s">
        <v>197</v>
      </c>
      <c r="E27" s="2186"/>
      <c r="F27" s="2187"/>
    </row>
    <row r="28" spans="2:6" ht="32.25" customHeight="1" x14ac:dyDescent="0.3">
      <c r="B28" s="473" t="s">
        <v>460</v>
      </c>
      <c r="C28" s="474" t="s">
        <v>486</v>
      </c>
      <c r="D28" s="474" t="s">
        <v>209</v>
      </c>
      <c r="E28" s="1862" t="s">
        <v>181</v>
      </c>
      <c r="F28" s="2182"/>
    </row>
    <row r="29" spans="2:6" ht="25.5" customHeight="1" x14ac:dyDescent="0.35">
      <c r="B29" s="650">
        <v>1</v>
      </c>
      <c r="C29" s="366"/>
      <c r="D29" s="366"/>
      <c r="E29" s="2179"/>
      <c r="F29" s="2180"/>
    </row>
    <row r="30" spans="2:6" ht="25.5" customHeight="1" x14ac:dyDescent="0.35">
      <c r="B30" s="650">
        <v>2</v>
      </c>
      <c r="C30" s="366"/>
      <c r="D30" s="366"/>
      <c r="E30" s="2179"/>
      <c r="F30" s="2180"/>
    </row>
    <row r="31" spans="2:6" ht="25.5" customHeight="1" x14ac:dyDescent="0.35">
      <c r="B31" s="650">
        <v>3</v>
      </c>
      <c r="C31" s="366"/>
      <c r="D31" s="366"/>
      <c r="E31" s="2179"/>
      <c r="F31" s="2180"/>
    </row>
    <row r="32" spans="2:6" ht="25.5" customHeight="1" x14ac:dyDescent="0.35">
      <c r="B32" s="650">
        <v>4</v>
      </c>
      <c r="C32" s="366"/>
      <c r="D32" s="366"/>
      <c r="E32" s="2179"/>
      <c r="F32" s="2180"/>
    </row>
    <row r="33" spans="2:11" ht="25.5" customHeight="1" x14ac:dyDescent="0.35">
      <c r="B33" s="650">
        <v>5</v>
      </c>
      <c r="C33" s="366"/>
      <c r="D33" s="366"/>
      <c r="E33" s="2179"/>
      <c r="F33" s="2180"/>
    </row>
    <row r="34" spans="2:11" ht="25.5" customHeight="1" x14ac:dyDescent="0.35">
      <c r="B34" s="650">
        <v>6</v>
      </c>
      <c r="C34" s="366"/>
      <c r="D34" s="366"/>
      <c r="E34" s="2179"/>
      <c r="F34" s="2180"/>
    </row>
    <row r="35" spans="2:11" ht="25.5" customHeight="1" x14ac:dyDescent="0.35">
      <c r="B35" s="650">
        <v>7</v>
      </c>
      <c r="C35" s="366"/>
      <c r="D35" s="366"/>
      <c r="E35" s="2179"/>
      <c r="F35" s="2180"/>
    </row>
    <row r="36" spans="2:11" ht="25.5" customHeight="1" x14ac:dyDescent="0.35">
      <c r="B36" s="650">
        <v>8</v>
      </c>
      <c r="C36" s="366"/>
      <c r="D36" s="366"/>
      <c r="E36" s="2179"/>
      <c r="F36" s="2180"/>
    </row>
    <row r="37" spans="2:11" ht="25.5" customHeight="1" x14ac:dyDescent="0.35">
      <c r="B37" s="650">
        <v>9</v>
      </c>
      <c r="C37" s="181"/>
      <c r="D37" s="181"/>
      <c r="E37" s="2179"/>
      <c r="F37" s="2180"/>
    </row>
    <row r="38" spans="2:11" ht="25.5" customHeight="1" thickBot="1" x14ac:dyDescent="0.4">
      <c r="B38" s="651">
        <v>10</v>
      </c>
      <c r="C38" s="333"/>
      <c r="D38" s="219"/>
      <c r="E38" s="334"/>
      <c r="F38" s="220"/>
    </row>
    <row r="39" spans="2:11" ht="25.5" customHeight="1" x14ac:dyDescent="0.35">
      <c r="B39" s="652"/>
      <c r="C39" s="647"/>
      <c r="D39" s="647"/>
    </row>
    <row r="40" spans="2:11" ht="25.5" customHeight="1" x14ac:dyDescent="0.35">
      <c r="B40" s="647"/>
      <c r="C40" s="647"/>
      <c r="D40" s="647"/>
      <c r="E40" s="182"/>
      <c r="F40" s="182"/>
      <c r="G40" s="182"/>
      <c r="H40" s="182"/>
      <c r="I40" s="182"/>
      <c r="J40" s="182"/>
      <c r="K40" s="182"/>
    </row>
    <row r="41" spans="2:11" ht="25.5" customHeight="1" x14ac:dyDescent="0.35">
      <c r="B41" s="647"/>
      <c r="C41" s="647"/>
      <c r="D41" s="647"/>
      <c r="E41" s="647"/>
      <c r="F41" s="647"/>
      <c r="G41" s="647"/>
      <c r="H41" s="647"/>
      <c r="I41" s="647"/>
      <c r="J41" s="647"/>
      <c r="K41" s="647"/>
    </row>
    <row r="42" spans="2:11" ht="25.5" customHeight="1" x14ac:dyDescent="0.35">
      <c r="B42" s="647"/>
      <c r="C42" s="647"/>
      <c r="D42" s="647"/>
      <c r="E42" s="647"/>
      <c r="F42" s="647"/>
      <c r="G42" s="647"/>
      <c r="H42" s="647"/>
      <c r="I42" s="647"/>
      <c r="J42" s="647"/>
      <c r="K42" s="647"/>
    </row>
    <row r="43" spans="2:11" ht="25.5" customHeight="1" x14ac:dyDescent="0.35">
      <c r="E43" s="647"/>
      <c r="F43" s="647"/>
      <c r="G43" s="647"/>
      <c r="H43" s="647"/>
      <c r="I43" s="647"/>
      <c r="J43" s="647"/>
      <c r="K43" s="647"/>
    </row>
    <row r="44" spans="2:11" ht="25.5" customHeight="1" x14ac:dyDescent="0.35">
      <c r="F44" s="647"/>
      <c r="G44" s="647"/>
      <c r="H44" s="647"/>
      <c r="I44" s="647"/>
      <c r="J44" s="647"/>
      <c r="K44" s="647"/>
    </row>
    <row r="45" spans="2:11" ht="25.5" customHeight="1" x14ac:dyDescent="0.35">
      <c r="F45" s="647"/>
      <c r="G45" s="647"/>
      <c r="H45" s="647"/>
      <c r="I45" s="647"/>
      <c r="J45" s="647"/>
      <c r="K45" s="647"/>
    </row>
  </sheetData>
  <sheetProtection algorithmName="SHA-512" hashValue="nQWhVGzoZHtiE0+PPp/X35Lw0vbDxn8iUntdNtW2/6Ix9j6OBdJJsEsYZsKjaQ5uYOIIKzGg4ZsvDozk/vExTg==" saltValue="IY7RmtSTAIN6JZCKb0PX1g==" spinCount="100000" sheet="1" objects="1" scenarios="1" selectLockedCells="1"/>
  <protectedRanges>
    <protectedRange sqref="E22:E23" name="Range6"/>
    <protectedRange sqref="C15:E20" name="Range4"/>
    <protectedRange sqref="E4" name="Range2"/>
    <protectedRange sqref="D5:E5" name="Range1"/>
    <protectedRange sqref="E12:E13" name="Range3"/>
    <protectedRange sqref="C29:F38" name="Range5"/>
  </protectedRanges>
  <mergeCells count="18">
    <mergeCell ref="B3:F3"/>
    <mergeCell ref="B7:F7"/>
    <mergeCell ref="B8:F8"/>
    <mergeCell ref="B9:F9"/>
    <mergeCell ref="E35:F35"/>
    <mergeCell ref="E36:F36"/>
    <mergeCell ref="E37:F37"/>
    <mergeCell ref="B10:F10"/>
    <mergeCell ref="B11:F11"/>
    <mergeCell ref="E28:F28"/>
    <mergeCell ref="E29:F29"/>
    <mergeCell ref="B26:F26"/>
    <mergeCell ref="E27:F27"/>
    <mergeCell ref="E30:F30"/>
    <mergeCell ref="E31:F31"/>
    <mergeCell ref="E32:F32"/>
    <mergeCell ref="E33:F33"/>
    <mergeCell ref="E34:F34"/>
  </mergeCells>
  <dataValidations count="2">
    <dataValidation type="list" allowBlank="1" showInputMessage="1" showErrorMessage="1" sqref="D5">
      <formula1>month</formula1>
    </dataValidation>
    <dataValidation type="list" allowBlank="1" showInputMessage="1" showErrorMessage="1" sqref="E4">
      <formula1>"1,2,3,4,5,6,7,8,9,10"</formula1>
    </dataValidation>
  </dataValidations>
  <printOptions horizontalCentered="1"/>
  <pageMargins left="3.937007874015748E-2" right="3.937007874015748E-2" top="0.51181102362204722" bottom="3.937007874015748E-2" header="0.35433070866141736" footer="0.31496062992125984"/>
  <pageSetup paperSize="9"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E5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00FF"/>
  </sheetPr>
  <dimension ref="B19:N68"/>
  <sheetViews>
    <sheetView showZeros="0" zoomScaleNormal="100" workbookViewId="0">
      <selection activeCell="D5" sqref="D5:J5"/>
    </sheetView>
  </sheetViews>
  <sheetFormatPr defaultRowHeight="37.5" customHeight="1" x14ac:dyDescent="0.3"/>
  <cols>
    <col min="1" max="2" width="9.140625" style="15"/>
    <col min="3" max="3" width="9.42578125" style="15" customWidth="1"/>
    <col min="4" max="4" width="28.140625" style="15" customWidth="1"/>
    <col min="5" max="10" width="9.140625" style="15"/>
    <col min="11" max="11" width="13" style="15" bestFit="1" customWidth="1"/>
    <col min="12" max="13" width="9.140625" style="15"/>
    <col min="14" max="14" width="8.85546875" style="15" customWidth="1"/>
    <col min="15" max="16384" width="9.140625" style="15"/>
  </cols>
  <sheetData>
    <row r="19" spans="2:13" ht="37.5" customHeight="1" thickBot="1" x14ac:dyDescent="0.35"/>
    <row r="20" spans="2:13" ht="37.5" customHeight="1" thickBot="1" x14ac:dyDescent="0.35">
      <c r="B20" s="184"/>
      <c r="C20" s="185"/>
      <c r="D20" s="185"/>
      <c r="E20" s="185"/>
      <c r="F20" s="185"/>
      <c r="G20" s="185"/>
      <c r="H20" s="185"/>
      <c r="I20" s="185"/>
      <c r="J20" s="185"/>
      <c r="K20" s="185"/>
      <c r="L20" s="186"/>
      <c r="M20" s="187"/>
    </row>
    <row r="21" spans="2:13" ht="37.5" customHeight="1" thickBot="1" x14ac:dyDescent="0.5">
      <c r="B21" s="188"/>
      <c r="C21" s="189"/>
      <c r="D21" s="189"/>
      <c r="E21" s="2221" t="s">
        <v>491</v>
      </c>
      <c r="F21" s="2222"/>
      <c r="G21" s="2222"/>
      <c r="H21" s="2222"/>
      <c r="I21" s="2222"/>
      <c r="J21" s="2223"/>
      <c r="K21" s="189"/>
      <c r="L21" s="189"/>
      <c r="M21" s="190"/>
    </row>
    <row r="22" spans="2:13" ht="37.5" customHeight="1" x14ac:dyDescent="0.45">
      <c r="B22" s="205" t="s">
        <v>520</v>
      </c>
      <c r="C22" s="31">
        <f>HOME!E2</f>
        <v>2022</v>
      </c>
      <c r="D22" s="2226">
        <f>HOME!F2</f>
        <v>2023</v>
      </c>
      <c r="E22" s="2226"/>
      <c r="F22" s="203"/>
      <c r="G22" s="203"/>
      <c r="H22" s="203"/>
      <c r="I22" s="203"/>
      <c r="J22" s="204" t="s">
        <v>518</v>
      </c>
      <c r="K22" s="2225"/>
      <c r="L22" s="2225"/>
      <c r="M22" s="190"/>
    </row>
    <row r="23" spans="2:13" ht="37.5" customHeight="1" x14ac:dyDescent="0.3">
      <c r="B23" s="2224" t="s">
        <v>476</v>
      </c>
      <c r="C23" s="2216"/>
      <c r="D23" s="2216"/>
      <c r="E23" s="2216"/>
      <c r="F23" s="2216"/>
      <c r="G23" s="2216"/>
      <c r="H23" s="2216"/>
      <c r="I23" s="2216"/>
      <c r="J23" s="2216"/>
      <c r="K23" s="2216"/>
      <c r="L23" s="2216"/>
      <c r="M23" s="2220"/>
    </row>
    <row r="24" spans="2:13" ht="37.5" customHeight="1" x14ac:dyDescent="0.3">
      <c r="B24" s="335"/>
      <c r="C24" s="2216" t="s">
        <v>492</v>
      </c>
      <c r="D24" s="2216"/>
      <c r="E24" s="329" t="s">
        <v>334</v>
      </c>
      <c r="F24" s="2025" t="str">
        <f>'शाळा माहिती'!D4</f>
        <v>जि.प.प्रा.शा.बोरजाई वस्ती</v>
      </c>
      <c r="G24" s="2025"/>
      <c r="H24" s="2025"/>
      <c r="I24" s="2025"/>
      <c r="J24" s="2025"/>
      <c r="K24" s="329" t="s">
        <v>256</v>
      </c>
      <c r="L24" s="2212" t="str">
        <f>'शाळा माहिती'!D6</f>
        <v>जामगाव</v>
      </c>
      <c r="M24" s="2213"/>
    </row>
    <row r="25" spans="2:13" ht="37.5" customHeight="1" x14ac:dyDescent="0.45">
      <c r="B25" s="335"/>
      <c r="C25" s="4"/>
      <c r="D25" s="330"/>
      <c r="E25" s="329" t="s">
        <v>493</v>
      </c>
      <c r="F25" s="2212" t="str">
        <f>'शाळा माहिती'!D9</f>
        <v>मु.जामगाव ; पो.रघुनाथनगर</v>
      </c>
      <c r="G25" s="2212"/>
      <c r="H25" s="2212"/>
      <c r="I25" s="2212"/>
      <c r="J25" s="2212"/>
      <c r="K25" s="2212"/>
      <c r="L25" s="2212"/>
      <c r="M25" s="2213"/>
    </row>
    <row r="26" spans="2:13" ht="37.5" customHeight="1" x14ac:dyDescent="0.3">
      <c r="B26" s="335"/>
      <c r="C26" s="2216" t="s">
        <v>494</v>
      </c>
      <c r="D26" s="2216"/>
      <c r="E26" s="2216"/>
      <c r="F26" s="2216"/>
      <c r="G26" s="2216"/>
      <c r="H26" s="2216"/>
      <c r="I26" s="2216"/>
      <c r="J26" s="2216"/>
      <c r="K26" s="2216"/>
      <c r="L26" s="2216"/>
      <c r="M26" s="2220"/>
    </row>
    <row r="27" spans="2:13" ht="37.5" customHeight="1" x14ac:dyDescent="0.45">
      <c r="B27" s="188"/>
      <c r="C27" s="2211" t="s">
        <v>477</v>
      </c>
      <c r="D27" s="2211"/>
      <c r="E27" s="4"/>
      <c r="F27" s="4"/>
      <c r="G27" s="2211" t="s">
        <v>459</v>
      </c>
      <c r="H27" s="2211"/>
      <c r="I27" s="2211"/>
      <c r="J27" s="191"/>
      <c r="K27" s="191"/>
      <c r="L27" s="189"/>
      <c r="M27" s="190"/>
    </row>
    <row r="28" spans="2:13" ht="37.5" customHeight="1" x14ac:dyDescent="0.45">
      <c r="B28" s="188"/>
      <c r="C28" s="2216" t="s">
        <v>498</v>
      </c>
      <c r="D28" s="2216"/>
      <c r="E28" s="4"/>
      <c r="F28" s="4"/>
      <c r="G28" s="329" t="s">
        <v>496</v>
      </c>
      <c r="H28" s="2212" t="str">
        <f>'शाळा माहिती'!D21</f>
        <v>श्रीम.सुनंदा सुखदेव लकारे</v>
      </c>
      <c r="I28" s="2212"/>
      <c r="J28" s="2212"/>
      <c r="K28" s="2212"/>
      <c r="L28" s="2212"/>
      <c r="M28" s="2213"/>
    </row>
    <row r="29" spans="2:13" ht="37.5" customHeight="1" x14ac:dyDescent="0.45">
      <c r="B29" s="188"/>
      <c r="C29" s="308" t="s">
        <v>495</v>
      </c>
      <c r="D29" s="308"/>
      <c r="E29" s="308"/>
      <c r="F29" s="4"/>
      <c r="G29" s="329" t="s">
        <v>497</v>
      </c>
      <c r="H29" s="2025" t="str">
        <f>'शाळा माहिती'!D5</f>
        <v>जामगाव</v>
      </c>
      <c r="I29" s="2025"/>
      <c r="J29" s="329" t="s">
        <v>377</v>
      </c>
      <c r="K29" s="337" t="str">
        <f>'शाळा माहिती'!D7</f>
        <v>गंगापूर</v>
      </c>
      <c r="L29" s="329" t="s">
        <v>378</v>
      </c>
      <c r="M29" s="338" t="str">
        <f>'शाळा माहिती'!D8</f>
        <v>औरंगाबाद</v>
      </c>
    </row>
    <row r="30" spans="2:13" ht="37.5" customHeight="1" x14ac:dyDescent="0.45">
      <c r="B30" s="188"/>
      <c r="C30" s="2025" t="str">
        <f>'शाळा माहिती'!D4</f>
        <v>जि.प.प्रा.शा.बोरजाई वस्ती</v>
      </c>
      <c r="D30" s="2025"/>
      <c r="E30" s="2025"/>
      <c r="F30" s="4"/>
      <c r="G30" s="4"/>
      <c r="H30" s="4"/>
      <c r="I30" s="4"/>
      <c r="J30" s="4"/>
      <c r="K30" s="4"/>
      <c r="L30" s="4"/>
      <c r="M30" s="339"/>
    </row>
    <row r="31" spans="2:13" ht="37.5" customHeight="1" x14ac:dyDescent="0.3">
      <c r="B31" s="188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4"/>
    </row>
    <row r="32" spans="2:13" ht="37.5" customHeight="1" thickBot="1" x14ac:dyDescent="0.35">
      <c r="B32" s="195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7"/>
    </row>
    <row r="34" spans="2:13" ht="37.5" customHeight="1" thickBot="1" x14ac:dyDescent="0.35"/>
    <row r="35" spans="2:13" ht="37.5" customHeight="1" x14ac:dyDescent="0.45">
      <c r="B35" s="184"/>
      <c r="C35" s="2201" t="s">
        <v>460</v>
      </c>
      <c r="D35" s="2214" t="s">
        <v>499</v>
      </c>
      <c r="E35" s="2214" t="s">
        <v>500</v>
      </c>
      <c r="F35" s="2214"/>
      <c r="G35" s="2214"/>
      <c r="H35" s="2217"/>
      <c r="I35" s="340"/>
      <c r="J35" s="340"/>
      <c r="K35" s="340"/>
      <c r="L35" s="340"/>
      <c r="M35" s="341"/>
    </row>
    <row r="36" spans="2:13" ht="37.5" customHeight="1" thickBot="1" x14ac:dyDescent="0.5">
      <c r="B36" s="188"/>
      <c r="C36" s="2202"/>
      <c r="D36" s="2215"/>
      <c r="E36" s="2218"/>
      <c r="F36" s="2218"/>
      <c r="G36" s="2218"/>
      <c r="H36" s="2219"/>
      <c r="I36" s="189"/>
      <c r="J36" s="189"/>
      <c r="K36" s="189"/>
      <c r="L36" s="189"/>
      <c r="M36" s="190"/>
    </row>
    <row r="37" spans="2:13" ht="37.5" customHeight="1" x14ac:dyDescent="0.45">
      <c r="B37" s="188"/>
      <c r="C37" s="342">
        <v>1</v>
      </c>
      <c r="D37" s="343" t="s">
        <v>461</v>
      </c>
      <c r="E37" s="2205" t="s">
        <v>503</v>
      </c>
      <c r="F37" s="2205"/>
      <c r="G37" s="2205"/>
      <c r="H37" s="2206"/>
      <c r="I37" s="189"/>
      <c r="J37" s="189"/>
      <c r="K37" s="189"/>
      <c r="L37" s="189"/>
      <c r="M37" s="190"/>
    </row>
    <row r="38" spans="2:13" ht="37.5" customHeight="1" x14ac:dyDescent="0.45">
      <c r="B38" s="188"/>
      <c r="C38" s="344">
        <v>2</v>
      </c>
      <c r="D38" s="345" t="s">
        <v>462</v>
      </c>
      <c r="E38" s="2207" t="s">
        <v>464</v>
      </c>
      <c r="F38" s="2207"/>
      <c r="G38" s="2207"/>
      <c r="H38" s="2208"/>
      <c r="I38" s="630"/>
      <c r="J38" s="189"/>
      <c r="K38" s="189"/>
      <c r="L38" s="189"/>
      <c r="M38" s="190"/>
    </row>
    <row r="39" spans="2:13" ht="37.5" customHeight="1" x14ac:dyDescent="0.45">
      <c r="B39" s="188"/>
      <c r="C39" s="344">
        <v>3</v>
      </c>
      <c r="D39" s="345" t="s">
        <v>463</v>
      </c>
      <c r="E39" s="2207" t="s">
        <v>504</v>
      </c>
      <c r="F39" s="2207"/>
      <c r="G39" s="2207"/>
      <c r="H39" s="2208"/>
      <c r="I39" s="630"/>
      <c r="J39" s="189"/>
      <c r="K39" s="189"/>
      <c r="L39" s="189"/>
      <c r="M39" s="190"/>
    </row>
    <row r="40" spans="2:13" ht="37.5" customHeight="1" thickBot="1" x14ac:dyDescent="0.5">
      <c r="B40" s="188"/>
      <c r="C40" s="346">
        <v>4</v>
      </c>
      <c r="D40" s="347" t="s">
        <v>465</v>
      </c>
      <c r="E40" s="2209" t="s">
        <v>505</v>
      </c>
      <c r="F40" s="2209"/>
      <c r="G40" s="2209"/>
      <c r="H40" s="2210"/>
      <c r="I40" s="630"/>
      <c r="J40" s="189"/>
      <c r="K40" s="189"/>
      <c r="L40" s="189"/>
      <c r="M40" s="190"/>
    </row>
    <row r="41" spans="2:13" ht="37.5" customHeight="1" x14ac:dyDescent="0.45">
      <c r="B41" s="188"/>
      <c r="C41" s="2199" t="s">
        <v>519</v>
      </c>
      <c r="D41" s="2199"/>
      <c r="E41" s="2199"/>
      <c r="F41" s="2199"/>
      <c r="G41" s="2199"/>
      <c r="H41" s="2199"/>
      <c r="I41" s="2199"/>
      <c r="J41" s="2199"/>
      <c r="K41" s="2199"/>
      <c r="L41" s="2199"/>
      <c r="M41" s="190"/>
    </row>
    <row r="42" spans="2:13" ht="37.5" customHeight="1" x14ac:dyDescent="0.3">
      <c r="B42" s="2203" t="s">
        <v>502</v>
      </c>
      <c r="C42" s="1543"/>
      <c r="D42" s="1543"/>
      <c r="E42" s="1543"/>
      <c r="F42" s="1543"/>
      <c r="G42" s="1543"/>
      <c r="H42" s="1543"/>
      <c r="I42" s="1543"/>
      <c r="J42" s="1543"/>
      <c r="K42" s="1543"/>
      <c r="L42" s="1543"/>
      <c r="M42" s="2204"/>
    </row>
    <row r="43" spans="2:13" ht="37.5" customHeight="1" x14ac:dyDescent="0.45">
      <c r="B43" s="188"/>
      <c r="C43" s="2199" t="s">
        <v>501</v>
      </c>
      <c r="D43" s="2199"/>
      <c r="E43" s="2199"/>
      <c r="F43" s="2199"/>
      <c r="G43" s="2199"/>
      <c r="H43" s="2199"/>
      <c r="I43" s="2199"/>
      <c r="J43" s="2199"/>
      <c r="K43" s="2199"/>
      <c r="L43" s="2199"/>
      <c r="M43" s="190"/>
    </row>
    <row r="44" spans="2:13" ht="37.5" customHeight="1" x14ac:dyDescent="0.45">
      <c r="B44" s="188"/>
      <c r="C44" s="38"/>
      <c r="D44" s="38"/>
      <c r="E44" s="2199" t="s">
        <v>466</v>
      </c>
      <c r="F44" s="2199"/>
      <c r="G44" s="2199"/>
      <c r="H44" s="2199"/>
      <c r="I44" s="2199"/>
      <c r="J44" s="2199"/>
      <c r="K44" s="2199"/>
      <c r="L44" s="2199"/>
      <c r="M44" s="190"/>
    </row>
    <row r="45" spans="2:13" ht="37.5" customHeight="1" x14ac:dyDescent="0.45">
      <c r="B45" s="188"/>
      <c r="C45" s="38"/>
      <c r="D45" s="38"/>
      <c r="E45" s="2199" t="s">
        <v>467</v>
      </c>
      <c r="F45" s="2199"/>
      <c r="G45" s="2199"/>
      <c r="H45" s="2199"/>
      <c r="I45" s="2199"/>
      <c r="J45" s="2199"/>
      <c r="K45" s="2199"/>
      <c r="L45" s="2199"/>
      <c r="M45" s="190"/>
    </row>
    <row r="46" spans="2:13" ht="37.5" customHeight="1" x14ac:dyDescent="0.45">
      <c r="B46" s="188"/>
      <c r="C46" s="38"/>
      <c r="D46" s="38"/>
      <c r="E46" s="2199" t="s">
        <v>468</v>
      </c>
      <c r="F46" s="2199"/>
      <c r="G46" s="2199"/>
      <c r="H46" s="2199"/>
      <c r="I46" s="2199"/>
      <c r="J46" s="2199"/>
      <c r="K46" s="2199"/>
      <c r="L46" s="2199"/>
      <c r="M46" s="190"/>
    </row>
    <row r="47" spans="2:13" ht="37.5" customHeight="1" x14ac:dyDescent="0.45">
      <c r="B47" s="188"/>
      <c r="C47" s="38"/>
      <c r="D47" s="38"/>
      <c r="E47" s="2199" t="s">
        <v>469</v>
      </c>
      <c r="F47" s="2199"/>
      <c r="G47" s="2199"/>
      <c r="H47" s="2199"/>
      <c r="I47" s="2199"/>
      <c r="J47" s="2199"/>
      <c r="K47" s="2199"/>
      <c r="L47" s="2199"/>
      <c r="M47" s="190"/>
    </row>
    <row r="48" spans="2:13" ht="37.5" customHeight="1" x14ac:dyDescent="0.45">
      <c r="B48" s="188"/>
      <c r="C48" s="38"/>
      <c r="D48" s="38"/>
      <c r="E48" s="2199" t="s">
        <v>470</v>
      </c>
      <c r="F48" s="2199"/>
      <c r="G48" s="2199"/>
      <c r="H48" s="2199"/>
      <c r="I48" s="2199"/>
      <c r="J48" s="2199"/>
      <c r="K48" s="2199"/>
      <c r="L48" s="2199"/>
      <c r="M48" s="190"/>
    </row>
    <row r="49" spans="2:14" ht="37.5" customHeight="1" x14ac:dyDescent="0.45">
      <c r="B49" s="188"/>
      <c r="C49" s="38"/>
      <c r="D49" s="38"/>
      <c r="E49" s="2199" t="s">
        <v>471</v>
      </c>
      <c r="F49" s="2199"/>
      <c r="G49" s="2199"/>
      <c r="H49" s="2199"/>
      <c r="I49" s="2199"/>
      <c r="J49" s="2199"/>
      <c r="K49" s="2199"/>
      <c r="L49" s="2199"/>
      <c r="M49" s="190"/>
    </row>
    <row r="50" spans="2:14" ht="37.5" customHeight="1" x14ac:dyDescent="0.45">
      <c r="B50" s="188"/>
      <c r="C50" s="38"/>
      <c r="D50" s="2199" t="s">
        <v>506</v>
      </c>
      <c r="E50" s="2199"/>
      <c r="F50" s="2199"/>
      <c r="G50" s="2199"/>
      <c r="H50" s="2199"/>
      <c r="I50" s="2199"/>
      <c r="J50" s="2199"/>
      <c r="K50" s="2199"/>
      <c r="L50" s="2199"/>
      <c r="M50" s="190"/>
    </row>
    <row r="51" spans="2:14" ht="37.5" customHeight="1" x14ac:dyDescent="0.45">
      <c r="B51" s="188"/>
      <c r="C51" s="38"/>
      <c r="D51" s="2199" t="s">
        <v>472</v>
      </c>
      <c r="E51" s="2199"/>
      <c r="F51" s="2199"/>
      <c r="G51" s="2199"/>
      <c r="H51" s="2199"/>
      <c r="I51" s="2199"/>
      <c r="J51" s="2199"/>
      <c r="K51" s="2199"/>
      <c r="L51" s="2199"/>
      <c r="M51" s="190"/>
    </row>
    <row r="52" spans="2:14" ht="37.5" customHeight="1" x14ac:dyDescent="0.45">
      <c r="B52" s="188"/>
      <c r="C52" s="2199" t="s">
        <v>473</v>
      </c>
      <c r="D52" s="2199"/>
      <c r="E52" s="2199"/>
      <c r="F52" s="2199"/>
      <c r="G52" s="2199"/>
      <c r="H52" s="2199"/>
      <c r="I52" s="2199"/>
      <c r="J52" s="2199"/>
      <c r="K52" s="2199"/>
      <c r="L52" s="2199"/>
      <c r="M52" s="190"/>
    </row>
    <row r="53" spans="2:14" ht="37.5" customHeight="1" x14ac:dyDescent="0.45">
      <c r="B53" s="188"/>
      <c r="C53" s="336" t="s">
        <v>474</v>
      </c>
      <c r="D53" s="336"/>
      <c r="E53" s="336"/>
      <c r="F53" s="336"/>
      <c r="G53" s="336"/>
      <c r="H53" s="336"/>
      <c r="I53" s="336"/>
      <c r="J53" s="336"/>
      <c r="K53" s="336"/>
      <c r="L53" s="336"/>
      <c r="M53" s="190"/>
    </row>
    <row r="54" spans="2:14" ht="37.5" customHeight="1" x14ac:dyDescent="0.3">
      <c r="B54" s="188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4"/>
    </row>
    <row r="55" spans="2:14" ht="37.5" customHeight="1" x14ac:dyDescent="0.45">
      <c r="B55" s="188"/>
      <c r="C55" s="189"/>
      <c r="D55" s="348" t="s">
        <v>507</v>
      </c>
      <c r="E55" s="189"/>
      <c r="F55" s="189"/>
      <c r="G55" s="189"/>
      <c r="H55" s="189"/>
      <c r="I55" s="2200" t="s">
        <v>508</v>
      </c>
      <c r="J55" s="2200"/>
      <c r="K55" s="189"/>
      <c r="L55" s="189"/>
      <c r="M55" s="194"/>
    </row>
    <row r="56" spans="2:14" ht="37.5" customHeight="1" x14ac:dyDescent="0.45">
      <c r="B56" s="188"/>
      <c r="C56" s="189"/>
      <c r="D56" s="329" t="s">
        <v>509</v>
      </c>
      <c r="E56" s="189"/>
      <c r="F56" s="189"/>
      <c r="G56" s="189"/>
      <c r="H56" s="2025" t="str">
        <f>'शाळा माहिती'!D21</f>
        <v>श्रीम.सुनंदा सुखदेव लकारे</v>
      </c>
      <c r="I56" s="2025"/>
      <c r="J56" s="2025"/>
      <c r="K56" s="2025"/>
      <c r="L56" s="189"/>
      <c r="M56" s="194"/>
    </row>
    <row r="57" spans="2:14" ht="37.5" customHeight="1" x14ac:dyDescent="0.45">
      <c r="B57" s="188"/>
      <c r="C57" s="189"/>
      <c r="D57" s="329" t="s">
        <v>475</v>
      </c>
      <c r="E57" s="189"/>
      <c r="F57" s="189"/>
      <c r="G57" s="189"/>
      <c r="H57" s="2025" t="str">
        <f>IFERROR('शाळा माहिती'!D9,"")</f>
        <v>मु.जामगाव ; पो.रघुनाथनगर</v>
      </c>
      <c r="I57" s="2025"/>
      <c r="J57" s="2025"/>
      <c r="K57" s="2025"/>
      <c r="L57" s="2025"/>
      <c r="M57" s="194"/>
    </row>
    <row r="58" spans="2:14" ht="37.5" customHeight="1" x14ac:dyDescent="0.45">
      <c r="B58" s="188"/>
      <c r="C58" s="2025" t="str">
        <f>IFERROR('शाळा माहिती'!D4,"")</f>
        <v>जि.प.प्रा.शा.बोरजाई वस्ती</v>
      </c>
      <c r="D58" s="2025"/>
      <c r="E58" s="2025"/>
      <c r="F58" s="189"/>
      <c r="G58" s="189"/>
      <c r="H58" s="189"/>
      <c r="I58" s="189"/>
      <c r="J58" s="189"/>
      <c r="K58" s="189"/>
      <c r="L58" s="189"/>
      <c r="M58" s="194"/>
    </row>
    <row r="59" spans="2:14" ht="37.5" customHeight="1" x14ac:dyDescent="0.3">
      <c r="B59" s="188"/>
      <c r="C59" s="193"/>
      <c r="D59" s="193"/>
      <c r="E59" s="193"/>
      <c r="F59" s="191"/>
      <c r="G59" s="191"/>
      <c r="H59" s="191"/>
      <c r="I59" s="191"/>
      <c r="J59" s="191"/>
      <c r="K59" s="191"/>
      <c r="L59" s="198"/>
      <c r="M59" s="199"/>
      <c r="N59" s="183"/>
    </row>
    <row r="60" spans="2:14" ht="37.5" customHeight="1" x14ac:dyDescent="0.3">
      <c r="B60" s="349" t="s">
        <v>86</v>
      </c>
      <c r="C60" s="2195" t="s">
        <v>516</v>
      </c>
      <c r="D60" s="2195"/>
      <c r="E60" s="2192" t="s">
        <v>517</v>
      </c>
      <c r="F60" s="2193"/>
      <c r="G60" s="2194"/>
      <c r="H60" s="191"/>
      <c r="I60" s="191"/>
      <c r="J60" s="191"/>
      <c r="K60" s="191"/>
      <c r="L60" s="193"/>
      <c r="M60" s="200"/>
      <c r="N60" s="182"/>
    </row>
    <row r="61" spans="2:14" ht="37.5" customHeight="1" x14ac:dyDescent="0.4">
      <c r="B61" s="349" t="s">
        <v>510</v>
      </c>
      <c r="C61" s="2191"/>
      <c r="D61" s="2191"/>
      <c r="E61" s="2191"/>
      <c r="F61" s="2191"/>
      <c r="G61" s="2191"/>
      <c r="H61" s="191"/>
      <c r="I61" s="191"/>
      <c r="J61" s="191"/>
      <c r="K61" s="191"/>
      <c r="L61" s="193"/>
      <c r="M61" s="200"/>
      <c r="N61" s="182"/>
    </row>
    <row r="62" spans="2:14" ht="37.5" customHeight="1" x14ac:dyDescent="0.4">
      <c r="B62" s="349" t="s">
        <v>511</v>
      </c>
      <c r="C62" s="2191"/>
      <c r="D62" s="2191"/>
      <c r="E62" s="2191"/>
      <c r="F62" s="2191"/>
      <c r="G62" s="2191"/>
      <c r="H62" s="191"/>
      <c r="I62" s="191"/>
      <c r="J62" s="191"/>
      <c r="K62" s="191"/>
      <c r="L62" s="193"/>
      <c r="M62" s="200"/>
      <c r="N62" s="182"/>
    </row>
    <row r="63" spans="2:14" ht="37.5" customHeight="1" x14ac:dyDescent="0.4">
      <c r="B63" s="349" t="s">
        <v>512</v>
      </c>
      <c r="C63" s="2191"/>
      <c r="D63" s="2191"/>
      <c r="E63" s="2191"/>
      <c r="F63" s="2191"/>
      <c r="G63" s="2191"/>
      <c r="H63" s="191"/>
      <c r="I63" s="191"/>
      <c r="J63" s="191"/>
      <c r="K63" s="191"/>
      <c r="L63" s="193"/>
      <c r="M63" s="200"/>
      <c r="N63" s="182"/>
    </row>
    <row r="64" spans="2:14" ht="37.5" customHeight="1" x14ac:dyDescent="0.3">
      <c r="B64" s="349" t="s">
        <v>513</v>
      </c>
      <c r="C64" s="2196"/>
      <c r="D64" s="2197"/>
      <c r="E64" s="2196"/>
      <c r="F64" s="2198"/>
      <c r="G64" s="2197"/>
      <c r="H64" s="191"/>
      <c r="I64" s="191"/>
      <c r="J64" s="191"/>
      <c r="K64" s="191"/>
      <c r="L64" s="193"/>
      <c r="M64" s="200"/>
      <c r="N64" s="182"/>
    </row>
    <row r="65" spans="2:13" ht="37.5" customHeight="1" x14ac:dyDescent="0.3">
      <c r="B65" s="349" t="s">
        <v>514</v>
      </c>
      <c r="C65" s="2196"/>
      <c r="D65" s="2197"/>
      <c r="E65" s="2196"/>
      <c r="F65" s="2198"/>
      <c r="G65" s="2197"/>
      <c r="H65" s="191"/>
      <c r="I65" s="191"/>
      <c r="J65" s="191"/>
      <c r="K65" s="191"/>
      <c r="L65" s="191"/>
      <c r="M65" s="194"/>
    </row>
    <row r="66" spans="2:13" ht="37.5" customHeight="1" thickBot="1" x14ac:dyDescent="0.35">
      <c r="B66" s="195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7"/>
    </row>
    <row r="68" spans="2:13" ht="37.5" customHeight="1" x14ac:dyDescent="0.3">
      <c r="C68" s="182"/>
      <c r="D68" s="182"/>
      <c r="E68" s="182"/>
    </row>
  </sheetData>
  <sheetProtection algorithmName="SHA-512" hashValue="AJw2o+IveDZxABVaD2Cyx/C16Nr3WkQFezcA14tFlsZZBYSE8oPEkbzJXyBFf6NnmeFcAQcxnYcZGLJkNqpPtQ==" saltValue="wgYk+4dTRapx+tLoSpTP2w==" spinCount="100000" sheet="1" objects="1" scenarios="1" selectLockedCells="1"/>
  <protectedRanges>
    <protectedRange sqref="K22:L22" name="Range2"/>
    <protectedRange sqref="C61:G65" name="Range1"/>
  </protectedRanges>
  <mergeCells count="50">
    <mergeCell ref="F25:M25"/>
    <mergeCell ref="C26:M26"/>
    <mergeCell ref="E21:J21"/>
    <mergeCell ref="C24:D24"/>
    <mergeCell ref="L24:M24"/>
    <mergeCell ref="F24:J24"/>
    <mergeCell ref="B23:M23"/>
    <mergeCell ref="K22:L22"/>
    <mergeCell ref="D22:E22"/>
    <mergeCell ref="G27:I27"/>
    <mergeCell ref="H28:M28"/>
    <mergeCell ref="H29:I29"/>
    <mergeCell ref="D35:D36"/>
    <mergeCell ref="C28:D28"/>
    <mergeCell ref="C30:E30"/>
    <mergeCell ref="C27:D27"/>
    <mergeCell ref="E35:H36"/>
    <mergeCell ref="C43:L43"/>
    <mergeCell ref="C41:L41"/>
    <mergeCell ref="C35:C36"/>
    <mergeCell ref="B42:M42"/>
    <mergeCell ref="E37:H37"/>
    <mergeCell ref="E38:H38"/>
    <mergeCell ref="E39:H39"/>
    <mergeCell ref="E40:H40"/>
    <mergeCell ref="E44:L44"/>
    <mergeCell ref="E45:L45"/>
    <mergeCell ref="E46:L46"/>
    <mergeCell ref="E47:L47"/>
    <mergeCell ref="E48:L48"/>
    <mergeCell ref="E49:L49"/>
    <mergeCell ref="D50:L50"/>
    <mergeCell ref="D51:L51"/>
    <mergeCell ref="C52:L52"/>
    <mergeCell ref="I55:J55"/>
    <mergeCell ref="C64:D64"/>
    <mergeCell ref="C65:D65"/>
    <mergeCell ref="E64:G64"/>
    <mergeCell ref="E65:G65"/>
    <mergeCell ref="E63:G63"/>
    <mergeCell ref="C63:D63"/>
    <mergeCell ref="H56:K56"/>
    <mergeCell ref="H57:L57"/>
    <mergeCell ref="C58:E58"/>
    <mergeCell ref="E61:G61"/>
    <mergeCell ref="E62:G62"/>
    <mergeCell ref="E60:G60"/>
    <mergeCell ref="C60:D60"/>
    <mergeCell ref="C61:D61"/>
    <mergeCell ref="C62:D62"/>
  </mergeCells>
  <printOptions horizontalCentered="1"/>
  <pageMargins left="0.39370078740157483" right="0.39370078740157483" top="0.46" bottom="0.27" header="0.66" footer="0.31"/>
  <pageSetup paperSize="9" scale="63" orientation="portrait" r:id="rId1"/>
  <rowBreaks count="1" manualBreakCount="1">
    <brk id="3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5DE64A"/>
    <pageSetUpPr fitToPage="1"/>
  </sheetPr>
  <dimension ref="B2:R22"/>
  <sheetViews>
    <sheetView zoomScaleNormal="100" workbookViewId="0">
      <selection activeCell="D5" sqref="D5:J5"/>
    </sheetView>
  </sheetViews>
  <sheetFormatPr defaultColWidth="12.42578125" defaultRowHeight="37.5" customHeight="1" x14ac:dyDescent="0.4"/>
  <cols>
    <col min="1" max="1" width="8.42578125" style="1" customWidth="1"/>
    <col min="2" max="2" width="7.42578125" style="1" customWidth="1"/>
    <col min="3" max="3" width="40.42578125" style="1" customWidth="1"/>
    <col min="4" max="16" width="12.42578125" style="1"/>
    <col min="17" max="17" width="13.7109375" style="1" customWidth="1"/>
    <col min="18" max="18" width="15" style="1" customWidth="1"/>
    <col min="19" max="19" width="7.85546875" style="1" customWidth="1"/>
    <col min="20" max="16384" width="12.42578125" style="1"/>
  </cols>
  <sheetData>
    <row r="2" spans="2:18" ht="8.25" customHeight="1" thickBot="1" x14ac:dyDescent="0.45"/>
    <row r="3" spans="2:18" ht="37.5" customHeight="1" thickBot="1" x14ac:dyDescent="0.45">
      <c r="B3" s="1384" t="s">
        <v>607</v>
      </c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  <c r="Q3" s="1385"/>
      <c r="R3" s="1386"/>
    </row>
    <row r="4" spans="2:18" ht="23.25" customHeight="1" x14ac:dyDescent="0.4">
      <c r="H4" s="1399" t="s">
        <v>608</v>
      </c>
      <c r="I4" s="1399"/>
      <c r="J4" s="363">
        <f>HOME!E2</f>
        <v>2022</v>
      </c>
      <c r="K4" s="235">
        <f>HOME!F2</f>
        <v>2023</v>
      </c>
      <c r="M4" s="3"/>
      <c r="N4" s="3"/>
      <c r="P4" s="760"/>
      <c r="Q4" s="760"/>
    </row>
    <row r="5" spans="2:18" ht="37.5" customHeight="1" x14ac:dyDescent="0.4">
      <c r="B5" s="461" t="s">
        <v>334</v>
      </c>
      <c r="C5" s="1380" t="str">
        <f>'शाळा माहिती'!D4</f>
        <v>जि.प.प्रा.शा.बोरजाई वस्ती</v>
      </c>
      <c r="D5" s="1380"/>
      <c r="E5" s="461" t="s">
        <v>256</v>
      </c>
      <c r="F5" s="1398" t="str">
        <f>'शाळा माहिती'!D6</f>
        <v>जामगाव</v>
      </c>
      <c r="G5" s="1398"/>
      <c r="M5" s="461" t="s">
        <v>377</v>
      </c>
      <c r="N5" s="1398" t="str">
        <f>'शाळा माहिती'!D7</f>
        <v>गंगापूर</v>
      </c>
      <c r="O5" s="1398"/>
      <c r="P5" s="461" t="s">
        <v>378</v>
      </c>
      <c r="Q5" s="1398" t="str">
        <f>'शाळा माहिती'!D8</f>
        <v>औरंगाबाद</v>
      </c>
      <c r="R5" s="1398"/>
    </row>
    <row r="6" spans="2:18" ht="25.5" customHeight="1" x14ac:dyDescent="0.4"/>
    <row r="7" spans="2:18" ht="37.5" customHeight="1" x14ac:dyDescent="0.4">
      <c r="B7" s="1396" t="s">
        <v>86</v>
      </c>
      <c r="C7" s="1396" t="s">
        <v>578</v>
      </c>
      <c r="D7" s="1387" t="s">
        <v>610</v>
      </c>
      <c r="E7" s="1388"/>
      <c r="F7" s="1389"/>
      <c r="G7" s="1390" t="s">
        <v>611</v>
      </c>
      <c r="H7" s="1391"/>
      <c r="I7" s="1392"/>
      <c r="J7" s="1393" t="s">
        <v>612</v>
      </c>
      <c r="K7" s="1394"/>
      <c r="L7" s="1395"/>
      <c r="M7" s="1390" t="s">
        <v>609</v>
      </c>
      <c r="N7" s="1391"/>
      <c r="O7" s="1392"/>
      <c r="P7" s="1390" t="s">
        <v>577</v>
      </c>
      <c r="Q7" s="1391"/>
      <c r="R7" s="1392"/>
    </row>
    <row r="8" spans="2:18" ht="37.5" customHeight="1" x14ac:dyDescent="0.4">
      <c r="B8" s="1397"/>
      <c r="C8" s="1397"/>
      <c r="D8" s="761" t="s">
        <v>586</v>
      </c>
      <c r="E8" s="762" t="s">
        <v>587</v>
      </c>
      <c r="F8" s="762" t="s">
        <v>35</v>
      </c>
      <c r="G8" s="761" t="s">
        <v>586</v>
      </c>
      <c r="H8" s="762" t="s">
        <v>587</v>
      </c>
      <c r="I8" s="762" t="s">
        <v>35</v>
      </c>
      <c r="J8" s="761" t="s">
        <v>586</v>
      </c>
      <c r="K8" s="762" t="s">
        <v>587</v>
      </c>
      <c r="L8" s="762" t="s">
        <v>35</v>
      </c>
      <c r="M8" s="761" t="s">
        <v>586</v>
      </c>
      <c r="N8" s="762" t="s">
        <v>587</v>
      </c>
      <c r="O8" s="762" t="s">
        <v>35</v>
      </c>
      <c r="P8" s="761" t="s">
        <v>586</v>
      </c>
      <c r="Q8" s="762" t="s">
        <v>587</v>
      </c>
      <c r="R8" s="762" t="s">
        <v>35</v>
      </c>
    </row>
    <row r="9" spans="2:18" ht="37.5" customHeight="1" x14ac:dyDescent="0.4">
      <c r="B9" s="172">
        <v>1</v>
      </c>
      <c r="C9" s="275" t="str">
        <f>'बँक जमा खर्च पासबुक'!AF10</f>
        <v>शा.पो.आ.साहित्य खरेदी अनुदान</v>
      </c>
      <c r="D9" s="262">
        <f>'बँक जमा खर्च पासबुक'!Z6</f>
        <v>0</v>
      </c>
      <c r="E9" s="264">
        <f>'बँक जमा खर्च पासबुक'!AA6</f>
        <v>0</v>
      </c>
      <c r="F9" s="262">
        <f>D9+E9</f>
        <v>0</v>
      </c>
      <c r="G9" s="262">
        <f>SUMIF('बँक जमा खर्च पासबुक'!$F$9:$F$110,'Balance sheet'!C9,'बँक जमा खर्च पासबुक'!$J$9:$J$110)</f>
        <v>0</v>
      </c>
      <c r="H9" s="262">
        <f>SUMIF('बँक जमा खर्च पासबुक'!$F$9:$F$110,'Balance sheet'!C9,'बँक जमा खर्च पासबुक'!$K$9:$K$110)</f>
        <v>0</v>
      </c>
      <c r="I9" s="262">
        <f t="shared" ref="I9:I21" si="0">SUM(G9:H9)</f>
        <v>0</v>
      </c>
      <c r="J9" s="262">
        <f>D9+G9</f>
        <v>0</v>
      </c>
      <c r="K9" s="262">
        <f>E9+H9</f>
        <v>0</v>
      </c>
      <c r="L9" s="262">
        <f>SUM(J9:K9)</f>
        <v>0</v>
      </c>
      <c r="M9" s="262">
        <f>SUMIF('बँक जमा खर्च पासबुक'!$I$9:$I$110,'Balance sheet'!C9,'बँक जमा खर्च पासबुक'!$L$9:$L$110)</f>
        <v>0</v>
      </c>
      <c r="N9" s="262">
        <f>SUMIF('बँक जमा खर्च पासबुक'!$I$9:$I$110,'Balance sheet'!C9,'बँक जमा खर्च पासबुक'!$M$9:$M$110)</f>
        <v>0</v>
      </c>
      <c r="O9" s="262">
        <f t="shared" ref="O9:O21" si="1">SUM(M9:N9)</f>
        <v>0</v>
      </c>
      <c r="P9" s="262">
        <f>J9-M9</f>
        <v>0</v>
      </c>
      <c r="Q9" s="262">
        <f>K9-N9</f>
        <v>0</v>
      </c>
      <c r="R9" s="262">
        <f>L9-O9</f>
        <v>0</v>
      </c>
    </row>
    <row r="10" spans="2:18" ht="37.5" customHeight="1" x14ac:dyDescent="0.4">
      <c r="B10" s="172">
        <v>2</v>
      </c>
      <c r="C10" s="275" t="str">
        <f>'बँक जमा खर्च पासबुक'!AF11</f>
        <v>इंधन,भाजीपाला,पूरक आहार अनुदान बील</v>
      </c>
      <c r="D10" s="262">
        <f>'बँक जमा खर्च पासबुक'!Z7</f>
        <v>0</v>
      </c>
      <c r="E10" s="264">
        <f>'बँक जमा खर्च पासबुक'!AA7</f>
        <v>0</v>
      </c>
      <c r="F10" s="262">
        <f t="shared" ref="F10:F21" si="2">D10+E10</f>
        <v>0</v>
      </c>
      <c r="G10" s="262">
        <f>SUMIF('बँक जमा खर्च पासबुक'!$F$9:$F$110,'Balance sheet'!C10,'बँक जमा खर्च पासबुक'!$J$9:$J$110)</f>
        <v>0</v>
      </c>
      <c r="H10" s="262">
        <f>SUMIF('बँक जमा खर्च पासबुक'!$F$9:$F$110,'Balance sheet'!C10,'बँक जमा खर्च पासबुक'!$K$9:$K$110)</f>
        <v>0</v>
      </c>
      <c r="I10" s="262">
        <f t="shared" si="0"/>
        <v>0</v>
      </c>
      <c r="J10" s="262">
        <f t="shared" ref="J10:J21" si="3">D10+G10</f>
        <v>0</v>
      </c>
      <c r="K10" s="262">
        <f t="shared" ref="K10:K21" si="4">E10+H10</f>
        <v>0</v>
      </c>
      <c r="L10" s="262">
        <f t="shared" ref="L10:L21" si="5">SUM(J10:K10)</f>
        <v>0</v>
      </c>
      <c r="M10" s="262">
        <f>SUMIF('बँक जमा खर्च पासबुक'!$I$9:$I$110,'Balance sheet'!C10,'बँक जमा खर्च पासबुक'!$L$9:$L$110)</f>
        <v>0</v>
      </c>
      <c r="N10" s="262">
        <f>SUMIF('बँक जमा खर्च पासबुक'!$I$9:$I$110,'Balance sheet'!C10,'बँक जमा खर्च पासबुक'!$M$9:$M$110)</f>
        <v>0</v>
      </c>
      <c r="O10" s="262">
        <f t="shared" si="1"/>
        <v>0</v>
      </c>
      <c r="P10" s="262">
        <f t="shared" ref="P10:P21" si="6">J10-M10</f>
        <v>0</v>
      </c>
      <c r="Q10" s="262">
        <f t="shared" ref="Q10:Q21" si="7">K10-N10</f>
        <v>0</v>
      </c>
      <c r="R10" s="262">
        <f t="shared" ref="R10:R21" si="8">L10-O10</f>
        <v>0</v>
      </c>
    </row>
    <row r="11" spans="2:18" ht="37.5" customHeight="1" x14ac:dyDescent="0.4">
      <c r="B11" s="172">
        <v>3</v>
      </c>
      <c r="C11" s="275" t="str">
        <f>'बँक जमा खर्च पासबुक'!AF12</f>
        <v>इंधन,भाजीपाला,पूरक आहार अनुदान फरक बील</v>
      </c>
      <c r="D11" s="262">
        <f>'बँक जमा खर्च पासबुक'!Z8</f>
        <v>0</v>
      </c>
      <c r="E11" s="264">
        <f>'बँक जमा खर्च पासबुक'!AA8</f>
        <v>0</v>
      </c>
      <c r="F11" s="262">
        <f t="shared" si="2"/>
        <v>0</v>
      </c>
      <c r="G11" s="262">
        <f>SUMIF('बँक जमा खर्च पासबुक'!$F$9:$F$110,'Balance sheet'!C11,'बँक जमा खर्च पासबुक'!$J$9:$J$110)</f>
        <v>0</v>
      </c>
      <c r="H11" s="262">
        <f>SUMIF('बँक जमा खर्च पासबुक'!$F$9:$F$110,'Balance sheet'!C11,'बँक जमा खर्च पासबुक'!$K$9:$K$110)</f>
        <v>0</v>
      </c>
      <c r="I11" s="262">
        <f t="shared" si="0"/>
        <v>0</v>
      </c>
      <c r="J11" s="262">
        <f t="shared" si="3"/>
        <v>0</v>
      </c>
      <c r="K11" s="262">
        <f t="shared" si="4"/>
        <v>0</v>
      </c>
      <c r="L11" s="262">
        <f t="shared" si="5"/>
        <v>0</v>
      </c>
      <c r="M11" s="262">
        <f>SUMIF('बँक जमा खर्च पासबुक'!$I$9:$I$110,'Balance sheet'!C11,'बँक जमा खर्च पासबुक'!$L$9:$L$110)</f>
        <v>0</v>
      </c>
      <c r="N11" s="262">
        <f>SUMIF('बँक जमा खर्च पासबुक'!$I$9:$I$110,'Balance sheet'!C11,'बँक जमा खर्च पासबुक'!$M$9:$M$110)</f>
        <v>0</v>
      </c>
      <c r="O11" s="262">
        <f t="shared" si="1"/>
        <v>0</v>
      </c>
      <c r="P11" s="262">
        <f t="shared" si="6"/>
        <v>0</v>
      </c>
      <c r="Q11" s="262">
        <f t="shared" si="7"/>
        <v>0</v>
      </c>
      <c r="R11" s="262">
        <f t="shared" si="8"/>
        <v>0</v>
      </c>
    </row>
    <row r="12" spans="2:18" ht="37.5" customHeight="1" x14ac:dyDescent="0.4">
      <c r="B12" s="172">
        <v>4</v>
      </c>
      <c r="C12" s="275" t="str">
        <f>'बँक जमा खर्च पासबुक'!AF13</f>
        <v>स्वयंपाकी व मदतनीस मानधन</v>
      </c>
      <c r="D12" s="262">
        <f>'बँक जमा खर्च पासबुक'!Z9</f>
        <v>3000</v>
      </c>
      <c r="E12" s="264">
        <f>'बँक जमा खर्च पासबुक'!AA9</f>
        <v>3000</v>
      </c>
      <c r="F12" s="262">
        <f t="shared" si="2"/>
        <v>6000</v>
      </c>
      <c r="G12" s="262">
        <f>SUMIF('बँक जमा खर्च पासबुक'!$F$9:$F$110,'Balance sheet'!C12,'बँक जमा खर्च पासबुक'!$J$9:$J$110)</f>
        <v>0</v>
      </c>
      <c r="H12" s="262">
        <f>SUMIF('बँक जमा खर्च पासबुक'!$F$9:$F$110,'Balance sheet'!C12,'बँक जमा खर्च पासबुक'!$K$9:$K$110)</f>
        <v>0</v>
      </c>
      <c r="I12" s="262">
        <f t="shared" si="0"/>
        <v>0</v>
      </c>
      <c r="J12" s="262">
        <f t="shared" si="3"/>
        <v>3000</v>
      </c>
      <c r="K12" s="262">
        <f t="shared" si="4"/>
        <v>3000</v>
      </c>
      <c r="L12" s="262">
        <f t="shared" si="5"/>
        <v>6000</v>
      </c>
      <c r="M12" s="262">
        <f>SUMIF('बँक जमा खर्च पासबुक'!$I$9:$I$110,'Balance sheet'!C12,'बँक जमा खर्च पासबुक'!$L$9:$L$110)</f>
        <v>0</v>
      </c>
      <c r="N12" s="262">
        <f>SUMIF('बँक जमा खर्च पासबुक'!$I$9:$I$110,'Balance sheet'!C12,'बँक जमा खर्च पासबुक'!$M$9:$M$110)</f>
        <v>0</v>
      </c>
      <c r="O12" s="262">
        <f t="shared" si="1"/>
        <v>0</v>
      </c>
      <c r="P12" s="262">
        <f t="shared" si="6"/>
        <v>3000</v>
      </c>
      <c r="Q12" s="262">
        <f t="shared" si="7"/>
        <v>3000</v>
      </c>
      <c r="R12" s="262">
        <f t="shared" si="8"/>
        <v>6000</v>
      </c>
    </row>
    <row r="13" spans="2:18" ht="37.5" customHeight="1" x14ac:dyDescent="0.4">
      <c r="B13" s="172">
        <v>5</v>
      </c>
      <c r="C13" s="275" t="str">
        <f>'बँक जमा खर्च पासबुक'!AF14</f>
        <v>बँक व्याज</v>
      </c>
      <c r="D13" s="262">
        <f>'बँक जमा खर्च पासबुक'!Z10</f>
        <v>0</v>
      </c>
      <c r="E13" s="264">
        <f>'बँक जमा खर्च पासबुक'!AA10</f>
        <v>0</v>
      </c>
      <c r="F13" s="262">
        <f t="shared" si="2"/>
        <v>0</v>
      </c>
      <c r="G13" s="262">
        <f>SUMIF('बँक जमा खर्च पासबुक'!$F$9:$F$110,'Balance sheet'!C13,'बँक जमा खर्च पासबुक'!$J$9:$J$110)</f>
        <v>0</v>
      </c>
      <c r="H13" s="262">
        <f>SUMIF('बँक जमा खर्च पासबुक'!$F$9:$F$110,'Balance sheet'!C13,'बँक जमा खर्च पासबुक'!$K$9:$K$110)</f>
        <v>0</v>
      </c>
      <c r="I13" s="262">
        <f t="shared" si="0"/>
        <v>0</v>
      </c>
      <c r="J13" s="262">
        <f t="shared" si="3"/>
        <v>0</v>
      </c>
      <c r="K13" s="262">
        <f t="shared" si="4"/>
        <v>0</v>
      </c>
      <c r="L13" s="262">
        <f t="shared" si="5"/>
        <v>0</v>
      </c>
      <c r="M13" s="262">
        <f>SUMIF('बँक जमा खर्च पासबुक'!$I$9:$I$110,'Balance sheet'!C13,'बँक जमा खर्च पासबुक'!$L$9:$L$110)</f>
        <v>0</v>
      </c>
      <c r="N13" s="262">
        <f>SUMIF('बँक जमा खर्च पासबुक'!$I$9:$I$110,'Balance sheet'!C13,'बँक जमा खर्च पासबुक'!$M$9:$M$110)</f>
        <v>0</v>
      </c>
      <c r="O13" s="262">
        <f t="shared" si="1"/>
        <v>0</v>
      </c>
      <c r="P13" s="262">
        <f t="shared" si="6"/>
        <v>0</v>
      </c>
      <c r="Q13" s="262">
        <f t="shared" si="7"/>
        <v>0</v>
      </c>
      <c r="R13" s="262">
        <f t="shared" si="8"/>
        <v>0</v>
      </c>
    </row>
    <row r="14" spans="2:18" ht="37.5" customHeight="1" x14ac:dyDescent="0.4">
      <c r="B14" s="172">
        <v>6</v>
      </c>
      <c r="C14" s="275" t="str">
        <f>'बँक जमा खर्च पासबुक'!AF15</f>
        <v>शिक्षक मानधन</v>
      </c>
      <c r="D14" s="262">
        <f>'बँक जमा खर्च पासबुक'!Z11</f>
        <v>0</v>
      </c>
      <c r="E14" s="264">
        <f>'बँक जमा खर्च पासबुक'!AA11</f>
        <v>0</v>
      </c>
      <c r="F14" s="262">
        <f t="shared" si="2"/>
        <v>0</v>
      </c>
      <c r="G14" s="262">
        <f>SUMIF('बँक जमा खर्च पासबुक'!$F$9:$F$110,'Balance sheet'!C14,'बँक जमा खर्च पासबुक'!$J$9:$J$110)</f>
        <v>0</v>
      </c>
      <c r="H14" s="262">
        <f>SUMIF('बँक जमा खर्च पासबुक'!$F$9:$F$110,'Balance sheet'!C14,'बँक जमा खर्च पासबुक'!$K$9:$K$110)</f>
        <v>0</v>
      </c>
      <c r="I14" s="262">
        <f t="shared" si="0"/>
        <v>0</v>
      </c>
      <c r="J14" s="262">
        <f t="shared" si="3"/>
        <v>0</v>
      </c>
      <c r="K14" s="262">
        <f t="shared" si="4"/>
        <v>0</v>
      </c>
      <c r="L14" s="262">
        <f t="shared" si="5"/>
        <v>0</v>
      </c>
      <c r="M14" s="262">
        <f>SUMIF('बँक जमा खर्च पासबुक'!$I$9:$I$110,'Balance sheet'!C14,'बँक जमा खर्च पासबुक'!$L$9:$L$110)</f>
        <v>0</v>
      </c>
      <c r="N14" s="262">
        <f>SUMIF('बँक जमा खर्च पासबुक'!$I$9:$I$110,'Balance sheet'!C14,'बँक जमा खर्च पासबुक'!$M$9:$M$110)</f>
        <v>0</v>
      </c>
      <c r="O14" s="262">
        <f t="shared" si="1"/>
        <v>0</v>
      </c>
      <c r="P14" s="262">
        <f t="shared" si="6"/>
        <v>0</v>
      </c>
      <c r="Q14" s="262">
        <f t="shared" si="7"/>
        <v>0</v>
      </c>
      <c r="R14" s="262">
        <f t="shared" si="8"/>
        <v>0</v>
      </c>
    </row>
    <row r="15" spans="2:18" ht="37.5" customHeight="1" x14ac:dyDescent="0.4">
      <c r="B15" s="172">
        <v>7</v>
      </c>
      <c r="C15" s="275" t="str">
        <f>'बँक जमा खर्च पासबुक'!AF16</f>
        <v>इंटरनेट साठी शाळा अनुदान</v>
      </c>
      <c r="D15" s="262">
        <f>'बँक जमा खर्च पासबुक'!Z12</f>
        <v>0</v>
      </c>
      <c r="E15" s="264">
        <f>'बँक जमा खर्च पासबुक'!AA12</f>
        <v>0</v>
      </c>
      <c r="F15" s="262">
        <f t="shared" si="2"/>
        <v>0</v>
      </c>
      <c r="G15" s="262">
        <f>SUMIF('बँक जमा खर्च पासबुक'!$F$9:$F$110,'Balance sheet'!C15,'बँक जमा खर्च पासबुक'!$J$9:$J$110)</f>
        <v>0</v>
      </c>
      <c r="H15" s="262">
        <f>SUMIF('बँक जमा खर्च पासबुक'!$F$9:$F$110,'Balance sheet'!C15,'बँक जमा खर्च पासबुक'!$K$9:$K$110)</f>
        <v>0</v>
      </c>
      <c r="I15" s="262">
        <f t="shared" si="0"/>
        <v>0</v>
      </c>
      <c r="J15" s="262">
        <f t="shared" si="3"/>
        <v>0</v>
      </c>
      <c r="K15" s="262">
        <f t="shared" si="4"/>
        <v>0</v>
      </c>
      <c r="L15" s="262">
        <f t="shared" si="5"/>
        <v>0</v>
      </c>
      <c r="M15" s="262">
        <f>SUMIF('बँक जमा खर्च पासबुक'!$I$9:$I$110,'Balance sheet'!C15,'बँक जमा खर्च पासबुक'!$L$9:$L$110)</f>
        <v>0</v>
      </c>
      <c r="N15" s="262">
        <f>SUMIF('बँक जमा खर्च पासबुक'!$I$9:$I$110,'Balance sheet'!C15,'बँक जमा खर्च पासबुक'!$M$9:$M$110)</f>
        <v>0</v>
      </c>
      <c r="O15" s="262">
        <f t="shared" si="1"/>
        <v>0</v>
      </c>
      <c r="P15" s="262">
        <f t="shared" si="6"/>
        <v>0</v>
      </c>
      <c r="Q15" s="262">
        <f t="shared" si="7"/>
        <v>0</v>
      </c>
      <c r="R15" s="262">
        <f t="shared" si="8"/>
        <v>0</v>
      </c>
    </row>
    <row r="16" spans="2:18" ht="37.5" customHeight="1" x14ac:dyDescent="0.4">
      <c r="B16" s="172">
        <v>8</v>
      </c>
      <c r="C16" s="275" t="str">
        <f>'बँक जमा खर्च पासबुक'!AF17</f>
        <v>गॅस अनुदान</v>
      </c>
      <c r="D16" s="262">
        <f>'बँक जमा खर्च पासबुक'!Z13</f>
        <v>0</v>
      </c>
      <c r="E16" s="264">
        <f>'बँक जमा खर्च पासबुक'!AA13</f>
        <v>0</v>
      </c>
      <c r="F16" s="262">
        <f t="shared" si="2"/>
        <v>0</v>
      </c>
      <c r="G16" s="262">
        <f>SUMIF('बँक जमा खर्च पासबुक'!$F$9:$F$110,'Balance sheet'!C16,'बँक जमा खर्च पासबुक'!$J$9:$J$110)</f>
        <v>0</v>
      </c>
      <c r="H16" s="262">
        <f>SUMIF('बँक जमा खर्च पासबुक'!$F$9:$F$110,'Balance sheet'!C16,'बँक जमा खर्च पासबुक'!$K$9:$K$110)</f>
        <v>0</v>
      </c>
      <c r="I16" s="262">
        <f t="shared" si="0"/>
        <v>0</v>
      </c>
      <c r="J16" s="262">
        <f t="shared" si="3"/>
        <v>0</v>
      </c>
      <c r="K16" s="262">
        <f t="shared" si="4"/>
        <v>0</v>
      </c>
      <c r="L16" s="262">
        <f t="shared" si="5"/>
        <v>0</v>
      </c>
      <c r="M16" s="262">
        <f>SUMIF('बँक जमा खर्च पासबुक'!$I$9:$I$110,'Balance sheet'!C16,'बँक जमा खर्च पासबुक'!$L$9:$L$110)</f>
        <v>0</v>
      </c>
      <c r="N16" s="262">
        <f>SUMIF('बँक जमा खर्च पासबुक'!$I$9:$I$110,'Balance sheet'!C16,'बँक जमा खर्च पासबुक'!$M$9:$M$110)</f>
        <v>0</v>
      </c>
      <c r="O16" s="262">
        <f t="shared" si="1"/>
        <v>0</v>
      </c>
      <c r="P16" s="262">
        <f t="shared" si="6"/>
        <v>0</v>
      </c>
      <c r="Q16" s="262">
        <f t="shared" si="7"/>
        <v>0</v>
      </c>
      <c r="R16" s="262">
        <f t="shared" si="8"/>
        <v>0</v>
      </c>
    </row>
    <row r="17" spans="2:18" ht="37.5" customHeight="1" x14ac:dyDescent="0.4">
      <c r="B17" s="172">
        <v>9</v>
      </c>
      <c r="C17" s="275" t="str">
        <f>'बँक जमा खर्च पासबुक'!AF18</f>
        <v>शा.पो.आ.भांडी अनुदान</v>
      </c>
      <c r="D17" s="262">
        <f>'बँक जमा खर्च पासबुक'!Z14</f>
        <v>0</v>
      </c>
      <c r="E17" s="264">
        <f>'बँक जमा खर्च पासबुक'!AA14</f>
        <v>0</v>
      </c>
      <c r="F17" s="262">
        <f t="shared" si="2"/>
        <v>0</v>
      </c>
      <c r="G17" s="262">
        <f>SUMIF('बँक जमा खर्च पासबुक'!$F$9:$F$110,'Balance sheet'!C17,'बँक जमा खर्च पासबुक'!$J$9:$J$110)</f>
        <v>0</v>
      </c>
      <c r="H17" s="262">
        <f>SUMIF('बँक जमा खर्च पासबुक'!$F$9:$F$110,'Balance sheet'!C17,'बँक जमा खर्च पासबुक'!$K$9:$K$110)</f>
        <v>0</v>
      </c>
      <c r="I17" s="262">
        <f t="shared" si="0"/>
        <v>0</v>
      </c>
      <c r="J17" s="262">
        <f t="shared" si="3"/>
        <v>0</v>
      </c>
      <c r="K17" s="262">
        <f t="shared" si="4"/>
        <v>0</v>
      </c>
      <c r="L17" s="262">
        <f t="shared" si="5"/>
        <v>0</v>
      </c>
      <c r="M17" s="262">
        <f>SUMIF('बँक जमा खर्च पासबुक'!$I$9:$I$110,'Balance sheet'!C17,'बँक जमा खर्च पासबुक'!$L$9:$L$110)</f>
        <v>0</v>
      </c>
      <c r="N17" s="262">
        <f>SUMIF('बँक जमा खर्च पासबुक'!$I$9:$I$110,'Balance sheet'!C17,'बँक जमा खर्च पासबुक'!$M$9:$M$110)</f>
        <v>0</v>
      </c>
      <c r="O17" s="262">
        <f t="shared" si="1"/>
        <v>0</v>
      </c>
      <c r="P17" s="262">
        <f t="shared" si="6"/>
        <v>0</v>
      </c>
      <c r="Q17" s="262">
        <f t="shared" si="7"/>
        <v>0</v>
      </c>
      <c r="R17" s="262">
        <f t="shared" si="8"/>
        <v>0</v>
      </c>
    </row>
    <row r="18" spans="2:18" ht="37.5" customHeight="1" x14ac:dyDescent="0.4">
      <c r="B18" s="172">
        <v>10</v>
      </c>
      <c r="C18" s="275" t="str">
        <f>'बँक जमा खर्च पासबुक'!AF19</f>
        <v>बँक अनामत</v>
      </c>
      <c r="D18" s="262">
        <f>'बँक जमा खर्च पासबुक'!Z15</f>
        <v>0</v>
      </c>
      <c r="E18" s="264">
        <f>'बँक जमा खर्च पासबुक'!AA15</f>
        <v>0</v>
      </c>
      <c r="F18" s="262">
        <f t="shared" si="2"/>
        <v>0</v>
      </c>
      <c r="G18" s="262">
        <f>SUMIF('बँक जमा खर्च पासबुक'!$F$9:$F$110,'Balance sheet'!C18,'बँक जमा खर्च पासबुक'!$J$9:$J$110)</f>
        <v>0</v>
      </c>
      <c r="H18" s="262">
        <f>SUMIF('बँक जमा खर्च पासबुक'!$F$9:$F$110,'Balance sheet'!C18,'बँक जमा खर्च पासबुक'!$K$9:$K$110)</f>
        <v>0</v>
      </c>
      <c r="I18" s="262">
        <f t="shared" si="0"/>
        <v>0</v>
      </c>
      <c r="J18" s="262">
        <f t="shared" si="3"/>
        <v>0</v>
      </c>
      <c r="K18" s="262">
        <f t="shared" si="4"/>
        <v>0</v>
      </c>
      <c r="L18" s="262">
        <f t="shared" si="5"/>
        <v>0</v>
      </c>
      <c r="M18" s="262">
        <f>SUMIF('बँक जमा खर्च पासबुक'!$I$9:$I$110,'Balance sheet'!C18,'बँक जमा खर्च पासबुक'!$L$9:$L$110)</f>
        <v>0</v>
      </c>
      <c r="N18" s="262">
        <f>SUMIF('बँक जमा खर्च पासबुक'!$I$9:$I$110,'Balance sheet'!C18,'बँक जमा खर्च पासबुक'!$M$9:$M$110)</f>
        <v>0</v>
      </c>
      <c r="O18" s="262">
        <f t="shared" si="1"/>
        <v>0</v>
      </c>
      <c r="P18" s="262">
        <f t="shared" si="6"/>
        <v>0</v>
      </c>
      <c r="Q18" s="262">
        <f t="shared" si="7"/>
        <v>0</v>
      </c>
      <c r="R18" s="262">
        <f t="shared" si="8"/>
        <v>0</v>
      </c>
    </row>
    <row r="19" spans="2:18" ht="37.5" customHeight="1" x14ac:dyDescent="0.4">
      <c r="B19" s="757">
        <v>11</v>
      </c>
      <c r="C19" s="275" t="str">
        <f>'बँक जमा खर्च पासबुक'!AF20</f>
        <v>इतर अनुदान</v>
      </c>
      <c r="D19" s="262">
        <f>'बँक जमा खर्च पासबुक'!Z16</f>
        <v>0</v>
      </c>
      <c r="E19" s="264">
        <f>'बँक जमा खर्च पासबुक'!AA16</f>
        <v>0</v>
      </c>
      <c r="F19" s="262">
        <f t="shared" si="2"/>
        <v>0</v>
      </c>
      <c r="G19" s="262">
        <f>SUMIF('बँक जमा खर्च पासबुक'!$F$9:$F$110,'Balance sheet'!C19,'बँक जमा खर्च पासबुक'!$J$9:$J$110)</f>
        <v>0</v>
      </c>
      <c r="H19" s="262">
        <f>SUMIF('बँक जमा खर्च पासबुक'!$F$9:$F$110,'Balance sheet'!C19,'बँक जमा खर्च पासबुक'!$K$9:$K$110)</f>
        <v>0</v>
      </c>
      <c r="I19" s="263">
        <f t="shared" si="0"/>
        <v>0</v>
      </c>
      <c r="J19" s="262">
        <f t="shared" si="3"/>
        <v>0</v>
      </c>
      <c r="K19" s="262">
        <f t="shared" si="4"/>
        <v>0</v>
      </c>
      <c r="L19" s="262">
        <f t="shared" si="5"/>
        <v>0</v>
      </c>
      <c r="M19" s="262">
        <f>SUMIF('बँक जमा खर्च पासबुक'!$I$9:$I$110,'Balance sheet'!C19,'बँक जमा खर्च पासबुक'!$L$9:$L$110)</f>
        <v>0</v>
      </c>
      <c r="N19" s="262">
        <f>SUMIF('बँक जमा खर्च पासबुक'!$I$9:$I$110,'Balance sheet'!C19,'बँक जमा खर्च पासबुक'!$M$9:$M$110)</f>
        <v>0</v>
      </c>
      <c r="O19" s="263">
        <f t="shared" si="1"/>
        <v>0</v>
      </c>
      <c r="P19" s="262">
        <f t="shared" si="6"/>
        <v>0</v>
      </c>
      <c r="Q19" s="262">
        <f t="shared" si="7"/>
        <v>0</v>
      </c>
      <c r="R19" s="262">
        <f t="shared" si="8"/>
        <v>0</v>
      </c>
    </row>
    <row r="20" spans="2:18" ht="37.5" customHeight="1" x14ac:dyDescent="0.4">
      <c r="B20" s="172">
        <v>12</v>
      </c>
      <c r="C20" s="275" t="str">
        <f>'बँक जमा खर्च पासबुक'!AF21</f>
        <v>निनावी रक्कम</v>
      </c>
      <c r="D20" s="262">
        <f>'बँक जमा खर्च पासबुक'!Z17</f>
        <v>0</v>
      </c>
      <c r="E20" s="264">
        <f>'बँक जमा खर्च पासबुक'!AA17</f>
        <v>0</v>
      </c>
      <c r="F20" s="262">
        <f t="shared" si="2"/>
        <v>0</v>
      </c>
      <c r="G20" s="262">
        <f>SUMIF('बँक जमा खर्च पासबुक'!$F$9:$F$110,'Balance sheet'!C20,'बँक जमा खर्च पासबुक'!$J$9:$J$110)</f>
        <v>0</v>
      </c>
      <c r="H20" s="262">
        <f>SUMIF('बँक जमा खर्च पासबुक'!$F$9:$F$110,'Balance sheet'!C20,'बँक जमा खर्च पासबुक'!$K$9:$K$110)</f>
        <v>0</v>
      </c>
      <c r="I20" s="262">
        <f t="shared" si="0"/>
        <v>0</v>
      </c>
      <c r="J20" s="262">
        <f t="shared" si="3"/>
        <v>0</v>
      </c>
      <c r="K20" s="262">
        <f t="shared" si="4"/>
        <v>0</v>
      </c>
      <c r="L20" s="262">
        <f t="shared" si="5"/>
        <v>0</v>
      </c>
      <c r="M20" s="262">
        <f>SUMIF('बँक जमा खर्च पासबुक'!$I$9:$I$110,'Balance sheet'!C20,'बँक जमा खर्च पासबुक'!$L$9:$L$110)</f>
        <v>0</v>
      </c>
      <c r="N20" s="262">
        <f>SUMIF('बँक जमा खर्च पासबुक'!$I$9:$I$110,'Balance sheet'!C20,'बँक जमा खर्च पासबुक'!$M$9:$M$110)</f>
        <v>0</v>
      </c>
      <c r="O20" s="262">
        <f t="shared" si="1"/>
        <v>0</v>
      </c>
      <c r="P20" s="262">
        <f t="shared" si="6"/>
        <v>0</v>
      </c>
      <c r="Q20" s="262">
        <f t="shared" si="7"/>
        <v>0</v>
      </c>
      <c r="R20" s="262">
        <f t="shared" si="8"/>
        <v>0</v>
      </c>
    </row>
    <row r="21" spans="2:18" ht="37.5" customHeight="1" x14ac:dyDescent="0.4">
      <c r="B21" s="757">
        <v>13</v>
      </c>
      <c r="C21" s="275" t="str">
        <f>'बँक जमा खर्च पासबुक'!AF22</f>
        <v>इतर फरक रक्कम</v>
      </c>
      <c r="D21" s="262">
        <f>'बँक जमा खर्च पासबुक'!Z18</f>
        <v>0</v>
      </c>
      <c r="E21" s="264">
        <f>'बँक जमा खर्च पासबुक'!AA18</f>
        <v>0</v>
      </c>
      <c r="F21" s="262">
        <f t="shared" si="2"/>
        <v>0</v>
      </c>
      <c r="G21" s="262">
        <f>SUMIF('बँक जमा खर्च पासबुक'!$F$9:$F$110,'Balance sheet'!C21,'बँक जमा खर्च पासबुक'!$J$9:$J$110)</f>
        <v>0</v>
      </c>
      <c r="H21" s="262">
        <f>SUMIF('बँक जमा खर्च पासबुक'!$F$9:$F$110,'Balance sheet'!C21,'बँक जमा खर्च पासबुक'!$K$9:$K$110)</f>
        <v>0</v>
      </c>
      <c r="I21" s="262">
        <f t="shared" si="0"/>
        <v>0</v>
      </c>
      <c r="J21" s="262">
        <f t="shared" si="3"/>
        <v>0</v>
      </c>
      <c r="K21" s="262">
        <f t="shared" si="4"/>
        <v>0</v>
      </c>
      <c r="L21" s="262">
        <f t="shared" si="5"/>
        <v>0</v>
      </c>
      <c r="M21" s="262">
        <f>SUMIF('बँक जमा खर्च पासबुक'!$I$9:$I$110,'Balance sheet'!C21,'बँक जमा खर्च पासबुक'!$L$9:$L$110)</f>
        <v>0</v>
      </c>
      <c r="N21" s="262">
        <f>SUMIF('बँक जमा खर्च पासबुक'!$I$9:$I$110,'Balance sheet'!C21,'बँक जमा खर्च पासबुक'!$M$9:$M$110)</f>
        <v>0</v>
      </c>
      <c r="O21" s="262">
        <f t="shared" si="1"/>
        <v>0</v>
      </c>
      <c r="P21" s="262">
        <f t="shared" si="6"/>
        <v>0</v>
      </c>
      <c r="Q21" s="262">
        <f t="shared" si="7"/>
        <v>0</v>
      </c>
      <c r="R21" s="262">
        <f t="shared" si="8"/>
        <v>0</v>
      </c>
    </row>
    <row r="22" spans="2:18" ht="37.5" customHeight="1" x14ac:dyDescent="0.4">
      <c r="B22" s="763"/>
      <c r="C22" s="18" t="s">
        <v>35</v>
      </c>
      <c r="D22" s="265">
        <f t="shared" ref="D22:R22" si="9">SUM(D9:D21)</f>
        <v>3000</v>
      </c>
      <c r="E22" s="265">
        <f t="shared" si="9"/>
        <v>3000</v>
      </c>
      <c r="F22" s="265">
        <f t="shared" si="9"/>
        <v>6000</v>
      </c>
      <c r="G22" s="265">
        <f t="shared" si="9"/>
        <v>0</v>
      </c>
      <c r="H22" s="265">
        <f t="shared" si="9"/>
        <v>0</v>
      </c>
      <c r="I22" s="265">
        <f t="shared" si="9"/>
        <v>0</v>
      </c>
      <c r="J22" s="265">
        <f t="shared" si="9"/>
        <v>3000</v>
      </c>
      <c r="K22" s="265">
        <f t="shared" si="9"/>
        <v>3000</v>
      </c>
      <c r="L22" s="265">
        <f t="shared" si="9"/>
        <v>6000</v>
      </c>
      <c r="M22" s="265">
        <f t="shared" si="9"/>
        <v>0</v>
      </c>
      <c r="N22" s="265">
        <f t="shared" si="9"/>
        <v>0</v>
      </c>
      <c r="O22" s="265">
        <f t="shared" si="9"/>
        <v>0</v>
      </c>
      <c r="P22" s="265">
        <f t="shared" si="9"/>
        <v>3000</v>
      </c>
      <c r="Q22" s="265">
        <f t="shared" si="9"/>
        <v>3000</v>
      </c>
      <c r="R22" s="265">
        <f t="shared" si="9"/>
        <v>6000</v>
      </c>
    </row>
  </sheetData>
  <sheetProtection algorithmName="SHA-512" hashValue="LB5k3MHtr9CI0jJVLiKg+kLCEl6LVV7T7wlr1c3/+MKwCEHDfEFI7ImfENhiHHcq/GDska6vIpwm17QMItI5zQ==" saltValue="/EKHr+9efb/IMy82WYsVFw==" spinCount="100000" sheet="1" objects="1" scenarios="1" selectLockedCells="1"/>
  <mergeCells count="13">
    <mergeCell ref="B3:R3"/>
    <mergeCell ref="D7:F7"/>
    <mergeCell ref="G7:I7"/>
    <mergeCell ref="J7:L7"/>
    <mergeCell ref="M7:O7"/>
    <mergeCell ref="P7:R7"/>
    <mergeCell ref="B7:B8"/>
    <mergeCell ref="C7:C8"/>
    <mergeCell ref="C5:D5"/>
    <mergeCell ref="F5:G5"/>
    <mergeCell ref="N5:O5"/>
    <mergeCell ref="Q5:R5"/>
    <mergeCell ref="H4:I4"/>
  </mergeCells>
  <printOptions horizontalCentered="1" verticalCentered="1"/>
  <pageMargins left="0.43307086614173229" right="0.27559055118110237" top="0.74803149606299213" bottom="0.74803149606299213" header="0.31496062992125984" footer="0.31496062992125984"/>
  <pageSetup paperSize="9" scale="56" orientation="landscape" r:id="rId1"/>
  <rowBreaks count="1" manualBreakCount="1">
    <brk id="27" max="16383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5DE64A"/>
  </sheetPr>
  <dimension ref="A2:W310"/>
  <sheetViews>
    <sheetView showZeros="0" zoomScaleNormal="100" workbookViewId="0">
      <selection activeCell="D5" sqref="D5:J5"/>
    </sheetView>
  </sheetViews>
  <sheetFormatPr defaultRowHeight="25.5" customHeight="1" x14ac:dyDescent="0.4"/>
  <cols>
    <col min="1" max="1" width="4.5703125" style="1" customWidth="1"/>
    <col min="2" max="2" width="8.28515625" style="1" customWidth="1"/>
    <col min="3" max="3" width="13.42578125" style="388" customWidth="1"/>
    <col min="4" max="4" width="38.7109375" style="21" customWidth="1"/>
    <col min="5" max="5" width="12.140625" style="764" customWidth="1"/>
    <col min="6" max="6" width="13.7109375" style="765" customWidth="1"/>
    <col min="7" max="7" width="13.85546875" style="21" customWidth="1"/>
    <col min="8" max="8" width="15" style="21" customWidth="1"/>
    <col min="9" max="9" width="14.7109375" style="21" customWidth="1"/>
    <col min="10" max="10" width="34.28515625" style="21" customWidth="1"/>
    <col min="11" max="11" width="13" style="764" customWidth="1"/>
    <col min="12" max="12" width="11.5703125" style="765" customWidth="1"/>
    <col min="13" max="13" width="12.42578125" style="1" customWidth="1"/>
    <col min="14" max="14" width="12.85546875" style="1" customWidth="1"/>
    <col min="15" max="15" width="12.42578125" style="1" customWidth="1"/>
    <col min="16" max="16" width="11.28515625" style="1" customWidth="1"/>
    <col min="17" max="17" width="13.140625" style="1" customWidth="1"/>
    <col min="18" max="18" width="13.5703125" style="1" customWidth="1"/>
    <col min="19" max="16384" width="9.140625" style="1"/>
  </cols>
  <sheetData>
    <row r="2" spans="3:9" ht="25.5" customHeight="1" thickBot="1" x14ac:dyDescent="0.45"/>
    <row r="3" spans="3:9" ht="25.5" customHeight="1" thickBot="1" x14ac:dyDescent="0.45">
      <c r="G3" s="766" t="s">
        <v>657</v>
      </c>
      <c r="H3" s="236">
        <f>HOME!E2</f>
        <v>2022</v>
      </c>
      <c r="I3" s="237">
        <f>HOME!F2</f>
        <v>2023</v>
      </c>
    </row>
    <row r="4" spans="3:9" ht="25.5" customHeight="1" thickBot="1" x14ac:dyDescent="0.45">
      <c r="C4" s="767" t="s">
        <v>334</v>
      </c>
      <c r="D4" s="1400" t="str">
        <f>'शाळा माहिती'!D4</f>
        <v>जि.प.प्रा.शा.बोरजाई वस्ती</v>
      </c>
      <c r="E4" s="1400"/>
      <c r="G4" s="1401" t="s">
        <v>658</v>
      </c>
      <c r="H4" s="1402"/>
      <c r="I4" s="1403"/>
    </row>
    <row r="5" spans="3:9" ht="41.25" customHeight="1" thickBot="1" x14ac:dyDescent="0.45">
      <c r="C5" s="768" t="s">
        <v>86</v>
      </c>
      <c r="D5" s="769" t="s">
        <v>578</v>
      </c>
      <c r="E5" s="770" t="s">
        <v>610</v>
      </c>
      <c r="F5" s="770" t="s">
        <v>611</v>
      </c>
      <c r="G5" s="770" t="s">
        <v>612</v>
      </c>
      <c r="H5" s="770" t="s">
        <v>609</v>
      </c>
      <c r="I5" s="771" t="s">
        <v>577</v>
      </c>
    </row>
    <row r="6" spans="3:9" ht="26.25" customHeight="1" x14ac:dyDescent="0.4">
      <c r="C6" s="582">
        <v>1</v>
      </c>
      <c r="D6" s="276" t="str">
        <f>'बँक जमा खर्च पासबुक'!AF10</f>
        <v>शा.पो.आ.साहित्य खरेदी अनुदान</v>
      </c>
      <c r="E6" s="264">
        <f>'Balance sheet'!F9</f>
        <v>0</v>
      </c>
      <c r="F6" s="264">
        <f>'Balance sheet'!I9</f>
        <v>0</v>
      </c>
      <c r="G6" s="264">
        <f>'Balance sheet'!L9</f>
        <v>0</v>
      </c>
      <c r="H6" s="264">
        <f>'Balance sheet'!O9</f>
        <v>0</v>
      </c>
      <c r="I6" s="264">
        <f>'Balance sheet'!R9</f>
        <v>0</v>
      </c>
    </row>
    <row r="7" spans="3:9" ht="25.5" customHeight="1" x14ac:dyDescent="0.4">
      <c r="C7" s="172">
        <v>2</v>
      </c>
      <c r="D7" s="276" t="str">
        <f>'बँक जमा खर्च पासबुक'!AF11</f>
        <v>इंधन,भाजीपाला,पूरक आहार अनुदान बील</v>
      </c>
      <c r="E7" s="264">
        <f>'Balance sheet'!F10</f>
        <v>0</v>
      </c>
      <c r="F7" s="264">
        <f>'Balance sheet'!I10</f>
        <v>0</v>
      </c>
      <c r="G7" s="264">
        <f>'Balance sheet'!L10</f>
        <v>0</v>
      </c>
      <c r="H7" s="264">
        <f>'Balance sheet'!O10</f>
        <v>0</v>
      </c>
      <c r="I7" s="264">
        <f>'Balance sheet'!R10</f>
        <v>0</v>
      </c>
    </row>
    <row r="8" spans="3:9" ht="25.5" customHeight="1" x14ac:dyDescent="0.4">
      <c r="C8" s="172">
        <v>3</v>
      </c>
      <c r="D8" s="276" t="str">
        <f>'बँक जमा खर्च पासबुक'!AF12</f>
        <v>इंधन,भाजीपाला,पूरक आहार अनुदान फरक बील</v>
      </c>
      <c r="E8" s="264">
        <f>'Balance sheet'!F11</f>
        <v>0</v>
      </c>
      <c r="F8" s="264">
        <f>'Balance sheet'!I11</f>
        <v>0</v>
      </c>
      <c r="G8" s="264">
        <f>'Balance sheet'!L11</f>
        <v>0</v>
      </c>
      <c r="H8" s="264">
        <f>'Balance sheet'!O11</f>
        <v>0</v>
      </c>
      <c r="I8" s="264">
        <f>'Balance sheet'!R11</f>
        <v>0</v>
      </c>
    </row>
    <row r="9" spans="3:9" ht="25.5" customHeight="1" x14ac:dyDescent="0.4">
      <c r="C9" s="172">
        <v>4</v>
      </c>
      <c r="D9" s="276" t="str">
        <f>'बँक जमा खर्च पासबुक'!AF13</f>
        <v>स्वयंपाकी व मदतनीस मानधन</v>
      </c>
      <c r="E9" s="264">
        <f>'Balance sheet'!F12</f>
        <v>6000</v>
      </c>
      <c r="F9" s="264">
        <f>'Balance sheet'!I12</f>
        <v>0</v>
      </c>
      <c r="G9" s="264">
        <f>'Balance sheet'!L12</f>
        <v>6000</v>
      </c>
      <c r="H9" s="264">
        <f>'Balance sheet'!O12</f>
        <v>0</v>
      </c>
      <c r="I9" s="264">
        <f>'Balance sheet'!R12</f>
        <v>6000</v>
      </c>
    </row>
    <row r="10" spans="3:9" ht="25.5" customHeight="1" x14ac:dyDescent="0.4">
      <c r="C10" s="172">
        <v>5</v>
      </c>
      <c r="D10" s="276" t="str">
        <f>'बँक जमा खर्च पासबुक'!AF14</f>
        <v>बँक व्याज</v>
      </c>
      <c r="E10" s="264">
        <f>'Balance sheet'!F13</f>
        <v>0</v>
      </c>
      <c r="F10" s="264">
        <f>'Balance sheet'!I13</f>
        <v>0</v>
      </c>
      <c r="G10" s="264">
        <f>'Balance sheet'!L13</f>
        <v>0</v>
      </c>
      <c r="H10" s="264">
        <f>'Balance sheet'!O13</f>
        <v>0</v>
      </c>
      <c r="I10" s="264">
        <f>'Balance sheet'!R13</f>
        <v>0</v>
      </c>
    </row>
    <row r="11" spans="3:9" ht="25.5" customHeight="1" x14ac:dyDescent="0.4">
      <c r="C11" s="172">
        <v>6</v>
      </c>
      <c r="D11" s="276" t="str">
        <f>'बँक जमा खर्च पासबुक'!AF15</f>
        <v>शिक्षक मानधन</v>
      </c>
      <c r="E11" s="264">
        <f>'Balance sheet'!F14</f>
        <v>0</v>
      </c>
      <c r="F11" s="264">
        <f>'Balance sheet'!I14</f>
        <v>0</v>
      </c>
      <c r="G11" s="264">
        <f>'Balance sheet'!L14</f>
        <v>0</v>
      </c>
      <c r="H11" s="264">
        <f>'Balance sheet'!O14</f>
        <v>0</v>
      </c>
      <c r="I11" s="264">
        <f>'Balance sheet'!R14</f>
        <v>0</v>
      </c>
    </row>
    <row r="12" spans="3:9" ht="25.5" customHeight="1" x14ac:dyDescent="0.4">
      <c r="C12" s="172">
        <v>7</v>
      </c>
      <c r="D12" s="276" t="str">
        <f>'बँक जमा खर्च पासबुक'!AF16</f>
        <v>इंटरनेट साठी शाळा अनुदान</v>
      </c>
      <c r="E12" s="264">
        <f>'Balance sheet'!F15</f>
        <v>0</v>
      </c>
      <c r="F12" s="264">
        <f>'Balance sheet'!I15</f>
        <v>0</v>
      </c>
      <c r="G12" s="264">
        <f>'Balance sheet'!L15</f>
        <v>0</v>
      </c>
      <c r="H12" s="264">
        <f>'Balance sheet'!O15</f>
        <v>0</v>
      </c>
      <c r="I12" s="264">
        <f>'Balance sheet'!R15</f>
        <v>0</v>
      </c>
    </row>
    <row r="13" spans="3:9" ht="25.5" customHeight="1" x14ac:dyDescent="0.4">
      <c r="C13" s="172">
        <v>8</v>
      </c>
      <c r="D13" s="276" t="str">
        <f>'बँक जमा खर्च पासबुक'!AF17</f>
        <v>गॅस अनुदान</v>
      </c>
      <c r="E13" s="264">
        <f>'Balance sheet'!F16</f>
        <v>0</v>
      </c>
      <c r="F13" s="264">
        <f>'Balance sheet'!I16</f>
        <v>0</v>
      </c>
      <c r="G13" s="264">
        <f>'Balance sheet'!L16</f>
        <v>0</v>
      </c>
      <c r="H13" s="264">
        <f>'Balance sheet'!O16</f>
        <v>0</v>
      </c>
      <c r="I13" s="264">
        <f>'Balance sheet'!R16</f>
        <v>0</v>
      </c>
    </row>
    <row r="14" spans="3:9" ht="25.5" customHeight="1" x14ac:dyDescent="0.4">
      <c r="C14" s="172">
        <v>9</v>
      </c>
      <c r="D14" s="276" t="str">
        <f>'बँक जमा खर्च पासबुक'!AF18</f>
        <v>शा.पो.आ.भांडी अनुदान</v>
      </c>
      <c r="E14" s="264">
        <f>'Balance sheet'!F17</f>
        <v>0</v>
      </c>
      <c r="F14" s="264">
        <f>'Balance sheet'!I17</f>
        <v>0</v>
      </c>
      <c r="G14" s="264">
        <f>'Balance sheet'!L17</f>
        <v>0</v>
      </c>
      <c r="H14" s="264">
        <f>'Balance sheet'!O17</f>
        <v>0</v>
      </c>
      <c r="I14" s="264">
        <f>'Balance sheet'!R17</f>
        <v>0</v>
      </c>
    </row>
    <row r="15" spans="3:9" ht="25.5" customHeight="1" x14ac:dyDescent="0.4">
      <c r="C15" s="172">
        <v>10</v>
      </c>
      <c r="D15" s="276" t="str">
        <f>'बँक जमा खर्च पासबुक'!AF19</f>
        <v>बँक अनामत</v>
      </c>
      <c r="E15" s="264">
        <f>'Balance sheet'!F18</f>
        <v>0</v>
      </c>
      <c r="F15" s="264">
        <f>'Balance sheet'!I18</f>
        <v>0</v>
      </c>
      <c r="G15" s="264">
        <f>'Balance sheet'!L18</f>
        <v>0</v>
      </c>
      <c r="H15" s="264">
        <f>'Balance sheet'!O18</f>
        <v>0</v>
      </c>
      <c r="I15" s="264">
        <f>'Balance sheet'!R18</f>
        <v>0</v>
      </c>
    </row>
    <row r="16" spans="3:9" ht="25.5" customHeight="1" x14ac:dyDescent="0.4">
      <c r="C16" s="757">
        <v>11</v>
      </c>
      <c r="D16" s="276" t="str">
        <f>'बँक जमा खर्च पासबुक'!AF20</f>
        <v>इतर अनुदान</v>
      </c>
      <c r="E16" s="264">
        <f>'Balance sheet'!F19</f>
        <v>0</v>
      </c>
      <c r="F16" s="264">
        <f>'Balance sheet'!I19</f>
        <v>0</v>
      </c>
      <c r="G16" s="264">
        <f>'Balance sheet'!L19</f>
        <v>0</v>
      </c>
      <c r="H16" s="264">
        <f>'Balance sheet'!O19</f>
        <v>0</v>
      </c>
      <c r="I16" s="264">
        <f>'Balance sheet'!R19</f>
        <v>0</v>
      </c>
    </row>
    <row r="17" spans="1:18" ht="25.5" customHeight="1" x14ac:dyDescent="0.4">
      <c r="C17" s="172">
        <v>12</v>
      </c>
      <c r="D17" s="276" t="str">
        <f>'बँक जमा खर्च पासबुक'!AF21</f>
        <v>निनावी रक्कम</v>
      </c>
      <c r="E17" s="264">
        <f>'Balance sheet'!F20</f>
        <v>0</v>
      </c>
      <c r="F17" s="264">
        <f>'Balance sheet'!I20</f>
        <v>0</v>
      </c>
      <c r="G17" s="264">
        <f>'Balance sheet'!L20</f>
        <v>0</v>
      </c>
      <c r="H17" s="264">
        <f>'Balance sheet'!O20</f>
        <v>0</v>
      </c>
      <c r="I17" s="264">
        <f>'Balance sheet'!R20</f>
        <v>0</v>
      </c>
    </row>
    <row r="18" spans="1:18" ht="25.5" customHeight="1" x14ac:dyDescent="0.4">
      <c r="C18" s="757">
        <v>13</v>
      </c>
      <c r="D18" s="276" t="str">
        <f>'बँक जमा खर्च पासबुक'!AF22</f>
        <v>इतर फरक रक्कम</v>
      </c>
      <c r="E18" s="264">
        <f>'Balance sheet'!F21</f>
        <v>0</v>
      </c>
      <c r="F18" s="264">
        <f>'Balance sheet'!I21</f>
        <v>0</v>
      </c>
      <c r="G18" s="264">
        <f>'Balance sheet'!L21</f>
        <v>0</v>
      </c>
      <c r="H18" s="264">
        <f>'Balance sheet'!O21</f>
        <v>0</v>
      </c>
      <c r="I18" s="264">
        <f>'Balance sheet'!R21</f>
        <v>0</v>
      </c>
    </row>
    <row r="19" spans="1:18" ht="25.5" customHeight="1" x14ac:dyDescent="0.4">
      <c r="C19" s="763"/>
      <c r="D19" s="18" t="s">
        <v>35</v>
      </c>
      <c r="E19" s="265">
        <f>SUM(E6:E18)</f>
        <v>6000</v>
      </c>
      <c r="F19" s="265">
        <f>SUM(F6:F18)</f>
        <v>0</v>
      </c>
      <c r="G19" s="265">
        <f>SUM(G6:G18)</f>
        <v>6000</v>
      </c>
      <c r="H19" s="265">
        <f>SUM(H6:H18)</f>
        <v>0</v>
      </c>
      <c r="I19" s="265">
        <f>SUM(I6:I18)</f>
        <v>6000</v>
      </c>
    </row>
    <row r="22" spans="1:18" ht="25.5" customHeight="1" thickBot="1" x14ac:dyDescent="0.45"/>
    <row r="23" spans="1:18" ht="25.5" customHeight="1" thickBot="1" x14ac:dyDescent="0.45">
      <c r="A23" s="21"/>
      <c r="B23" s="772" t="s">
        <v>433</v>
      </c>
      <c r="C23" s="773" t="s">
        <v>639</v>
      </c>
      <c r="D23" s="1415" t="str">
        <f>D6</f>
        <v>शा.पो.आ.साहित्य खरेदी अनुदान</v>
      </c>
      <c r="E23" s="1415"/>
      <c r="F23" s="774"/>
      <c r="G23" s="773" t="s">
        <v>312</v>
      </c>
      <c r="H23" s="238">
        <f>HOME!$E$2</f>
        <v>2022</v>
      </c>
      <c r="I23" s="239">
        <f>HOME!$F$2</f>
        <v>2023</v>
      </c>
      <c r="J23" s="773"/>
      <c r="K23" s="775"/>
      <c r="L23" s="776"/>
      <c r="M23" s="777"/>
      <c r="N23" s="777"/>
      <c r="O23" s="777"/>
      <c r="P23" s="777"/>
      <c r="Q23" s="777"/>
      <c r="R23" s="778"/>
    </row>
    <row r="25" spans="1:18" ht="25.5" customHeight="1" x14ac:dyDescent="0.4">
      <c r="B25" s="1411" t="s">
        <v>86</v>
      </c>
      <c r="C25" s="1413" t="s">
        <v>17</v>
      </c>
      <c r="D25" s="1410" t="s">
        <v>553</v>
      </c>
      <c r="E25" s="1410"/>
      <c r="F25" s="1410"/>
      <c r="G25" s="1410" t="s">
        <v>544</v>
      </c>
      <c r="H25" s="1410"/>
      <c r="I25" s="1410"/>
      <c r="J25" s="1407" t="s">
        <v>554</v>
      </c>
      <c r="K25" s="1408"/>
      <c r="L25" s="1409"/>
      <c r="M25" s="1410" t="s">
        <v>545</v>
      </c>
      <c r="N25" s="1410"/>
      <c r="O25" s="1410"/>
      <c r="P25" s="1410" t="s">
        <v>637</v>
      </c>
      <c r="Q25" s="1410"/>
      <c r="R25" s="1410"/>
    </row>
    <row r="26" spans="1:18" ht="25.5" customHeight="1" x14ac:dyDescent="0.4">
      <c r="B26" s="1412"/>
      <c r="C26" s="1414"/>
      <c r="D26" s="1407" t="s">
        <v>636</v>
      </c>
      <c r="E26" s="1408"/>
      <c r="F26" s="1409"/>
      <c r="G26" s="582" t="s">
        <v>586</v>
      </c>
      <c r="H26" s="582" t="s">
        <v>587</v>
      </c>
      <c r="I26" s="582" t="s">
        <v>35</v>
      </c>
      <c r="J26" s="1407" t="s">
        <v>636</v>
      </c>
      <c r="K26" s="1408"/>
      <c r="L26" s="1409"/>
      <c r="M26" s="582" t="s">
        <v>586</v>
      </c>
      <c r="N26" s="582" t="s">
        <v>587</v>
      </c>
      <c r="O26" s="582" t="s">
        <v>35</v>
      </c>
      <c r="P26" s="582" t="s">
        <v>586</v>
      </c>
      <c r="Q26" s="582" t="s">
        <v>587</v>
      </c>
      <c r="R26" s="582" t="s">
        <v>35</v>
      </c>
    </row>
    <row r="27" spans="1:18" ht="25.5" customHeight="1" x14ac:dyDescent="0.4">
      <c r="B27" s="779"/>
      <c r="C27" s="780"/>
      <c r="D27" s="1404" t="s">
        <v>87</v>
      </c>
      <c r="E27" s="1405"/>
      <c r="F27" s="1406"/>
      <c r="G27" s="264">
        <f>'Balance sheet'!D9</f>
        <v>0</v>
      </c>
      <c r="H27" s="264">
        <f>'Balance sheet'!E9</f>
        <v>0</v>
      </c>
      <c r="I27" s="264">
        <f>SUM(G27:H27)</f>
        <v>0</v>
      </c>
      <c r="J27" s="781"/>
      <c r="K27" s="782"/>
      <c r="L27" s="783"/>
      <c r="M27" s="784"/>
      <c r="N27" s="784"/>
      <c r="O27" s="784"/>
      <c r="P27" s="784"/>
      <c r="Q27" s="784"/>
      <c r="R27" s="784"/>
    </row>
    <row r="28" spans="1:18" ht="25.5" customHeight="1" x14ac:dyDescent="0.4">
      <c r="B28" s="172">
        <v>1</v>
      </c>
      <c r="C28" s="234" t="str">
        <f>IFERROR(VLOOKUP(B28,'बँक जमा खर्च पासबुक'!$BC$8:$CD$111,18,0),"")</f>
        <v/>
      </c>
      <c r="D28" s="354" t="str">
        <f>IFERROR(VLOOKUP(B28,'बँक जमा खर्च पासबुक'!$BC$8:$CD$111,21,0),"")</f>
        <v/>
      </c>
      <c r="E28" s="240" t="str">
        <f>IFERROR(VLOOKUP(B28,'बँक जमा खर्च पासबुक'!$BC$8:$CD$111,19,0),"")</f>
        <v/>
      </c>
      <c r="F28" s="241" t="str">
        <f>IFERROR(VLOOKUP(B28,'बँक जमा खर्च पासबुक'!$BC$8:$CD$111,20,0),"")</f>
        <v/>
      </c>
      <c r="G28" s="262" t="str">
        <f>IFERROR(VLOOKUP(B28,'बँक जमा खर्च पासबुक'!$BC$8:$CD$111,25,0),"")</f>
        <v/>
      </c>
      <c r="H28" s="262" t="str">
        <f>IFERROR(VLOOKUP(B28,'बँक जमा खर्च पासबुक'!$BC$8:$CD$111,26,0),"")</f>
        <v/>
      </c>
      <c r="I28" s="262" t="str">
        <f>IFERROR(G28+H28,"")</f>
        <v/>
      </c>
      <c r="J28" s="354" t="str">
        <f>IFERROR(VLOOKUP(B28,'बँक जमा खर्च पासबुक'!$BC$8:$CD$111,24,0),"")</f>
        <v/>
      </c>
      <c r="K28" s="242" t="str">
        <f>IFERROR(VLOOKUP(B28,'बँक जमा खर्च पासबुक'!$BC$8:$CD$111,22,0),"")</f>
        <v/>
      </c>
      <c r="L28" s="241" t="str">
        <f>IFERROR(VLOOKUP(B28,'बँक जमा खर्च पासबुक'!$BC$8:$CD$111,23,0),"")</f>
        <v/>
      </c>
      <c r="M28" s="266" t="str">
        <f>IFERROR(VLOOKUP(B28,'बँक जमा खर्च पासबुक'!$BC$8:$CD$111,27,0),"")</f>
        <v/>
      </c>
      <c r="N28" s="266" t="str">
        <f>IFERROR(VLOOKUP(B28,'बँक जमा खर्च पासबुक'!$BC$8:$CD$111,28,0),"")</f>
        <v/>
      </c>
      <c r="O28" s="266" t="str">
        <f>IFERROR(M28+N28,"")</f>
        <v/>
      </c>
      <c r="P28" s="266" t="str">
        <f>IFERROR(G27+G28-M28,"")</f>
        <v/>
      </c>
      <c r="Q28" s="266" t="str">
        <f>IFERROR(H27+H28-N28,"")</f>
        <v/>
      </c>
      <c r="R28" s="266" t="str">
        <f>IFERROR(I27+I28-O28,"")</f>
        <v/>
      </c>
    </row>
    <row r="29" spans="1:18" ht="25.5" customHeight="1" x14ac:dyDescent="0.4">
      <c r="B29" s="172">
        <v>2</v>
      </c>
      <c r="C29" s="234" t="str">
        <f>IFERROR(VLOOKUP(B29,'बँक जमा खर्च पासबुक'!$BC$8:$CD$111,18,0),"")</f>
        <v/>
      </c>
      <c r="D29" s="354" t="str">
        <f>IFERROR(VLOOKUP(B29,'बँक जमा खर्च पासबुक'!$BC$8:$CD$111,21,0),"")</f>
        <v/>
      </c>
      <c r="E29" s="240" t="str">
        <f>IFERROR(VLOOKUP(B29,'बँक जमा खर्च पासबुक'!$BC$8:$CD$111,19,0),"")</f>
        <v/>
      </c>
      <c r="F29" s="241" t="str">
        <f>IFERROR(VLOOKUP(B29,'बँक जमा खर्च पासबुक'!$BC$8:$CD$111,20,0),"")</f>
        <v/>
      </c>
      <c r="G29" s="262" t="str">
        <f>IFERROR(VLOOKUP(B29,'बँक जमा खर्च पासबुक'!$BC$8:$CD$111,25,0),"")</f>
        <v/>
      </c>
      <c r="H29" s="262" t="str">
        <f>IFERROR(VLOOKUP(B29,'बँक जमा खर्च पासबुक'!$BC$8:$CD$111,26,0),"")</f>
        <v/>
      </c>
      <c r="I29" s="262" t="str">
        <f t="shared" ref="I29:I36" si="0">IFERROR(G29+H29,"")</f>
        <v/>
      </c>
      <c r="J29" s="354" t="str">
        <f>IFERROR(VLOOKUP(B29,'बँक जमा खर्च पासबुक'!$BC$8:$CD$111,24,0),"")</f>
        <v/>
      </c>
      <c r="K29" s="240" t="str">
        <f>IFERROR(VLOOKUP(B29,'बँक जमा खर्च पासबुक'!$BC$8:$CD$111,22,0),"")</f>
        <v/>
      </c>
      <c r="L29" s="241" t="str">
        <f>IFERROR(VLOOKUP(B29,'बँक जमा खर्च पासबुक'!$BC$8:$CD$111,23,0),"")</f>
        <v/>
      </c>
      <c r="M29" s="266" t="str">
        <f>IFERROR(VLOOKUP(B29,'बँक जमा खर्च पासबुक'!$BC$8:$CD$111,27,0),"")</f>
        <v/>
      </c>
      <c r="N29" s="266" t="str">
        <f>IFERROR(VLOOKUP(B29,'बँक जमा खर्च पासबुक'!$BC$8:$CD$111,28,0),"")</f>
        <v/>
      </c>
      <c r="O29" s="266" t="str">
        <f t="shared" ref="O29:O36" si="1">IFERROR(M29+N29,"")</f>
        <v/>
      </c>
      <c r="P29" s="266" t="str">
        <f>IFERROR(P28+G29-M29,"")</f>
        <v/>
      </c>
      <c r="Q29" s="266" t="str">
        <f>IFERROR(Q28+H29-N29,"")</f>
        <v/>
      </c>
      <c r="R29" s="266" t="str">
        <f>IFERROR(R28+I29-O29,"")</f>
        <v/>
      </c>
    </row>
    <row r="30" spans="1:18" ht="25.5" customHeight="1" x14ac:dyDescent="0.4">
      <c r="B30" s="172">
        <v>3</v>
      </c>
      <c r="C30" s="234" t="str">
        <f>IFERROR(VLOOKUP(B30,'बँक जमा खर्च पासबुक'!$BC$8:$CD$111,18,0),"")</f>
        <v/>
      </c>
      <c r="D30" s="354" t="str">
        <f>IFERROR(VLOOKUP(B30,'बँक जमा खर्च पासबुक'!$BC$8:$CD$111,21,0),"")</f>
        <v/>
      </c>
      <c r="E30" s="240" t="str">
        <f>IFERROR(VLOOKUP(B30,'बँक जमा खर्च पासबुक'!$BC$8:$CD$111,19,0),"")</f>
        <v/>
      </c>
      <c r="F30" s="241" t="str">
        <f>IFERROR(VLOOKUP(B30,'बँक जमा खर्च पासबुक'!$BC$8:$CD$111,20,0),"")</f>
        <v/>
      </c>
      <c r="G30" s="262" t="str">
        <f>IFERROR(VLOOKUP(B30,'बँक जमा खर्च पासबुक'!$BC$8:$CD$111,25,0),"")</f>
        <v/>
      </c>
      <c r="H30" s="262" t="str">
        <f>IFERROR(VLOOKUP(B30,'बँक जमा खर्च पासबुक'!$BC$8:$CD$111,26,0),"")</f>
        <v/>
      </c>
      <c r="I30" s="262" t="str">
        <f t="shared" si="0"/>
        <v/>
      </c>
      <c r="J30" s="354" t="str">
        <f>IFERROR(VLOOKUP(B30,'बँक जमा खर्च पासबुक'!$BC$8:$CD$111,24,0),"")</f>
        <v/>
      </c>
      <c r="K30" s="242" t="str">
        <f>IFERROR(VLOOKUP(B30,'बँक जमा खर्च पासबुक'!$BC$8:$CD$111,22,0),"")</f>
        <v/>
      </c>
      <c r="L30" s="241" t="str">
        <f>IFERROR(VLOOKUP(B30,'बँक जमा खर्च पासबुक'!$BC$8:$CD$111,23,0),"")</f>
        <v/>
      </c>
      <c r="M30" s="266" t="str">
        <f>IFERROR(VLOOKUP(B30,'बँक जमा खर्च पासबुक'!$BC$8:$CD$111,27,0),"")</f>
        <v/>
      </c>
      <c r="N30" s="266" t="str">
        <f>IFERROR(VLOOKUP(B30,'बँक जमा खर्च पासबुक'!$BC$8:$CD$111,28,0),"")</f>
        <v/>
      </c>
      <c r="O30" s="266" t="str">
        <f t="shared" si="1"/>
        <v/>
      </c>
      <c r="P30" s="266" t="str">
        <f t="shared" ref="P30:P36" si="2">IFERROR(P29+G30-M30,"")</f>
        <v/>
      </c>
      <c r="Q30" s="266" t="str">
        <f t="shared" ref="Q30:Q36" si="3">IFERROR(Q29+H30-N30,"")</f>
        <v/>
      </c>
      <c r="R30" s="266" t="str">
        <f t="shared" ref="R30:R36" si="4">IFERROR(R29+I30-O30,"")</f>
        <v/>
      </c>
    </row>
    <row r="31" spans="1:18" ht="25.5" customHeight="1" x14ac:dyDescent="0.4">
      <c r="B31" s="172">
        <v>4</v>
      </c>
      <c r="C31" s="234" t="str">
        <f>IFERROR(VLOOKUP(B31,'बँक जमा खर्च पासबुक'!$BC$8:$CD$111,18,0),"")</f>
        <v/>
      </c>
      <c r="D31" s="354" t="str">
        <f>IFERROR(VLOOKUP(B31,'बँक जमा खर्च पासबुक'!$BC$8:$CD$111,21,0),"")</f>
        <v/>
      </c>
      <c r="E31" s="240" t="str">
        <f>IFERROR(VLOOKUP(B31,'बँक जमा खर्च पासबुक'!$BC$8:$CD$111,19,0),"")</f>
        <v/>
      </c>
      <c r="F31" s="241" t="str">
        <f>IFERROR(VLOOKUP(B31,'बँक जमा खर्च पासबुक'!$BC$8:$CD$111,20,0),"")</f>
        <v/>
      </c>
      <c r="G31" s="262" t="str">
        <f>IFERROR(VLOOKUP(B31,'बँक जमा खर्च पासबुक'!$BC$8:$CD$111,25,0),"")</f>
        <v/>
      </c>
      <c r="H31" s="262" t="str">
        <f>IFERROR(VLOOKUP(B31,'बँक जमा खर्च पासबुक'!$BC$8:$CD$111,26,0),"")</f>
        <v/>
      </c>
      <c r="I31" s="262" t="str">
        <f t="shared" si="0"/>
        <v/>
      </c>
      <c r="J31" s="354" t="str">
        <f>IFERROR(VLOOKUP(B31,'बँक जमा खर्च पासबुक'!$BC$8:$CD$111,24,0),"")</f>
        <v/>
      </c>
      <c r="K31" s="243" t="str">
        <f>IFERROR(VLOOKUP(B31,'बँक जमा खर्च पासबुक'!$BC$8:$CD$111,22,0),"")</f>
        <v/>
      </c>
      <c r="L31" s="241" t="str">
        <f>IFERROR(VLOOKUP(B31,'बँक जमा खर्च पासबुक'!$BC$8:$CD$111,23,0),"")</f>
        <v/>
      </c>
      <c r="M31" s="266" t="str">
        <f>IFERROR(VLOOKUP(B31,'बँक जमा खर्च पासबुक'!$BC$8:$CD$111,27,0),"")</f>
        <v/>
      </c>
      <c r="N31" s="266" t="str">
        <f>IFERROR(VLOOKUP(B31,'बँक जमा खर्च पासबुक'!$BC$8:$CD$111,28,0),"")</f>
        <v/>
      </c>
      <c r="O31" s="266" t="str">
        <f t="shared" si="1"/>
        <v/>
      </c>
      <c r="P31" s="266" t="str">
        <f t="shared" si="2"/>
        <v/>
      </c>
      <c r="Q31" s="266" t="str">
        <f t="shared" si="3"/>
        <v/>
      </c>
      <c r="R31" s="266" t="str">
        <f t="shared" si="4"/>
        <v/>
      </c>
    </row>
    <row r="32" spans="1:18" ht="25.5" customHeight="1" x14ac:dyDescent="0.4">
      <c r="B32" s="172">
        <v>5</v>
      </c>
      <c r="C32" s="234" t="str">
        <f>IFERROR(VLOOKUP(B32,'बँक जमा खर्च पासबुक'!$BC$8:$CD$111,18,0),"")</f>
        <v/>
      </c>
      <c r="D32" s="354" t="str">
        <f>IFERROR(VLOOKUP(B32,'बँक जमा खर्च पासबुक'!$BC$8:$CD$111,21,0),"")</f>
        <v/>
      </c>
      <c r="E32" s="240" t="str">
        <f>IFERROR(VLOOKUP(B32,'बँक जमा खर्च पासबुक'!$BC$8:$CD$111,19,0),"")</f>
        <v/>
      </c>
      <c r="F32" s="241" t="str">
        <f>IFERROR(VLOOKUP(B32,'बँक जमा खर्च पासबुक'!$BC$8:$CD$111,20,0),"")</f>
        <v/>
      </c>
      <c r="G32" s="262" t="str">
        <f>IFERROR(VLOOKUP(B32,'बँक जमा खर्च पासबुक'!$BC$8:$CD$111,25,0),"")</f>
        <v/>
      </c>
      <c r="H32" s="262" t="str">
        <f>IFERROR(VLOOKUP(B32,'बँक जमा खर्च पासबुक'!$BC$8:$CD$111,26,0),"")</f>
        <v/>
      </c>
      <c r="I32" s="262" t="str">
        <f t="shared" si="0"/>
        <v/>
      </c>
      <c r="J32" s="354" t="str">
        <f>IFERROR(VLOOKUP(B32,'बँक जमा खर्च पासबुक'!$BC$8:$CD$111,24,0),"")</f>
        <v/>
      </c>
      <c r="K32" s="243" t="str">
        <f>IFERROR(VLOOKUP(B32,'बँक जमा खर्च पासबुक'!$BC$8:$CD$111,22,0),"")</f>
        <v/>
      </c>
      <c r="L32" s="241" t="str">
        <f>IFERROR(VLOOKUP(B32,'बँक जमा खर्च पासबुक'!$BC$8:$CD$111,23,0),"")</f>
        <v/>
      </c>
      <c r="M32" s="266" t="str">
        <f>IFERROR(VLOOKUP(B32,'बँक जमा खर्च पासबुक'!$BC$8:$CD$111,27,0),"")</f>
        <v/>
      </c>
      <c r="N32" s="266" t="str">
        <f>IFERROR(VLOOKUP(B32,'बँक जमा खर्च पासबुक'!$BC$8:$CD$111,28,0),"")</f>
        <v/>
      </c>
      <c r="O32" s="266" t="str">
        <f t="shared" si="1"/>
        <v/>
      </c>
      <c r="P32" s="266" t="str">
        <f t="shared" si="2"/>
        <v/>
      </c>
      <c r="Q32" s="266" t="str">
        <f t="shared" si="3"/>
        <v/>
      </c>
      <c r="R32" s="266" t="str">
        <f t="shared" si="4"/>
        <v/>
      </c>
    </row>
    <row r="33" spans="2:18" ht="25.5" customHeight="1" x14ac:dyDescent="0.4">
      <c r="B33" s="172">
        <v>6</v>
      </c>
      <c r="C33" s="234" t="str">
        <f>IFERROR(VLOOKUP(B33,'बँक जमा खर्च पासबुक'!$BC$8:$CD$111,18,0),"")</f>
        <v/>
      </c>
      <c r="D33" s="354" t="str">
        <f>IFERROR(VLOOKUP(B33,'बँक जमा खर्च पासबुक'!$BC$8:$CD$111,21,0),"")</f>
        <v/>
      </c>
      <c r="E33" s="240" t="str">
        <f>IFERROR(VLOOKUP(B33,'बँक जमा खर्च पासबुक'!$BC$8:$CD$111,19,0),"")</f>
        <v/>
      </c>
      <c r="F33" s="241" t="str">
        <f>IFERROR(VLOOKUP(B33,'बँक जमा खर्च पासबुक'!$BC$8:$CD$111,20,0),"")</f>
        <v/>
      </c>
      <c r="G33" s="262" t="str">
        <f>IFERROR(VLOOKUP(B33,'बँक जमा खर्च पासबुक'!$BC$8:$CD$111,25,0),"")</f>
        <v/>
      </c>
      <c r="H33" s="262" t="str">
        <f>IFERROR(VLOOKUP(B33,'बँक जमा खर्च पासबुक'!$BC$8:$CD$111,26,0),"")</f>
        <v/>
      </c>
      <c r="I33" s="262" t="str">
        <f t="shared" si="0"/>
        <v/>
      </c>
      <c r="J33" s="354" t="str">
        <f>IFERROR(VLOOKUP(B33,'बँक जमा खर्च पासबुक'!$BC$8:$CD$111,24,0),"")</f>
        <v/>
      </c>
      <c r="K33" s="243" t="str">
        <f>IFERROR(VLOOKUP(B33,'बँक जमा खर्च पासबुक'!$BC$8:$CD$111,22,0),"")</f>
        <v/>
      </c>
      <c r="L33" s="241" t="str">
        <f>IFERROR(VLOOKUP(B33,'बँक जमा खर्च पासबुक'!$BC$8:$CD$111,23,0),"")</f>
        <v/>
      </c>
      <c r="M33" s="266" t="str">
        <f>IFERROR(VLOOKUP(B33,'बँक जमा खर्च पासबुक'!$BC$8:$CD$111,27,0),"")</f>
        <v/>
      </c>
      <c r="N33" s="266" t="str">
        <f>IFERROR(VLOOKUP(B33,'बँक जमा खर्च पासबुक'!$BC$8:$CD$111,28,0),"")</f>
        <v/>
      </c>
      <c r="O33" s="266" t="str">
        <f t="shared" si="1"/>
        <v/>
      </c>
      <c r="P33" s="266" t="str">
        <f t="shared" si="2"/>
        <v/>
      </c>
      <c r="Q33" s="266" t="str">
        <f t="shared" si="3"/>
        <v/>
      </c>
      <c r="R33" s="266" t="str">
        <f t="shared" si="4"/>
        <v/>
      </c>
    </row>
    <row r="34" spans="2:18" ht="25.5" customHeight="1" x14ac:dyDescent="0.4">
      <c r="B34" s="172">
        <v>7</v>
      </c>
      <c r="C34" s="234" t="str">
        <f>IFERROR(VLOOKUP(B34,'बँक जमा खर्च पासबुक'!$BC$8:$CD$111,18,0),"")</f>
        <v/>
      </c>
      <c r="D34" s="354" t="str">
        <f>IFERROR(VLOOKUP(B34,'बँक जमा खर्च पासबुक'!$BC$8:$CD$111,21,0),"")</f>
        <v/>
      </c>
      <c r="E34" s="240" t="str">
        <f>IFERROR(VLOOKUP(B34,'बँक जमा खर्च पासबुक'!$BC$8:$CD$111,19,0),"")</f>
        <v/>
      </c>
      <c r="F34" s="241" t="str">
        <f>IFERROR(VLOOKUP(B34,'बँक जमा खर्च पासबुक'!$BC$8:$CD$111,20,0),"")</f>
        <v/>
      </c>
      <c r="G34" s="262" t="str">
        <f>IFERROR(VLOOKUP(B34,'बँक जमा खर्च पासबुक'!$BC$8:$CD$111,25,0),"")</f>
        <v/>
      </c>
      <c r="H34" s="262" t="str">
        <f>IFERROR(VLOOKUP(B34,'बँक जमा खर्च पासबुक'!$BC$8:$CD$111,26,0),"")</f>
        <v/>
      </c>
      <c r="I34" s="262" t="str">
        <f t="shared" si="0"/>
        <v/>
      </c>
      <c r="J34" s="354" t="str">
        <f>IFERROR(VLOOKUP(B34,'बँक जमा खर्च पासबुक'!$BC$8:$CD$111,24,0),"")</f>
        <v/>
      </c>
      <c r="K34" s="243" t="str">
        <f>IFERROR(VLOOKUP(B34,'बँक जमा खर्च पासबुक'!$BC$8:$CD$111,22,0),"")</f>
        <v/>
      </c>
      <c r="L34" s="241" t="str">
        <f>IFERROR(VLOOKUP(B34,'बँक जमा खर्च पासबुक'!$BC$8:$CD$111,23,0),"")</f>
        <v/>
      </c>
      <c r="M34" s="266" t="str">
        <f>IFERROR(VLOOKUP(B34,'बँक जमा खर्च पासबुक'!$BC$8:$CD$111,27,0),"")</f>
        <v/>
      </c>
      <c r="N34" s="266" t="str">
        <f>IFERROR(VLOOKUP(B34,'बँक जमा खर्च पासबुक'!$BC$8:$CD$111,28,0),"")</f>
        <v/>
      </c>
      <c r="O34" s="266" t="str">
        <f t="shared" si="1"/>
        <v/>
      </c>
      <c r="P34" s="266" t="str">
        <f t="shared" si="2"/>
        <v/>
      </c>
      <c r="Q34" s="266" t="str">
        <f t="shared" si="3"/>
        <v/>
      </c>
      <c r="R34" s="266" t="str">
        <f t="shared" si="4"/>
        <v/>
      </c>
    </row>
    <row r="35" spans="2:18" ht="25.5" customHeight="1" x14ac:dyDescent="0.4">
      <c r="B35" s="172">
        <v>8</v>
      </c>
      <c r="C35" s="234" t="str">
        <f>IFERROR(VLOOKUP(B35,'बँक जमा खर्च पासबुक'!$BC$8:$CD$111,18,0),"")</f>
        <v/>
      </c>
      <c r="D35" s="354" t="str">
        <f>IFERROR(VLOOKUP(B35,'बँक जमा खर्च पासबुक'!$BC$8:$CD$111,21,0),"")</f>
        <v/>
      </c>
      <c r="E35" s="240" t="str">
        <f>IFERROR(VLOOKUP(B35,'बँक जमा खर्च पासबुक'!$BC$8:$CD$111,19,0),"")</f>
        <v/>
      </c>
      <c r="F35" s="241" t="str">
        <f>IFERROR(VLOOKUP(B35,'बँक जमा खर्च पासबुक'!$BC$8:$CD$111,20,0),"")</f>
        <v/>
      </c>
      <c r="G35" s="262" t="str">
        <f>IFERROR(VLOOKUP(B35,'बँक जमा खर्च पासबुक'!$BC$8:$CD$111,25,0),"")</f>
        <v/>
      </c>
      <c r="H35" s="262" t="str">
        <f>IFERROR(VLOOKUP(B35,'बँक जमा खर्च पासबुक'!$BC$8:$CD$111,26,0),"")</f>
        <v/>
      </c>
      <c r="I35" s="262" t="str">
        <f t="shared" si="0"/>
        <v/>
      </c>
      <c r="J35" s="354" t="str">
        <f>IFERROR(VLOOKUP(B35,'बँक जमा खर्च पासबुक'!$BC$8:$CD$111,24,0),"")</f>
        <v/>
      </c>
      <c r="K35" s="240" t="str">
        <f>IFERROR(VLOOKUP(B35,'बँक जमा खर्च पासबुक'!$BC$8:$CD$111,22,0),"")</f>
        <v/>
      </c>
      <c r="L35" s="241" t="str">
        <f>IFERROR(VLOOKUP(B35,'बँक जमा खर्च पासबुक'!$BC$8:$CD$111,23,0),"")</f>
        <v/>
      </c>
      <c r="M35" s="266" t="str">
        <f>IFERROR(VLOOKUP(B35,'बँक जमा खर्च पासबुक'!$BC$8:$CD$111,27,0),"")</f>
        <v/>
      </c>
      <c r="N35" s="266" t="str">
        <f>IFERROR(VLOOKUP(B35,'बँक जमा खर्च पासबुक'!$BC$8:$CD$111,28,0),"")</f>
        <v/>
      </c>
      <c r="O35" s="266" t="str">
        <f t="shared" si="1"/>
        <v/>
      </c>
      <c r="P35" s="266" t="str">
        <f t="shared" si="2"/>
        <v/>
      </c>
      <c r="Q35" s="266" t="str">
        <f t="shared" si="3"/>
        <v/>
      </c>
      <c r="R35" s="266" t="str">
        <f t="shared" si="4"/>
        <v/>
      </c>
    </row>
    <row r="36" spans="2:18" ht="25.5" customHeight="1" x14ac:dyDescent="0.4">
      <c r="B36" s="172">
        <v>9</v>
      </c>
      <c r="C36" s="234" t="str">
        <f>IFERROR(VLOOKUP(B36,'बँक जमा खर्च पासबुक'!$BC$8:$CD$111,18,0),"")</f>
        <v/>
      </c>
      <c r="D36" s="354" t="str">
        <f>IFERROR(VLOOKUP(B36,'बँक जमा खर्च पासबुक'!$BC$8:$CD$111,21,0),"")</f>
        <v/>
      </c>
      <c r="E36" s="240" t="str">
        <f>IFERROR(VLOOKUP(B36,'बँक जमा खर्च पासबुक'!$BC$8:$CD$111,19,0),"")</f>
        <v/>
      </c>
      <c r="F36" s="241" t="str">
        <f>IFERROR(VLOOKUP(B36,'बँक जमा खर्च पासबुक'!$BC$8:$CD$111,20,0),"")</f>
        <v/>
      </c>
      <c r="G36" s="262" t="str">
        <f>IFERROR(VLOOKUP(B36,'बँक जमा खर्च पासबुक'!$BC$8:$CD$111,25,0),"")</f>
        <v/>
      </c>
      <c r="H36" s="262" t="str">
        <f>IFERROR(VLOOKUP(B36,'बँक जमा खर्च पासबुक'!$BC$8:$CD$111,26,0),"")</f>
        <v/>
      </c>
      <c r="I36" s="262" t="str">
        <f t="shared" si="0"/>
        <v/>
      </c>
      <c r="J36" s="354" t="str">
        <f>IFERROR(VLOOKUP(B36,'बँक जमा खर्च पासबुक'!$BC$8:$CD$111,24,0),"")</f>
        <v/>
      </c>
      <c r="K36" s="240" t="str">
        <f>IFERROR(VLOOKUP(B36,'बँक जमा खर्च पासबुक'!$BC$8:$CD$111,22,0),"")</f>
        <v/>
      </c>
      <c r="L36" s="241" t="str">
        <f>IFERROR(VLOOKUP(B36,'बँक जमा खर्च पासबुक'!$BC$8:$CD$111,23,0),"")</f>
        <v/>
      </c>
      <c r="M36" s="266" t="str">
        <f>IFERROR(VLOOKUP(B36,'बँक जमा खर्च पासबुक'!$BC$8:$CD$111,27,0),"")</f>
        <v/>
      </c>
      <c r="N36" s="266" t="str">
        <f>IFERROR(VLOOKUP(B36,'बँक जमा खर्च पासबुक'!$BC$8:$CD$111,28,0),"")</f>
        <v/>
      </c>
      <c r="O36" s="266" t="str">
        <f t="shared" si="1"/>
        <v/>
      </c>
      <c r="P36" s="266" t="str">
        <f t="shared" si="2"/>
        <v/>
      </c>
      <c r="Q36" s="266" t="str">
        <f t="shared" si="3"/>
        <v/>
      </c>
      <c r="R36" s="266" t="str">
        <f t="shared" si="4"/>
        <v/>
      </c>
    </row>
    <row r="37" spans="2:18" ht="25.5" customHeight="1" x14ac:dyDescent="0.4">
      <c r="B37" s="398"/>
      <c r="C37" s="713"/>
      <c r="D37" s="391" t="s">
        <v>35</v>
      </c>
      <c r="E37" s="785"/>
      <c r="F37" s="786"/>
      <c r="G37" s="262">
        <f>SUM(G27:G36)</f>
        <v>0</v>
      </c>
      <c r="H37" s="262">
        <f>SUM(H27:H36)</f>
        <v>0</v>
      </c>
      <c r="I37" s="262">
        <f>SUM(I27:I36)</f>
        <v>0</v>
      </c>
      <c r="J37" s="391"/>
      <c r="K37" s="785"/>
      <c r="L37" s="786"/>
      <c r="M37" s="266">
        <f t="shared" ref="M37:O37" si="5">SUM(M28:M36)</f>
        <v>0</v>
      </c>
      <c r="N37" s="266">
        <f t="shared" si="5"/>
        <v>0</v>
      </c>
      <c r="O37" s="266">
        <f t="shared" si="5"/>
        <v>0</v>
      </c>
      <c r="P37" s="266">
        <f>G37-M37</f>
        <v>0</v>
      </c>
      <c r="Q37" s="266">
        <f>H37-N37</f>
        <v>0</v>
      </c>
      <c r="R37" s="266">
        <f>I37-O37</f>
        <v>0</v>
      </c>
    </row>
    <row r="38" spans="2:18" ht="25.5" customHeight="1" x14ac:dyDescent="0.4">
      <c r="G38" s="787"/>
      <c r="H38" s="787"/>
      <c r="I38" s="787"/>
      <c r="M38" s="788"/>
      <c r="N38" s="788"/>
      <c r="O38" s="788"/>
      <c r="P38" s="788"/>
      <c r="Q38" s="788"/>
      <c r="R38" s="788"/>
    </row>
    <row r="39" spans="2:18" ht="25.5" customHeight="1" thickBot="1" x14ac:dyDescent="0.45">
      <c r="B39" s="21"/>
    </row>
    <row r="40" spans="2:18" ht="25.5" customHeight="1" thickBot="1" x14ac:dyDescent="0.45">
      <c r="B40" s="772" t="s">
        <v>435</v>
      </c>
      <c r="C40" s="773" t="s">
        <v>639</v>
      </c>
      <c r="D40" s="1415" t="str">
        <f>D7</f>
        <v>इंधन,भाजीपाला,पूरक आहार अनुदान बील</v>
      </c>
      <c r="E40" s="1415"/>
      <c r="F40" s="774"/>
      <c r="G40" s="773" t="s">
        <v>312</v>
      </c>
      <c r="H40" s="238">
        <f>HOME!$E$2</f>
        <v>2022</v>
      </c>
      <c r="I40" s="238">
        <f>HOME!$F$2</f>
        <v>2023</v>
      </c>
      <c r="J40" s="773"/>
      <c r="K40" s="775"/>
      <c r="L40" s="776"/>
      <c r="M40" s="777"/>
      <c r="N40" s="777"/>
      <c r="O40" s="777"/>
      <c r="P40" s="777"/>
      <c r="Q40" s="777"/>
      <c r="R40" s="778"/>
    </row>
    <row r="41" spans="2:18" ht="25.5" customHeight="1" x14ac:dyDescent="0.4">
      <c r="B41" s="21"/>
    </row>
    <row r="42" spans="2:18" ht="25.5" customHeight="1" x14ac:dyDescent="0.4">
      <c r="B42" s="1411" t="s">
        <v>86</v>
      </c>
      <c r="C42" s="1413" t="s">
        <v>17</v>
      </c>
      <c r="D42" s="1410" t="s">
        <v>553</v>
      </c>
      <c r="E42" s="1410"/>
      <c r="F42" s="1410"/>
      <c r="G42" s="1410" t="s">
        <v>544</v>
      </c>
      <c r="H42" s="1410"/>
      <c r="I42" s="1410"/>
      <c r="J42" s="1407" t="s">
        <v>554</v>
      </c>
      <c r="K42" s="1408"/>
      <c r="L42" s="1409"/>
      <c r="M42" s="1410" t="s">
        <v>545</v>
      </c>
      <c r="N42" s="1410"/>
      <c r="O42" s="1410"/>
      <c r="P42" s="1410" t="s">
        <v>637</v>
      </c>
      <c r="Q42" s="1410"/>
      <c r="R42" s="1410"/>
    </row>
    <row r="43" spans="2:18" ht="25.5" customHeight="1" x14ac:dyDescent="0.4">
      <c r="B43" s="1412"/>
      <c r="C43" s="1414"/>
      <c r="D43" s="1407" t="s">
        <v>636</v>
      </c>
      <c r="E43" s="1408"/>
      <c r="F43" s="1409"/>
      <c r="G43" s="582" t="s">
        <v>586</v>
      </c>
      <c r="H43" s="582" t="s">
        <v>587</v>
      </c>
      <c r="I43" s="582" t="s">
        <v>35</v>
      </c>
      <c r="J43" s="1407" t="s">
        <v>636</v>
      </c>
      <c r="K43" s="1408"/>
      <c r="L43" s="1409"/>
      <c r="M43" s="582" t="s">
        <v>586</v>
      </c>
      <c r="N43" s="582" t="s">
        <v>587</v>
      </c>
      <c r="O43" s="582" t="s">
        <v>35</v>
      </c>
      <c r="P43" s="582" t="s">
        <v>586</v>
      </c>
      <c r="Q43" s="582" t="s">
        <v>587</v>
      </c>
      <c r="R43" s="582" t="s">
        <v>35</v>
      </c>
    </row>
    <row r="44" spans="2:18" ht="25.5" customHeight="1" x14ac:dyDescent="0.4">
      <c r="B44" s="779"/>
      <c r="C44" s="780"/>
      <c r="D44" s="1404" t="s">
        <v>87</v>
      </c>
      <c r="E44" s="1405"/>
      <c r="F44" s="1406"/>
      <c r="G44" s="264">
        <f>'Balance sheet'!D10</f>
        <v>0</v>
      </c>
      <c r="H44" s="264">
        <f>'Balance sheet'!E10</f>
        <v>0</v>
      </c>
      <c r="I44" s="264">
        <f>SUM(G44:H44)</f>
        <v>0</v>
      </c>
      <c r="J44" s="789"/>
      <c r="K44" s="790"/>
      <c r="L44" s="791"/>
      <c r="M44" s="792"/>
      <c r="N44" s="792"/>
      <c r="O44" s="792"/>
      <c r="P44" s="792"/>
      <c r="Q44" s="792"/>
      <c r="R44" s="792"/>
    </row>
    <row r="45" spans="2:18" ht="25.5" customHeight="1" x14ac:dyDescent="0.4">
      <c r="B45" s="172">
        <v>1</v>
      </c>
      <c r="C45" s="234" t="str">
        <f>IFERROR(VLOOKUP(B45,'बँक जमा खर्च पासबुक'!$BD$8:$CD$111,17,0),"")</f>
        <v/>
      </c>
      <c r="D45" s="354" t="str">
        <f>IFERROR(VLOOKUP(B45,'बँक जमा खर्च पासबुक'!$BD$8:$CD$111,20,0),"")</f>
        <v/>
      </c>
      <c r="E45" s="240" t="str">
        <f>IFERROR(VLOOKUP(B45,'बँक जमा खर्च पासबुक'!$BD$8:$CD$111,18,0),"")</f>
        <v/>
      </c>
      <c r="F45" s="241" t="str">
        <f>IFERROR(VLOOKUP(B45,'बँक जमा खर्च पासबुक'!$BD$8:$CD$111,19,0),"")</f>
        <v/>
      </c>
      <c r="G45" s="264" t="str">
        <f>IFERROR(VLOOKUP(B45,'बँक जमा खर्च पासबुक'!$BD$8:$CD$111,24,0),"")</f>
        <v/>
      </c>
      <c r="H45" s="264" t="str">
        <f>IFERROR(VLOOKUP(B45,'बँक जमा खर्च पासबुक'!$BD$8:$CD$111,25,0),"")</f>
        <v/>
      </c>
      <c r="I45" s="264" t="str">
        <f>IFERROR(G45+H45,"")</f>
        <v/>
      </c>
      <c r="J45" s="244" t="str">
        <f>IFERROR(VLOOKUP(B45,'बँक जमा खर्च पासबुक'!$BD$8:$CD$111,23,0),"")</f>
        <v/>
      </c>
      <c r="K45" s="240" t="str">
        <f>IFERROR(VLOOKUP(B45,'बँक जमा खर्च पासबुक'!$BD$8:$CD$111,21,0),"")</f>
        <v/>
      </c>
      <c r="L45" s="165" t="str">
        <f>IFERROR(VLOOKUP(B45,'बँक जमा खर्च पासबुक'!$BD$8:$CD$111,22,0),"")</f>
        <v/>
      </c>
      <c r="M45" s="264" t="str">
        <f>IFERROR(VLOOKUP(B45,'बँक जमा खर्च पासबुक'!$BD$8:$CD$111,26,0),"")</f>
        <v/>
      </c>
      <c r="N45" s="264" t="str">
        <f>IFERROR(VLOOKUP(B45,'बँक जमा खर्च पासबुक'!$BD$8:$CD$111,27,0),"")</f>
        <v/>
      </c>
      <c r="O45" s="264" t="str">
        <f>IFERROR(M45+N45,"")</f>
        <v/>
      </c>
      <c r="P45" s="264" t="str">
        <f>IFERROR(G44+G45-M45,"")</f>
        <v/>
      </c>
      <c r="Q45" s="264" t="str">
        <f>IFERROR(H44+H45-N45,"")</f>
        <v/>
      </c>
      <c r="R45" s="264" t="str">
        <f>IFERROR(I44+I45-O45,"")</f>
        <v/>
      </c>
    </row>
    <row r="46" spans="2:18" ht="25.5" customHeight="1" x14ac:dyDescent="0.4">
      <c r="B46" s="172">
        <v>2</v>
      </c>
      <c r="C46" s="234" t="str">
        <f>IFERROR(VLOOKUP(B46,'बँक जमा खर्च पासबुक'!$BD$8:$CD$111,17,0),"")</f>
        <v/>
      </c>
      <c r="D46" s="354" t="str">
        <f>IFERROR(VLOOKUP(B46,'बँक जमा खर्च पासबुक'!$BD$8:$CD$111,20,0),"")</f>
        <v/>
      </c>
      <c r="E46" s="240" t="str">
        <f>IFERROR(VLOOKUP(B46,'बँक जमा खर्च पासबुक'!$BD$8:$CD$111,18,0),"")</f>
        <v/>
      </c>
      <c r="F46" s="241" t="str">
        <f>IFERROR(VLOOKUP(B46,'बँक जमा खर्च पासबुक'!$BD$8:$CD$111,19,0),"")</f>
        <v/>
      </c>
      <c r="G46" s="264" t="str">
        <f>IFERROR(VLOOKUP(B46,'बँक जमा खर्च पासबुक'!$BD$8:$CD$111,24,0),"")</f>
        <v/>
      </c>
      <c r="H46" s="264" t="str">
        <f>IFERROR(VLOOKUP(B46,'बँक जमा खर्च पासबुक'!$BD$8:$CD$111,25,0),"")</f>
        <v/>
      </c>
      <c r="I46" s="264" t="str">
        <f t="shared" ref="I46:I73" si="6">IFERROR(G46+H46,"")</f>
        <v/>
      </c>
      <c r="J46" s="244" t="str">
        <f>IFERROR(VLOOKUP(B46,'बँक जमा खर्च पासबुक'!$BD$8:$CD$111,23,0),"")</f>
        <v/>
      </c>
      <c r="K46" s="243" t="str">
        <f>IFERROR(VLOOKUP(B46,'बँक जमा खर्च पासबुक'!$BD$8:$CD$111,21,0),"")</f>
        <v/>
      </c>
      <c r="L46" s="165" t="str">
        <f>IFERROR(VLOOKUP(B46,'बँक जमा खर्च पासबुक'!$BD$8:$CD$111,22,0),"")</f>
        <v/>
      </c>
      <c r="M46" s="264" t="str">
        <f>IFERROR(VLOOKUP(B46,'बँक जमा खर्च पासबुक'!$BD$8:$CD$111,26,0),"")</f>
        <v/>
      </c>
      <c r="N46" s="264" t="str">
        <f>IFERROR(VLOOKUP(B46,'बँक जमा खर्च पासबुक'!$BD$8:$CD$111,27,0),"")</f>
        <v/>
      </c>
      <c r="O46" s="264" t="str">
        <f t="shared" ref="O46:O73" si="7">IFERROR(M46+N46,"")</f>
        <v/>
      </c>
      <c r="P46" s="264" t="str">
        <f>IFERROR(P45+G46-M46,"")</f>
        <v/>
      </c>
      <c r="Q46" s="264" t="str">
        <f>IFERROR(Q45+H46-N46,"")</f>
        <v/>
      </c>
      <c r="R46" s="264" t="str">
        <f>IFERROR(R45+I46-O46,"")</f>
        <v/>
      </c>
    </row>
    <row r="47" spans="2:18" ht="25.5" customHeight="1" x14ac:dyDescent="0.4">
      <c r="B47" s="172">
        <v>3</v>
      </c>
      <c r="C47" s="234" t="str">
        <f>IFERROR(VLOOKUP(B47,'बँक जमा खर्च पासबुक'!$BD$8:$CD$111,17,0),"")</f>
        <v/>
      </c>
      <c r="D47" s="354" t="str">
        <f>IFERROR(VLOOKUP(B47,'बँक जमा खर्च पासबुक'!$BD$8:$CD$111,20,0),"")</f>
        <v/>
      </c>
      <c r="E47" s="240" t="str">
        <f>IFERROR(VLOOKUP(B47,'बँक जमा खर्च पासबुक'!$BD$8:$CD$111,18,0),"")</f>
        <v/>
      </c>
      <c r="F47" s="241" t="str">
        <f>IFERROR(VLOOKUP(B47,'बँक जमा खर्च पासबुक'!$BD$8:$CD$111,19,0),"")</f>
        <v/>
      </c>
      <c r="G47" s="264" t="str">
        <f>IFERROR(VLOOKUP(B47,'बँक जमा खर्च पासबुक'!$BD$8:$CD$111,24,0),"")</f>
        <v/>
      </c>
      <c r="H47" s="264" t="str">
        <f>IFERROR(VLOOKUP(B47,'बँक जमा खर्च पासबुक'!$BD$8:$CD$111,25,0),"")</f>
        <v/>
      </c>
      <c r="I47" s="264" t="str">
        <f t="shared" si="6"/>
        <v/>
      </c>
      <c r="J47" s="244" t="str">
        <f>IFERROR(VLOOKUP(B47,'बँक जमा खर्च पासबुक'!$BD$8:$CD$111,23,0),"")</f>
        <v/>
      </c>
      <c r="K47" s="243" t="str">
        <f>IFERROR(VLOOKUP(B47,'बँक जमा खर्च पासबुक'!$BD$8:$CD$111,21,0),"")</f>
        <v/>
      </c>
      <c r="L47" s="165" t="str">
        <f>IFERROR(VLOOKUP(B47,'बँक जमा खर्च पासबुक'!$BD$8:$CD$111,22,0),"")</f>
        <v/>
      </c>
      <c r="M47" s="264" t="str">
        <f>IFERROR(VLOOKUP(B47,'बँक जमा खर्च पासबुक'!$BD$8:$CD$111,26,0),"")</f>
        <v/>
      </c>
      <c r="N47" s="264" t="str">
        <f>IFERROR(VLOOKUP(B47,'बँक जमा खर्च पासबुक'!$BD$8:$CD$111,27,0),"")</f>
        <v/>
      </c>
      <c r="O47" s="264" t="str">
        <f t="shared" si="7"/>
        <v/>
      </c>
      <c r="P47" s="264" t="str">
        <f t="shared" ref="P47:P73" si="8">IFERROR(P46+G47-M47,"")</f>
        <v/>
      </c>
      <c r="Q47" s="264" t="str">
        <f t="shared" ref="Q47:Q73" si="9">IFERROR(Q46+H47-N47,"")</f>
        <v/>
      </c>
      <c r="R47" s="264" t="str">
        <f t="shared" ref="R47:R73" si="10">IFERROR(R46+I47-O47,"")</f>
        <v/>
      </c>
    </row>
    <row r="48" spans="2:18" ht="25.5" customHeight="1" x14ac:dyDescent="0.4">
      <c r="B48" s="172">
        <v>4</v>
      </c>
      <c r="C48" s="234" t="str">
        <f>IFERROR(VLOOKUP(B48,'बँक जमा खर्च पासबुक'!$BD$8:$CD$111,17,0),"")</f>
        <v/>
      </c>
      <c r="D48" s="354" t="str">
        <f>IFERROR(VLOOKUP(B48,'बँक जमा खर्च पासबुक'!$BD$8:$CD$111,20,0),"")</f>
        <v/>
      </c>
      <c r="E48" s="240" t="str">
        <f>IFERROR(VLOOKUP(B48,'बँक जमा खर्च पासबुक'!$BD$8:$CD$111,18,0),"")</f>
        <v/>
      </c>
      <c r="F48" s="241" t="str">
        <f>IFERROR(VLOOKUP(B48,'बँक जमा खर्च पासबुक'!$BD$8:$CD$111,19,0),"")</f>
        <v/>
      </c>
      <c r="G48" s="264" t="str">
        <f>IFERROR(VLOOKUP(B48,'बँक जमा खर्च पासबुक'!$BD$8:$CD$111,24,0),"")</f>
        <v/>
      </c>
      <c r="H48" s="264" t="str">
        <f>IFERROR(VLOOKUP(B48,'बँक जमा खर्च पासबुक'!$BD$8:$CD$111,25,0),"")</f>
        <v/>
      </c>
      <c r="I48" s="264" t="str">
        <f t="shared" si="6"/>
        <v/>
      </c>
      <c r="J48" s="244" t="str">
        <f>IFERROR(VLOOKUP(B48,'बँक जमा खर्च पासबुक'!$BD$8:$CD$111,23,0),"")</f>
        <v/>
      </c>
      <c r="K48" s="243" t="str">
        <f>IFERROR(VLOOKUP(B48,'बँक जमा खर्च पासबुक'!$BD$8:$CD$111,21,0),"")</f>
        <v/>
      </c>
      <c r="L48" s="165" t="str">
        <f>IFERROR(VLOOKUP(B48,'बँक जमा खर्च पासबुक'!$BD$8:$CD$111,22,0),"")</f>
        <v/>
      </c>
      <c r="M48" s="264" t="str">
        <f>IFERROR(VLOOKUP(B48,'बँक जमा खर्च पासबुक'!$BD$8:$CD$111,26,0),"")</f>
        <v/>
      </c>
      <c r="N48" s="264" t="str">
        <f>IFERROR(VLOOKUP(B48,'बँक जमा खर्च पासबुक'!$BD$8:$CD$111,27,0),"")</f>
        <v/>
      </c>
      <c r="O48" s="264" t="str">
        <f t="shared" si="7"/>
        <v/>
      </c>
      <c r="P48" s="264" t="str">
        <f t="shared" si="8"/>
        <v/>
      </c>
      <c r="Q48" s="264" t="str">
        <f t="shared" si="9"/>
        <v/>
      </c>
      <c r="R48" s="264" t="str">
        <f t="shared" si="10"/>
        <v/>
      </c>
    </row>
    <row r="49" spans="2:18" ht="25.5" customHeight="1" x14ac:dyDescent="0.4">
      <c r="B49" s="172">
        <v>5</v>
      </c>
      <c r="C49" s="234" t="str">
        <f>IFERROR(VLOOKUP(B49,'बँक जमा खर्च पासबुक'!$BD$8:$CD$111,17,0),"")</f>
        <v/>
      </c>
      <c r="D49" s="354" t="str">
        <f>IFERROR(VLOOKUP(B49,'बँक जमा खर्च पासबुक'!$BD$8:$CD$111,20,0),"")</f>
        <v/>
      </c>
      <c r="E49" s="240" t="str">
        <f>IFERROR(VLOOKUP(B49,'बँक जमा खर्च पासबुक'!$BD$8:$CD$111,18,0),"")</f>
        <v/>
      </c>
      <c r="F49" s="241" t="str">
        <f>IFERROR(VLOOKUP(B49,'बँक जमा खर्च पासबुक'!$BD$8:$CD$111,19,0),"")</f>
        <v/>
      </c>
      <c r="G49" s="264" t="str">
        <f>IFERROR(VLOOKUP(B49,'बँक जमा खर्च पासबुक'!$BD$8:$CD$111,24,0),"")</f>
        <v/>
      </c>
      <c r="H49" s="264" t="str">
        <f>IFERROR(VLOOKUP(B49,'बँक जमा खर्च पासबुक'!$BD$8:$CD$111,25,0),"")</f>
        <v/>
      </c>
      <c r="I49" s="264" t="str">
        <f t="shared" si="6"/>
        <v/>
      </c>
      <c r="J49" s="244" t="str">
        <f>IFERROR(VLOOKUP(B49,'बँक जमा खर्च पासबुक'!$BD$8:$CD$111,23,0),"")</f>
        <v/>
      </c>
      <c r="K49" s="243" t="str">
        <f>IFERROR(VLOOKUP(B49,'बँक जमा खर्च पासबुक'!$BD$8:$CD$111,21,0),"")</f>
        <v/>
      </c>
      <c r="L49" s="165" t="str">
        <f>IFERROR(VLOOKUP(B49,'बँक जमा खर्च पासबुक'!$BD$8:$CD$111,22,0),"")</f>
        <v/>
      </c>
      <c r="M49" s="264" t="str">
        <f>IFERROR(VLOOKUP(B49,'बँक जमा खर्च पासबुक'!$BD$8:$CD$111,26,0),"")</f>
        <v/>
      </c>
      <c r="N49" s="264" t="str">
        <f>IFERROR(VLOOKUP(B49,'बँक जमा खर्च पासबुक'!$BD$8:$CD$111,27,0),"")</f>
        <v/>
      </c>
      <c r="O49" s="264" t="str">
        <f t="shared" si="7"/>
        <v/>
      </c>
      <c r="P49" s="264" t="str">
        <f t="shared" si="8"/>
        <v/>
      </c>
      <c r="Q49" s="264" t="str">
        <f t="shared" si="9"/>
        <v/>
      </c>
      <c r="R49" s="264" t="str">
        <f t="shared" si="10"/>
        <v/>
      </c>
    </row>
    <row r="50" spans="2:18" ht="25.5" customHeight="1" x14ac:dyDescent="0.4">
      <c r="B50" s="172">
        <v>6</v>
      </c>
      <c r="C50" s="234" t="str">
        <f>IFERROR(VLOOKUP(B50,'बँक जमा खर्च पासबुक'!$BD$8:$CD$111,17,0),"")</f>
        <v/>
      </c>
      <c r="D50" s="354" t="str">
        <f>IFERROR(VLOOKUP(B50,'बँक जमा खर्च पासबुक'!$BD$8:$CD$111,20,0),"")</f>
        <v/>
      </c>
      <c r="E50" s="240" t="str">
        <f>IFERROR(VLOOKUP(B50,'बँक जमा खर्च पासबुक'!$BD$8:$CD$111,18,0),"")</f>
        <v/>
      </c>
      <c r="F50" s="241" t="str">
        <f>IFERROR(VLOOKUP(B50,'बँक जमा खर्च पासबुक'!$BD$8:$CD$111,19,0),"")</f>
        <v/>
      </c>
      <c r="G50" s="264" t="str">
        <f>IFERROR(VLOOKUP(B50,'बँक जमा खर्च पासबुक'!$BD$8:$CD$111,24,0),"")</f>
        <v/>
      </c>
      <c r="H50" s="264" t="str">
        <f>IFERROR(VLOOKUP(B50,'बँक जमा खर्च पासबुक'!$BD$8:$CD$111,25,0),"")</f>
        <v/>
      </c>
      <c r="I50" s="264" t="str">
        <f t="shared" si="6"/>
        <v/>
      </c>
      <c r="J50" s="244" t="str">
        <f>IFERROR(VLOOKUP(B50,'बँक जमा खर्च पासबुक'!$BD$8:$CD$111,23,0),"")</f>
        <v/>
      </c>
      <c r="K50" s="243" t="str">
        <f>IFERROR(VLOOKUP(B50,'बँक जमा खर्च पासबुक'!$BD$8:$CD$111,21,0),"")</f>
        <v/>
      </c>
      <c r="L50" s="165" t="str">
        <f>IFERROR(VLOOKUP(B50,'बँक जमा खर्च पासबुक'!$BD$8:$CD$111,22,0),"")</f>
        <v/>
      </c>
      <c r="M50" s="264" t="str">
        <f>IFERROR(VLOOKUP(B50,'बँक जमा खर्च पासबुक'!$BD$8:$CD$111,26,0),"")</f>
        <v/>
      </c>
      <c r="N50" s="264" t="str">
        <f>IFERROR(VLOOKUP(B50,'बँक जमा खर्च पासबुक'!$BD$8:$CD$111,27,0),"")</f>
        <v/>
      </c>
      <c r="O50" s="264" t="str">
        <f t="shared" si="7"/>
        <v/>
      </c>
      <c r="P50" s="264" t="str">
        <f t="shared" si="8"/>
        <v/>
      </c>
      <c r="Q50" s="264" t="str">
        <f t="shared" si="9"/>
        <v/>
      </c>
      <c r="R50" s="264" t="str">
        <f t="shared" si="10"/>
        <v/>
      </c>
    </row>
    <row r="51" spans="2:18" ht="25.5" customHeight="1" x14ac:dyDescent="0.4">
      <c r="B51" s="172">
        <v>7</v>
      </c>
      <c r="C51" s="234" t="str">
        <f>IFERROR(VLOOKUP(B51,'बँक जमा खर्च पासबुक'!$BD$8:$CD$111,17,0),"")</f>
        <v/>
      </c>
      <c r="D51" s="354" t="str">
        <f>IFERROR(VLOOKUP(B51,'बँक जमा खर्च पासबुक'!$BD$8:$CD$111,20,0),"")</f>
        <v/>
      </c>
      <c r="E51" s="240" t="str">
        <f>IFERROR(VLOOKUP(B51,'बँक जमा खर्च पासबुक'!$BD$8:$CD$111,18,0),"")</f>
        <v/>
      </c>
      <c r="F51" s="241" t="str">
        <f>IFERROR(VLOOKUP(B51,'बँक जमा खर्च पासबुक'!$BD$8:$CD$111,19,0),"")</f>
        <v/>
      </c>
      <c r="G51" s="264" t="str">
        <f>IFERROR(VLOOKUP(B51,'बँक जमा खर्च पासबुक'!$BD$8:$CD$111,24,0),"")</f>
        <v/>
      </c>
      <c r="H51" s="264" t="str">
        <f>IFERROR(VLOOKUP(B51,'बँक जमा खर्च पासबुक'!$BD$8:$CD$111,25,0),"")</f>
        <v/>
      </c>
      <c r="I51" s="264" t="str">
        <f t="shared" si="6"/>
        <v/>
      </c>
      <c r="J51" s="244" t="str">
        <f>IFERROR(VLOOKUP(B51,'बँक जमा खर्च पासबुक'!$BD$8:$CD$111,23,0),"")</f>
        <v/>
      </c>
      <c r="K51" s="240" t="str">
        <f>IFERROR(VLOOKUP(B51,'बँक जमा खर्च पासबुक'!$BD$8:$CD$111,21,0),"")</f>
        <v/>
      </c>
      <c r="L51" s="165" t="str">
        <f>IFERROR(VLOOKUP(B51,'बँक जमा खर्च पासबुक'!$BD$8:$CD$111,22,0),"")</f>
        <v/>
      </c>
      <c r="M51" s="264" t="str">
        <f>IFERROR(VLOOKUP(B51,'बँक जमा खर्च पासबुक'!$BD$8:$CD$111,26,0),"")</f>
        <v/>
      </c>
      <c r="N51" s="264" t="str">
        <f>IFERROR(VLOOKUP(B51,'बँक जमा खर्च पासबुक'!$BD$8:$CD$111,27,0),"")</f>
        <v/>
      </c>
      <c r="O51" s="264" t="str">
        <f t="shared" si="7"/>
        <v/>
      </c>
      <c r="P51" s="264" t="str">
        <f t="shared" si="8"/>
        <v/>
      </c>
      <c r="Q51" s="264" t="str">
        <f t="shared" si="9"/>
        <v/>
      </c>
      <c r="R51" s="264" t="str">
        <f t="shared" si="10"/>
        <v/>
      </c>
    </row>
    <row r="52" spans="2:18" ht="25.5" customHeight="1" x14ac:dyDescent="0.4">
      <c r="B52" s="172">
        <v>8</v>
      </c>
      <c r="C52" s="234" t="str">
        <f>IFERROR(VLOOKUP(B52,'बँक जमा खर्च पासबुक'!$BD$8:$CD$111,17,0),"")</f>
        <v/>
      </c>
      <c r="D52" s="354" t="str">
        <f>IFERROR(VLOOKUP(B52,'बँक जमा खर्च पासबुक'!$BD$8:$CD$111,20,0),"")</f>
        <v/>
      </c>
      <c r="E52" s="240" t="str">
        <f>IFERROR(VLOOKUP(B52,'बँक जमा खर्च पासबुक'!$BD$8:$CD$111,18,0),"")</f>
        <v/>
      </c>
      <c r="F52" s="241" t="str">
        <f>IFERROR(VLOOKUP(B52,'बँक जमा खर्च पासबुक'!$BD$8:$CD$111,19,0),"")</f>
        <v/>
      </c>
      <c r="G52" s="264" t="str">
        <f>IFERROR(VLOOKUP(B52,'बँक जमा खर्च पासबुक'!$BD$8:$CD$111,24,0),"")</f>
        <v/>
      </c>
      <c r="H52" s="264" t="str">
        <f>IFERROR(VLOOKUP(B52,'बँक जमा खर्च पासबुक'!$BD$8:$CD$111,25,0),"")</f>
        <v/>
      </c>
      <c r="I52" s="264" t="str">
        <f t="shared" si="6"/>
        <v/>
      </c>
      <c r="J52" s="244" t="str">
        <f>IFERROR(VLOOKUP(B52,'बँक जमा खर्च पासबुक'!$BD$8:$CD$111,23,0),"")</f>
        <v/>
      </c>
      <c r="K52" s="240" t="str">
        <f>IFERROR(VLOOKUP(B52,'बँक जमा खर्च पासबुक'!$BD$8:$CD$111,21,0),"")</f>
        <v/>
      </c>
      <c r="L52" s="165" t="str">
        <f>IFERROR(VLOOKUP(B52,'बँक जमा खर्च पासबुक'!$BD$8:$CD$111,22,0),"")</f>
        <v/>
      </c>
      <c r="M52" s="264" t="str">
        <f>IFERROR(VLOOKUP(B52,'बँक जमा खर्च पासबुक'!$BD$8:$CD$111,26,0),"")</f>
        <v/>
      </c>
      <c r="N52" s="264" t="str">
        <f>IFERROR(VLOOKUP(B52,'बँक जमा खर्च पासबुक'!$BD$8:$CD$111,27,0),"")</f>
        <v/>
      </c>
      <c r="O52" s="264" t="str">
        <f t="shared" si="7"/>
        <v/>
      </c>
      <c r="P52" s="264" t="str">
        <f t="shared" si="8"/>
        <v/>
      </c>
      <c r="Q52" s="264" t="str">
        <f t="shared" si="9"/>
        <v/>
      </c>
      <c r="R52" s="264" t="str">
        <f t="shared" si="10"/>
        <v/>
      </c>
    </row>
    <row r="53" spans="2:18" ht="25.5" customHeight="1" x14ac:dyDescent="0.4">
      <c r="B53" s="172">
        <v>9</v>
      </c>
      <c r="C53" s="234" t="str">
        <f>IFERROR(VLOOKUP(B53,'बँक जमा खर्च पासबुक'!$BD$8:$CD$111,17,0),"")</f>
        <v/>
      </c>
      <c r="D53" s="354" t="str">
        <f>IFERROR(VLOOKUP(B53,'बँक जमा खर्च पासबुक'!$BD$8:$CD$111,20,0),"")</f>
        <v/>
      </c>
      <c r="E53" s="240" t="str">
        <f>IFERROR(VLOOKUP(B53,'बँक जमा खर्च पासबुक'!$BD$8:$CD$111,18,0),"")</f>
        <v/>
      </c>
      <c r="F53" s="241" t="str">
        <f>IFERROR(VLOOKUP(B53,'बँक जमा खर्च पासबुक'!$BD$8:$CD$111,19,0),"")</f>
        <v/>
      </c>
      <c r="G53" s="264" t="str">
        <f>IFERROR(VLOOKUP(B53,'बँक जमा खर्च पासबुक'!$BD$8:$CD$111,24,0),"")</f>
        <v/>
      </c>
      <c r="H53" s="264" t="str">
        <f>IFERROR(VLOOKUP(B53,'बँक जमा खर्च पासबुक'!$BD$8:$CD$111,25,0),"")</f>
        <v/>
      </c>
      <c r="I53" s="264" t="str">
        <f t="shared" si="6"/>
        <v/>
      </c>
      <c r="J53" s="244" t="str">
        <f>IFERROR(VLOOKUP(B53,'बँक जमा खर्च पासबुक'!$BD$8:$CD$111,23,0),"")</f>
        <v/>
      </c>
      <c r="K53" s="242" t="str">
        <f>IFERROR(VLOOKUP(B53,'बँक जमा खर्च पासबुक'!$BD$8:$CD$111,21,0),"")</f>
        <v/>
      </c>
      <c r="L53" s="165" t="str">
        <f>IFERROR(VLOOKUP(B53,'बँक जमा खर्च पासबुक'!$BD$8:$CD$111,22,0),"")</f>
        <v/>
      </c>
      <c r="M53" s="264" t="str">
        <f>IFERROR(VLOOKUP(B53,'बँक जमा खर्च पासबुक'!$BD$8:$CD$111,26,0),"")</f>
        <v/>
      </c>
      <c r="N53" s="264" t="str">
        <f>IFERROR(VLOOKUP(B53,'बँक जमा खर्च पासबुक'!$BD$8:$CD$111,27,0),"")</f>
        <v/>
      </c>
      <c r="O53" s="264" t="str">
        <f t="shared" si="7"/>
        <v/>
      </c>
      <c r="P53" s="264" t="str">
        <f t="shared" si="8"/>
        <v/>
      </c>
      <c r="Q53" s="264" t="str">
        <f t="shared" si="9"/>
        <v/>
      </c>
      <c r="R53" s="264" t="str">
        <f t="shared" si="10"/>
        <v/>
      </c>
    </row>
    <row r="54" spans="2:18" ht="25.5" customHeight="1" x14ac:dyDescent="0.4">
      <c r="B54" s="172">
        <v>10</v>
      </c>
      <c r="C54" s="234" t="str">
        <f>IFERROR(VLOOKUP(B54,'बँक जमा खर्च पासबुक'!$BD$8:$CD$111,17,0),"")</f>
        <v/>
      </c>
      <c r="D54" s="354" t="str">
        <f>IFERROR(VLOOKUP(B54,'बँक जमा खर्च पासबुक'!$BD$8:$CD$111,20,0),"")</f>
        <v/>
      </c>
      <c r="E54" s="240" t="str">
        <f>IFERROR(VLOOKUP(B54,'बँक जमा खर्च पासबुक'!$BD$8:$CD$111,18,0),"")</f>
        <v/>
      </c>
      <c r="F54" s="241" t="str">
        <f>IFERROR(VLOOKUP(B54,'बँक जमा खर्च पासबुक'!$BD$8:$CD$111,19,0),"")</f>
        <v/>
      </c>
      <c r="G54" s="264" t="str">
        <f>IFERROR(VLOOKUP(B54,'बँक जमा खर्च पासबुक'!$BD$8:$CD$111,24,0),"")</f>
        <v/>
      </c>
      <c r="H54" s="264" t="str">
        <f>IFERROR(VLOOKUP(B54,'बँक जमा खर्च पासबुक'!$BD$8:$CD$111,25,0),"")</f>
        <v/>
      </c>
      <c r="I54" s="264" t="str">
        <f t="shared" si="6"/>
        <v/>
      </c>
      <c r="J54" s="244" t="str">
        <f>IFERROR(VLOOKUP(B54,'बँक जमा खर्च पासबुक'!$BD$8:$CD$111,23,0),"")</f>
        <v/>
      </c>
      <c r="K54" s="243" t="str">
        <f>IFERROR(VLOOKUP(B54,'बँक जमा खर्च पासबुक'!$BD$8:$CD$111,21,0),"")</f>
        <v/>
      </c>
      <c r="L54" s="165" t="str">
        <f>IFERROR(VLOOKUP(B54,'बँक जमा खर्च पासबुक'!$BD$8:$CD$111,22,0),"")</f>
        <v/>
      </c>
      <c r="M54" s="264" t="str">
        <f>IFERROR(VLOOKUP(B54,'बँक जमा खर्च पासबुक'!$BD$8:$CD$111,26,0),"")</f>
        <v/>
      </c>
      <c r="N54" s="264" t="str">
        <f>IFERROR(VLOOKUP(B54,'बँक जमा खर्च पासबुक'!$BD$8:$CD$111,27,0),"")</f>
        <v/>
      </c>
      <c r="O54" s="264" t="str">
        <f t="shared" si="7"/>
        <v/>
      </c>
      <c r="P54" s="264" t="str">
        <f t="shared" si="8"/>
        <v/>
      </c>
      <c r="Q54" s="264" t="str">
        <f t="shared" si="9"/>
        <v/>
      </c>
      <c r="R54" s="264" t="str">
        <f t="shared" si="10"/>
        <v/>
      </c>
    </row>
    <row r="55" spans="2:18" ht="25.5" customHeight="1" x14ac:dyDescent="0.4">
      <c r="B55" s="172">
        <v>11</v>
      </c>
      <c r="C55" s="234" t="str">
        <f>IFERROR(VLOOKUP(B55,'बँक जमा खर्च पासबुक'!$BD$8:$CD$111,17,0),"")</f>
        <v/>
      </c>
      <c r="D55" s="354" t="str">
        <f>IFERROR(VLOOKUP(B55,'बँक जमा खर्च पासबुक'!$BD$8:$CD$111,20,0),"")</f>
        <v/>
      </c>
      <c r="E55" s="240" t="str">
        <f>IFERROR(VLOOKUP(B55,'बँक जमा खर्च पासबुक'!$BD$8:$CD$111,18,0),"")</f>
        <v/>
      </c>
      <c r="F55" s="241" t="str">
        <f>IFERROR(VLOOKUP(B55,'बँक जमा खर्च पासबुक'!$BD$8:$CD$111,19,0),"")</f>
        <v/>
      </c>
      <c r="G55" s="264" t="str">
        <f>IFERROR(VLOOKUP(B55,'बँक जमा खर्च पासबुक'!$BD$8:$CD$111,24,0),"")</f>
        <v/>
      </c>
      <c r="H55" s="264" t="str">
        <f>IFERROR(VLOOKUP(B55,'बँक जमा खर्च पासबुक'!$BD$8:$CD$111,25,0),"")</f>
        <v/>
      </c>
      <c r="I55" s="264" t="str">
        <f t="shared" si="6"/>
        <v/>
      </c>
      <c r="J55" s="244" t="str">
        <f>IFERROR(VLOOKUP(B55,'बँक जमा खर्च पासबुक'!$BD$8:$CD$111,23,0),"")</f>
        <v/>
      </c>
      <c r="K55" s="243" t="str">
        <f>IFERROR(VLOOKUP(B55,'बँक जमा खर्च पासबुक'!$BD$8:$CD$111,21,0),"")</f>
        <v/>
      </c>
      <c r="L55" s="165" t="str">
        <f>IFERROR(VLOOKUP(B55,'बँक जमा खर्च पासबुक'!$BD$8:$CD$111,22,0),"")</f>
        <v/>
      </c>
      <c r="M55" s="264" t="str">
        <f>IFERROR(VLOOKUP(B55,'बँक जमा खर्च पासबुक'!$BD$8:$CD$111,26,0),"")</f>
        <v/>
      </c>
      <c r="N55" s="264" t="str">
        <f>IFERROR(VLOOKUP(B55,'बँक जमा खर्च पासबुक'!$BD$8:$CD$111,27,0),"")</f>
        <v/>
      </c>
      <c r="O55" s="264" t="str">
        <f t="shared" si="7"/>
        <v/>
      </c>
      <c r="P55" s="264" t="str">
        <f t="shared" si="8"/>
        <v/>
      </c>
      <c r="Q55" s="264" t="str">
        <f t="shared" si="9"/>
        <v/>
      </c>
      <c r="R55" s="264" t="str">
        <f t="shared" si="10"/>
        <v/>
      </c>
    </row>
    <row r="56" spans="2:18" ht="25.5" customHeight="1" x14ac:dyDescent="0.4">
      <c r="B56" s="172">
        <v>12</v>
      </c>
      <c r="C56" s="234" t="str">
        <f>IFERROR(VLOOKUP(B56,'बँक जमा खर्च पासबुक'!$BD$8:$CD$111,17,0),"")</f>
        <v/>
      </c>
      <c r="D56" s="354" t="str">
        <f>IFERROR(VLOOKUP(B56,'बँक जमा खर्च पासबुक'!$BD$8:$CD$111,20,0),"")</f>
        <v/>
      </c>
      <c r="E56" s="240" t="str">
        <f>IFERROR(VLOOKUP(B56,'बँक जमा खर्च पासबुक'!$BD$8:$CD$111,18,0),"")</f>
        <v/>
      </c>
      <c r="F56" s="241" t="str">
        <f>IFERROR(VLOOKUP(B56,'बँक जमा खर्च पासबुक'!$BD$8:$CD$111,19,0),"")</f>
        <v/>
      </c>
      <c r="G56" s="264" t="str">
        <f>IFERROR(VLOOKUP(B56,'बँक जमा खर्च पासबुक'!$BD$8:$CD$111,24,0),"")</f>
        <v/>
      </c>
      <c r="H56" s="264" t="str">
        <f>IFERROR(VLOOKUP(B56,'बँक जमा खर्च पासबुक'!$BD$8:$CD$111,25,0),"")</f>
        <v/>
      </c>
      <c r="I56" s="264" t="str">
        <f t="shared" si="6"/>
        <v/>
      </c>
      <c r="J56" s="244" t="str">
        <f>IFERROR(VLOOKUP(B56,'बँक जमा खर्च पासबुक'!$BD$8:$CD$111,23,0),"")</f>
        <v/>
      </c>
      <c r="K56" s="243" t="str">
        <f>IFERROR(VLOOKUP(B56,'बँक जमा खर्च पासबुक'!$BD$8:$CD$111,21,0),"")</f>
        <v/>
      </c>
      <c r="L56" s="165" t="str">
        <f>IFERROR(VLOOKUP(B56,'बँक जमा खर्च पासबुक'!$BD$8:$CD$111,22,0),"")</f>
        <v/>
      </c>
      <c r="M56" s="264" t="str">
        <f>IFERROR(VLOOKUP(B56,'बँक जमा खर्च पासबुक'!$BD$8:$CD$111,26,0),"")</f>
        <v/>
      </c>
      <c r="N56" s="264" t="str">
        <f>IFERROR(VLOOKUP(B56,'बँक जमा खर्च पासबुक'!$BD$8:$CD$111,27,0),"")</f>
        <v/>
      </c>
      <c r="O56" s="264" t="str">
        <f t="shared" si="7"/>
        <v/>
      </c>
      <c r="P56" s="264" t="str">
        <f t="shared" si="8"/>
        <v/>
      </c>
      <c r="Q56" s="264" t="str">
        <f t="shared" si="9"/>
        <v/>
      </c>
      <c r="R56" s="264" t="str">
        <f t="shared" si="10"/>
        <v/>
      </c>
    </row>
    <row r="57" spans="2:18" ht="25.5" customHeight="1" x14ac:dyDescent="0.4">
      <c r="B57" s="172">
        <v>13</v>
      </c>
      <c r="C57" s="234" t="str">
        <f>IFERROR(VLOOKUP(B57,'बँक जमा खर्च पासबुक'!$BD$8:$CD$111,17,0),"")</f>
        <v/>
      </c>
      <c r="D57" s="354" t="str">
        <f>IFERROR(VLOOKUP(B57,'बँक जमा खर्च पासबुक'!$BD$8:$CD$111,20,0),"")</f>
        <v/>
      </c>
      <c r="E57" s="240" t="str">
        <f>IFERROR(VLOOKUP(B57,'बँक जमा खर्च पासबुक'!$BD$8:$CD$111,18,0),"")</f>
        <v/>
      </c>
      <c r="F57" s="241" t="str">
        <f>IFERROR(VLOOKUP(B57,'बँक जमा खर्च पासबुक'!$BD$8:$CD$111,19,0),"")</f>
        <v/>
      </c>
      <c r="G57" s="264" t="str">
        <f>IFERROR(VLOOKUP(B57,'बँक जमा खर्च पासबुक'!$BD$8:$CD$111,24,0),"")</f>
        <v/>
      </c>
      <c r="H57" s="264" t="str">
        <f>IFERROR(VLOOKUP(B57,'बँक जमा खर्च पासबुक'!$BD$8:$CD$111,25,0),"")</f>
        <v/>
      </c>
      <c r="I57" s="264" t="str">
        <f t="shared" si="6"/>
        <v/>
      </c>
      <c r="J57" s="244" t="str">
        <f>IFERROR(VLOOKUP(B57,'बँक जमा खर्च पासबुक'!$BD$8:$CD$111,23,0),"")</f>
        <v/>
      </c>
      <c r="K57" s="243" t="str">
        <f>IFERROR(VLOOKUP(B57,'बँक जमा खर्च पासबुक'!$BD$8:$CD$111,21,0),"")</f>
        <v/>
      </c>
      <c r="L57" s="165" t="str">
        <f>IFERROR(VLOOKUP(B57,'बँक जमा खर्च पासबुक'!$BD$8:$CD$111,22,0),"")</f>
        <v/>
      </c>
      <c r="M57" s="264" t="str">
        <f>IFERROR(VLOOKUP(B57,'बँक जमा खर्च पासबुक'!$BD$8:$CD$111,26,0),"")</f>
        <v/>
      </c>
      <c r="N57" s="264" t="str">
        <f>IFERROR(VLOOKUP(B57,'बँक जमा खर्च पासबुक'!$BD$8:$CD$111,27,0),"")</f>
        <v/>
      </c>
      <c r="O57" s="264" t="str">
        <f t="shared" si="7"/>
        <v/>
      </c>
      <c r="P57" s="264" t="str">
        <f t="shared" si="8"/>
        <v/>
      </c>
      <c r="Q57" s="264" t="str">
        <f t="shared" si="9"/>
        <v/>
      </c>
      <c r="R57" s="264" t="str">
        <f t="shared" si="10"/>
        <v/>
      </c>
    </row>
    <row r="58" spans="2:18" ht="25.5" customHeight="1" x14ac:dyDescent="0.4">
      <c r="B58" s="172">
        <v>14</v>
      </c>
      <c r="C58" s="234" t="str">
        <f>IFERROR(VLOOKUP(B58,'बँक जमा खर्च पासबुक'!$BD$8:$CD$111,17,0),"")</f>
        <v/>
      </c>
      <c r="D58" s="354" t="str">
        <f>IFERROR(VLOOKUP(B58,'बँक जमा खर्च पासबुक'!$BD$8:$CD$111,20,0),"")</f>
        <v/>
      </c>
      <c r="E58" s="240" t="str">
        <f>IFERROR(VLOOKUP(B58,'बँक जमा खर्च पासबुक'!$BD$8:$CD$111,18,0),"")</f>
        <v/>
      </c>
      <c r="F58" s="241" t="str">
        <f>IFERROR(VLOOKUP(B58,'बँक जमा खर्च पासबुक'!$BD$8:$CD$111,19,0),"")</f>
        <v/>
      </c>
      <c r="G58" s="264" t="str">
        <f>IFERROR(VLOOKUP(B58,'बँक जमा खर्च पासबुक'!$BD$8:$CD$111,24,0),"")</f>
        <v/>
      </c>
      <c r="H58" s="264" t="str">
        <f>IFERROR(VLOOKUP(B58,'बँक जमा खर्च पासबुक'!$BD$8:$CD$111,25,0),"")</f>
        <v/>
      </c>
      <c r="I58" s="264" t="str">
        <f t="shared" si="6"/>
        <v/>
      </c>
      <c r="J58" s="244" t="str">
        <f>IFERROR(VLOOKUP(B58,'बँक जमा खर्च पासबुक'!$BD$8:$CD$111,23,0),"")</f>
        <v/>
      </c>
      <c r="K58" s="243" t="str">
        <f>IFERROR(VLOOKUP(B58,'बँक जमा खर्च पासबुक'!$BD$8:$CD$111,21,0),"")</f>
        <v/>
      </c>
      <c r="L58" s="165" t="str">
        <f>IFERROR(VLOOKUP(B58,'बँक जमा खर्च पासबुक'!$BD$8:$CD$111,22,0),"")</f>
        <v/>
      </c>
      <c r="M58" s="264" t="str">
        <f>IFERROR(VLOOKUP(B58,'बँक जमा खर्च पासबुक'!$BD$8:$CD$111,26,0),"")</f>
        <v/>
      </c>
      <c r="N58" s="264" t="str">
        <f>IFERROR(VLOOKUP(B58,'बँक जमा खर्च पासबुक'!$BD$8:$CD$111,27,0),"")</f>
        <v/>
      </c>
      <c r="O58" s="264" t="str">
        <f t="shared" si="7"/>
        <v/>
      </c>
      <c r="P58" s="264" t="str">
        <f t="shared" si="8"/>
        <v/>
      </c>
      <c r="Q58" s="264" t="str">
        <f t="shared" si="9"/>
        <v/>
      </c>
      <c r="R58" s="264" t="str">
        <f t="shared" si="10"/>
        <v/>
      </c>
    </row>
    <row r="59" spans="2:18" ht="25.5" customHeight="1" x14ac:dyDescent="0.4">
      <c r="B59" s="172">
        <v>15</v>
      </c>
      <c r="C59" s="234" t="str">
        <f>IFERROR(VLOOKUP(B59,'बँक जमा खर्च पासबुक'!$BD$8:$CD$111,17,0),"")</f>
        <v/>
      </c>
      <c r="D59" s="354" t="str">
        <f>IFERROR(VLOOKUP(B59,'बँक जमा खर्च पासबुक'!$BD$8:$CD$111,20,0),"")</f>
        <v/>
      </c>
      <c r="E59" s="240" t="str">
        <f>IFERROR(VLOOKUP(B59,'बँक जमा खर्च पासबुक'!$BD$8:$CD$111,18,0),"")</f>
        <v/>
      </c>
      <c r="F59" s="241" t="str">
        <f>IFERROR(VLOOKUP(B59,'बँक जमा खर्च पासबुक'!$BD$8:$CD$111,19,0),"")</f>
        <v/>
      </c>
      <c r="G59" s="264" t="str">
        <f>IFERROR(VLOOKUP(B59,'बँक जमा खर्च पासबुक'!$BD$8:$CD$111,24,0),"")</f>
        <v/>
      </c>
      <c r="H59" s="264" t="str">
        <f>IFERROR(VLOOKUP(B59,'बँक जमा खर्च पासबुक'!$BD$8:$CD$111,25,0),"")</f>
        <v/>
      </c>
      <c r="I59" s="264" t="str">
        <f t="shared" si="6"/>
        <v/>
      </c>
      <c r="J59" s="244" t="str">
        <f>IFERROR(VLOOKUP(B59,'बँक जमा खर्च पासबुक'!$BD$8:$CD$111,23,0),"")</f>
        <v/>
      </c>
      <c r="K59" s="243" t="str">
        <f>IFERROR(VLOOKUP(B59,'बँक जमा खर्च पासबुक'!$BD$8:$CD$111,21,0),"")</f>
        <v/>
      </c>
      <c r="L59" s="165" t="str">
        <f>IFERROR(VLOOKUP(B59,'बँक जमा खर्च पासबुक'!$BD$8:$CD$111,22,0),"")</f>
        <v/>
      </c>
      <c r="M59" s="264" t="str">
        <f>IFERROR(VLOOKUP(B59,'बँक जमा खर्च पासबुक'!$BD$8:$CD$111,26,0),"")</f>
        <v/>
      </c>
      <c r="N59" s="264" t="str">
        <f>IFERROR(VLOOKUP(B59,'बँक जमा खर्च पासबुक'!$BD$8:$CD$111,27,0),"")</f>
        <v/>
      </c>
      <c r="O59" s="264" t="str">
        <f t="shared" si="7"/>
        <v/>
      </c>
      <c r="P59" s="264" t="str">
        <f t="shared" si="8"/>
        <v/>
      </c>
      <c r="Q59" s="264" t="str">
        <f t="shared" si="9"/>
        <v/>
      </c>
      <c r="R59" s="264" t="str">
        <f t="shared" si="10"/>
        <v/>
      </c>
    </row>
    <row r="60" spans="2:18" ht="25.5" customHeight="1" x14ac:dyDescent="0.4">
      <c r="B60" s="172">
        <v>16</v>
      </c>
      <c r="C60" s="234" t="str">
        <f>IFERROR(VLOOKUP(B60,'बँक जमा खर्च पासबुक'!$BD$8:$CD$111,17,0),"")</f>
        <v/>
      </c>
      <c r="D60" s="354" t="str">
        <f>IFERROR(VLOOKUP(B60,'बँक जमा खर्च पासबुक'!$BD$8:$CD$111,20,0),"")</f>
        <v/>
      </c>
      <c r="E60" s="240" t="str">
        <f>IFERROR(VLOOKUP(B60,'बँक जमा खर्च पासबुक'!$BD$8:$CD$111,18,0),"")</f>
        <v/>
      </c>
      <c r="F60" s="241" t="str">
        <f>IFERROR(VLOOKUP(B60,'बँक जमा खर्च पासबुक'!$BD$8:$CD$111,19,0),"")</f>
        <v/>
      </c>
      <c r="G60" s="264" t="str">
        <f>IFERROR(VLOOKUP(B60,'बँक जमा खर्च पासबुक'!$BD$8:$CD$111,24,0),"")</f>
        <v/>
      </c>
      <c r="H60" s="264" t="str">
        <f>IFERROR(VLOOKUP(B60,'बँक जमा खर्च पासबुक'!$BD$8:$CD$111,25,0),"")</f>
        <v/>
      </c>
      <c r="I60" s="264" t="str">
        <f t="shared" si="6"/>
        <v/>
      </c>
      <c r="J60" s="244" t="str">
        <f>IFERROR(VLOOKUP(B60,'बँक जमा खर्च पासबुक'!$BD$8:$CD$111,23,0),"")</f>
        <v/>
      </c>
      <c r="K60" s="240" t="str">
        <f>IFERROR(VLOOKUP(B60,'बँक जमा खर्च पासबुक'!$BD$8:$CD$111,21,0),"")</f>
        <v/>
      </c>
      <c r="L60" s="165" t="str">
        <f>IFERROR(VLOOKUP(B60,'बँक जमा खर्च पासबुक'!$BD$8:$CD$111,22,0),"")</f>
        <v/>
      </c>
      <c r="M60" s="264" t="str">
        <f>IFERROR(VLOOKUP(B60,'बँक जमा खर्च पासबुक'!$BD$8:$CD$111,26,0),"")</f>
        <v/>
      </c>
      <c r="N60" s="264" t="str">
        <f>IFERROR(VLOOKUP(B60,'बँक जमा खर्च पासबुक'!$BD$8:$CD$111,27,0),"")</f>
        <v/>
      </c>
      <c r="O60" s="264" t="str">
        <f t="shared" si="7"/>
        <v/>
      </c>
      <c r="P60" s="264" t="str">
        <f t="shared" si="8"/>
        <v/>
      </c>
      <c r="Q60" s="264" t="str">
        <f t="shared" si="9"/>
        <v/>
      </c>
      <c r="R60" s="264" t="str">
        <f t="shared" si="10"/>
        <v/>
      </c>
    </row>
    <row r="61" spans="2:18" ht="25.5" customHeight="1" x14ac:dyDescent="0.4">
      <c r="B61" s="172">
        <v>17</v>
      </c>
      <c r="C61" s="234" t="str">
        <f>IFERROR(VLOOKUP(B61,'बँक जमा खर्च पासबुक'!$BD$8:$CD$111,17,0),"")</f>
        <v/>
      </c>
      <c r="D61" s="354" t="str">
        <f>IFERROR(VLOOKUP(B61,'बँक जमा खर्च पासबुक'!$BD$8:$CD$111,20,0),"")</f>
        <v/>
      </c>
      <c r="E61" s="240" t="str">
        <f>IFERROR(VLOOKUP(B61,'बँक जमा खर्च पासबुक'!$BD$8:$CD$111,18,0),"")</f>
        <v/>
      </c>
      <c r="F61" s="241" t="str">
        <f>IFERROR(VLOOKUP(B61,'बँक जमा खर्च पासबुक'!$BD$8:$CD$111,19,0),"")</f>
        <v/>
      </c>
      <c r="G61" s="264" t="str">
        <f>IFERROR(VLOOKUP(B61,'बँक जमा खर्च पासबुक'!$BD$8:$CD$111,24,0),"")</f>
        <v/>
      </c>
      <c r="H61" s="264" t="str">
        <f>IFERROR(VLOOKUP(B61,'बँक जमा खर्च पासबुक'!$BD$8:$CD$111,25,0),"")</f>
        <v/>
      </c>
      <c r="I61" s="264" t="str">
        <f t="shared" si="6"/>
        <v/>
      </c>
      <c r="J61" s="244" t="str">
        <f>IFERROR(VLOOKUP(B61,'बँक जमा खर्च पासबुक'!$BD$8:$CD$111,23,0),"")</f>
        <v/>
      </c>
      <c r="K61" s="242" t="str">
        <f>IFERROR(VLOOKUP(B61,'बँक जमा खर्च पासबुक'!$BD$8:$CD$111,21,0),"")</f>
        <v/>
      </c>
      <c r="L61" s="165" t="str">
        <f>IFERROR(VLOOKUP(B61,'बँक जमा खर्च पासबुक'!$BD$8:$CD$111,22,0),"")</f>
        <v/>
      </c>
      <c r="M61" s="264" t="str">
        <f>IFERROR(VLOOKUP(B61,'बँक जमा खर्च पासबुक'!$BD$8:$CD$111,26,0),"")</f>
        <v/>
      </c>
      <c r="N61" s="264" t="str">
        <f>IFERROR(VLOOKUP(B61,'बँक जमा खर्च पासबुक'!$BD$8:$CD$111,27,0),"")</f>
        <v/>
      </c>
      <c r="O61" s="264" t="str">
        <f t="shared" si="7"/>
        <v/>
      </c>
      <c r="P61" s="264" t="str">
        <f t="shared" si="8"/>
        <v/>
      </c>
      <c r="Q61" s="264" t="str">
        <f t="shared" si="9"/>
        <v/>
      </c>
      <c r="R61" s="264" t="str">
        <f t="shared" si="10"/>
        <v/>
      </c>
    </row>
    <row r="62" spans="2:18" ht="25.5" customHeight="1" x14ac:dyDescent="0.4">
      <c r="B62" s="172">
        <v>18</v>
      </c>
      <c r="C62" s="234" t="str">
        <f>IFERROR(VLOOKUP(B62,'बँक जमा खर्च पासबुक'!$BD$8:$CD$111,17,0),"")</f>
        <v/>
      </c>
      <c r="D62" s="354" t="str">
        <f>IFERROR(VLOOKUP(B62,'बँक जमा खर्च पासबुक'!$BD$8:$CD$111,20,0),"")</f>
        <v/>
      </c>
      <c r="E62" s="240" t="str">
        <f>IFERROR(VLOOKUP(B62,'बँक जमा खर्च पासबुक'!$BD$8:$CD$111,18,0),"")</f>
        <v/>
      </c>
      <c r="F62" s="241" t="str">
        <f>IFERROR(VLOOKUP(B62,'बँक जमा खर्च पासबुक'!$BD$8:$CD$111,19,0),"")</f>
        <v/>
      </c>
      <c r="G62" s="264" t="str">
        <f>IFERROR(VLOOKUP(B62,'बँक जमा खर्च पासबुक'!$BD$8:$CD$111,24,0),"")</f>
        <v/>
      </c>
      <c r="H62" s="264" t="str">
        <f>IFERROR(VLOOKUP(B62,'बँक जमा खर्च पासबुक'!$BD$8:$CD$111,25,0),"")</f>
        <v/>
      </c>
      <c r="I62" s="264" t="str">
        <f t="shared" si="6"/>
        <v/>
      </c>
      <c r="J62" s="244" t="str">
        <f>IFERROR(VLOOKUP(B62,'बँक जमा खर्च पासबुक'!$BD$8:$CD$111,23,0),"")</f>
        <v/>
      </c>
      <c r="K62" s="243" t="str">
        <f>IFERROR(VLOOKUP(B62,'बँक जमा खर्च पासबुक'!$BD$8:$CD$111,21,0),"")</f>
        <v/>
      </c>
      <c r="L62" s="165" t="str">
        <f>IFERROR(VLOOKUP(B62,'बँक जमा खर्च पासबुक'!$BD$8:$CD$111,22,0),"")</f>
        <v/>
      </c>
      <c r="M62" s="264" t="str">
        <f>IFERROR(VLOOKUP(B62,'बँक जमा खर्च पासबुक'!$BD$8:$CD$111,26,0),"")</f>
        <v/>
      </c>
      <c r="N62" s="264" t="str">
        <f>IFERROR(VLOOKUP(B62,'बँक जमा खर्च पासबुक'!$BD$8:$CD$111,27,0),"")</f>
        <v/>
      </c>
      <c r="O62" s="264" t="str">
        <f t="shared" si="7"/>
        <v/>
      </c>
      <c r="P62" s="264" t="str">
        <f t="shared" si="8"/>
        <v/>
      </c>
      <c r="Q62" s="264" t="str">
        <f t="shared" si="9"/>
        <v/>
      </c>
      <c r="R62" s="264" t="str">
        <f t="shared" si="10"/>
        <v/>
      </c>
    </row>
    <row r="63" spans="2:18" ht="25.5" customHeight="1" x14ac:dyDescent="0.4">
      <c r="B63" s="172">
        <v>19</v>
      </c>
      <c r="C63" s="234" t="str">
        <f>IFERROR(VLOOKUP(B63,'बँक जमा खर्च पासबुक'!$BD$8:$CD$111,17,0),"")</f>
        <v/>
      </c>
      <c r="D63" s="354" t="str">
        <f>IFERROR(VLOOKUP(B63,'बँक जमा खर्च पासबुक'!$BD$8:$CD$111,20,0),"")</f>
        <v/>
      </c>
      <c r="E63" s="240" t="str">
        <f>IFERROR(VLOOKUP(B63,'बँक जमा खर्च पासबुक'!$BD$8:$CD$111,18,0),"")</f>
        <v/>
      </c>
      <c r="F63" s="241" t="str">
        <f>IFERROR(VLOOKUP(B63,'बँक जमा खर्च पासबुक'!$BD$8:$CD$111,19,0),"")</f>
        <v/>
      </c>
      <c r="G63" s="264" t="str">
        <f>IFERROR(VLOOKUP(B63,'बँक जमा खर्च पासबुक'!$BD$8:$CD$111,24,0),"")</f>
        <v/>
      </c>
      <c r="H63" s="264" t="str">
        <f>IFERROR(VLOOKUP(B63,'बँक जमा खर्च पासबुक'!$BD$8:$CD$111,25,0),"")</f>
        <v/>
      </c>
      <c r="I63" s="264" t="str">
        <f t="shared" si="6"/>
        <v/>
      </c>
      <c r="J63" s="244" t="str">
        <f>IFERROR(VLOOKUP(B63,'बँक जमा खर्च पासबुक'!$BD$8:$CD$111,23,0),"")</f>
        <v/>
      </c>
      <c r="K63" s="243" t="str">
        <f>IFERROR(VLOOKUP(B63,'बँक जमा खर्च पासबुक'!$BD$8:$CD$111,21,0),"")</f>
        <v/>
      </c>
      <c r="L63" s="165" t="str">
        <f>IFERROR(VLOOKUP(B63,'बँक जमा खर्च पासबुक'!$BD$8:$CD$111,22,0),"")</f>
        <v/>
      </c>
      <c r="M63" s="264" t="str">
        <f>IFERROR(VLOOKUP(B63,'बँक जमा खर्च पासबुक'!$BD$8:$CD$111,26,0),"")</f>
        <v/>
      </c>
      <c r="N63" s="264" t="str">
        <f>IFERROR(VLOOKUP(B63,'बँक जमा खर्च पासबुक'!$BD$8:$CD$111,27,0),"")</f>
        <v/>
      </c>
      <c r="O63" s="264" t="str">
        <f t="shared" si="7"/>
        <v/>
      </c>
      <c r="P63" s="264" t="str">
        <f t="shared" si="8"/>
        <v/>
      </c>
      <c r="Q63" s="264" t="str">
        <f t="shared" si="9"/>
        <v/>
      </c>
      <c r="R63" s="264" t="str">
        <f t="shared" si="10"/>
        <v/>
      </c>
    </row>
    <row r="64" spans="2:18" ht="25.5" customHeight="1" x14ac:dyDescent="0.4">
      <c r="B64" s="172">
        <v>20</v>
      </c>
      <c r="C64" s="234" t="str">
        <f>IFERROR(VLOOKUP(B64,'बँक जमा खर्च पासबुक'!$BD$8:$CD$111,17,0),"")</f>
        <v/>
      </c>
      <c r="D64" s="354" t="str">
        <f>IFERROR(VLOOKUP(B64,'बँक जमा खर्च पासबुक'!$BD$8:$CD$111,20,0),"")</f>
        <v/>
      </c>
      <c r="E64" s="240" t="str">
        <f>IFERROR(VLOOKUP(B64,'बँक जमा खर्च पासबुक'!$BD$8:$CD$111,18,0),"")</f>
        <v/>
      </c>
      <c r="F64" s="241" t="str">
        <f>IFERROR(VLOOKUP(B64,'बँक जमा खर्च पासबुक'!$BD$8:$CD$111,19,0),"")</f>
        <v/>
      </c>
      <c r="G64" s="264" t="str">
        <f>IFERROR(VLOOKUP(B64,'बँक जमा खर्च पासबुक'!$BD$8:$CD$111,24,0),"")</f>
        <v/>
      </c>
      <c r="H64" s="264" t="str">
        <f>IFERROR(VLOOKUP(B64,'बँक जमा खर्च पासबुक'!$BD$8:$CD$111,25,0),"")</f>
        <v/>
      </c>
      <c r="I64" s="264" t="str">
        <f t="shared" si="6"/>
        <v/>
      </c>
      <c r="J64" s="244" t="str">
        <f>IFERROR(VLOOKUP(B64,'बँक जमा खर्च पासबुक'!$BD$8:$CD$111,23,0),"")</f>
        <v/>
      </c>
      <c r="K64" s="243" t="str">
        <f>IFERROR(VLOOKUP(B64,'बँक जमा खर्च पासबुक'!$BD$8:$CD$111,21,0),"")</f>
        <v/>
      </c>
      <c r="L64" s="165" t="str">
        <f>IFERROR(VLOOKUP(B64,'बँक जमा खर्च पासबुक'!$BD$8:$CD$111,22,0),"")</f>
        <v/>
      </c>
      <c r="M64" s="264" t="str">
        <f>IFERROR(VLOOKUP(B64,'बँक जमा खर्च पासबुक'!$BD$8:$CD$111,26,0),"")</f>
        <v/>
      </c>
      <c r="N64" s="264" t="str">
        <f>IFERROR(VLOOKUP(B64,'बँक जमा खर्च पासबुक'!$BD$8:$CD$111,27,0),"")</f>
        <v/>
      </c>
      <c r="O64" s="264" t="str">
        <f t="shared" si="7"/>
        <v/>
      </c>
      <c r="P64" s="264" t="str">
        <f t="shared" si="8"/>
        <v/>
      </c>
      <c r="Q64" s="264" t="str">
        <f t="shared" si="9"/>
        <v/>
      </c>
      <c r="R64" s="264" t="str">
        <f t="shared" si="10"/>
        <v/>
      </c>
    </row>
    <row r="65" spans="2:18" ht="25.5" customHeight="1" x14ac:dyDescent="0.4">
      <c r="B65" s="172">
        <v>21</v>
      </c>
      <c r="C65" s="234" t="str">
        <f>IFERROR(VLOOKUP(B65,'बँक जमा खर्च पासबुक'!$BD$8:$CD$111,17,0),"")</f>
        <v/>
      </c>
      <c r="D65" s="354" t="str">
        <f>IFERROR(VLOOKUP(B65,'बँक जमा खर्च पासबुक'!$BD$8:$CD$111,20,0),"")</f>
        <v/>
      </c>
      <c r="E65" s="240" t="str">
        <f>IFERROR(VLOOKUP(B65,'बँक जमा खर्च पासबुक'!$BD$8:$CD$111,18,0),"")</f>
        <v/>
      </c>
      <c r="F65" s="241" t="str">
        <f>IFERROR(VLOOKUP(B65,'बँक जमा खर्च पासबुक'!$BD$8:$CD$111,19,0),"")</f>
        <v/>
      </c>
      <c r="G65" s="264" t="str">
        <f>IFERROR(VLOOKUP(B65,'बँक जमा खर्च पासबुक'!$BD$8:$CD$111,24,0),"")</f>
        <v/>
      </c>
      <c r="H65" s="264" t="str">
        <f>IFERROR(VLOOKUP(B65,'बँक जमा खर्च पासबुक'!$BD$8:$CD$111,25,0),"")</f>
        <v/>
      </c>
      <c r="I65" s="264" t="str">
        <f t="shared" si="6"/>
        <v/>
      </c>
      <c r="J65" s="244" t="str">
        <f>IFERROR(VLOOKUP(B65,'बँक जमा खर्च पासबुक'!$BD$8:$CD$111,23,0),"")</f>
        <v/>
      </c>
      <c r="K65" s="243" t="str">
        <f>IFERROR(VLOOKUP(B65,'बँक जमा खर्च पासबुक'!$BD$8:$CD$111,21,0),"")</f>
        <v/>
      </c>
      <c r="L65" s="165" t="str">
        <f>IFERROR(VLOOKUP(B65,'बँक जमा खर्च पासबुक'!$BD$8:$CD$111,22,0),"")</f>
        <v/>
      </c>
      <c r="M65" s="264" t="str">
        <f>IFERROR(VLOOKUP(B65,'बँक जमा खर्च पासबुक'!$BD$8:$CD$111,26,0),"")</f>
        <v/>
      </c>
      <c r="N65" s="264" t="str">
        <f>IFERROR(VLOOKUP(B65,'बँक जमा खर्च पासबुक'!$BD$8:$CD$111,27,0),"")</f>
        <v/>
      </c>
      <c r="O65" s="264" t="str">
        <f t="shared" si="7"/>
        <v/>
      </c>
      <c r="P65" s="264" t="str">
        <f t="shared" si="8"/>
        <v/>
      </c>
      <c r="Q65" s="264" t="str">
        <f t="shared" si="9"/>
        <v/>
      </c>
      <c r="R65" s="264" t="str">
        <f t="shared" si="10"/>
        <v/>
      </c>
    </row>
    <row r="66" spans="2:18" ht="25.5" customHeight="1" x14ac:dyDescent="0.4">
      <c r="B66" s="172">
        <v>22</v>
      </c>
      <c r="C66" s="234" t="str">
        <f>IFERROR(VLOOKUP(B66,'बँक जमा खर्च पासबुक'!$BD$8:$CD$111,17,0),"")</f>
        <v/>
      </c>
      <c r="D66" s="354" t="str">
        <f>IFERROR(VLOOKUP(B66,'बँक जमा खर्च पासबुक'!$BD$8:$CD$111,20,0),"")</f>
        <v/>
      </c>
      <c r="E66" s="240" t="str">
        <f>IFERROR(VLOOKUP(B66,'बँक जमा खर्च पासबुक'!$BD$8:$CD$111,18,0),"")</f>
        <v/>
      </c>
      <c r="F66" s="241" t="str">
        <f>IFERROR(VLOOKUP(B66,'बँक जमा खर्च पासबुक'!$BD$8:$CD$111,19,0),"")</f>
        <v/>
      </c>
      <c r="G66" s="264" t="str">
        <f>IFERROR(VLOOKUP(B66,'बँक जमा खर्च पासबुक'!$BD$8:$CD$111,24,0),"")</f>
        <v/>
      </c>
      <c r="H66" s="264" t="str">
        <f>IFERROR(VLOOKUP(B66,'बँक जमा खर्च पासबुक'!$BD$8:$CD$111,25,0),"")</f>
        <v/>
      </c>
      <c r="I66" s="264" t="str">
        <f t="shared" si="6"/>
        <v/>
      </c>
      <c r="J66" s="244" t="str">
        <f>IFERROR(VLOOKUP(B66,'बँक जमा खर्च पासबुक'!$BD$8:$CD$111,23,0),"")</f>
        <v/>
      </c>
      <c r="K66" s="243" t="str">
        <f>IFERROR(VLOOKUP(B66,'बँक जमा खर्च पासबुक'!$BD$8:$CD$111,21,0),"")</f>
        <v/>
      </c>
      <c r="L66" s="165" t="str">
        <f>IFERROR(VLOOKUP(B66,'बँक जमा खर्च पासबुक'!$BD$8:$CD$111,22,0),"")</f>
        <v/>
      </c>
      <c r="M66" s="264" t="str">
        <f>IFERROR(VLOOKUP(B66,'बँक जमा खर्च पासबुक'!$BD$8:$CD$111,26,0),"")</f>
        <v/>
      </c>
      <c r="N66" s="264" t="str">
        <f>IFERROR(VLOOKUP(B66,'बँक जमा खर्च पासबुक'!$BD$8:$CD$111,27,0),"")</f>
        <v/>
      </c>
      <c r="O66" s="264" t="str">
        <f t="shared" si="7"/>
        <v/>
      </c>
      <c r="P66" s="264" t="str">
        <f t="shared" si="8"/>
        <v/>
      </c>
      <c r="Q66" s="264" t="str">
        <f t="shared" si="9"/>
        <v/>
      </c>
      <c r="R66" s="264" t="str">
        <f t="shared" si="10"/>
        <v/>
      </c>
    </row>
    <row r="67" spans="2:18" ht="25.5" customHeight="1" x14ac:dyDescent="0.4">
      <c r="B67" s="172">
        <v>23</v>
      </c>
      <c r="C67" s="234" t="str">
        <f>IFERROR(VLOOKUP(B67,'बँक जमा खर्च पासबुक'!$BD$8:$CD$111,17,0),"")</f>
        <v/>
      </c>
      <c r="D67" s="354" t="str">
        <f>IFERROR(VLOOKUP(B67,'बँक जमा खर्च पासबुक'!$BD$8:$CD$111,20,0),"")</f>
        <v/>
      </c>
      <c r="E67" s="240" t="str">
        <f>IFERROR(VLOOKUP(B67,'बँक जमा खर्च पासबुक'!$BD$8:$CD$111,18,0),"")</f>
        <v/>
      </c>
      <c r="F67" s="241" t="str">
        <f>IFERROR(VLOOKUP(B67,'बँक जमा खर्च पासबुक'!$BD$8:$CD$111,19,0),"")</f>
        <v/>
      </c>
      <c r="G67" s="264" t="str">
        <f>IFERROR(VLOOKUP(B67,'बँक जमा खर्च पासबुक'!$BD$8:$CD$111,24,0),"")</f>
        <v/>
      </c>
      <c r="H67" s="264" t="str">
        <f>IFERROR(VLOOKUP(B67,'बँक जमा खर्च पासबुक'!$BD$8:$CD$111,25,0),"")</f>
        <v/>
      </c>
      <c r="I67" s="264" t="str">
        <f t="shared" si="6"/>
        <v/>
      </c>
      <c r="J67" s="244" t="str">
        <f>IFERROR(VLOOKUP(B67,'बँक जमा खर्च पासबुक'!$BD$8:$CD$111,23,0),"")</f>
        <v/>
      </c>
      <c r="K67" s="243" t="str">
        <f>IFERROR(VLOOKUP(B67,'बँक जमा खर्च पासबुक'!$BD$8:$CD$111,21,0),"")</f>
        <v/>
      </c>
      <c r="L67" s="165" t="str">
        <f>IFERROR(VLOOKUP(B67,'बँक जमा खर्च पासबुक'!$BD$8:$CD$111,22,0),"")</f>
        <v/>
      </c>
      <c r="M67" s="264" t="str">
        <f>IFERROR(VLOOKUP(B67,'बँक जमा खर्च पासबुक'!$BD$8:$CD$111,26,0),"")</f>
        <v/>
      </c>
      <c r="N67" s="264" t="str">
        <f>IFERROR(VLOOKUP(B67,'बँक जमा खर्च पासबुक'!$BD$8:$CD$111,27,0),"")</f>
        <v/>
      </c>
      <c r="O67" s="264" t="str">
        <f t="shared" si="7"/>
        <v/>
      </c>
      <c r="P67" s="264" t="str">
        <f t="shared" si="8"/>
        <v/>
      </c>
      <c r="Q67" s="264" t="str">
        <f t="shared" si="9"/>
        <v/>
      </c>
      <c r="R67" s="264" t="str">
        <f t="shared" si="10"/>
        <v/>
      </c>
    </row>
    <row r="68" spans="2:18" ht="25.5" customHeight="1" x14ac:dyDescent="0.4">
      <c r="B68" s="172">
        <v>24</v>
      </c>
      <c r="C68" s="234" t="str">
        <f>IFERROR(VLOOKUP(B68,'बँक जमा खर्च पासबुक'!$BD$8:$CD$111,17,0),"")</f>
        <v/>
      </c>
      <c r="D68" s="354" t="str">
        <f>IFERROR(VLOOKUP(B68,'बँक जमा खर्च पासबुक'!$BD$8:$CD$111,20,0),"")</f>
        <v/>
      </c>
      <c r="E68" s="240" t="str">
        <f>IFERROR(VLOOKUP(B68,'बँक जमा खर्च पासबुक'!$BD$8:$CD$111,18,0),"")</f>
        <v/>
      </c>
      <c r="F68" s="241" t="str">
        <f>IFERROR(VLOOKUP(B68,'बँक जमा खर्च पासबुक'!$BD$8:$CD$111,19,0),"")</f>
        <v/>
      </c>
      <c r="G68" s="264" t="str">
        <f>IFERROR(VLOOKUP(B68,'बँक जमा खर्च पासबुक'!$BD$8:$CD$111,24,0),"")</f>
        <v/>
      </c>
      <c r="H68" s="264" t="str">
        <f>IFERROR(VLOOKUP(B68,'बँक जमा खर्च पासबुक'!$BD$8:$CD$111,25,0),"")</f>
        <v/>
      </c>
      <c r="I68" s="264" t="str">
        <f t="shared" si="6"/>
        <v/>
      </c>
      <c r="J68" s="244" t="str">
        <f>IFERROR(VLOOKUP(B68,'बँक जमा खर्च पासबुक'!$BD$8:$CD$111,23,0),"")</f>
        <v/>
      </c>
      <c r="K68" s="243" t="str">
        <f>IFERROR(VLOOKUP(B68,'बँक जमा खर्च पासबुक'!$BD$8:$CD$111,21,0),"")</f>
        <v/>
      </c>
      <c r="L68" s="165" t="str">
        <f>IFERROR(VLOOKUP(B68,'बँक जमा खर्च पासबुक'!$BD$8:$CD$111,22,0),"")</f>
        <v/>
      </c>
      <c r="M68" s="264" t="str">
        <f>IFERROR(VLOOKUP(B68,'बँक जमा खर्च पासबुक'!$BD$8:$CD$111,26,0),"")</f>
        <v/>
      </c>
      <c r="N68" s="264" t="str">
        <f>IFERROR(VLOOKUP(B68,'बँक जमा खर्च पासबुक'!$BD$8:$CD$111,27,0),"")</f>
        <v/>
      </c>
      <c r="O68" s="264" t="str">
        <f t="shared" si="7"/>
        <v/>
      </c>
      <c r="P68" s="264" t="str">
        <f t="shared" si="8"/>
        <v/>
      </c>
      <c r="Q68" s="264" t="str">
        <f t="shared" si="9"/>
        <v/>
      </c>
      <c r="R68" s="264" t="str">
        <f t="shared" si="10"/>
        <v/>
      </c>
    </row>
    <row r="69" spans="2:18" ht="25.5" customHeight="1" x14ac:dyDescent="0.4">
      <c r="B69" s="172">
        <v>25</v>
      </c>
      <c r="C69" s="234" t="str">
        <f>IFERROR(VLOOKUP(B69,'बँक जमा खर्च पासबुक'!$BD$8:$CD$111,17,0),"")</f>
        <v/>
      </c>
      <c r="D69" s="354" t="str">
        <f>IFERROR(VLOOKUP(B69,'बँक जमा खर्च पासबुक'!$BD$8:$CD$111,20,0),"")</f>
        <v/>
      </c>
      <c r="E69" s="240" t="str">
        <f>IFERROR(VLOOKUP(B69,'बँक जमा खर्च पासबुक'!$BD$8:$CD$111,18,0),"")</f>
        <v/>
      </c>
      <c r="F69" s="241" t="str">
        <f>IFERROR(VLOOKUP(B69,'बँक जमा खर्च पासबुक'!$BD$8:$CD$111,19,0),"")</f>
        <v/>
      </c>
      <c r="G69" s="264" t="str">
        <f>IFERROR(VLOOKUP(B69,'बँक जमा खर्च पासबुक'!$BD$8:$CD$111,24,0),"")</f>
        <v/>
      </c>
      <c r="H69" s="264" t="str">
        <f>IFERROR(VLOOKUP(B69,'बँक जमा खर्च पासबुक'!$BD$8:$CD$111,25,0),"")</f>
        <v/>
      </c>
      <c r="I69" s="264" t="str">
        <f t="shared" si="6"/>
        <v/>
      </c>
      <c r="J69" s="244" t="str">
        <f>IFERROR(VLOOKUP(B69,'बँक जमा खर्च पासबुक'!$BD$8:$CD$111,23,0),"")</f>
        <v/>
      </c>
      <c r="K69" s="243" t="str">
        <f>IFERROR(VLOOKUP(B69,'बँक जमा खर्च पासबुक'!$BD$8:$CD$111,21,0),"")</f>
        <v/>
      </c>
      <c r="L69" s="165" t="str">
        <f>IFERROR(VLOOKUP(B69,'बँक जमा खर्च पासबुक'!$BD$8:$CD$111,22,0),"")</f>
        <v/>
      </c>
      <c r="M69" s="264" t="str">
        <f>IFERROR(VLOOKUP(B69,'बँक जमा खर्च पासबुक'!$BD$8:$CD$111,26,0),"")</f>
        <v/>
      </c>
      <c r="N69" s="264" t="str">
        <f>IFERROR(VLOOKUP(B69,'बँक जमा खर्च पासबुक'!$BD$8:$CD$111,27,0),"")</f>
        <v/>
      </c>
      <c r="O69" s="264" t="str">
        <f t="shared" si="7"/>
        <v/>
      </c>
      <c r="P69" s="264" t="str">
        <f t="shared" si="8"/>
        <v/>
      </c>
      <c r="Q69" s="264" t="str">
        <f t="shared" si="9"/>
        <v/>
      </c>
      <c r="R69" s="264" t="str">
        <f t="shared" si="10"/>
        <v/>
      </c>
    </row>
    <row r="70" spans="2:18" ht="25.5" customHeight="1" x14ac:dyDescent="0.4">
      <c r="B70" s="172">
        <v>26</v>
      </c>
      <c r="C70" s="234" t="str">
        <f>IFERROR(VLOOKUP(B70,'बँक जमा खर्च पासबुक'!$BD$8:$CD$111,17,0),"")</f>
        <v/>
      </c>
      <c r="D70" s="354" t="str">
        <f>IFERROR(VLOOKUP(B70,'बँक जमा खर्च पासबुक'!$BD$8:$CD$111,20,0),"")</f>
        <v/>
      </c>
      <c r="E70" s="240" t="str">
        <f>IFERROR(VLOOKUP(B70,'बँक जमा खर्च पासबुक'!$BD$8:$CD$111,18,0),"")</f>
        <v/>
      </c>
      <c r="F70" s="241" t="str">
        <f>IFERROR(VLOOKUP(B70,'बँक जमा खर्च पासबुक'!$BD$8:$CD$111,19,0),"")</f>
        <v/>
      </c>
      <c r="G70" s="264" t="str">
        <f>IFERROR(VLOOKUP(B70,'बँक जमा खर्च पासबुक'!$BD$8:$CD$111,24,0),"")</f>
        <v/>
      </c>
      <c r="H70" s="264" t="str">
        <f>IFERROR(VLOOKUP(B70,'बँक जमा खर्च पासबुक'!$BD$8:$CD$111,25,0),"")</f>
        <v/>
      </c>
      <c r="I70" s="264" t="str">
        <f t="shared" si="6"/>
        <v/>
      </c>
      <c r="J70" s="244" t="str">
        <f>IFERROR(VLOOKUP(B70,'बँक जमा खर्च पासबुक'!$BD$8:$CD$111,23,0),"")</f>
        <v/>
      </c>
      <c r="K70" s="243" t="str">
        <f>IFERROR(VLOOKUP(B70,'बँक जमा खर्च पासबुक'!$BD$8:$CD$111,21,0),"")</f>
        <v/>
      </c>
      <c r="L70" s="165" t="str">
        <f>IFERROR(VLOOKUP(B70,'बँक जमा खर्च पासबुक'!$BD$8:$CD$111,22,0),"")</f>
        <v/>
      </c>
      <c r="M70" s="264" t="str">
        <f>IFERROR(VLOOKUP(B70,'बँक जमा खर्च पासबुक'!$BD$8:$CD$111,26,0),"")</f>
        <v/>
      </c>
      <c r="N70" s="264" t="str">
        <f>IFERROR(VLOOKUP(B70,'बँक जमा खर्च पासबुक'!$BD$8:$CD$111,27,0),"")</f>
        <v/>
      </c>
      <c r="O70" s="264" t="str">
        <f t="shared" si="7"/>
        <v/>
      </c>
      <c r="P70" s="264" t="str">
        <f t="shared" si="8"/>
        <v/>
      </c>
      <c r="Q70" s="264" t="str">
        <f t="shared" si="9"/>
        <v/>
      </c>
      <c r="R70" s="264" t="str">
        <f t="shared" si="10"/>
        <v/>
      </c>
    </row>
    <row r="71" spans="2:18" ht="25.5" customHeight="1" x14ac:dyDescent="0.4">
      <c r="B71" s="172">
        <v>27</v>
      </c>
      <c r="C71" s="234" t="str">
        <f>IFERROR(VLOOKUP(B71,'बँक जमा खर्च पासबुक'!$BD$8:$CD$111,17,0),"")</f>
        <v/>
      </c>
      <c r="D71" s="354" t="str">
        <f>IFERROR(VLOOKUP(B71,'बँक जमा खर्च पासबुक'!$BD$8:$CD$111,20,0),"")</f>
        <v/>
      </c>
      <c r="E71" s="240" t="str">
        <f>IFERROR(VLOOKUP(B71,'बँक जमा खर्च पासबुक'!$BD$8:$CD$111,18,0),"")</f>
        <v/>
      </c>
      <c r="F71" s="241" t="str">
        <f>IFERROR(VLOOKUP(B71,'बँक जमा खर्च पासबुक'!$BD$8:$CD$111,19,0),"")</f>
        <v/>
      </c>
      <c r="G71" s="264" t="str">
        <f>IFERROR(VLOOKUP(B71,'बँक जमा खर्च पासबुक'!$BD$8:$CD$111,24,0),"")</f>
        <v/>
      </c>
      <c r="H71" s="264" t="str">
        <f>IFERROR(VLOOKUP(B71,'बँक जमा खर्च पासबुक'!$BD$8:$CD$111,25,0),"")</f>
        <v/>
      </c>
      <c r="I71" s="264" t="str">
        <f t="shared" si="6"/>
        <v/>
      </c>
      <c r="J71" s="244" t="str">
        <f>IFERROR(VLOOKUP(B71,'बँक जमा खर्च पासबुक'!$BD$8:$CD$111,23,0),"")</f>
        <v/>
      </c>
      <c r="K71" s="243" t="str">
        <f>IFERROR(VLOOKUP(B71,'बँक जमा खर्च पासबुक'!$BD$8:$CD$111,21,0),"")</f>
        <v/>
      </c>
      <c r="L71" s="165" t="str">
        <f>IFERROR(VLOOKUP(B71,'बँक जमा खर्च पासबुक'!$BD$8:$CD$111,22,0),"")</f>
        <v/>
      </c>
      <c r="M71" s="264" t="str">
        <f>IFERROR(VLOOKUP(B71,'बँक जमा खर्च पासबुक'!$BD$8:$CD$111,26,0),"")</f>
        <v/>
      </c>
      <c r="N71" s="264" t="str">
        <f>IFERROR(VLOOKUP(B71,'बँक जमा खर्च पासबुक'!$BD$8:$CD$111,27,0),"")</f>
        <v/>
      </c>
      <c r="O71" s="264" t="str">
        <f t="shared" si="7"/>
        <v/>
      </c>
      <c r="P71" s="264" t="str">
        <f t="shared" si="8"/>
        <v/>
      </c>
      <c r="Q71" s="264" t="str">
        <f t="shared" si="9"/>
        <v/>
      </c>
      <c r="R71" s="264" t="str">
        <f t="shared" si="10"/>
        <v/>
      </c>
    </row>
    <row r="72" spans="2:18" ht="25.5" customHeight="1" x14ac:dyDescent="0.4">
      <c r="B72" s="172">
        <v>28</v>
      </c>
      <c r="C72" s="234" t="str">
        <f>IFERROR(VLOOKUP(B72,'बँक जमा खर्च पासबुक'!$BD$8:$CD$111,17,0),"")</f>
        <v/>
      </c>
      <c r="D72" s="354" t="str">
        <f>IFERROR(VLOOKUP(B72,'बँक जमा खर्च पासबुक'!$BD$8:$CD$111,20,0),"")</f>
        <v/>
      </c>
      <c r="E72" s="240" t="str">
        <f>IFERROR(VLOOKUP(B72,'बँक जमा खर्च पासबुक'!$BD$8:$CD$111,18,0),"")</f>
        <v/>
      </c>
      <c r="F72" s="241" t="str">
        <f>IFERROR(VLOOKUP(B72,'बँक जमा खर्च पासबुक'!$BD$8:$CD$111,19,0),"")</f>
        <v/>
      </c>
      <c r="G72" s="264" t="str">
        <f>IFERROR(VLOOKUP(B72,'बँक जमा खर्च पासबुक'!$BD$8:$CD$111,24,0),"")</f>
        <v/>
      </c>
      <c r="H72" s="264" t="str">
        <f>IFERROR(VLOOKUP(B72,'बँक जमा खर्च पासबुक'!$BD$8:$CD$111,25,0),"")</f>
        <v/>
      </c>
      <c r="I72" s="264" t="str">
        <f t="shared" si="6"/>
        <v/>
      </c>
      <c r="J72" s="244" t="str">
        <f>IFERROR(VLOOKUP(B72,'बँक जमा खर्च पासबुक'!$BD$8:$CD$111,23,0),"")</f>
        <v/>
      </c>
      <c r="K72" s="243" t="str">
        <f>IFERROR(VLOOKUP(B72,'बँक जमा खर्च पासबुक'!$BD$8:$CD$111,21,0),"")</f>
        <v/>
      </c>
      <c r="L72" s="165" t="str">
        <f>IFERROR(VLOOKUP(B72,'बँक जमा खर्च पासबुक'!$BD$8:$CD$111,22,0),"")</f>
        <v/>
      </c>
      <c r="M72" s="264" t="str">
        <f>IFERROR(VLOOKUP(B72,'बँक जमा खर्च पासबुक'!$BD$8:$CD$111,26,0),"")</f>
        <v/>
      </c>
      <c r="N72" s="264" t="str">
        <f>IFERROR(VLOOKUP(B72,'बँक जमा खर्च पासबुक'!$BD$8:$CD$111,27,0),"")</f>
        <v/>
      </c>
      <c r="O72" s="264" t="str">
        <f t="shared" si="7"/>
        <v/>
      </c>
      <c r="P72" s="264" t="str">
        <f t="shared" si="8"/>
        <v/>
      </c>
      <c r="Q72" s="264" t="str">
        <f t="shared" si="9"/>
        <v/>
      </c>
      <c r="R72" s="264" t="str">
        <f t="shared" si="10"/>
        <v/>
      </c>
    </row>
    <row r="73" spans="2:18" ht="25.5" customHeight="1" x14ac:dyDescent="0.4">
      <c r="B73" s="172">
        <v>29</v>
      </c>
      <c r="C73" s="234" t="str">
        <f>IFERROR(VLOOKUP(B73,'बँक जमा खर्च पासबुक'!$BD$8:$CD$111,17,0),"")</f>
        <v/>
      </c>
      <c r="D73" s="354" t="str">
        <f>IFERROR(VLOOKUP(B73,'बँक जमा खर्च पासबुक'!$BD$8:$CD$111,20,0),"")</f>
        <v/>
      </c>
      <c r="E73" s="240" t="str">
        <f>IFERROR(VLOOKUP(B73,'बँक जमा खर्च पासबुक'!$BD$8:$CD$111,18,0),"")</f>
        <v/>
      </c>
      <c r="F73" s="241" t="str">
        <f>IFERROR(VLOOKUP(B73,'बँक जमा खर्च पासबुक'!$BD$8:$CD$111,19,0),"")</f>
        <v/>
      </c>
      <c r="G73" s="264" t="str">
        <f>IFERROR(VLOOKUP(B73,'बँक जमा खर्च पासबुक'!$BD$8:$CD$111,24,0),"")</f>
        <v/>
      </c>
      <c r="H73" s="264" t="str">
        <f>IFERROR(VLOOKUP(B73,'बँक जमा खर्च पासबुक'!$BD$8:$CD$111,25,0),"")</f>
        <v/>
      </c>
      <c r="I73" s="264" t="str">
        <f t="shared" si="6"/>
        <v/>
      </c>
      <c r="J73" s="244" t="str">
        <f>IFERROR(VLOOKUP(B73,'बँक जमा खर्च पासबुक'!$BD$8:$CD$111,23,0),"")</f>
        <v/>
      </c>
      <c r="K73" s="243" t="str">
        <f>IFERROR(VLOOKUP(B73,'बँक जमा खर्च पासबुक'!$BD$8:$CD$111,21,0),"")</f>
        <v/>
      </c>
      <c r="L73" s="165" t="str">
        <f>IFERROR(VLOOKUP(B73,'बँक जमा खर्च पासबुक'!$BD$8:$CD$111,22,0),"")</f>
        <v/>
      </c>
      <c r="M73" s="264" t="str">
        <f>IFERROR(VLOOKUP(B73,'बँक जमा खर्च पासबुक'!$BD$8:$CD$111,26,0),"")</f>
        <v/>
      </c>
      <c r="N73" s="264" t="str">
        <f>IFERROR(VLOOKUP(B73,'बँक जमा खर्च पासबुक'!$BD$8:$CD$111,27,0),"")</f>
        <v/>
      </c>
      <c r="O73" s="264" t="str">
        <f t="shared" si="7"/>
        <v/>
      </c>
      <c r="P73" s="264" t="str">
        <f t="shared" si="8"/>
        <v/>
      </c>
      <c r="Q73" s="264" t="str">
        <f t="shared" si="9"/>
        <v/>
      </c>
      <c r="R73" s="264" t="str">
        <f t="shared" si="10"/>
        <v/>
      </c>
    </row>
    <row r="74" spans="2:18" ht="25.5" customHeight="1" x14ac:dyDescent="0.4">
      <c r="B74" s="172">
        <v>30</v>
      </c>
      <c r="C74" s="234" t="str">
        <f>IFERROR(VLOOKUP(B74,'बँक जमा खर्च पासबुक'!$BD$8:$CD$111,17,0),"")</f>
        <v/>
      </c>
      <c r="D74" s="354" t="str">
        <f>IFERROR(VLOOKUP(B74,'बँक जमा खर्च पासबुक'!$BD$8:$CD$111,20,0),"")</f>
        <v/>
      </c>
      <c r="E74" s="240" t="str">
        <f>IFERROR(VLOOKUP(B74,'बँक जमा खर्च पासबुक'!$BD$8:$CD$111,18,0),"")</f>
        <v/>
      </c>
      <c r="F74" s="241" t="str">
        <f>IFERROR(VLOOKUP(B74,'बँक जमा खर्च पासबुक'!$BD$8:$CD$111,19,0),"")</f>
        <v/>
      </c>
      <c r="G74" s="264" t="str">
        <f>IFERROR(VLOOKUP(B74,'बँक जमा खर्च पासबुक'!$BD$8:$CD$111,24,0),"")</f>
        <v/>
      </c>
      <c r="H74" s="264" t="str">
        <f>IFERROR(VLOOKUP(B74,'बँक जमा खर्च पासबुक'!$BD$8:$CD$111,25,0),"")</f>
        <v/>
      </c>
      <c r="I74" s="264" t="str">
        <f t="shared" ref="I74:I79" si="11">IFERROR(G74+H74,"")</f>
        <v/>
      </c>
      <c r="J74" s="244" t="str">
        <f>IFERROR(VLOOKUP(B74,'बँक जमा खर्च पासबुक'!$BD$8:$CD$111,23,0),"")</f>
        <v/>
      </c>
      <c r="K74" s="243" t="str">
        <f>IFERROR(VLOOKUP(B74,'बँक जमा खर्च पासबुक'!$BD$8:$CD$111,21,0),"")</f>
        <v/>
      </c>
      <c r="L74" s="165" t="str">
        <f>IFERROR(VLOOKUP(B74,'बँक जमा खर्च पासबुक'!$BD$8:$CD$111,22,0),"")</f>
        <v/>
      </c>
      <c r="M74" s="264" t="str">
        <f>IFERROR(VLOOKUP(B74,'बँक जमा खर्च पासबुक'!$BD$8:$CD$111,26,0),"")</f>
        <v/>
      </c>
      <c r="N74" s="264" t="str">
        <f>IFERROR(VLOOKUP(B74,'बँक जमा खर्च पासबुक'!$BD$8:$CD$111,27,0),"")</f>
        <v/>
      </c>
      <c r="O74" s="264" t="str">
        <f t="shared" ref="O74:O79" si="12">IFERROR(M74+N74,"")</f>
        <v/>
      </c>
      <c r="P74" s="264" t="str">
        <f t="shared" ref="P74:P79" si="13">IFERROR(P73+G74-M74,"")</f>
        <v/>
      </c>
      <c r="Q74" s="264" t="str">
        <f t="shared" ref="Q74:Q79" si="14">IFERROR(Q73+H74-N74,"")</f>
        <v/>
      </c>
      <c r="R74" s="264" t="str">
        <f t="shared" ref="R74:R78" si="15">IFERROR(R73+I74-O74,"")</f>
        <v/>
      </c>
    </row>
    <row r="75" spans="2:18" ht="25.5" customHeight="1" x14ac:dyDescent="0.4">
      <c r="B75" s="172">
        <v>31</v>
      </c>
      <c r="C75" s="234" t="str">
        <f>IFERROR(VLOOKUP(B75,'बँक जमा खर्च पासबुक'!$BD$8:$CD$111,17,0),"")</f>
        <v/>
      </c>
      <c r="D75" s="354" t="str">
        <f>IFERROR(VLOOKUP(B75,'बँक जमा खर्च पासबुक'!$BD$8:$CD$111,20,0),"")</f>
        <v/>
      </c>
      <c r="E75" s="240" t="str">
        <f>IFERROR(VLOOKUP(B75,'बँक जमा खर्च पासबुक'!$BD$8:$CD$111,18,0),"")</f>
        <v/>
      </c>
      <c r="F75" s="241" t="str">
        <f>IFERROR(VLOOKUP(B75,'बँक जमा खर्च पासबुक'!$BD$8:$CD$111,19,0),"")</f>
        <v/>
      </c>
      <c r="G75" s="264" t="str">
        <f>IFERROR(VLOOKUP(B75,'बँक जमा खर्च पासबुक'!$BD$8:$CD$111,24,0),"")</f>
        <v/>
      </c>
      <c r="H75" s="264" t="str">
        <f>IFERROR(VLOOKUP(B75,'बँक जमा खर्च पासबुक'!$BD$8:$CD$111,25,0),"")</f>
        <v/>
      </c>
      <c r="I75" s="264" t="str">
        <f t="shared" si="11"/>
        <v/>
      </c>
      <c r="J75" s="244" t="str">
        <f>IFERROR(VLOOKUP(B75,'बँक जमा खर्च पासबुक'!$BD$8:$CD$111,23,0),"")</f>
        <v/>
      </c>
      <c r="K75" s="243" t="str">
        <f>IFERROR(VLOOKUP(B75,'बँक जमा खर्च पासबुक'!$BD$8:$CD$111,21,0),"")</f>
        <v/>
      </c>
      <c r="L75" s="165" t="str">
        <f>IFERROR(VLOOKUP(B75,'बँक जमा खर्च पासबुक'!$BD$8:$CD$111,22,0),"")</f>
        <v/>
      </c>
      <c r="M75" s="264" t="str">
        <f>IFERROR(VLOOKUP(B75,'बँक जमा खर्च पासबुक'!$BD$8:$CD$111,26,0),"")</f>
        <v/>
      </c>
      <c r="N75" s="264" t="str">
        <f>IFERROR(VLOOKUP(B75,'बँक जमा खर्च पासबुक'!$BD$8:$CD$111,27,0),"")</f>
        <v/>
      </c>
      <c r="O75" s="264" t="str">
        <f t="shared" si="12"/>
        <v/>
      </c>
      <c r="P75" s="264" t="str">
        <f t="shared" si="13"/>
        <v/>
      </c>
      <c r="Q75" s="264" t="str">
        <f t="shared" si="14"/>
        <v/>
      </c>
      <c r="R75" s="264" t="str">
        <f t="shared" si="15"/>
        <v/>
      </c>
    </row>
    <row r="76" spans="2:18" ht="25.5" customHeight="1" x14ac:dyDescent="0.4">
      <c r="B76" s="172">
        <v>32</v>
      </c>
      <c r="C76" s="234" t="str">
        <f>IFERROR(VLOOKUP(B76,'बँक जमा खर्च पासबुक'!$BD$8:$CD$111,17,0),"")</f>
        <v/>
      </c>
      <c r="D76" s="354" t="str">
        <f>IFERROR(VLOOKUP(B76,'बँक जमा खर्च पासबुक'!$BD$8:$CD$111,20,0),"")</f>
        <v/>
      </c>
      <c r="E76" s="240" t="str">
        <f>IFERROR(VLOOKUP(B76,'बँक जमा खर्च पासबुक'!$BD$8:$CD$111,18,0),"")</f>
        <v/>
      </c>
      <c r="F76" s="241" t="str">
        <f>IFERROR(VLOOKUP(B76,'बँक जमा खर्च पासबुक'!$BD$8:$CD$111,19,0),"")</f>
        <v/>
      </c>
      <c r="G76" s="264" t="str">
        <f>IFERROR(VLOOKUP(B76,'बँक जमा खर्च पासबुक'!$BD$8:$CD$111,24,0),"")</f>
        <v/>
      </c>
      <c r="H76" s="264" t="str">
        <f>IFERROR(VLOOKUP(B76,'बँक जमा खर्च पासबुक'!$BD$8:$CD$111,25,0),"")</f>
        <v/>
      </c>
      <c r="I76" s="264" t="str">
        <f t="shared" si="11"/>
        <v/>
      </c>
      <c r="J76" s="244" t="str">
        <f>IFERROR(VLOOKUP(B76,'बँक जमा खर्च पासबुक'!$BD$8:$CD$111,23,0),"")</f>
        <v/>
      </c>
      <c r="K76" s="243" t="str">
        <f>IFERROR(VLOOKUP(B76,'बँक जमा खर्च पासबुक'!$BD$8:$CD$111,21,0),"")</f>
        <v/>
      </c>
      <c r="L76" s="165" t="str">
        <f>IFERROR(VLOOKUP(B76,'बँक जमा खर्च पासबुक'!$BD$8:$CD$111,22,0),"")</f>
        <v/>
      </c>
      <c r="M76" s="264" t="str">
        <f>IFERROR(VLOOKUP(B76,'बँक जमा खर्च पासबुक'!$BD$8:$CD$111,26,0),"")</f>
        <v/>
      </c>
      <c r="N76" s="264" t="str">
        <f>IFERROR(VLOOKUP(B76,'बँक जमा खर्च पासबुक'!$BD$8:$CD$111,27,0),"")</f>
        <v/>
      </c>
      <c r="O76" s="264" t="str">
        <f t="shared" si="12"/>
        <v/>
      </c>
      <c r="P76" s="264" t="str">
        <f t="shared" si="13"/>
        <v/>
      </c>
      <c r="Q76" s="264" t="str">
        <f t="shared" si="14"/>
        <v/>
      </c>
      <c r="R76" s="264" t="str">
        <f t="shared" si="15"/>
        <v/>
      </c>
    </row>
    <row r="77" spans="2:18" ht="25.5" customHeight="1" x14ac:dyDescent="0.4">
      <c r="B77" s="172">
        <v>33</v>
      </c>
      <c r="C77" s="234" t="str">
        <f>IFERROR(VLOOKUP(B77,'बँक जमा खर्च पासबुक'!$BD$8:$CD$111,17,0),"")</f>
        <v/>
      </c>
      <c r="D77" s="354" t="str">
        <f>IFERROR(VLOOKUP(B77,'बँक जमा खर्च पासबुक'!$BD$8:$CD$111,20,0),"")</f>
        <v/>
      </c>
      <c r="E77" s="240" t="str">
        <f>IFERROR(VLOOKUP(B77,'बँक जमा खर्च पासबुक'!$BD$8:$CD$111,18,0),"")</f>
        <v/>
      </c>
      <c r="F77" s="241" t="str">
        <f>IFERROR(VLOOKUP(B77,'बँक जमा खर्च पासबुक'!$BD$8:$CD$111,19,0),"")</f>
        <v/>
      </c>
      <c r="G77" s="264" t="str">
        <f>IFERROR(VLOOKUP(B77,'बँक जमा खर्च पासबुक'!$BD$8:$CD$111,24,0),"")</f>
        <v/>
      </c>
      <c r="H77" s="264" t="str">
        <f>IFERROR(VLOOKUP(B77,'बँक जमा खर्च पासबुक'!$BD$8:$CD$111,25,0),"")</f>
        <v/>
      </c>
      <c r="I77" s="264" t="str">
        <f t="shared" si="11"/>
        <v/>
      </c>
      <c r="J77" s="244" t="str">
        <f>IFERROR(VLOOKUP(B77,'बँक जमा खर्च पासबुक'!$BD$8:$CD$111,23,0),"")</f>
        <v/>
      </c>
      <c r="K77" s="240" t="str">
        <f>IFERROR(VLOOKUP(B77,'बँक जमा खर्च पासबुक'!$BD$8:$CD$111,21,0),"")</f>
        <v/>
      </c>
      <c r="L77" s="165" t="str">
        <f>IFERROR(VLOOKUP(B77,'बँक जमा खर्च पासबुक'!$BD$8:$CD$111,22,0),"")</f>
        <v/>
      </c>
      <c r="M77" s="264" t="str">
        <f>IFERROR(VLOOKUP(B77,'बँक जमा खर्च पासबुक'!$BD$8:$CD$111,26,0),"")</f>
        <v/>
      </c>
      <c r="N77" s="264" t="str">
        <f>IFERROR(VLOOKUP(B77,'बँक जमा खर्च पासबुक'!$BD$8:$CD$111,27,0),"")</f>
        <v/>
      </c>
      <c r="O77" s="264" t="str">
        <f t="shared" si="12"/>
        <v/>
      </c>
      <c r="P77" s="264" t="str">
        <f t="shared" si="13"/>
        <v/>
      </c>
      <c r="Q77" s="264" t="str">
        <f t="shared" si="14"/>
        <v/>
      </c>
      <c r="R77" s="264" t="str">
        <f t="shared" si="15"/>
        <v/>
      </c>
    </row>
    <row r="78" spans="2:18" ht="25.5" customHeight="1" x14ac:dyDescent="0.4">
      <c r="B78" s="172">
        <v>34</v>
      </c>
      <c r="C78" s="234" t="str">
        <f>IFERROR(VLOOKUP(B78,'बँक जमा खर्च पासबुक'!$BD$8:$CD$111,17,0),"")</f>
        <v/>
      </c>
      <c r="D78" s="354" t="str">
        <f>IFERROR(VLOOKUP(B78,'बँक जमा खर्च पासबुक'!$BD$8:$CD$111,20,0),"")</f>
        <v/>
      </c>
      <c r="E78" s="240" t="str">
        <f>IFERROR(VLOOKUP(B78,'बँक जमा खर्च पासबुक'!$BD$8:$CD$111,18,0),"")</f>
        <v/>
      </c>
      <c r="F78" s="241" t="str">
        <f>IFERROR(VLOOKUP(B78,'बँक जमा खर्च पासबुक'!$BD$8:$CD$111,19,0),"")</f>
        <v/>
      </c>
      <c r="G78" s="264" t="str">
        <f>IFERROR(VLOOKUP(B78,'बँक जमा खर्च पासबुक'!$BD$8:$CD$111,24,0),"")</f>
        <v/>
      </c>
      <c r="H78" s="264" t="str">
        <f>IFERROR(VLOOKUP(B78,'बँक जमा खर्च पासबुक'!$BD$8:$CD$111,25,0),"")</f>
        <v/>
      </c>
      <c r="I78" s="264" t="str">
        <f t="shared" si="11"/>
        <v/>
      </c>
      <c r="J78" s="244" t="str">
        <f>IFERROR(VLOOKUP(B78,'बँक जमा खर्च पासबुक'!$BD$8:$CD$111,23,0),"")</f>
        <v/>
      </c>
      <c r="K78" s="240" t="str">
        <f>IFERROR(VLOOKUP(B78,'बँक जमा खर्च पासबुक'!$BD$8:$CD$111,21,0),"")</f>
        <v/>
      </c>
      <c r="L78" s="165" t="str">
        <f>IFERROR(VLOOKUP(B78,'बँक जमा खर्च पासबुक'!$BD$8:$CD$111,22,0),"")</f>
        <v/>
      </c>
      <c r="M78" s="264" t="str">
        <f>IFERROR(VLOOKUP(B78,'बँक जमा खर्च पासबुक'!$BD$8:$CD$111,26,0),"")</f>
        <v/>
      </c>
      <c r="N78" s="264" t="str">
        <f>IFERROR(VLOOKUP(B78,'बँक जमा खर्च पासबुक'!$BD$8:$CD$111,27,0),"")</f>
        <v/>
      </c>
      <c r="O78" s="264" t="str">
        <f t="shared" si="12"/>
        <v/>
      </c>
      <c r="P78" s="264" t="str">
        <f t="shared" si="13"/>
        <v/>
      </c>
      <c r="Q78" s="264" t="str">
        <f t="shared" si="14"/>
        <v/>
      </c>
      <c r="R78" s="264" t="str">
        <f t="shared" si="15"/>
        <v/>
      </c>
    </row>
    <row r="79" spans="2:18" ht="25.5" customHeight="1" x14ac:dyDescent="0.4">
      <c r="B79" s="172">
        <v>35</v>
      </c>
      <c r="C79" s="234" t="str">
        <f>IFERROR(VLOOKUP(B79,'बँक जमा खर्च पासबुक'!$BD$8:$CD$111,17,0),"")</f>
        <v/>
      </c>
      <c r="D79" s="354" t="str">
        <f>IFERROR(VLOOKUP(B79,'बँक जमा खर्च पासबुक'!$BD$8:$CD$111,20,0),"")</f>
        <v/>
      </c>
      <c r="E79" s="240" t="str">
        <f>IFERROR(VLOOKUP(B79,'बँक जमा खर्च पासबुक'!$BD$8:$CD$111,18,0),"")</f>
        <v/>
      </c>
      <c r="F79" s="241" t="str">
        <f>IFERROR(VLOOKUP(B79,'बँक जमा खर्च पासबुक'!$BD$8:$CD$111,19,0),"")</f>
        <v/>
      </c>
      <c r="G79" s="264" t="str">
        <f>IFERROR(VLOOKUP(B79,'बँक जमा खर्च पासबुक'!$BD$8:$CD$111,24,0),"")</f>
        <v/>
      </c>
      <c r="H79" s="264" t="str">
        <f>IFERROR(VLOOKUP(B79,'बँक जमा खर्च पासबुक'!$BD$8:$CD$111,25,0),"")</f>
        <v/>
      </c>
      <c r="I79" s="264" t="str">
        <f t="shared" si="11"/>
        <v/>
      </c>
      <c r="J79" s="244" t="str">
        <f>IFERROR(VLOOKUP(B79,'बँक जमा खर्च पासबुक'!$BD$8:$CD$111,23,0),"")</f>
        <v/>
      </c>
      <c r="K79" s="240" t="str">
        <f>IFERROR(VLOOKUP(B79,'बँक जमा खर्च पासबुक'!$BD$8:$CD$111,21,0),"")</f>
        <v/>
      </c>
      <c r="L79" s="165" t="str">
        <f>IFERROR(VLOOKUP(B79,'बँक जमा खर्च पासबुक'!$BD$8:$CD$111,22,0),"")</f>
        <v/>
      </c>
      <c r="M79" s="264" t="str">
        <f>IFERROR(VLOOKUP(B79,'बँक जमा खर्च पासबुक'!$BD$8:$CD$111,26,0),"")</f>
        <v/>
      </c>
      <c r="N79" s="264" t="str">
        <f>IFERROR(VLOOKUP(B79,'बँक जमा खर्च पासबुक'!$BD$8:$CD$111,27,0),"")</f>
        <v/>
      </c>
      <c r="O79" s="264" t="str">
        <f t="shared" si="12"/>
        <v/>
      </c>
      <c r="P79" s="264" t="str">
        <f t="shared" si="13"/>
        <v/>
      </c>
      <c r="Q79" s="264" t="str">
        <f t="shared" si="14"/>
        <v/>
      </c>
      <c r="R79" s="264" t="str">
        <f>IFERROR(R78+I79-O79,"")</f>
        <v/>
      </c>
    </row>
    <row r="80" spans="2:18" ht="25.5" customHeight="1" x14ac:dyDescent="0.4">
      <c r="B80" s="172"/>
      <c r="C80" s="713"/>
      <c r="D80" s="391" t="s">
        <v>35</v>
      </c>
      <c r="E80" s="785"/>
      <c r="F80" s="786"/>
      <c r="G80" s="264">
        <f>SUM(G44:G79)</f>
        <v>0</v>
      </c>
      <c r="H80" s="264">
        <f>SUM(H44:H79)</f>
        <v>0</v>
      </c>
      <c r="I80" s="264">
        <f>SUM(I44:I79)</f>
        <v>0</v>
      </c>
      <c r="J80" s="793"/>
      <c r="K80" s="785"/>
      <c r="L80" s="794"/>
      <c r="M80" s="264">
        <f t="shared" ref="M80:O80" si="16">SUM(M45:M79)</f>
        <v>0</v>
      </c>
      <c r="N80" s="264">
        <f t="shared" si="16"/>
        <v>0</v>
      </c>
      <c r="O80" s="264">
        <f t="shared" si="16"/>
        <v>0</v>
      </c>
      <c r="P80" s="264">
        <f>G80-M80</f>
        <v>0</v>
      </c>
      <c r="Q80" s="264">
        <f>H80-N80</f>
        <v>0</v>
      </c>
      <c r="R80" s="264">
        <f>I80-O80</f>
        <v>0</v>
      </c>
    </row>
    <row r="81" spans="2:23" ht="25.5" customHeight="1" x14ac:dyDescent="0.4">
      <c r="B81" s="21"/>
      <c r="G81" s="787"/>
      <c r="H81" s="787"/>
      <c r="I81" s="787"/>
      <c r="M81" s="787"/>
      <c r="N81" s="787"/>
      <c r="O81" s="787"/>
      <c r="P81" s="787"/>
      <c r="Q81" s="787"/>
      <c r="R81" s="787"/>
    </row>
    <row r="82" spans="2:23" ht="25.5" customHeight="1" thickBot="1" x14ac:dyDescent="0.45">
      <c r="G82" s="787"/>
      <c r="H82" s="787"/>
      <c r="I82" s="787"/>
      <c r="K82" s="795"/>
    </row>
    <row r="83" spans="2:23" ht="25.5" customHeight="1" thickBot="1" x14ac:dyDescent="0.45">
      <c r="B83" s="772" t="s">
        <v>437</v>
      </c>
      <c r="C83" s="773" t="s">
        <v>638</v>
      </c>
      <c r="D83" s="1415" t="str">
        <f>D8</f>
        <v>इंधन,भाजीपाला,पूरक आहार अनुदान फरक बील</v>
      </c>
      <c r="E83" s="1415"/>
      <c r="F83" s="774"/>
      <c r="G83" s="773" t="s">
        <v>312</v>
      </c>
      <c r="H83" s="238">
        <f>HOME!$E$2</f>
        <v>2022</v>
      </c>
      <c r="I83" s="238">
        <f>HOME!$F$2</f>
        <v>2023</v>
      </c>
      <c r="J83" s="773"/>
      <c r="K83" s="775"/>
      <c r="L83" s="776"/>
      <c r="M83" s="777"/>
      <c r="N83" s="777"/>
      <c r="O83" s="777"/>
      <c r="P83" s="777"/>
      <c r="Q83" s="777"/>
      <c r="R83" s="778"/>
    </row>
    <row r="85" spans="2:23" ht="25.5" customHeight="1" x14ac:dyDescent="0.4">
      <c r="B85" s="1411" t="s">
        <v>86</v>
      </c>
      <c r="C85" s="1413" t="s">
        <v>17</v>
      </c>
      <c r="D85" s="1410" t="s">
        <v>553</v>
      </c>
      <c r="E85" s="1410"/>
      <c r="F85" s="1410"/>
      <c r="G85" s="1410" t="s">
        <v>544</v>
      </c>
      <c r="H85" s="1410"/>
      <c r="I85" s="1410"/>
      <c r="J85" s="1407" t="s">
        <v>554</v>
      </c>
      <c r="K85" s="1408"/>
      <c r="L85" s="1409"/>
      <c r="M85" s="1410" t="s">
        <v>545</v>
      </c>
      <c r="N85" s="1410"/>
      <c r="O85" s="1410"/>
      <c r="P85" s="1410" t="s">
        <v>637</v>
      </c>
      <c r="Q85" s="1410"/>
      <c r="R85" s="1410"/>
    </row>
    <row r="86" spans="2:23" ht="25.5" customHeight="1" x14ac:dyDescent="0.4">
      <c r="B86" s="1412"/>
      <c r="C86" s="1414"/>
      <c r="D86" s="1407" t="s">
        <v>636</v>
      </c>
      <c r="E86" s="1408"/>
      <c r="F86" s="1409"/>
      <c r="G86" s="582" t="s">
        <v>586</v>
      </c>
      <c r="H86" s="582" t="s">
        <v>587</v>
      </c>
      <c r="I86" s="582" t="s">
        <v>35</v>
      </c>
      <c r="J86" s="1407" t="s">
        <v>636</v>
      </c>
      <c r="K86" s="1408"/>
      <c r="L86" s="1409"/>
      <c r="M86" s="582" t="s">
        <v>586</v>
      </c>
      <c r="N86" s="582" t="s">
        <v>587</v>
      </c>
      <c r="O86" s="582" t="s">
        <v>35</v>
      </c>
      <c r="P86" s="582" t="s">
        <v>586</v>
      </c>
      <c r="Q86" s="582" t="s">
        <v>587</v>
      </c>
      <c r="R86" s="582" t="s">
        <v>35</v>
      </c>
    </row>
    <row r="87" spans="2:23" ht="25.5" customHeight="1" x14ac:dyDescent="0.4">
      <c r="B87" s="779"/>
      <c r="C87" s="780"/>
      <c r="D87" s="1404" t="s">
        <v>87</v>
      </c>
      <c r="E87" s="1405"/>
      <c r="F87" s="1406"/>
      <c r="G87" s="264">
        <f>'Balance sheet'!D11</f>
        <v>0</v>
      </c>
      <c r="H87" s="264">
        <f>'Balance sheet'!E11</f>
        <v>0</v>
      </c>
      <c r="I87" s="264">
        <f>SUM(G87:H87)</f>
        <v>0</v>
      </c>
      <c r="J87" s="789"/>
      <c r="K87" s="790"/>
      <c r="L87" s="791"/>
      <c r="M87" s="792"/>
      <c r="N87" s="792"/>
      <c r="O87" s="792"/>
      <c r="P87" s="792"/>
      <c r="Q87" s="792"/>
      <c r="R87" s="792"/>
    </row>
    <row r="88" spans="2:23" ht="25.5" customHeight="1" x14ac:dyDescent="0.4">
      <c r="B88" s="172">
        <v>1</v>
      </c>
      <c r="C88" s="234" t="str">
        <f>IFERROR(VLOOKUP(B88,'बँक जमा खर्च पासबुक'!$BE$8:$CD$111,16,0),"")</f>
        <v/>
      </c>
      <c r="D88" s="354" t="str">
        <f>IFERROR(VLOOKUP(B88,'बँक जमा खर्च पासबुक'!$BE$8:$CD$111,19,0),"")</f>
        <v/>
      </c>
      <c r="E88" s="240" t="str">
        <f>IFERROR(VLOOKUP(B88,'बँक जमा खर्च पासबुक'!$BE$8:$CD$111,17,0),"")</f>
        <v/>
      </c>
      <c r="F88" s="241" t="str">
        <f>IFERROR(VLOOKUP(B88,'बँक जमा खर्च पासबुक'!$BE$8:$CD$111,18,0),"")</f>
        <v/>
      </c>
      <c r="G88" s="264" t="str">
        <f>IFERROR(VLOOKUP(B88,'बँक जमा खर्च पासबुक'!$BE$8:$CD$111,23,0),"")</f>
        <v/>
      </c>
      <c r="H88" s="264" t="str">
        <f>IFERROR(VLOOKUP(B88,'बँक जमा खर्च पासबुक'!$BE$8:$CD$111,24,0),"")</f>
        <v/>
      </c>
      <c r="I88" s="264" t="str">
        <f>IFERROR(G88+H88,"")</f>
        <v/>
      </c>
      <c r="J88" s="244" t="str">
        <f>IFERROR(VLOOKUP(B88,'बँक जमा खर्च पासबुक'!$BE$8:$CD$111,22,0),"")</f>
        <v/>
      </c>
      <c r="K88" s="240" t="str">
        <f>IFERROR(VLOOKUP(B88,'बँक जमा खर्च पासबुक'!$BE$8:$CD$111,20,0),"")</f>
        <v/>
      </c>
      <c r="L88" s="165" t="str">
        <f>IFERROR(VLOOKUP(B88,'बँक जमा खर्च पासबुक'!$BE$8:$CD$111,21,0),"")</f>
        <v/>
      </c>
      <c r="M88" s="264" t="str">
        <f>IFERROR(VLOOKUP(B88,'बँक जमा खर्च पासबुक'!$BE$8:$CD$111,25,0),"")</f>
        <v/>
      </c>
      <c r="N88" s="264" t="str">
        <f>IFERROR(VLOOKUP(B88,'बँक जमा खर्च पासबुक'!$BE$8:$CD$111,26,0),"")</f>
        <v/>
      </c>
      <c r="O88" s="264" t="str">
        <f>IFERROR(M88+N88,"")</f>
        <v/>
      </c>
      <c r="P88" s="264" t="str">
        <f>IFERROR(G87+G88-M88,"")</f>
        <v/>
      </c>
      <c r="Q88" s="264" t="str">
        <f>IFERROR(H87+H88-N88,"")</f>
        <v/>
      </c>
      <c r="R88" s="264" t="str">
        <f>IFERROR(I87+I88-O88,"")</f>
        <v/>
      </c>
    </row>
    <row r="89" spans="2:23" ht="25.5" customHeight="1" x14ac:dyDescent="0.4">
      <c r="B89" s="172">
        <v>2</v>
      </c>
      <c r="C89" s="234" t="str">
        <f>IFERROR(VLOOKUP(B89,'बँक जमा खर्च पासबुक'!$BE$8:$CD$111,16,0),"")</f>
        <v/>
      </c>
      <c r="D89" s="354" t="str">
        <f>IFERROR(VLOOKUP(B89,'बँक जमा खर्च पासबुक'!$BE$8:$CD$111,19,0),"")</f>
        <v/>
      </c>
      <c r="E89" s="240" t="str">
        <f>IFERROR(VLOOKUP(B89,'बँक जमा खर्च पासबुक'!$BE$8:$CD$111,17,0),"")</f>
        <v/>
      </c>
      <c r="F89" s="241" t="str">
        <f>IFERROR(VLOOKUP(B89,'बँक जमा खर्च पासबुक'!$BE$8:$CD$111,18,0),"")</f>
        <v/>
      </c>
      <c r="G89" s="264" t="str">
        <f>IFERROR(VLOOKUP(B89,'बँक जमा खर्च पासबुक'!$BE$8:$CD$111,23,0),"")</f>
        <v/>
      </c>
      <c r="H89" s="264" t="str">
        <f>IFERROR(VLOOKUP(B89,'बँक जमा खर्च पासबुक'!$BE$8:$CD$111,24,0),"")</f>
        <v/>
      </c>
      <c r="I89" s="264" t="str">
        <f t="shared" ref="I89:I96" si="17">IFERROR(G89+H89,"")</f>
        <v/>
      </c>
      <c r="J89" s="244" t="str">
        <f>IFERROR(VLOOKUP(B89,'बँक जमा खर्च पासबुक'!$BE$8:$CD$111,22,0),"")</f>
        <v/>
      </c>
      <c r="K89" s="243" t="str">
        <f>IFERROR(VLOOKUP(B89,'बँक जमा खर्च पासबुक'!$BE$8:$CD$111,20,0),"")</f>
        <v/>
      </c>
      <c r="L89" s="165" t="str">
        <f>IFERROR(VLOOKUP(B89,'बँक जमा खर्च पासबुक'!$BE$8:$CD$111,21,0),"")</f>
        <v/>
      </c>
      <c r="M89" s="264" t="str">
        <f>IFERROR(VLOOKUP(B89,'बँक जमा खर्च पासबुक'!$BE$8:$CD$111,25,0),"")</f>
        <v/>
      </c>
      <c r="N89" s="264" t="str">
        <f>IFERROR(VLOOKUP(B89,'बँक जमा खर्च पासबुक'!$BE$8:$CD$111,26,0),"")</f>
        <v/>
      </c>
      <c r="O89" s="264" t="str">
        <f t="shared" ref="O89:O96" si="18">IFERROR(M89+N89,"")</f>
        <v/>
      </c>
      <c r="P89" s="266" t="str">
        <f>IFERROR(P88+G89-M89,"")</f>
        <v/>
      </c>
      <c r="Q89" s="266" t="str">
        <f>IFERROR(Q88+H89-N89,"")</f>
        <v/>
      </c>
      <c r="R89" s="266" t="str">
        <f>IFERROR(R88+I89-O89,"")</f>
        <v/>
      </c>
      <c r="W89" s="721"/>
    </row>
    <row r="90" spans="2:23" ht="25.5" customHeight="1" x14ac:dyDescent="0.4">
      <c r="B90" s="172">
        <v>3</v>
      </c>
      <c r="C90" s="234" t="str">
        <f>IFERROR(VLOOKUP(B90,'बँक जमा खर्च पासबुक'!$BE$8:$CD$111,16,0),"")</f>
        <v/>
      </c>
      <c r="D90" s="354" t="str">
        <f>IFERROR(VLOOKUP(B90,'बँक जमा खर्च पासबुक'!$BE$8:$CD$111,19,0),"")</f>
        <v/>
      </c>
      <c r="E90" s="240" t="str">
        <f>IFERROR(VLOOKUP(B90,'बँक जमा खर्च पासबुक'!$BE$8:$CD$111,17,0),"")</f>
        <v/>
      </c>
      <c r="F90" s="241" t="str">
        <f>IFERROR(VLOOKUP(B90,'बँक जमा खर्च पासबुक'!$BE$8:$CD$111,18,0),"")</f>
        <v/>
      </c>
      <c r="G90" s="264" t="str">
        <f>IFERROR(VLOOKUP(B90,'बँक जमा खर्च पासबुक'!$BE$8:$CD$111,23,0),"")</f>
        <v/>
      </c>
      <c r="H90" s="264" t="str">
        <f>IFERROR(VLOOKUP(B90,'बँक जमा खर्च पासबुक'!$BE$8:$CD$111,24,0),"")</f>
        <v/>
      </c>
      <c r="I90" s="264" t="str">
        <f t="shared" si="17"/>
        <v/>
      </c>
      <c r="J90" s="244" t="str">
        <f>IFERROR(VLOOKUP(B90,'बँक जमा खर्च पासबुक'!$BE$8:$CD$111,22,0),"")</f>
        <v/>
      </c>
      <c r="K90" s="243" t="str">
        <f>IFERROR(VLOOKUP(B90,'बँक जमा खर्च पासबुक'!$BE$8:$CD$111,20,0),"")</f>
        <v/>
      </c>
      <c r="L90" s="165" t="str">
        <f>IFERROR(VLOOKUP(B90,'बँक जमा खर्च पासबुक'!$BE$8:$CD$111,21,0),"")</f>
        <v/>
      </c>
      <c r="M90" s="264" t="str">
        <f>IFERROR(VLOOKUP(B90,'बँक जमा खर्च पासबुक'!$BE$8:$CD$111,25,0),"")</f>
        <v/>
      </c>
      <c r="N90" s="264" t="str">
        <f>IFERROR(VLOOKUP(B90,'बँक जमा खर्च पासबुक'!$BE$8:$CD$111,26,0),"")</f>
        <v/>
      </c>
      <c r="O90" s="264" t="str">
        <f t="shared" si="18"/>
        <v/>
      </c>
      <c r="P90" s="266" t="str">
        <f t="shared" ref="P90:P97" si="19">IFERROR(P89+G90-M90,"")</f>
        <v/>
      </c>
      <c r="Q90" s="266" t="str">
        <f t="shared" ref="Q90:Q97" si="20">IFERROR(Q89+H90-N90,"")</f>
        <v/>
      </c>
      <c r="R90" s="266" t="str">
        <f t="shared" ref="R90:R97" si="21">IFERROR(R89+I90-O90,"")</f>
        <v/>
      </c>
    </row>
    <row r="91" spans="2:23" ht="25.5" customHeight="1" x14ac:dyDescent="0.4">
      <c r="B91" s="172">
        <v>4</v>
      </c>
      <c r="C91" s="234" t="str">
        <f>IFERROR(VLOOKUP(B91,'बँक जमा खर्च पासबुक'!$BE$8:$CD$111,16,0),"")</f>
        <v/>
      </c>
      <c r="D91" s="354" t="str">
        <f>IFERROR(VLOOKUP(B91,'बँक जमा खर्च पासबुक'!$BE$8:$CD$111,19,0),"")</f>
        <v/>
      </c>
      <c r="E91" s="240" t="str">
        <f>IFERROR(VLOOKUP(B91,'बँक जमा खर्च पासबुक'!$BE$8:$CD$111,17,0),"")</f>
        <v/>
      </c>
      <c r="F91" s="241" t="str">
        <f>IFERROR(VLOOKUP(B91,'बँक जमा खर्च पासबुक'!$BE$8:$CD$111,18,0),"")</f>
        <v/>
      </c>
      <c r="G91" s="264" t="str">
        <f>IFERROR(VLOOKUP(B91,'बँक जमा खर्च पासबुक'!$BE$8:$CD$111,23,0),"")</f>
        <v/>
      </c>
      <c r="H91" s="264" t="str">
        <f>IFERROR(VLOOKUP(B91,'बँक जमा खर्च पासबुक'!$BE$8:$CD$111,24,0),"")</f>
        <v/>
      </c>
      <c r="I91" s="264" t="str">
        <f t="shared" si="17"/>
        <v/>
      </c>
      <c r="J91" s="244" t="str">
        <f>IFERROR(VLOOKUP(B91,'बँक जमा खर्च पासबुक'!$BE$8:$CD$111,22,0),"")</f>
        <v/>
      </c>
      <c r="K91" s="243" t="str">
        <f>IFERROR(VLOOKUP(B91,'बँक जमा खर्च पासबुक'!$BE$8:$CD$111,20,0),"")</f>
        <v/>
      </c>
      <c r="L91" s="165" t="str">
        <f>IFERROR(VLOOKUP(B91,'बँक जमा खर्च पासबुक'!$BE$8:$CD$111,21,0),"")</f>
        <v/>
      </c>
      <c r="M91" s="264" t="str">
        <f>IFERROR(VLOOKUP(B91,'बँक जमा खर्च पासबुक'!$BE$8:$CD$111,25,0),"")</f>
        <v/>
      </c>
      <c r="N91" s="264" t="str">
        <f>IFERROR(VLOOKUP(B91,'बँक जमा खर्च पासबुक'!$BE$8:$CD$111,26,0),"")</f>
        <v/>
      </c>
      <c r="O91" s="264" t="str">
        <f t="shared" si="18"/>
        <v/>
      </c>
      <c r="P91" s="266" t="str">
        <f t="shared" si="19"/>
        <v/>
      </c>
      <c r="Q91" s="266" t="str">
        <f t="shared" si="20"/>
        <v/>
      </c>
      <c r="R91" s="266" t="str">
        <f t="shared" si="21"/>
        <v/>
      </c>
    </row>
    <row r="92" spans="2:23" ht="25.5" customHeight="1" x14ac:dyDescent="0.4">
      <c r="B92" s="172">
        <v>5</v>
      </c>
      <c r="C92" s="234" t="str">
        <f>IFERROR(VLOOKUP(B92,'बँक जमा खर्च पासबुक'!$BE$8:$CD$111,16,0),"")</f>
        <v/>
      </c>
      <c r="D92" s="354" t="str">
        <f>IFERROR(VLOOKUP(B92,'बँक जमा खर्च पासबुक'!$BE$8:$CD$111,19,0),"")</f>
        <v/>
      </c>
      <c r="E92" s="240" t="str">
        <f>IFERROR(VLOOKUP(B92,'बँक जमा खर्च पासबुक'!$BE$8:$CD$111,17,0),"")</f>
        <v/>
      </c>
      <c r="F92" s="241" t="str">
        <f>IFERROR(VLOOKUP(B92,'बँक जमा खर्च पासबुक'!$BE$8:$CD$111,18,0),"")</f>
        <v/>
      </c>
      <c r="G92" s="264" t="str">
        <f>IFERROR(VLOOKUP(B92,'बँक जमा खर्च पासबुक'!$BE$8:$CD$111,23,0),"")</f>
        <v/>
      </c>
      <c r="H92" s="264" t="str">
        <f>IFERROR(VLOOKUP(B92,'बँक जमा खर्च पासबुक'!$BE$8:$CD$111,24,0),"")</f>
        <v/>
      </c>
      <c r="I92" s="264" t="str">
        <f t="shared" si="17"/>
        <v/>
      </c>
      <c r="J92" s="244" t="str">
        <f>IFERROR(VLOOKUP(B92,'बँक जमा खर्च पासबुक'!$BE$8:$CD$111,22,0),"")</f>
        <v/>
      </c>
      <c r="K92" s="243" t="str">
        <f>IFERROR(VLOOKUP(B92,'बँक जमा खर्च पासबुक'!$BE$8:$CD$111,20,0),"")</f>
        <v/>
      </c>
      <c r="L92" s="165" t="str">
        <f>IFERROR(VLOOKUP(B92,'बँक जमा खर्च पासबुक'!$BE$8:$CD$111,21,0),"")</f>
        <v/>
      </c>
      <c r="M92" s="264" t="str">
        <f>IFERROR(VLOOKUP(B92,'बँक जमा खर्च पासबुक'!$BE$8:$CD$111,25,0),"")</f>
        <v/>
      </c>
      <c r="N92" s="264" t="str">
        <f>IFERROR(VLOOKUP(B92,'बँक जमा खर्च पासबुक'!$BE$8:$CD$111,26,0),"")</f>
        <v/>
      </c>
      <c r="O92" s="264" t="str">
        <f t="shared" si="18"/>
        <v/>
      </c>
      <c r="P92" s="266" t="str">
        <f t="shared" si="19"/>
        <v/>
      </c>
      <c r="Q92" s="266" t="str">
        <f t="shared" si="20"/>
        <v/>
      </c>
      <c r="R92" s="266" t="str">
        <f t="shared" si="21"/>
        <v/>
      </c>
    </row>
    <row r="93" spans="2:23" ht="25.5" customHeight="1" x14ac:dyDescent="0.4">
      <c r="B93" s="172">
        <v>6</v>
      </c>
      <c r="C93" s="234" t="str">
        <f>IFERROR(VLOOKUP(B93,'बँक जमा खर्च पासबुक'!$BE$8:$CD$111,16,0),"")</f>
        <v/>
      </c>
      <c r="D93" s="354" t="str">
        <f>IFERROR(VLOOKUP(B93,'बँक जमा खर्च पासबुक'!$BE$8:$CD$111,19,0),"")</f>
        <v/>
      </c>
      <c r="E93" s="240" t="str">
        <f>IFERROR(VLOOKUP(B93,'बँक जमा खर्च पासबुक'!$BE$8:$CD$111,17,0),"")</f>
        <v/>
      </c>
      <c r="F93" s="241" t="str">
        <f>IFERROR(VLOOKUP(B93,'बँक जमा खर्च पासबुक'!$BE$8:$CD$111,18,0),"")</f>
        <v/>
      </c>
      <c r="G93" s="264" t="str">
        <f>IFERROR(VLOOKUP(B93,'बँक जमा खर्च पासबुक'!$BE$8:$CD$111,23,0),"")</f>
        <v/>
      </c>
      <c r="H93" s="264" t="str">
        <f>IFERROR(VLOOKUP(B93,'बँक जमा खर्च पासबुक'!$BE$8:$CD$111,24,0),"")</f>
        <v/>
      </c>
      <c r="I93" s="264" t="str">
        <f t="shared" si="17"/>
        <v/>
      </c>
      <c r="J93" s="244" t="str">
        <f>IFERROR(VLOOKUP(B93,'बँक जमा खर्च पासबुक'!$BE$8:$CD$111,22,0),"")</f>
        <v/>
      </c>
      <c r="K93" s="243" t="str">
        <f>IFERROR(VLOOKUP(B93,'बँक जमा खर्च पासबुक'!$BE$8:$CD$111,20,0),"")</f>
        <v/>
      </c>
      <c r="L93" s="165" t="str">
        <f>IFERROR(VLOOKUP(B93,'बँक जमा खर्च पासबुक'!$BE$8:$CD$111,21,0),"")</f>
        <v/>
      </c>
      <c r="M93" s="264" t="str">
        <f>IFERROR(VLOOKUP(B93,'बँक जमा खर्च पासबुक'!$BE$8:$CD$111,25,0),"")</f>
        <v/>
      </c>
      <c r="N93" s="264" t="str">
        <f>IFERROR(VLOOKUP(B93,'बँक जमा खर्च पासबुक'!$BE$8:$CD$111,26,0),"")</f>
        <v/>
      </c>
      <c r="O93" s="264" t="str">
        <f t="shared" si="18"/>
        <v/>
      </c>
      <c r="P93" s="266" t="str">
        <f t="shared" si="19"/>
        <v/>
      </c>
      <c r="Q93" s="266" t="str">
        <f t="shared" si="20"/>
        <v/>
      </c>
      <c r="R93" s="266" t="str">
        <f t="shared" si="21"/>
        <v/>
      </c>
    </row>
    <row r="94" spans="2:23" ht="25.5" customHeight="1" x14ac:dyDescent="0.4">
      <c r="B94" s="172">
        <v>7</v>
      </c>
      <c r="C94" s="234" t="str">
        <f>IFERROR(VLOOKUP(B94,'बँक जमा खर्च पासबुक'!$BE$8:$CD$111,16,0),"")</f>
        <v/>
      </c>
      <c r="D94" s="354" t="str">
        <f>IFERROR(VLOOKUP(B94,'बँक जमा खर्च पासबुक'!$BE$8:$CD$111,19,0),"")</f>
        <v/>
      </c>
      <c r="E94" s="240" t="str">
        <f>IFERROR(VLOOKUP(B94,'बँक जमा खर्च पासबुक'!$BE$8:$CD$111,17,0),"")</f>
        <v/>
      </c>
      <c r="F94" s="241" t="str">
        <f>IFERROR(VLOOKUP(B94,'बँक जमा खर्च पासबुक'!$BE$8:$CD$111,18,0),"")</f>
        <v/>
      </c>
      <c r="G94" s="264" t="str">
        <f>IFERROR(VLOOKUP(B94,'बँक जमा खर्च पासबुक'!$BE$8:$CD$111,23,0),"")</f>
        <v/>
      </c>
      <c r="H94" s="264" t="str">
        <f>IFERROR(VLOOKUP(B94,'बँक जमा खर्च पासबुक'!$BE$8:$CD$111,24,0),"")</f>
        <v/>
      </c>
      <c r="I94" s="264" t="str">
        <f t="shared" si="17"/>
        <v/>
      </c>
      <c r="J94" s="244" t="str">
        <f>IFERROR(VLOOKUP(B94,'बँक जमा खर्च पासबुक'!$BE$8:$CD$111,22,0),"")</f>
        <v/>
      </c>
      <c r="K94" s="243" t="str">
        <f>IFERROR(VLOOKUP(B94,'बँक जमा खर्च पासबुक'!$BE$8:$CD$111,20,0),"")</f>
        <v/>
      </c>
      <c r="L94" s="165" t="str">
        <f>IFERROR(VLOOKUP(B94,'बँक जमा खर्च पासबुक'!$BE$8:$CD$111,21,0),"")</f>
        <v/>
      </c>
      <c r="M94" s="264" t="str">
        <f>IFERROR(VLOOKUP(B94,'बँक जमा खर्च पासबुक'!$BE$8:$CD$111,25,0),"")</f>
        <v/>
      </c>
      <c r="N94" s="264" t="str">
        <f>IFERROR(VLOOKUP(B94,'बँक जमा खर्च पासबुक'!$BE$8:$CD$111,26,0),"")</f>
        <v/>
      </c>
      <c r="O94" s="264" t="str">
        <f t="shared" si="18"/>
        <v/>
      </c>
      <c r="P94" s="266" t="str">
        <f t="shared" si="19"/>
        <v/>
      </c>
      <c r="Q94" s="266" t="str">
        <f t="shared" si="20"/>
        <v/>
      </c>
      <c r="R94" s="266" t="str">
        <f t="shared" si="21"/>
        <v/>
      </c>
    </row>
    <row r="95" spans="2:23" ht="25.5" customHeight="1" x14ac:dyDescent="0.4">
      <c r="B95" s="172">
        <v>8</v>
      </c>
      <c r="C95" s="234" t="str">
        <f>IFERROR(VLOOKUP(B95,'बँक जमा खर्च पासबुक'!$BE$8:$CD$111,16,0),"")</f>
        <v/>
      </c>
      <c r="D95" s="354" t="str">
        <f>IFERROR(VLOOKUP(B95,'बँक जमा खर्च पासबुक'!$BE$8:$CD$111,19,0),"")</f>
        <v/>
      </c>
      <c r="E95" s="240" t="str">
        <f>IFERROR(VLOOKUP(B95,'बँक जमा खर्च पासबुक'!$BE$8:$CD$111,17,0),"")</f>
        <v/>
      </c>
      <c r="F95" s="241" t="str">
        <f>IFERROR(VLOOKUP(B95,'बँक जमा खर्च पासबुक'!$BE$8:$CD$111,18,0),"")</f>
        <v/>
      </c>
      <c r="G95" s="264" t="str">
        <f>IFERROR(VLOOKUP(B95,'बँक जमा खर्च पासबुक'!$BE$8:$CD$111,23,0),"")</f>
        <v/>
      </c>
      <c r="H95" s="264" t="str">
        <f>IFERROR(VLOOKUP(B95,'बँक जमा खर्च पासबुक'!$BE$8:$CD$111,24,0),"")</f>
        <v/>
      </c>
      <c r="I95" s="264" t="str">
        <f t="shared" si="17"/>
        <v/>
      </c>
      <c r="J95" s="244" t="str">
        <f>IFERROR(VLOOKUP(B95,'बँक जमा खर्च पासबुक'!$BE$8:$CD$111,22,0),"")</f>
        <v/>
      </c>
      <c r="K95" s="243" t="str">
        <f>IFERROR(VLOOKUP(B95,'बँक जमा खर्च पासबुक'!$BE$8:$CD$111,20,0),"")</f>
        <v/>
      </c>
      <c r="L95" s="165" t="str">
        <f>IFERROR(VLOOKUP(B95,'बँक जमा खर्च पासबुक'!$BE$8:$CD$111,21,0),"")</f>
        <v/>
      </c>
      <c r="M95" s="264" t="str">
        <f>IFERROR(VLOOKUP(B95,'बँक जमा खर्च पासबुक'!$BE$8:$CD$111,25,0),"")</f>
        <v/>
      </c>
      <c r="N95" s="264" t="str">
        <f>IFERROR(VLOOKUP(B95,'बँक जमा खर्च पासबुक'!$BE$8:$CD$111,26,0),"")</f>
        <v/>
      </c>
      <c r="O95" s="264" t="str">
        <f t="shared" si="18"/>
        <v/>
      </c>
      <c r="P95" s="266" t="str">
        <f t="shared" si="19"/>
        <v/>
      </c>
      <c r="Q95" s="266" t="str">
        <f t="shared" si="20"/>
        <v/>
      </c>
      <c r="R95" s="266" t="str">
        <f t="shared" si="21"/>
        <v/>
      </c>
    </row>
    <row r="96" spans="2:23" ht="25.5" customHeight="1" x14ac:dyDescent="0.4">
      <c r="B96" s="172">
        <v>9</v>
      </c>
      <c r="C96" s="234" t="str">
        <f>IFERROR(VLOOKUP(B96,'बँक जमा खर्च पासबुक'!$BE$8:$CD$111,16,0),"")</f>
        <v/>
      </c>
      <c r="D96" s="354" t="str">
        <f>IFERROR(VLOOKUP(B96,'बँक जमा खर्च पासबुक'!$BE$8:$CD$111,19,0),"")</f>
        <v/>
      </c>
      <c r="E96" s="240" t="str">
        <f>IFERROR(VLOOKUP(B96,'बँक जमा खर्च पासबुक'!$BE$8:$CD$111,17,0),"")</f>
        <v/>
      </c>
      <c r="F96" s="241" t="str">
        <f>IFERROR(VLOOKUP(B96,'बँक जमा खर्च पासबुक'!$BE$8:$CD$111,18,0),"")</f>
        <v/>
      </c>
      <c r="G96" s="264" t="str">
        <f>IFERROR(VLOOKUP(B96,'बँक जमा खर्च पासबुक'!$BE$8:$CD$111,23,0),"")</f>
        <v/>
      </c>
      <c r="H96" s="264" t="str">
        <f>IFERROR(VLOOKUP(B96,'बँक जमा खर्च पासबुक'!$BE$8:$CD$111,24,0),"")</f>
        <v/>
      </c>
      <c r="I96" s="264" t="str">
        <f t="shared" si="17"/>
        <v/>
      </c>
      <c r="J96" s="244" t="str">
        <f>IFERROR(VLOOKUP(B96,'बँक जमा खर्च पासबुक'!$BE$8:$CD$111,22,0),"")</f>
        <v/>
      </c>
      <c r="K96" s="243" t="str">
        <f>IFERROR(VLOOKUP(B96,'बँक जमा खर्च पासबुक'!$BE$8:$CD$111,20,0),"")</f>
        <v/>
      </c>
      <c r="L96" s="165" t="str">
        <f>IFERROR(VLOOKUP(B96,'बँक जमा खर्च पासबुक'!$BE$8:$CD$111,21,0),"")</f>
        <v/>
      </c>
      <c r="M96" s="264" t="str">
        <f>IFERROR(VLOOKUP(B96,'बँक जमा खर्च पासबुक'!$BE$8:$CD$111,25,0),"")</f>
        <v/>
      </c>
      <c r="N96" s="264" t="str">
        <f>IFERROR(VLOOKUP(B96,'बँक जमा खर्च पासबुक'!$BE$8:$CD$111,26,0),"")</f>
        <v/>
      </c>
      <c r="O96" s="264" t="str">
        <f t="shared" si="18"/>
        <v/>
      </c>
      <c r="P96" s="266" t="str">
        <f t="shared" si="19"/>
        <v/>
      </c>
      <c r="Q96" s="266" t="str">
        <f t="shared" si="20"/>
        <v/>
      </c>
      <c r="R96" s="266" t="str">
        <f t="shared" si="21"/>
        <v/>
      </c>
    </row>
    <row r="97" spans="2:18" ht="25.5" customHeight="1" x14ac:dyDescent="0.4">
      <c r="B97" s="172">
        <v>10</v>
      </c>
      <c r="C97" s="234" t="str">
        <f>IFERROR(VLOOKUP(B97,'बँक जमा खर्च पासबुक'!$BE$8:$CD$111,16,0),"")</f>
        <v/>
      </c>
      <c r="D97" s="354" t="str">
        <f>IFERROR(VLOOKUP(B97,'बँक जमा खर्च पासबुक'!$BE$8:$CD$111,19,0),"")</f>
        <v/>
      </c>
      <c r="E97" s="240" t="str">
        <f>IFERROR(VLOOKUP(B97,'बँक जमा खर्च पासबुक'!$BE$8:$CD$111,17,0),"")</f>
        <v/>
      </c>
      <c r="F97" s="241" t="str">
        <f>IFERROR(VLOOKUP(B97,'बँक जमा खर्च पासबुक'!$BE$8:$CD$111,18,0),"")</f>
        <v/>
      </c>
      <c r="G97" s="264" t="str">
        <f>IFERROR(VLOOKUP(B97,'बँक जमा खर्च पासबुक'!$BE$8:$CD$111,23,0),"")</f>
        <v/>
      </c>
      <c r="H97" s="264" t="str">
        <f>IFERROR(VLOOKUP(B97,'बँक जमा खर्च पासबुक'!$BE$8:$CD$111,24,0),"")</f>
        <v/>
      </c>
      <c r="I97" s="264" t="str">
        <f t="shared" ref="I97" si="22">IFERROR(G97+H97,"")</f>
        <v/>
      </c>
      <c r="J97" s="244" t="str">
        <f>IFERROR(VLOOKUP(B97,'बँक जमा खर्च पासबुक'!$BE$8:$CD$111,22,0),"")</f>
        <v/>
      </c>
      <c r="K97" s="243" t="str">
        <f>IFERROR(VLOOKUP(B97,'बँक जमा खर्च पासबुक'!$BE$8:$CD$111,20,0),"")</f>
        <v/>
      </c>
      <c r="L97" s="165" t="str">
        <f>IFERROR(VLOOKUP(B97,'बँक जमा खर्च पासबुक'!$BE$8:$CD$111,21,0),"")</f>
        <v/>
      </c>
      <c r="M97" s="264" t="str">
        <f>IFERROR(VLOOKUP(B97,'बँक जमा खर्च पासबुक'!$BE$8:$CD$111,25,0),"")</f>
        <v/>
      </c>
      <c r="N97" s="264" t="str">
        <f>IFERROR(VLOOKUP(B97,'बँक जमा खर्च पासबुक'!$BE$8:$CD$111,26,0),"")</f>
        <v/>
      </c>
      <c r="O97" s="264" t="str">
        <f t="shared" ref="O97" si="23">IFERROR(M97+N97,"")</f>
        <v/>
      </c>
      <c r="P97" s="266" t="str">
        <f t="shared" si="19"/>
        <v/>
      </c>
      <c r="Q97" s="266" t="str">
        <f t="shared" si="20"/>
        <v/>
      </c>
      <c r="R97" s="266" t="str">
        <f t="shared" si="21"/>
        <v/>
      </c>
    </row>
    <row r="98" spans="2:18" ht="25.5" customHeight="1" x14ac:dyDescent="0.4">
      <c r="B98" s="398"/>
      <c r="C98" s="713"/>
      <c r="D98" s="391" t="s">
        <v>35</v>
      </c>
      <c r="E98" s="785"/>
      <c r="F98" s="786"/>
      <c r="G98" s="262">
        <f>SUM(G87:G97)</f>
        <v>0</v>
      </c>
      <c r="H98" s="262">
        <f>SUM(H87:H97)</f>
        <v>0</v>
      </c>
      <c r="I98" s="262">
        <f>SUM(I87:I97)</f>
        <v>0</v>
      </c>
      <c r="J98" s="391"/>
      <c r="K98" s="796"/>
      <c r="L98" s="797"/>
      <c r="M98" s="262">
        <f t="shared" ref="M98:R98" si="24">SUM(M88:M97)</f>
        <v>0</v>
      </c>
      <c r="N98" s="262">
        <f t="shared" si="24"/>
        <v>0</v>
      </c>
      <c r="O98" s="262">
        <f t="shared" si="24"/>
        <v>0</v>
      </c>
      <c r="P98" s="262">
        <f t="shared" si="24"/>
        <v>0</v>
      </c>
      <c r="Q98" s="262">
        <f t="shared" si="24"/>
        <v>0</v>
      </c>
      <c r="R98" s="262">
        <f t="shared" si="24"/>
        <v>0</v>
      </c>
    </row>
    <row r="99" spans="2:18" ht="25.5" customHeight="1" x14ac:dyDescent="0.4">
      <c r="G99" s="787"/>
      <c r="H99" s="787"/>
      <c r="I99" s="787"/>
      <c r="K99" s="796"/>
      <c r="L99" s="21"/>
      <c r="M99" s="787"/>
      <c r="N99" s="787"/>
      <c r="O99" s="787"/>
      <c r="P99" s="787"/>
      <c r="Q99" s="787"/>
      <c r="R99" s="787"/>
    </row>
    <row r="100" spans="2:18" ht="25.5" customHeight="1" thickBot="1" x14ac:dyDescent="0.45">
      <c r="K100" s="795"/>
    </row>
    <row r="101" spans="2:18" ht="25.5" customHeight="1" thickBot="1" x14ac:dyDescent="0.45">
      <c r="B101" s="772" t="s">
        <v>439</v>
      </c>
      <c r="C101" s="773" t="s">
        <v>638</v>
      </c>
      <c r="D101" s="1415" t="str">
        <f>D9</f>
        <v>स्वयंपाकी व मदतनीस मानधन</v>
      </c>
      <c r="E101" s="1415"/>
      <c r="F101" s="774"/>
      <c r="G101" s="773" t="s">
        <v>312</v>
      </c>
      <c r="H101" s="238">
        <f>HOME!$E$2</f>
        <v>2022</v>
      </c>
      <c r="I101" s="238">
        <f>HOME!$F$2</f>
        <v>2023</v>
      </c>
      <c r="J101" s="798"/>
      <c r="K101" s="775"/>
      <c r="L101" s="776"/>
      <c r="M101" s="777"/>
      <c r="N101" s="777"/>
      <c r="O101" s="777"/>
      <c r="P101" s="777"/>
      <c r="Q101" s="777"/>
      <c r="R101" s="778"/>
    </row>
    <row r="103" spans="2:18" ht="25.5" customHeight="1" x14ac:dyDescent="0.4">
      <c r="B103" s="1411" t="s">
        <v>86</v>
      </c>
      <c r="C103" s="1413" t="s">
        <v>17</v>
      </c>
      <c r="D103" s="1410" t="s">
        <v>553</v>
      </c>
      <c r="E103" s="1410"/>
      <c r="F103" s="1410"/>
      <c r="G103" s="1410" t="s">
        <v>544</v>
      </c>
      <c r="H103" s="1410"/>
      <c r="I103" s="1410"/>
      <c r="J103" s="1407" t="s">
        <v>554</v>
      </c>
      <c r="K103" s="1408"/>
      <c r="L103" s="1409"/>
      <c r="M103" s="1410" t="s">
        <v>545</v>
      </c>
      <c r="N103" s="1410"/>
      <c r="O103" s="1410"/>
      <c r="P103" s="1410" t="s">
        <v>637</v>
      </c>
      <c r="Q103" s="1410"/>
      <c r="R103" s="1410"/>
    </row>
    <row r="104" spans="2:18" ht="25.5" customHeight="1" x14ac:dyDescent="0.4">
      <c r="B104" s="1412"/>
      <c r="C104" s="1414"/>
      <c r="D104" s="1407" t="s">
        <v>636</v>
      </c>
      <c r="E104" s="1408"/>
      <c r="F104" s="1409"/>
      <c r="G104" s="582" t="s">
        <v>586</v>
      </c>
      <c r="H104" s="582" t="s">
        <v>587</v>
      </c>
      <c r="I104" s="582" t="s">
        <v>35</v>
      </c>
      <c r="J104" s="1407" t="s">
        <v>636</v>
      </c>
      <c r="K104" s="1408"/>
      <c r="L104" s="1409"/>
      <c r="M104" s="582" t="s">
        <v>586</v>
      </c>
      <c r="N104" s="582" t="s">
        <v>587</v>
      </c>
      <c r="O104" s="582" t="s">
        <v>35</v>
      </c>
      <c r="P104" s="582" t="s">
        <v>586</v>
      </c>
      <c r="Q104" s="582" t="s">
        <v>587</v>
      </c>
      <c r="R104" s="582" t="s">
        <v>35</v>
      </c>
    </row>
    <row r="105" spans="2:18" ht="25.5" customHeight="1" x14ac:dyDescent="0.4">
      <c r="B105" s="779"/>
      <c r="C105" s="780"/>
      <c r="D105" s="1404" t="s">
        <v>87</v>
      </c>
      <c r="E105" s="1405"/>
      <c r="F105" s="1406"/>
      <c r="G105" s="264">
        <f>'Balance sheet'!D12</f>
        <v>3000</v>
      </c>
      <c r="H105" s="264">
        <f>'Balance sheet'!E12</f>
        <v>3000</v>
      </c>
      <c r="I105" s="264">
        <f>SUM(G105:H105)</f>
        <v>6000</v>
      </c>
      <c r="J105" s="781"/>
      <c r="K105" s="799"/>
      <c r="L105" s="783"/>
      <c r="M105" s="792"/>
      <c r="N105" s="792"/>
      <c r="O105" s="792"/>
      <c r="P105" s="792"/>
      <c r="Q105" s="792"/>
      <c r="R105" s="792"/>
    </row>
    <row r="106" spans="2:18" ht="25.5" customHeight="1" x14ac:dyDescent="0.4">
      <c r="B106" s="172">
        <v>1</v>
      </c>
      <c r="C106" s="234" t="str">
        <f>IFERROR(VLOOKUP(B106,'बँक जमा खर्च पासबुक'!$BF$8:$CD$111,15,0),"")</f>
        <v/>
      </c>
      <c r="D106" s="354" t="str">
        <f>IFERROR(VLOOKUP(B106,'बँक जमा खर्च पासबुक'!$BF$8:$CD$111,18,0),"")</f>
        <v/>
      </c>
      <c r="E106" s="240" t="str">
        <f>IFERROR(VLOOKUP(B106,'बँक जमा खर्च पासबुक'!$BF$8:$CD$111,16,0),"")</f>
        <v/>
      </c>
      <c r="F106" s="241" t="str">
        <f>IFERROR(VLOOKUP(B106,'बँक जमा खर्च पासबुक'!$BF$8:$CD$111,17,0),"")</f>
        <v/>
      </c>
      <c r="G106" s="262" t="str">
        <f>IFERROR(VLOOKUP(B106,'बँक जमा खर्च पासबुक'!$BF$8:$CD$111,22,0),"")</f>
        <v/>
      </c>
      <c r="H106" s="262" t="str">
        <f>IFERROR(VLOOKUP(B106,'बँक जमा खर्च पासबुक'!$BF$8:$CD$111,23,0),"")</f>
        <v/>
      </c>
      <c r="I106" s="262" t="str">
        <f>IFERROR(G106+H106,"")</f>
        <v/>
      </c>
      <c r="J106" s="354" t="str">
        <f>IFERROR(VLOOKUP(B106,'बँक जमा खर्च पासबुक'!$BF$8:$CD$111,21,0),"")</f>
        <v/>
      </c>
      <c r="K106" s="243" t="str">
        <f>IFERROR(VLOOKUP(B106,'बँक जमा खर्च पासबुक'!$BF$8:$CD$111,19,0),"")</f>
        <v/>
      </c>
      <c r="L106" s="241" t="str">
        <f>IFERROR(VLOOKUP(B106,'बँक जमा खर्च पासबुक'!$BF$8:$CD$111,20,0),"")</f>
        <v/>
      </c>
      <c r="M106" s="266" t="str">
        <f>IFERROR(VLOOKUP(B106,'बँक जमा खर्च पासबुक'!$BF$8:$CD$111,24,0),"")</f>
        <v/>
      </c>
      <c r="N106" s="266" t="str">
        <f>IFERROR(VLOOKUP(B106,'बँक जमा खर्च पासबुक'!$BF$8:$CD$111,25,0),"")</f>
        <v/>
      </c>
      <c r="O106" s="266" t="str">
        <f>IFERROR(M106+N106,"")</f>
        <v/>
      </c>
      <c r="P106" s="266" t="str">
        <f>IFERROR(G105+G106-M106,"")</f>
        <v/>
      </c>
      <c r="Q106" s="266" t="str">
        <f>IFERROR(H105+H106-N106,"")</f>
        <v/>
      </c>
      <c r="R106" s="266" t="str">
        <f>IFERROR(I105+I106-O106,"")</f>
        <v/>
      </c>
    </row>
    <row r="107" spans="2:18" ht="25.5" customHeight="1" x14ac:dyDescent="0.4">
      <c r="B107" s="172">
        <v>2</v>
      </c>
      <c r="C107" s="234" t="str">
        <f>IFERROR(VLOOKUP(B107,'बँक जमा खर्च पासबुक'!$BF$8:$CD$111,15,0),"")</f>
        <v/>
      </c>
      <c r="D107" s="354" t="str">
        <f>IFERROR(VLOOKUP(B107,'बँक जमा खर्च पासबुक'!$BF$8:$CD$111,18,0),"")</f>
        <v/>
      </c>
      <c r="E107" s="240" t="str">
        <f>IFERROR(VLOOKUP(B107,'बँक जमा खर्च पासबुक'!$BF$8:$CD$111,16,0),"")</f>
        <v/>
      </c>
      <c r="F107" s="241" t="str">
        <f>IFERROR(VLOOKUP(B107,'बँक जमा खर्च पासबुक'!$BF$8:$CD$111,17,0),"")</f>
        <v/>
      </c>
      <c r="G107" s="262" t="str">
        <f>IFERROR(VLOOKUP(B107,'बँक जमा खर्च पासबुक'!$BF$8:$CD$111,22,0),"")</f>
        <v/>
      </c>
      <c r="H107" s="262" t="str">
        <f>IFERROR(VLOOKUP(B107,'बँक जमा खर्च पासबुक'!$BF$8:$CD$111,23,0),"")</f>
        <v/>
      </c>
      <c r="I107" s="262" t="str">
        <f t="shared" ref="I107:I119" si="25">IFERROR(G107+H107,"")</f>
        <v/>
      </c>
      <c r="J107" s="354" t="str">
        <f>IFERROR(VLOOKUP(B107,'बँक जमा खर्च पासबुक'!$BF$8:$CD$111,21,0),"")</f>
        <v/>
      </c>
      <c r="K107" s="243" t="str">
        <f>IFERROR(VLOOKUP(B107,'बँक जमा खर्च पासबुक'!$BF$8:$CD$111,19,0),"")</f>
        <v/>
      </c>
      <c r="L107" s="241" t="str">
        <f>IFERROR(VLOOKUP(B107,'बँक जमा खर्च पासबुक'!$BF$8:$CD$111,20,0),"")</f>
        <v/>
      </c>
      <c r="M107" s="266" t="str">
        <f>IFERROR(VLOOKUP(B107,'बँक जमा खर्च पासबुक'!$BF$8:$CD$111,24,0),"")</f>
        <v/>
      </c>
      <c r="N107" s="266" t="str">
        <f>IFERROR(VLOOKUP(B107,'बँक जमा खर्च पासबुक'!$BF$8:$CD$111,25,0),"")</f>
        <v/>
      </c>
      <c r="O107" s="266" t="str">
        <f t="shared" ref="O107:O119" si="26">IFERROR(M107+N107,"")</f>
        <v/>
      </c>
      <c r="P107" s="266" t="str">
        <f>IFERROR(P106+G107-M107,"")</f>
        <v/>
      </c>
      <c r="Q107" s="266" t="str">
        <f>IFERROR(Q106+H107-N107,"")</f>
        <v/>
      </c>
      <c r="R107" s="266" t="str">
        <f>IFERROR(R106+I107-O107,"")</f>
        <v/>
      </c>
    </row>
    <row r="108" spans="2:18" ht="25.5" customHeight="1" x14ac:dyDescent="0.4">
      <c r="B108" s="172">
        <v>3</v>
      </c>
      <c r="C108" s="234" t="str">
        <f>IFERROR(VLOOKUP(B108,'बँक जमा खर्च पासबुक'!$BF$8:$CD$111,15,0),"")</f>
        <v/>
      </c>
      <c r="D108" s="354" t="str">
        <f>IFERROR(VLOOKUP(B108,'बँक जमा खर्च पासबुक'!$BF$8:$CD$111,18,0),"")</f>
        <v/>
      </c>
      <c r="E108" s="240" t="str">
        <f>IFERROR(VLOOKUP(B108,'बँक जमा खर्च पासबुक'!$BF$8:$CD$111,16,0),"")</f>
        <v/>
      </c>
      <c r="F108" s="241" t="str">
        <f>IFERROR(VLOOKUP(B108,'बँक जमा खर्च पासबुक'!$BF$8:$CD$111,17,0),"")</f>
        <v/>
      </c>
      <c r="G108" s="262" t="str">
        <f>IFERROR(VLOOKUP(B108,'बँक जमा खर्च पासबुक'!$BF$8:$CD$111,22,0),"")</f>
        <v/>
      </c>
      <c r="H108" s="262" t="str">
        <f>IFERROR(VLOOKUP(B108,'बँक जमा खर्च पासबुक'!$BF$8:$CD$111,23,0),"")</f>
        <v/>
      </c>
      <c r="I108" s="262" t="str">
        <f t="shared" si="25"/>
        <v/>
      </c>
      <c r="J108" s="354" t="str">
        <f>IFERROR(VLOOKUP(B108,'बँक जमा खर्च पासबुक'!$BF$8:$CD$111,21,0),"")</f>
        <v/>
      </c>
      <c r="K108" s="243" t="str">
        <f>IFERROR(VLOOKUP(B108,'बँक जमा खर्च पासबुक'!$BF$8:$CD$111,19,0),"")</f>
        <v/>
      </c>
      <c r="L108" s="241" t="str">
        <f>IFERROR(VLOOKUP(B108,'बँक जमा खर्च पासबुक'!$BF$8:$CD$111,20,0),"")</f>
        <v/>
      </c>
      <c r="M108" s="266" t="str">
        <f>IFERROR(VLOOKUP(B108,'बँक जमा खर्च पासबुक'!$BF$8:$CD$111,24,0),"")</f>
        <v/>
      </c>
      <c r="N108" s="266" t="str">
        <f>IFERROR(VLOOKUP(B108,'बँक जमा खर्च पासबुक'!$BF$8:$CD$111,25,0),"")</f>
        <v/>
      </c>
      <c r="O108" s="266" t="str">
        <f t="shared" si="26"/>
        <v/>
      </c>
      <c r="P108" s="266" t="str">
        <f t="shared" ref="P108:P119" si="27">IFERROR(P107+G108-M108,"")</f>
        <v/>
      </c>
      <c r="Q108" s="266" t="str">
        <f t="shared" ref="Q108:Q119" si="28">IFERROR(Q107+H108-N108,"")</f>
        <v/>
      </c>
      <c r="R108" s="266" t="str">
        <f t="shared" ref="R108:R119" si="29">IFERROR(R107+I108-O108,"")</f>
        <v/>
      </c>
    </row>
    <row r="109" spans="2:18" ht="25.5" customHeight="1" x14ac:dyDescent="0.4">
      <c r="B109" s="172">
        <v>4</v>
      </c>
      <c r="C109" s="234" t="str">
        <f>IFERROR(VLOOKUP(B109,'बँक जमा खर्च पासबुक'!$BF$8:$CD$111,15,0),"")</f>
        <v/>
      </c>
      <c r="D109" s="354" t="str">
        <f>IFERROR(VLOOKUP(B109,'बँक जमा खर्च पासबुक'!$BF$8:$CD$111,18,0),"")</f>
        <v/>
      </c>
      <c r="E109" s="240" t="str">
        <f>IFERROR(VLOOKUP(B109,'बँक जमा खर्च पासबुक'!$BF$8:$CD$111,16,0),"")</f>
        <v/>
      </c>
      <c r="F109" s="241" t="str">
        <f>IFERROR(VLOOKUP(B109,'बँक जमा खर्च पासबुक'!$BF$8:$CD$111,17,0),"")</f>
        <v/>
      </c>
      <c r="G109" s="262" t="str">
        <f>IFERROR(VLOOKUP(B109,'बँक जमा खर्च पासबुक'!$BF$8:$CD$111,22,0),"")</f>
        <v/>
      </c>
      <c r="H109" s="262" t="str">
        <f>IFERROR(VLOOKUP(B109,'बँक जमा खर्च पासबुक'!$BF$8:$CD$111,23,0),"")</f>
        <v/>
      </c>
      <c r="I109" s="262" t="str">
        <f t="shared" si="25"/>
        <v/>
      </c>
      <c r="J109" s="354" t="str">
        <f>IFERROR(VLOOKUP(B109,'बँक जमा खर्च पासबुक'!$BF$8:$CD$111,21,0),"")</f>
        <v/>
      </c>
      <c r="K109" s="243" t="str">
        <f>IFERROR(VLOOKUP(B109,'बँक जमा खर्च पासबुक'!$BF$8:$CD$111,19,0),"")</f>
        <v/>
      </c>
      <c r="L109" s="241" t="str">
        <f>IFERROR(VLOOKUP(B109,'बँक जमा खर्च पासबुक'!$BF$8:$CD$111,20,0),"")</f>
        <v/>
      </c>
      <c r="M109" s="266" t="str">
        <f>IFERROR(VLOOKUP(B109,'बँक जमा खर्च पासबुक'!$BF$8:$CD$111,24,0),"")</f>
        <v/>
      </c>
      <c r="N109" s="266" t="str">
        <f>IFERROR(VLOOKUP(B109,'बँक जमा खर्च पासबुक'!$BF$8:$CD$111,25,0),"")</f>
        <v/>
      </c>
      <c r="O109" s="266" t="str">
        <f t="shared" si="26"/>
        <v/>
      </c>
      <c r="P109" s="266" t="str">
        <f t="shared" si="27"/>
        <v/>
      </c>
      <c r="Q109" s="266" t="str">
        <f t="shared" si="28"/>
        <v/>
      </c>
      <c r="R109" s="266" t="str">
        <f t="shared" si="29"/>
        <v/>
      </c>
    </row>
    <row r="110" spans="2:18" ht="25.5" customHeight="1" x14ac:dyDescent="0.4">
      <c r="B110" s="172">
        <v>5</v>
      </c>
      <c r="C110" s="234" t="str">
        <f>IFERROR(VLOOKUP(B110,'बँक जमा खर्च पासबुक'!$BF$8:$CD$111,15,0),"")</f>
        <v/>
      </c>
      <c r="D110" s="354" t="str">
        <f>IFERROR(VLOOKUP(B110,'बँक जमा खर्च पासबुक'!$BF$8:$CD$111,18,0),"")</f>
        <v/>
      </c>
      <c r="E110" s="240" t="str">
        <f>IFERROR(VLOOKUP(B110,'बँक जमा खर्च पासबुक'!$BF$8:$CD$111,16,0),"")</f>
        <v/>
      </c>
      <c r="F110" s="241" t="str">
        <f>IFERROR(VLOOKUP(B110,'बँक जमा खर्च पासबुक'!$BF$8:$CD$111,17,0),"")</f>
        <v/>
      </c>
      <c r="G110" s="262" t="str">
        <f>IFERROR(VLOOKUP(B110,'बँक जमा खर्च पासबुक'!$BF$8:$CD$111,22,0),"")</f>
        <v/>
      </c>
      <c r="H110" s="262" t="str">
        <f>IFERROR(VLOOKUP(B110,'बँक जमा खर्च पासबुक'!$BF$8:$CD$111,23,0),"")</f>
        <v/>
      </c>
      <c r="I110" s="262" t="str">
        <f t="shared" si="25"/>
        <v/>
      </c>
      <c r="J110" s="354" t="str">
        <f>IFERROR(VLOOKUP(B110,'बँक जमा खर्च पासबुक'!$BF$8:$CD$111,21,0),"")</f>
        <v/>
      </c>
      <c r="K110" s="243" t="str">
        <f>IFERROR(VLOOKUP(B110,'बँक जमा खर्च पासबुक'!$BF$8:$CD$111,19,0),"")</f>
        <v/>
      </c>
      <c r="L110" s="241" t="str">
        <f>IFERROR(VLOOKUP(B110,'बँक जमा खर्च पासबुक'!$BF$8:$CD$111,20,0),"")</f>
        <v/>
      </c>
      <c r="M110" s="266" t="str">
        <f>IFERROR(VLOOKUP(B110,'बँक जमा खर्च पासबुक'!$BF$8:$CD$111,24,0),"")</f>
        <v/>
      </c>
      <c r="N110" s="266" t="str">
        <f>IFERROR(VLOOKUP(B110,'बँक जमा खर्च पासबुक'!$BF$8:$CD$111,25,0),"")</f>
        <v/>
      </c>
      <c r="O110" s="266" t="str">
        <f t="shared" si="26"/>
        <v/>
      </c>
      <c r="P110" s="266" t="str">
        <f t="shared" si="27"/>
        <v/>
      </c>
      <c r="Q110" s="266" t="str">
        <f t="shared" si="28"/>
        <v/>
      </c>
      <c r="R110" s="266" t="str">
        <f t="shared" si="29"/>
        <v/>
      </c>
    </row>
    <row r="111" spans="2:18" ht="25.5" customHeight="1" x14ac:dyDescent="0.4">
      <c r="B111" s="172">
        <v>6</v>
      </c>
      <c r="C111" s="234" t="str">
        <f>IFERROR(VLOOKUP(B111,'बँक जमा खर्च पासबुक'!$BF$8:$CD$111,15,0),"")</f>
        <v/>
      </c>
      <c r="D111" s="354" t="str">
        <f>IFERROR(VLOOKUP(B111,'बँक जमा खर्च पासबुक'!$BF$8:$CD$111,18,0),"")</f>
        <v/>
      </c>
      <c r="E111" s="240" t="str">
        <f>IFERROR(VLOOKUP(B111,'बँक जमा खर्च पासबुक'!$BF$8:$CD$111,16,0),"")</f>
        <v/>
      </c>
      <c r="F111" s="241" t="str">
        <f>IFERROR(VLOOKUP(B111,'बँक जमा खर्च पासबुक'!$BF$8:$CD$111,17,0),"")</f>
        <v/>
      </c>
      <c r="G111" s="262" t="str">
        <f>IFERROR(VLOOKUP(B111,'बँक जमा खर्च पासबुक'!$BF$8:$CD$111,22,0),"")</f>
        <v/>
      </c>
      <c r="H111" s="262" t="str">
        <f>IFERROR(VLOOKUP(B111,'बँक जमा खर्च पासबुक'!$BF$8:$CD$111,23,0),"")</f>
        <v/>
      </c>
      <c r="I111" s="262" t="str">
        <f t="shared" si="25"/>
        <v/>
      </c>
      <c r="J111" s="354" t="str">
        <f>IFERROR(VLOOKUP(B111,'बँक जमा खर्च पासबुक'!$BF$8:$CD$111,21,0),"")</f>
        <v/>
      </c>
      <c r="K111" s="243" t="str">
        <f>IFERROR(VLOOKUP(B111,'बँक जमा खर्च पासबुक'!$BF$8:$CD$111,19,0),"")</f>
        <v/>
      </c>
      <c r="L111" s="241" t="str">
        <f>IFERROR(VLOOKUP(B111,'बँक जमा खर्च पासबुक'!$BF$8:$CD$111,20,0),"")</f>
        <v/>
      </c>
      <c r="M111" s="266" t="str">
        <f>IFERROR(VLOOKUP(B111,'बँक जमा खर्च पासबुक'!$BF$8:$CD$111,24,0),"")</f>
        <v/>
      </c>
      <c r="N111" s="266" t="str">
        <f>IFERROR(VLOOKUP(B111,'बँक जमा खर्च पासबुक'!$BF$8:$CD$111,25,0),"")</f>
        <v/>
      </c>
      <c r="O111" s="266" t="str">
        <f t="shared" si="26"/>
        <v/>
      </c>
      <c r="P111" s="266" t="str">
        <f t="shared" si="27"/>
        <v/>
      </c>
      <c r="Q111" s="266" t="str">
        <f t="shared" si="28"/>
        <v/>
      </c>
      <c r="R111" s="266" t="str">
        <f t="shared" si="29"/>
        <v/>
      </c>
    </row>
    <row r="112" spans="2:18" ht="25.5" customHeight="1" x14ac:dyDescent="0.4">
      <c r="B112" s="172">
        <v>7</v>
      </c>
      <c r="C112" s="234" t="str">
        <f>IFERROR(VLOOKUP(B112,'बँक जमा खर्च पासबुक'!$BF$8:$CD$111,15,0),"")</f>
        <v/>
      </c>
      <c r="D112" s="354" t="str">
        <f>IFERROR(VLOOKUP(B112,'बँक जमा खर्च पासबुक'!$BF$8:$CD$111,18,0),"")</f>
        <v/>
      </c>
      <c r="E112" s="240" t="str">
        <f>IFERROR(VLOOKUP(B112,'बँक जमा खर्च पासबुक'!$BF$8:$CD$111,16,0),"")</f>
        <v/>
      </c>
      <c r="F112" s="241" t="str">
        <f>IFERROR(VLOOKUP(B112,'बँक जमा खर्च पासबुक'!$BF$8:$CD$111,17,0),"")</f>
        <v/>
      </c>
      <c r="G112" s="262" t="str">
        <f>IFERROR(VLOOKUP(B112,'बँक जमा खर्च पासबुक'!$BF$8:$CD$111,22,0),"")</f>
        <v/>
      </c>
      <c r="H112" s="262" t="str">
        <f>IFERROR(VLOOKUP(B112,'बँक जमा खर्च पासबुक'!$BF$8:$CD$111,23,0),"")</f>
        <v/>
      </c>
      <c r="I112" s="262" t="str">
        <f t="shared" si="25"/>
        <v/>
      </c>
      <c r="J112" s="354" t="str">
        <f>IFERROR(VLOOKUP(B112,'बँक जमा खर्च पासबुक'!$BF$8:$CD$111,21,0),"")</f>
        <v/>
      </c>
      <c r="K112" s="243" t="str">
        <f>IFERROR(VLOOKUP(B112,'बँक जमा खर्च पासबुक'!$BF$8:$CD$111,19,0),"")</f>
        <v/>
      </c>
      <c r="L112" s="241" t="str">
        <f>IFERROR(VLOOKUP(B112,'बँक जमा खर्च पासबुक'!$BF$8:$CD$111,20,0),"")</f>
        <v/>
      </c>
      <c r="M112" s="266" t="str">
        <f>IFERROR(VLOOKUP(B112,'बँक जमा खर्च पासबुक'!$BF$8:$CD$111,24,0),"")</f>
        <v/>
      </c>
      <c r="N112" s="266" t="str">
        <f>IFERROR(VLOOKUP(B112,'बँक जमा खर्च पासबुक'!$BF$8:$CD$111,25,0),"")</f>
        <v/>
      </c>
      <c r="O112" s="266" t="str">
        <f t="shared" si="26"/>
        <v/>
      </c>
      <c r="P112" s="266" t="str">
        <f t="shared" si="27"/>
        <v/>
      </c>
      <c r="Q112" s="266" t="str">
        <f t="shared" si="28"/>
        <v/>
      </c>
      <c r="R112" s="266" t="str">
        <f t="shared" si="29"/>
        <v/>
      </c>
    </row>
    <row r="113" spans="2:18" ht="25.5" customHeight="1" x14ac:dyDescent="0.4">
      <c r="B113" s="172">
        <v>8</v>
      </c>
      <c r="C113" s="234" t="str">
        <f>IFERROR(VLOOKUP(B113,'बँक जमा खर्च पासबुक'!$BF$8:$CD$111,15,0),"")</f>
        <v/>
      </c>
      <c r="D113" s="354" t="str">
        <f>IFERROR(VLOOKUP(B113,'बँक जमा खर्च पासबुक'!$BF$8:$CD$111,18,0),"")</f>
        <v/>
      </c>
      <c r="E113" s="240" t="str">
        <f>IFERROR(VLOOKUP(B113,'बँक जमा खर्च पासबुक'!$BF$8:$CD$111,16,0),"")</f>
        <v/>
      </c>
      <c r="F113" s="241" t="str">
        <f>IFERROR(VLOOKUP(B113,'बँक जमा खर्च पासबुक'!$BF$8:$CD$111,17,0),"")</f>
        <v/>
      </c>
      <c r="G113" s="262" t="str">
        <f>IFERROR(VLOOKUP(B113,'बँक जमा खर्च पासबुक'!$BF$8:$CD$111,22,0),"")</f>
        <v/>
      </c>
      <c r="H113" s="262" t="str">
        <f>IFERROR(VLOOKUP(B113,'बँक जमा खर्च पासबुक'!$BF$8:$CD$111,23,0),"")</f>
        <v/>
      </c>
      <c r="I113" s="262" t="str">
        <f t="shared" si="25"/>
        <v/>
      </c>
      <c r="J113" s="354" t="str">
        <f>IFERROR(VLOOKUP(B113,'बँक जमा खर्च पासबुक'!$BF$8:$CD$111,21,0),"")</f>
        <v/>
      </c>
      <c r="K113" s="243" t="str">
        <f>IFERROR(VLOOKUP(B113,'बँक जमा खर्च पासबुक'!$BF$8:$CD$111,19,0),"")</f>
        <v/>
      </c>
      <c r="L113" s="241" t="str">
        <f>IFERROR(VLOOKUP(B113,'बँक जमा खर्च पासबुक'!$BF$8:$CD$111,20,0),"")</f>
        <v/>
      </c>
      <c r="M113" s="266" t="str">
        <f>IFERROR(VLOOKUP(B113,'बँक जमा खर्च पासबुक'!$BF$8:$CD$111,24,0),"")</f>
        <v/>
      </c>
      <c r="N113" s="266" t="str">
        <f>IFERROR(VLOOKUP(B113,'बँक जमा खर्च पासबुक'!$BF$8:$CD$111,25,0),"")</f>
        <v/>
      </c>
      <c r="O113" s="266" t="str">
        <f t="shared" si="26"/>
        <v/>
      </c>
      <c r="P113" s="266" t="str">
        <f t="shared" si="27"/>
        <v/>
      </c>
      <c r="Q113" s="266" t="str">
        <f t="shared" si="28"/>
        <v/>
      </c>
      <c r="R113" s="266" t="str">
        <f t="shared" si="29"/>
        <v/>
      </c>
    </row>
    <row r="114" spans="2:18" ht="25.5" customHeight="1" x14ac:dyDescent="0.4">
      <c r="B114" s="172">
        <v>9</v>
      </c>
      <c r="C114" s="234" t="str">
        <f>IFERROR(VLOOKUP(B114,'बँक जमा खर्च पासबुक'!$BF$8:$CD$111,15,0),"")</f>
        <v/>
      </c>
      <c r="D114" s="354" t="str">
        <f>IFERROR(VLOOKUP(B114,'बँक जमा खर्च पासबुक'!$BF$8:$CD$111,18,0),"")</f>
        <v/>
      </c>
      <c r="E114" s="240" t="str">
        <f>IFERROR(VLOOKUP(B114,'बँक जमा खर्च पासबुक'!$BF$8:$CD$111,16,0),"")</f>
        <v/>
      </c>
      <c r="F114" s="241" t="str">
        <f>IFERROR(VLOOKUP(B114,'बँक जमा खर्च पासबुक'!$BF$8:$CD$111,17,0),"")</f>
        <v/>
      </c>
      <c r="G114" s="262" t="str">
        <f>IFERROR(VLOOKUP(B114,'बँक जमा खर्च पासबुक'!$BF$8:$CD$111,22,0),"")</f>
        <v/>
      </c>
      <c r="H114" s="262" t="str">
        <f>IFERROR(VLOOKUP(B114,'बँक जमा खर्च पासबुक'!$BF$8:$CD$111,23,0),"")</f>
        <v/>
      </c>
      <c r="I114" s="262" t="str">
        <f t="shared" si="25"/>
        <v/>
      </c>
      <c r="J114" s="354" t="str">
        <f>IFERROR(VLOOKUP(B114,'बँक जमा खर्च पासबुक'!$BF$8:$CD$111,21,0),"")</f>
        <v/>
      </c>
      <c r="K114" s="243" t="str">
        <f>IFERROR(VLOOKUP(B114,'बँक जमा खर्च पासबुक'!$BF$8:$CD$111,19,0),"")</f>
        <v/>
      </c>
      <c r="L114" s="241" t="str">
        <f>IFERROR(VLOOKUP(B114,'बँक जमा खर्च पासबुक'!$BF$8:$CD$111,20,0),"")</f>
        <v/>
      </c>
      <c r="M114" s="266" t="str">
        <f>IFERROR(VLOOKUP(B114,'बँक जमा खर्च पासबुक'!$BF$8:$CD$111,24,0),"")</f>
        <v/>
      </c>
      <c r="N114" s="266" t="str">
        <f>IFERROR(VLOOKUP(B114,'बँक जमा खर्च पासबुक'!$BF$8:$CD$111,25,0),"")</f>
        <v/>
      </c>
      <c r="O114" s="266" t="str">
        <f t="shared" si="26"/>
        <v/>
      </c>
      <c r="P114" s="266" t="str">
        <f t="shared" si="27"/>
        <v/>
      </c>
      <c r="Q114" s="266" t="str">
        <f t="shared" si="28"/>
        <v/>
      </c>
      <c r="R114" s="266" t="str">
        <f t="shared" si="29"/>
        <v/>
      </c>
    </row>
    <row r="115" spans="2:18" ht="25.5" customHeight="1" x14ac:dyDescent="0.4">
      <c r="B115" s="172">
        <v>10</v>
      </c>
      <c r="C115" s="234" t="str">
        <f>IFERROR(VLOOKUP(B115,'बँक जमा खर्च पासबुक'!$BF$8:$CD$111,15,0),"")</f>
        <v/>
      </c>
      <c r="D115" s="354" t="str">
        <f>IFERROR(VLOOKUP(B115,'बँक जमा खर्च पासबुक'!$BF$8:$CD$111,18,0),"")</f>
        <v/>
      </c>
      <c r="E115" s="240" t="str">
        <f>IFERROR(VLOOKUP(B115,'बँक जमा खर्च पासबुक'!$BF$8:$CD$111,16,0),"")</f>
        <v/>
      </c>
      <c r="F115" s="241" t="str">
        <f>IFERROR(VLOOKUP(B115,'बँक जमा खर्च पासबुक'!$BF$8:$CD$111,17,0),"")</f>
        <v/>
      </c>
      <c r="G115" s="262" t="str">
        <f>IFERROR(VLOOKUP(B115,'बँक जमा खर्च पासबुक'!$BF$8:$CD$111,22,0),"")</f>
        <v/>
      </c>
      <c r="H115" s="262" t="str">
        <f>IFERROR(VLOOKUP(B115,'बँक जमा खर्च पासबुक'!$BF$8:$CD$111,23,0),"")</f>
        <v/>
      </c>
      <c r="I115" s="262" t="str">
        <f t="shared" si="25"/>
        <v/>
      </c>
      <c r="J115" s="354" t="str">
        <f>IFERROR(VLOOKUP(B115,'बँक जमा खर्च पासबुक'!$BF$8:$CD$111,21,0),"")</f>
        <v/>
      </c>
      <c r="K115" s="243" t="str">
        <f>IFERROR(VLOOKUP(B115,'बँक जमा खर्च पासबुक'!$BF$8:$CD$111,19,0),"")</f>
        <v/>
      </c>
      <c r="L115" s="241" t="str">
        <f>IFERROR(VLOOKUP(B115,'बँक जमा खर्च पासबुक'!$BF$8:$CD$111,20,0),"")</f>
        <v/>
      </c>
      <c r="M115" s="266" t="str">
        <f>IFERROR(VLOOKUP(B115,'बँक जमा खर्च पासबुक'!$BF$8:$CD$111,24,0),"")</f>
        <v/>
      </c>
      <c r="N115" s="266" t="str">
        <f>IFERROR(VLOOKUP(B115,'बँक जमा खर्च पासबुक'!$BF$8:$CD$111,25,0),"")</f>
        <v/>
      </c>
      <c r="O115" s="266" t="str">
        <f t="shared" si="26"/>
        <v/>
      </c>
      <c r="P115" s="266" t="str">
        <f t="shared" si="27"/>
        <v/>
      </c>
      <c r="Q115" s="266" t="str">
        <f t="shared" si="28"/>
        <v/>
      </c>
      <c r="R115" s="266" t="str">
        <f t="shared" si="29"/>
        <v/>
      </c>
    </row>
    <row r="116" spans="2:18" ht="25.5" customHeight="1" x14ac:dyDescent="0.4">
      <c r="B116" s="172">
        <v>11</v>
      </c>
      <c r="C116" s="234" t="str">
        <f>IFERROR(VLOOKUP(B116,'बँक जमा खर्च पासबुक'!$BF$8:$CD$111,15,0),"")</f>
        <v/>
      </c>
      <c r="D116" s="354" t="str">
        <f>IFERROR(VLOOKUP(B116,'बँक जमा खर्च पासबुक'!$BF$8:$CD$111,18,0),"")</f>
        <v/>
      </c>
      <c r="E116" s="240" t="str">
        <f>IFERROR(VLOOKUP(B116,'बँक जमा खर्च पासबुक'!$BF$8:$CD$111,16,0),"")</f>
        <v/>
      </c>
      <c r="F116" s="241" t="str">
        <f>IFERROR(VLOOKUP(B116,'बँक जमा खर्च पासबुक'!$BF$8:$CD$111,17,0),"")</f>
        <v/>
      </c>
      <c r="G116" s="262" t="str">
        <f>IFERROR(VLOOKUP(B116,'बँक जमा खर्च पासबुक'!$BF$8:$CD$111,22,0),"")</f>
        <v/>
      </c>
      <c r="H116" s="262" t="str">
        <f>IFERROR(VLOOKUP(B116,'बँक जमा खर्च पासबुक'!$BF$8:$CD$111,23,0),"")</f>
        <v/>
      </c>
      <c r="I116" s="262" t="str">
        <f t="shared" si="25"/>
        <v/>
      </c>
      <c r="J116" s="354" t="str">
        <f>IFERROR(VLOOKUP(B116,'बँक जमा खर्च पासबुक'!$BF$8:$CD$111,21,0),"")</f>
        <v/>
      </c>
      <c r="K116" s="243" t="str">
        <f>IFERROR(VLOOKUP(B116,'बँक जमा खर्च पासबुक'!$BF$8:$CD$111,19,0),"")</f>
        <v/>
      </c>
      <c r="L116" s="241" t="str">
        <f>IFERROR(VLOOKUP(B116,'बँक जमा खर्च पासबुक'!$BF$8:$CD$111,20,0),"")</f>
        <v/>
      </c>
      <c r="M116" s="266" t="str">
        <f>IFERROR(VLOOKUP(B116,'बँक जमा खर्च पासबुक'!$BF$8:$CD$111,24,0),"")</f>
        <v/>
      </c>
      <c r="N116" s="266" t="str">
        <f>IFERROR(VLOOKUP(B116,'बँक जमा खर्च पासबुक'!$BF$8:$CD$111,25,0),"")</f>
        <v/>
      </c>
      <c r="O116" s="266" t="str">
        <f t="shared" si="26"/>
        <v/>
      </c>
      <c r="P116" s="266" t="str">
        <f t="shared" si="27"/>
        <v/>
      </c>
      <c r="Q116" s="266" t="str">
        <f t="shared" si="28"/>
        <v/>
      </c>
      <c r="R116" s="266" t="str">
        <f t="shared" si="29"/>
        <v/>
      </c>
    </row>
    <row r="117" spans="2:18" ht="25.5" customHeight="1" x14ac:dyDescent="0.4">
      <c r="B117" s="172">
        <v>12</v>
      </c>
      <c r="C117" s="234" t="str">
        <f>IFERROR(VLOOKUP(B117,'बँक जमा खर्च पासबुक'!$BF$8:$CD$111,15,0),"")</f>
        <v/>
      </c>
      <c r="D117" s="354" t="str">
        <f>IFERROR(VLOOKUP(B117,'बँक जमा खर्च पासबुक'!$BF$8:$CD$111,18,0),"")</f>
        <v/>
      </c>
      <c r="E117" s="240" t="str">
        <f>IFERROR(VLOOKUP(B117,'बँक जमा खर्च पासबुक'!$BF$8:$CD$111,16,0),"")</f>
        <v/>
      </c>
      <c r="F117" s="241" t="str">
        <f>IFERROR(VLOOKUP(B117,'बँक जमा खर्च पासबुक'!$BF$8:$CD$111,17,0),"")</f>
        <v/>
      </c>
      <c r="G117" s="262" t="str">
        <f>IFERROR(VLOOKUP(B117,'बँक जमा खर्च पासबुक'!$BF$8:$CD$111,22,0),"")</f>
        <v/>
      </c>
      <c r="H117" s="262" t="str">
        <f>IFERROR(VLOOKUP(B117,'बँक जमा खर्च पासबुक'!$BF$8:$CD$111,23,0),"")</f>
        <v/>
      </c>
      <c r="I117" s="262" t="str">
        <f t="shared" si="25"/>
        <v/>
      </c>
      <c r="J117" s="354" t="str">
        <f>IFERROR(VLOOKUP(B117,'बँक जमा खर्च पासबुक'!$BF$8:$CD$111,21,0),"")</f>
        <v/>
      </c>
      <c r="K117" s="243" t="str">
        <f>IFERROR(VLOOKUP(B117,'बँक जमा खर्च पासबुक'!$BF$8:$CD$111,19,0),"")</f>
        <v/>
      </c>
      <c r="L117" s="241" t="str">
        <f>IFERROR(VLOOKUP(B117,'बँक जमा खर्च पासबुक'!$BF$8:$CD$111,20,0),"")</f>
        <v/>
      </c>
      <c r="M117" s="266" t="str">
        <f>IFERROR(VLOOKUP(B117,'बँक जमा खर्च पासबुक'!$BF$8:$CD$111,24,0),"")</f>
        <v/>
      </c>
      <c r="N117" s="266" t="str">
        <f>IFERROR(VLOOKUP(B117,'बँक जमा खर्च पासबुक'!$BF$8:$CD$111,25,0),"")</f>
        <v/>
      </c>
      <c r="O117" s="266" t="str">
        <f t="shared" si="26"/>
        <v/>
      </c>
      <c r="P117" s="266" t="str">
        <f t="shared" si="27"/>
        <v/>
      </c>
      <c r="Q117" s="266" t="str">
        <f t="shared" si="28"/>
        <v/>
      </c>
      <c r="R117" s="266" t="str">
        <f t="shared" si="29"/>
        <v/>
      </c>
    </row>
    <row r="118" spans="2:18" ht="25.5" customHeight="1" x14ac:dyDescent="0.4">
      <c r="B118" s="172">
        <v>13</v>
      </c>
      <c r="C118" s="234" t="str">
        <f>IFERROR(VLOOKUP(B118,'बँक जमा खर्च पासबुक'!$BF$8:$CD$111,15,0),"")</f>
        <v/>
      </c>
      <c r="D118" s="354" t="str">
        <f>IFERROR(VLOOKUP(B118,'बँक जमा खर्च पासबुक'!$BF$8:$CD$111,18,0),"")</f>
        <v/>
      </c>
      <c r="E118" s="240" t="str">
        <f>IFERROR(VLOOKUP(B118,'बँक जमा खर्च पासबुक'!$BF$8:$CD$111,16,0),"")</f>
        <v/>
      </c>
      <c r="F118" s="241" t="str">
        <f>IFERROR(VLOOKUP(B118,'बँक जमा खर्च पासबुक'!$BF$8:$CD$111,17,0),"")</f>
        <v/>
      </c>
      <c r="G118" s="262" t="str">
        <f>IFERROR(VLOOKUP(B118,'बँक जमा खर्च पासबुक'!$BF$8:$CD$111,22,0),"")</f>
        <v/>
      </c>
      <c r="H118" s="262" t="str">
        <f>IFERROR(VLOOKUP(B118,'बँक जमा खर्च पासबुक'!$BF$8:$CD$111,23,0),"")</f>
        <v/>
      </c>
      <c r="I118" s="262" t="str">
        <f t="shared" si="25"/>
        <v/>
      </c>
      <c r="J118" s="354" t="str">
        <f>IFERROR(VLOOKUP(B118,'बँक जमा खर्च पासबुक'!$BF$8:$CD$111,21,0),"")</f>
        <v/>
      </c>
      <c r="K118" s="243" t="str">
        <f>IFERROR(VLOOKUP(B118,'बँक जमा खर्च पासबुक'!$BF$8:$CD$111,19,0),"")</f>
        <v/>
      </c>
      <c r="L118" s="241" t="str">
        <f>IFERROR(VLOOKUP(B118,'बँक जमा खर्च पासबुक'!$BF$8:$CD$111,20,0),"")</f>
        <v/>
      </c>
      <c r="M118" s="266" t="str">
        <f>IFERROR(VLOOKUP(B118,'बँक जमा खर्च पासबुक'!$BF$8:$CD$111,24,0),"")</f>
        <v/>
      </c>
      <c r="N118" s="266" t="str">
        <f>IFERROR(VLOOKUP(B118,'बँक जमा खर्च पासबुक'!$BF$8:$CD$111,25,0),"")</f>
        <v/>
      </c>
      <c r="O118" s="266" t="str">
        <f t="shared" si="26"/>
        <v/>
      </c>
      <c r="P118" s="266" t="str">
        <f t="shared" si="27"/>
        <v/>
      </c>
      <c r="Q118" s="266" t="str">
        <f t="shared" si="28"/>
        <v/>
      </c>
      <c r="R118" s="266" t="str">
        <f t="shared" si="29"/>
        <v/>
      </c>
    </row>
    <row r="119" spans="2:18" ht="25.5" customHeight="1" x14ac:dyDescent="0.4">
      <c r="B119" s="172">
        <v>14</v>
      </c>
      <c r="C119" s="234" t="str">
        <f>IFERROR(VLOOKUP(B119,'बँक जमा खर्च पासबुक'!$BF$8:$CD$111,15,0),"")</f>
        <v/>
      </c>
      <c r="D119" s="354" t="str">
        <f>IFERROR(VLOOKUP(B119,'बँक जमा खर्च पासबुक'!$BF$8:$CD$111,18,0),"")</f>
        <v/>
      </c>
      <c r="E119" s="240" t="str">
        <f>IFERROR(VLOOKUP(B119,'बँक जमा खर्च पासबुक'!$BF$8:$CD$111,16,0),"")</f>
        <v/>
      </c>
      <c r="F119" s="241" t="str">
        <f>IFERROR(VLOOKUP(B119,'बँक जमा खर्च पासबुक'!$BF$8:$CD$111,17,0),"")</f>
        <v/>
      </c>
      <c r="G119" s="262" t="str">
        <f>IFERROR(VLOOKUP(B119,'बँक जमा खर्च पासबुक'!$BF$8:$CD$111,22,0),"")</f>
        <v/>
      </c>
      <c r="H119" s="262" t="str">
        <f>IFERROR(VLOOKUP(B119,'बँक जमा खर्च पासबुक'!$BF$8:$CD$111,23,0),"")</f>
        <v/>
      </c>
      <c r="I119" s="262" t="str">
        <f t="shared" si="25"/>
        <v/>
      </c>
      <c r="J119" s="354" t="str">
        <f>IFERROR(VLOOKUP(B119,'बँक जमा खर्च पासबुक'!$BF$8:$CD$111,21,0),"")</f>
        <v/>
      </c>
      <c r="K119" s="243" t="str">
        <f>IFERROR(VLOOKUP(B119,'बँक जमा खर्च पासबुक'!$BF$8:$CD$111,19,0),"")</f>
        <v/>
      </c>
      <c r="L119" s="241" t="str">
        <f>IFERROR(VLOOKUP(B119,'बँक जमा खर्च पासबुक'!$BF$8:$CD$111,20,0),"")</f>
        <v/>
      </c>
      <c r="M119" s="266" t="str">
        <f>IFERROR(VLOOKUP(B119,'बँक जमा खर्च पासबुक'!$BF$8:$CD$111,24,0),"")</f>
        <v/>
      </c>
      <c r="N119" s="266" t="str">
        <f>IFERROR(VLOOKUP(B119,'बँक जमा खर्च पासबुक'!$BF$8:$CD$111,25,0),"")</f>
        <v/>
      </c>
      <c r="O119" s="266" t="str">
        <f t="shared" si="26"/>
        <v/>
      </c>
      <c r="P119" s="266" t="str">
        <f t="shared" si="27"/>
        <v/>
      </c>
      <c r="Q119" s="266" t="str">
        <f t="shared" si="28"/>
        <v/>
      </c>
      <c r="R119" s="266" t="str">
        <f t="shared" si="29"/>
        <v/>
      </c>
    </row>
    <row r="120" spans="2:18" ht="25.5" customHeight="1" x14ac:dyDescent="0.4">
      <c r="B120" s="398"/>
      <c r="C120" s="713"/>
      <c r="D120" s="391" t="s">
        <v>35</v>
      </c>
      <c r="E120" s="785"/>
      <c r="F120" s="786"/>
      <c r="G120" s="262">
        <f>SUM(G105:G119)</f>
        <v>3000</v>
      </c>
      <c r="H120" s="262">
        <f>SUM(H105:H119)</f>
        <v>3000</v>
      </c>
      <c r="I120" s="262">
        <f>SUM(I105:I119)</f>
        <v>6000</v>
      </c>
      <c r="J120" s="391"/>
      <c r="K120" s="785"/>
      <c r="L120" s="786"/>
      <c r="M120" s="266">
        <f>SUM(M106:M119)</f>
        <v>0</v>
      </c>
      <c r="N120" s="266">
        <f>SUM(N106:N119)</f>
        <v>0</v>
      </c>
      <c r="O120" s="266">
        <f>SUM(O106:O119)</f>
        <v>0</v>
      </c>
      <c r="P120" s="266">
        <f>G120-M120</f>
        <v>3000</v>
      </c>
      <c r="Q120" s="266">
        <f>H120-N120</f>
        <v>3000</v>
      </c>
      <c r="R120" s="266">
        <f>I120-O120</f>
        <v>6000</v>
      </c>
    </row>
    <row r="121" spans="2:18" ht="25.5" customHeight="1" x14ac:dyDescent="0.4">
      <c r="G121" s="787"/>
      <c r="H121" s="787"/>
      <c r="I121" s="787"/>
      <c r="K121" s="795"/>
      <c r="M121" s="788"/>
      <c r="N121" s="788"/>
      <c r="O121" s="788"/>
      <c r="P121" s="788"/>
      <c r="Q121" s="788"/>
      <c r="R121" s="788"/>
    </row>
    <row r="122" spans="2:18" ht="25.5" customHeight="1" thickBot="1" x14ac:dyDescent="0.45">
      <c r="K122" s="795"/>
    </row>
    <row r="123" spans="2:18" ht="25.5" customHeight="1" thickBot="1" x14ac:dyDescent="0.45">
      <c r="B123" s="800" t="s">
        <v>441</v>
      </c>
      <c r="C123" s="773" t="s">
        <v>638</v>
      </c>
      <c r="D123" s="351" t="str">
        <f>D10</f>
        <v>बँक व्याज</v>
      </c>
      <c r="E123" s="775"/>
      <c r="F123" s="776"/>
      <c r="G123" s="773" t="s">
        <v>312</v>
      </c>
      <c r="H123" s="238">
        <f>HOME!$E$2</f>
        <v>2022</v>
      </c>
      <c r="I123" s="238">
        <f>HOME!$F$2</f>
        <v>2023</v>
      </c>
      <c r="J123" s="773"/>
      <c r="K123" s="775"/>
      <c r="L123" s="774"/>
      <c r="M123" s="777"/>
      <c r="N123" s="777"/>
      <c r="O123" s="777"/>
      <c r="P123" s="777"/>
      <c r="Q123" s="777"/>
      <c r="R123" s="778"/>
    </row>
    <row r="125" spans="2:18" ht="25.5" customHeight="1" x14ac:dyDescent="0.4">
      <c r="B125" s="1411" t="s">
        <v>86</v>
      </c>
      <c r="C125" s="1413" t="s">
        <v>17</v>
      </c>
      <c r="D125" s="1410" t="s">
        <v>553</v>
      </c>
      <c r="E125" s="1410"/>
      <c r="F125" s="1410"/>
      <c r="G125" s="1410" t="s">
        <v>544</v>
      </c>
      <c r="H125" s="1410"/>
      <c r="I125" s="1410"/>
      <c r="J125" s="1407" t="s">
        <v>554</v>
      </c>
      <c r="K125" s="1408"/>
      <c r="L125" s="1409"/>
      <c r="M125" s="1410" t="s">
        <v>545</v>
      </c>
      <c r="N125" s="1410"/>
      <c r="O125" s="1410"/>
      <c r="P125" s="1410" t="s">
        <v>637</v>
      </c>
      <c r="Q125" s="1410"/>
      <c r="R125" s="1410"/>
    </row>
    <row r="126" spans="2:18" ht="25.5" customHeight="1" x14ac:dyDescent="0.4">
      <c r="B126" s="1412"/>
      <c r="C126" s="1414"/>
      <c r="D126" s="1407" t="s">
        <v>636</v>
      </c>
      <c r="E126" s="1408"/>
      <c r="F126" s="1409"/>
      <c r="G126" s="582" t="s">
        <v>586</v>
      </c>
      <c r="H126" s="582" t="s">
        <v>587</v>
      </c>
      <c r="I126" s="582" t="s">
        <v>35</v>
      </c>
      <c r="J126" s="1407" t="s">
        <v>636</v>
      </c>
      <c r="K126" s="1408"/>
      <c r="L126" s="1409"/>
      <c r="M126" s="582" t="s">
        <v>586</v>
      </c>
      <c r="N126" s="582" t="s">
        <v>587</v>
      </c>
      <c r="O126" s="582" t="s">
        <v>35</v>
      </c>
      <c r="P126" s="582" t="s">
        <v>586</v>
      </c>
      <c r="Q126" s="582" t="s">
        <v>587</v>
      </c>
      <c r="R126" s="582" t="s">
        <v>35</v>
      </c>
    </row>
    <row r="127" spans="2:18" ht="25.5" customHeight="1" x14ac:dyDescent="0.4">
      <c r="B127" s="779"/>
      <c r="C127" s="780"/>
      <c r="D127" s="1404" t="s">
        <v>87</v>
      </c>
      <c r="E127" s="1405"/>
      <c r="F127" s="1406"/>
      <c r="G127" s="264">
        <f>'Balance sheet'!D13</f>
        <v>0</v>
      </c>
      <c r="H127" s="264">
        <f>'Balance sheet'!E13</f>
        <v>0</v>
      </c>
      <c r="I127" s="264">
        <f>SUM(G127:H127)</f>
        <v>0</v>
      </c>
      <c r="J127" s="781"/>
      <c r="K127" s="782"/>
      <c r="L127" s="783"/>
      <c r="M127" s="792"/>
      <c r="N127" s="792"/>
      <c r="O127" s="792"/>
      <c r="P127" s="792"/>
      <c r="Q127" s="792"/>
      <c r="R127" s="792"/>
    </row>
    <row r="128" spans="2:18" ht="25.5" customHeight="1" x14ac:dyDescent="0.4">
      <c r="B128" s="172">
        <v>1</v>
      </c>
      <c r="C128" s="234" t="str">
        <f>IFERROR(VLOOKUP(B128,'बँक जमा खर्च पासबुक'!$BG$8:$CD$111,14,0),"")</f>
        <v/>
      </c>
      <c r="D128" s="354" t="str">
        <f>IFERROR(VLOOKUP(B128,'बँक जमा खर्च पासबुक'!$BG$8:$CD$111,17,0),"")</f>
        <v/>
      </c>
      <c r="E128" s="240" t="str">
        <f>IFERROR(VLOOKUP(B128,'बँक जमा खर्च पासबुक'!$BG$8:$CD$111,15,0),"")</f>
        <v/>
      </c>
      <c r="F128" s="241" t="str">
        <f>IFERROR(VLOOKUP(B128,'बँक जमा खर्च पासबुक'!$BG$8:$CD$111,16,0),"")</f>
        <v/>
      </c>
      <c r="G128" s="262" t="str">
        <f>IFERROR(VLOOKUP(B128,'बँक जमा खर्च पासबुक'!$BG$8:$CD$111,21,0),"")</f>
        <v/>
      </c>
      <c r="H128" s="262" t="str">
        <f>IFERROR(VLOOKUP(B128,'बँक जमा खर्च पासबुक'!$BG$8:$CD$111,22,0),"")</f>
        <v/>
      </c>
      <c r="I128" s="262" t="str">
        <f>IFERROR(G128+H128,"")</f>
        <v/>
      </c>
      <c r="J128" s="354" t="str">
        <f>IFERROR(VLOOKUP(B128,'बँक जमा खर्च पासबुक'!$BG$8:$CD$111,20,0),"")</f>
        <v/>
      </c>
      <c r="K128" s="240" t="str">
        <f>IFERROR(VLOOKUP(B128,'बँक जमा खर्च पासबुक'!$BG$8:$CD$111,18,0),"")</f>
        <v/>
      </c>
      <c r="L128" s="241" t="str">
        <f>IFERROR(VLOOKUP(B128,'बँक जमा खर्च पासबुक'!$BG$8:$CD$111,19,0),"")</f>
        <v/>
      </c>
      <c r="M128" s="266" t="str">
        <f>IFERROR(VLOOKUP(B128,'बँक जमा खर्च पासबुक'!$BG$8:$CD$111,23,0),"")</f>
        <v/>
      </c>
      <c r="N128" s="266" t="str">
        <f>IFERROR(VLOOKUP(B128,'बँक जमा खर्च पासबुक'!$BG$8:$CD$111,24,0),"")</f>
        <v/>
      </c>
      <c r="O128" s="266" t="str">
        <f>IFERROR(M128+N128,"")</f>
        <v/>
      </c>
      <c r="P128" s="266" t="str">
        <f>IFERROR(G127+G128-M128,"")</f>
        <v/>
      </c>
      <c r="Q128" s="266" t="str">
        <f>IFERROR(H127+H128-N128,"")</f>
        <v/>
      </c>
      <c r="R128" s="266" t="str">
        <f>IFERROR(I127+I128-O128,"")</f>
        <v/>
      </c>
    </row>
    <row r="129" spans="2:18" ht="25.5" customHeight="1" x14ac:dyDescent="0.4">
      <c r="B129" s="172">
        <v>2</v>
      </c>
      <c r="C129" s="234" t="str">
        <f>IFERROR(VLOOKUP(B129,'बँक जमा खर्च पासबुक'!$BG$8:$CD$111,14,0),"")</f>
        <v/>
      </c>
      <c r="D129" s="354" t="str">
        <f>IFERROR(VLOOKUP(B129,'बँक जमा खर्च पासबुक'!$BG$8:$CD$111,17,0),"")</f>
        <v/>
      </c>
      <c r="E129" s="240" t="str">
        <f>IFERROR(VLOOKUP(B129,'बँक जमा खर्च पासबुक'!$BG$8:$CD$111,15,0),"")</f>
        <v/>
      </c>
      <c r="F129" s="241" t="str">
        <f>IFERROR(VLOOKUP(B129,'बँक जमा खर्च पासबुक'!$BG$8:$CD$111,16,0),"")</f>
        <v/>
      </c>
      <c r="G129" s="262" t="str">
        <f>IFERROR(VLOOKUP(B129,'बँक जमा खर्च पासबुक'!$BG$8:$CD$111,21,0),"")</f>
        <v/>
      </c>
      <c r="H129" s="262" t="str">
        <f>IFERROR(VLOOKUP(B129,'बँक जमा खर्च पासबुक'!$BG$8:$CD$111,22,0),"")</f>
        <v/>
      </c>
      <c r="I129" s="262" t="str">
        <f t="shared" ref="I129:I135" si="30">IFERROR(G129+H129,"")</f>
        <v/>
      </c>
      <c r="J129" s="354" t="str">
        <f>IFERROR(VLOOKUP(B129,'बँक जमा खर्च पासबुक'!$BG$8:$CD$111,20,0),"")</f>
        <v/>
      </c>
      <c r="K129" s="240" t="str">
        <f>IFERROR(VLOOKUP(B129,'बँक जमा खर्च पासबुक'!$BG$8:$CD$111,18,0),"")</f>
        <v/>
      </c>
      <c r="L129" s="241" t="str">
        <f>IFERROR(VLOOKUP(B129,'बँक जमा खर्च पासबुक'!$BG$8:$CD$111,19,0),"")</f>
        <v/>
      </c>
      <c r="M129" s="266" t="str">
        <f>IFERROR(VLOOKUP(B129,'बँक जमा खर्च पासबुक'!$BG$8:$CD$111,23,0),"")</f>
        <v/>
      </c>
      <c r="N129" s="266" t="str">
        <f>IFERROR(VLOOKUP(B129,'बँक जमा खर्च पासबुक'!$BG$8:$CD$111,24,0),"")</f>
        <v/>
      </c>
      <c r="O129" s="266" t="str">
        <f t="shared" ref="O129:O135" si="31">IFERROR(M129+N129,"")</f>
        <v/>
      </c>
      <c r="P129" s="266" t="str">
        <f>IFERROR(P128+G129-M129,"")</f>
        <v/>
      </c>
      <c r="Q129" s="266" t="str">
        <f>IFERROR(Q128+H129-N129,"")</f>
        <v/>
      </c>
      <c r="R129" s="266" t="str">
        <f>IFERROR(R128+I129-O129,"")</f>
        <v/>
      </c>
    </row>
    <row r="130" spans="2:18" ht="25.5" customHeight="1" x14ac:dyDescent="0.4">
      <c r="B130" s="172">
        <v>3</v>
      </c>
      <c r="C130" s="234" t="str">
        <f>IFERROR(VLOOKUP(B130,'बँक जमा खर्च पासबुक'!$BG$8:$CD$111,14,0),"")</f>
        <v/>
      </c>
      <c r="D130" s="354" t="str">
        <f>IFERROR(VLOOKUP(B130,'बँक जमा खर्च पासबुक'!$BG$8:$CD$111,17,0),"")</f>
        <v/>
      </c>
      <c r="E130" s="240" t="str">
        <f>IFERROR(VLOOKUP(B130,'बँक जमा खर्च पासबुक'!$BG$8:$CD$111,15,0),"")</f>
        <v/>
      </c>
      <c r="F130" s="241" t="str">
        <f>IFERROR(VLOOKUP(B130,'बँक जमा खर्च पासबुक'!$BG$8:$CD$111,16,0),"")</f>
        <v/>
      </c>
      <c r="G130" s="262" t="str">
        <f>IFERROR(VLOOKUP(B130,'बँक जमा खर्च पासबुक'!$BG$8:$CD$111,21,0),"")</f>
        <v/>
      </c>
      <c r="H130" s="262" t="str">
        <f>IFERROR(VLOOKUP(B130,'बँक जमा खर्च पासबुक'!$BG$8:$CD$111,22,0),"")</f>
        <v/>
      </c>
      <c r="I130" s="262" t="str">
        <f t="shared" si="30"/>
        <v/>
      </c>
      <c r="J130" s="354" t="str">
        <f>IFERROR(VLOOKUP(B130,'बँक जमा खर्च पासबुक'!$BG$8:$CD$111,20,0),"")</f>
        <v/>
      </c>
      <c r="K130" s="240" t="str">
        <f>IFERROR(VLOOKUP(B130,'बँक जमा खर्च पासबुक'!$BG$8:$CD$111,18,0),"")</f>
        <v/>
      </c>
      <c r="L130" s="241" t="str">
        <f>IFERROR(VLOOKUP(B130,'बँक जमा खर्च पासबुक'!$BG$8:$CD$111,19,0),"")</f>
        <v/>
      </c>
      <c r="M130" s="266" t="str">
        <f>IFERROR(VLOOKUP(B130,'बँक जमा खर्च पासबुक'!$BG$8:$CD$111,23,0),"")</f>
        <v/>
      </c>
      <c r="N130" s="266" t="str">
        <f>IFERROR(VLOOKUP(B130,'बँक जमा खर्च पासबुक'!$BG$8:$CD$111,24,0),"")</f>
        <v/>
      </c>
      <c r="O130" s="266" t="str">
        <f t="shared" si="31"/>
        <v/>
      </c>
      <c r="P130" s="266" t="str">
        <f t="shared" ref="P130:P135" si="32">IFERROR(P129+G130-M130,"")</f>
        <v/>
      </c>
      <c r="Q130" s="266" t="str">
        <f t="shared" ref="Q130:Q135" si="33">IFERROR(Q129+H130-N130,"")</f>
        <v/>
      </c>
      <c r="R130" s="266" t="str">
        <f t="shared" ref="R130:R135" si="34">IFERROR(R129+I130-O130,"")</f>
        <v/>
      </c>
    </row>
    <row r="131" spans="2:18" ht="25.5" customHeight="1" x14ac:dyDescent="0.4">
      <c r="B131" s="172">
        <v>4</v>
      </c>
      <c r="C131" s="234" t="str">
        <f>IFERROR(VLOOKUP(B131,'बँक जमा खर्च पासबुक'!$BG$8:$CD$111,14,0),"")</f>
        <v/>
      </c>
      <c r="D131" s="354" t="str">
        <f>IFERROR(VLOOKUP(B131,'बँक जमा खर्च पासबुक'!$BG$8:$CD$111,17,0),"")</f>
        <v/>
      </c>
      <c r="E131" s="240" t="str">
        <f>IFERROR(VLOOKUP(B131,'बँक जमा खर्च पासबुक'!$BG$8:$CD$111,15,0),"")</f>
        <v/>
      </c>
      <c r="F131" s="241" t="str">
        <f>IFERROR(VLOOKUP(B131,'बँक जमा खर्च पासबुक'!$BG$8:$CD$111,16,0),"")</f>
        <v/>
      </c>
      <c r="G131" s="262" t="str">
        <f>IFERROR(VLOOKUP(B131,'बँक जमा खर्च पासबुक'!$BG$8:$CD$111,21,0),"")</f>
        <v/>
      </c>
      <c r="H131" s="262" t="str">
        <f>IFERROR(VLOOKUP(B131,'बँक जमा खर्च पासबुक'!$BG$8:$CD$111,22,0),"")</f>
        <v/>
      </c>
      <c r="I131" s="262" t="str">
        <f t="shared" si="30"/>
        <v/>
      </c>
      <c r="J131" s="354" t="str">
        <f>IFERROR(VLOOKUP(B131,'बँक जमा खर्च पासबुक'!$BG$8:$CD$111,20,0),"")</f>
        <v/>
      </c>
      <c r="K131" s="240" t="str">
        <f>IFERROR(VLOOKUP(B131,'बँक जमा खर्च पासबुक'!$BG$8:$CD$111,18,0),"")</f>
        <v/>
      </c>
      <c r="L131" s="241" t="str">
        <f>IFERROR(VLOOKUP(B131,'बँक जमा खर्च पासबुक'!$BG$8:$CD$111,19,0),"")</f>
        <v/>
      </c>
      <c r="M131" s="266" t="str">
        <f>IFERROR(VLOOKUP(B131,'बँक जमा खर्च पासबुक'!$BG$8:$CD$111,23,0),"")</f>
        <v/>
      </c>
      <c r="N131" s="266" t="str">
        <f>IFERROR(VLOOKUP(B131,'बँक जमा खर्च पासबुक'!$BG$8:$CD$111,24,0),"")</f>
        <v/>
      </c>
      <c r="O131" s="266" t="str">
        <f t="shared" si="31"/>
        <v/>
      </c>
      <c r="P131" s="266" t="str">
        <f t="shared" si="32"/>
        <v/>
      </c>
      <c r="Q131" s="266" t="str">
        <f t="shared" si="33"/>
        <v/>
      </c>
      <c r="R131" s="266" t="str">
        <f t="shared" si="34"/>
        <v/>
      </c>
    </row>
    <row r="132" spans="2:18" ht="25.5" customHeight="1" x14ac:dyDescent="0.4">
      <c r="B132" s="172">
        <v>5</v>
      </c>
      <c r="C132" s="234" t="str">
        <f>IFERROR(VLOOKUP(B132,'बँक जमा खर्च पासबुक'!$BG$8:$CD$111,14,0),"")</f>
        <v/>
      </c>
      <c r="D132" s="354" t="str">
        <f>IFERROR(VLOOKUP(B132,'बँक जमा खर्च पासबुक'!$BG$8:$CD$111,17,0),"")</f>
        <v/>
      </c>
      <c r="E132" s="240" t="str">
        <f>IFERROR(VLOOKUP(B132,'बँक जमा खर्च पासबुक'!$BG$8:$CD$111,15,0),"")</f>
        <v/>
      </c>
      <c r="F132" s="241" t="str">
        <f>IFERROR(VLOOKUP(B132,'बँक जमा खर्च पासबुक'!$BG$8:$CD$111,16,0),"")</f>
        <v/>
      </c>
      <c r="G132" s="262" t="str">
        <f>IFERROR(VLOOKUP(B132,'बँक जमा खर्च पासबुक'!$BG$8:$CD$111,21,0),"")</f>
        <v/>
      </c>
      <c r="H132" s="262" t="str">
        <f>IFERROR(VLOOKUP(B132,'बँक जमा खर्च पासबुक'!$BG$8:$CD$111,22,0),"")</f>
        <v/>
      </c>
      <c r="I132" s="262" t="str">
        <f t="shared" si="30"/>
        <v/>
      </c>
      <c r="J132" s="354" t="str">
        <f>IFERROR(VLOOKUP(B132,'बँक जमा खर्च पासबुक'!$BG$8:$CD$111,20,0),"")</f>
        <v/>
      </c>
      <c r="K132" s="240" t="str">
        <f>IFERROR(VLOOKUP(B132,'बँक जमा खर्च पासबुक'!$BG$8:$CD$111,18,0),"")</f>
        <v/>
      </c>
      <c r="L132" s="241" t="str">
        <f>IFERROR(VLOOKUP(B132,'बँक जमा खर्च पासबुक'!$BG$8:$CD$111,19,0),"")</f>
        <v/>
      </c>
      <c r="M132" s="266" t="str">
        <f>IFERROR(VLOOKUP(B132,'बँक जमा खर्च पासबुक'!$BG$8:$CD$111,23,0),"")</f>
        <v/>
      </c>
      <c r="N132" s="266" t="str">
        <f>IFERROR(VLOOKUP(B132,'बँक जमा खर्च पासबुक'!$BG$8:$CD$111,24,0),"")</f>
        <v/>
      </c>
      <c r="O132" s="266" t="str">
        <f t="shared" si="31"/>
        <v/>
      </c>
      <c r="P132" s="266" t="str">
        <f t="shared" si="32"/>
        <v/>
      </c>
      <c r="Q132" s="266" t="str">
        <f t="shared" si="33"/>
        <v/>
      </c>
      <c r="R132" s="266" t="str">
        <f t="shared" si="34"/>
        <v/>
      </c>
    </row>
    <row r="133" spans="2:18" ht="25.5" customHeight="1" x14ac:dyDescent="0.4">
      <c r="B133" s="172">
        <v>6</v>
      </c>
      <c r="C133" s="234" t="str">
        <f>IFERROR(VLOOKUP(B133,'बँक जमा खर्च पासबुक'!$BG$8:$CD$111,14,0),"")</f>
        <v/>
      </c>
      <c r="D133" s="354" t="str">
        <f>IFERROR(VLOOKUP(B133,'बँक जमा खर्च पासबुक'!$BG$8:$CD$111,17,0),"")</f>
        <v/>
      </c>
      <c r="E133" s="240" t="str">
        <f>IFERROR(VLOOKUP(B133,'बँक जमा खर्च पासबुक'!$BG$8:$CD$111,15,0),"")</f>
        <v/>
      </c>
      <c r="F133" s="241" t="str">
        <f>IFERROR(VLOOKUP(B133,'बँक जमा खर्च पासबुक'!$BG$8:$CD$111,16,0),"")</f>
        <v/>
      </c>
      <c r="G133" s="262" t="str">
        <f>IFERROR(VLOOKUP(B133,'बँक जमा खर्च पासबुक'!$BG$8:$CD$111,21,0),"")</f>
        <v/>
      </c>
      <c r="H133" s="262" t="str">
        <f>IFERROR(VLOOKUP(B133,'बँक जमा खर्च पासबुक'!$BG$8:$CD$111,22,0),"")</f>
        <v/>
      </c>
      <c r="I133" s="262" t="str">
        <f t="shared" si="30"/>
        <v/>
      </c>
      <c r="J133" s="354" t="str">
        <f>IFERROR(VLOOKUP(B133,'बँक जमा खर्च पासबुक'!$BG$8:$CD$111,20,0),"")</f>
        <v/>
      </c>
      <c r="K133" s="240" t="str">
        <f>IFERROR(VLOOKUP(B133,'बँक जमा खर्च पासबुक'!$BG$8:$CD$111,18,0),"")</f>
        <v/>
      </c>
      <c r="L133" s="241" t="str">
        <f>IFERROR(VLOOKUP(B133,'बँक जमा खर्च पासबुक'!$BG$8:$CD$111,19,0),"")</f>
        <v/>
      </c>
      <c r="M133" s="266" t="str">
        <f>IFERROR(VLOOKUP(B133,'बँक जमा खर्च पासबुक'!$BG$8:$CD$111,23,0),"")</f>
        <v/>
      </c>
      <c r="N133" s="266" t="str">
        <f>IFERROR(VLOOKUP(B133,'बँक जमा खर्च पासबुक'!$BG$8:$CD$111,24,0),"")</f>
        <v/>
      </c>
      <c r="O133" s="266" t="str">
        <f t="shared" si="31"/>
        <v/>
      </c>
      <c r="P133" s="266" t="str">
        <f t="shared" si="32"/>
        <v/>
      </c>
      <c r="Q133" s="266" t="str">
        <f t="shared" si="33"/>
        <v/>
      </c>
      <c r="R133" s="266" t="str">
        <f t="shared" si="34"/>
        <v/>
      </c>
    </row>
    <row r="134" spans="2:18" ht="25.5" customHeight="1" x14ac:dyDescent="0.4">
      <c r="B134" s="172">
        <v>7</v>
      </c>
      <c r="C134" s="234" t="str">
        <f>IFERROR(VLOOKUP(B134,'बँक जमा खर्च पासबुक'!$BG$8:$CD$111,14,0),"")</f>
        <v/>
      </c>
      <c r="D134" s="354" t="str">
        <f>IFERROR(VLOOKUP(B134,'बँक जमा खर्च पासबुक'!$BG$8:$CD$111,17,0),"")</f>
        <v/>
      </c>
      <c r="E134" s="240" t="str">
        <f>IFERROR(VLOOKUP(B134,'बँक जमा खर्च पासबुक'!$BG$8:$CD$111,15,0),"")</f>
        <v/>
      </c>
      <c r="F134" s="241" t="str">
        <f>IFERROR(VLOOKUP(B134,'बँक जमा खर्च पासबुक'!$BG$8:$CD$111,16,0),"")</f>
        <v/>
      </c>
      <c r="G134" s="262" t="str">
        <f>IFERROR(VLOOKUP(B134,'बँक जमा खर्च पासबुक'!$BG$8:$CD$111,21,0),"")</f>
        <v/>
      </c>
      <c r="H134" s="262" t="str">
        <f>IFERROR(VLOOKUP(B134,'बँक जमा खर्च पासबुक'!$BG$8:$CD$111,22,0),"")</f>
        <v/>
      </c>
      <c r="I134" s="262" t="str">
        <f t="shared" si="30"/>
        <v/>
      </c>
      <c r="J134" s="354" t="str">
        <f>IFERROR(VLOOKUP(B134,'बँक जमा खर्च पासबुक'!$BG$8:$CD$111,20,0),"")</f>
        <v/>
      </c>
      <c r="K134" s="240" t="str">
        <f>IFERROR(VLOOKUP(B134,'बँक जमा खर्च पासबुक'!$BG$8:$CD$111,18,0),"")</f>
        <v/>
      </c>
      <c r="L134" s="241" t="str">
        <f>IFERROR(VLOOKUP(B134,'बँक जमा खर्च पासबुक'!$BG$8:$CD$111,19,0),"")</f>
        <v/>
      </c>
      <c r="M134" s="266" t="str">
        <f>IFERROR(VLOOKUP(B134,'बँक जमा खर्च पासबुक'!$BG$8:$CD$111,23,0),"")</f>
        <v/>
      </c>
      <c r="N134" s="266" t="str">
        <f>IFERROR(VLOOKUP(B134,'बँक जमा खर्च पासबुक'!$BG$8:$CD$111,24,0),"")</f>
        <v/>
      </c>
      <c r="O134" s="266" t="str">
        <f t="shared" si="31"/>
        <v/>
      </c>
      <c r="P134" s="266" t="str">
        <f t="shared" si="32"/>
        <v/>
      </c>
      <c r="Q134" s="266" t="str">
        <f t="shared" si="33"/>
        <v/>
      </c>
      <c r="R134" s="266" t="str">
        <f t="shared" si="34"/>
        <v/>
      </c>
    </row>
    <row r="135" spans="2:18" ht="25.5" customHeight="1" x14ac:dyDescent="0.4">
      <c r="B135" s="172">
        <v>8</v>
      </c>
      <c r="C135" s="234" t="str">
        <f>IFERROR(VLOOKUP(B135,'बँक जमा खर्च पासबुक'!$BG$8:$CD$111,14,0),"")</f>
        <v/>
      </c>
      <c r="D135" s="354" t="str">
        <f>IFERROR(VLOOKUP(B135,'बँक जमा खर्च पासबुक'!$BG$8:$CD$111,17,0),"")</f>
        <v/>
      </c>
      <c r="E135" s="240" t="str">
        <f>IFERROR(VLOOKUP(B135,'बँक जमा खर्च पासबुक'!$BG$8:$CD$111,15,0),"")</f>
        <v/>
      </c>
      <c r="F135" s="241" t="str">
        <f>IFERROR(VLOOKUP(B135,'बँक जमा खर्च पासबुक'!$BG$8:$CD$111,16,0),"")</f>
        <v/>
      </c>
      <c r="G135" s="262" t="str">
        <f>IFERROR(VLOOKUP(B135,'बँक जमा खर्च पासबुक'!$BG$8:$CD$111,21,0),"")</f>
        <v/>
      </c>
      <c r="H135" s="262" t="str">
        <f>IFERROR(VLOOKUP(B135,'बँक जमा खर्च पासबुक'!$BG$8:$CD$111,22,0),"")</f>
        <v/>
      </c>
      <c r="I135" s="262" t="str">
        <f t="shared" si="30"/>
        <v/>
      </c>
      <c r="J135" s="354" t="str">
        <f>IFERROR(VLOOKUP(B135,'बँक जमा खर्च पासबुक'!$BG$8:$CD$111,20,0),"")</f>
        <v/>
      </c>
      <c r="K135" s="240" t="str">
        <f>IFERROR(VLOOKUP(B135,'बँक जमा खर्च पासबुक'!$BG$8:$CD$111,18,0),"")</f>
        <v/>
      </c>
      <c r="L135" s="241" t="str">
        <f>IFERROR(VLOOKUP(B135,'बँक जमा खर्च पासबुक'!$BG$8:$CD$111,19,0),"")</f>
        <v/>
      </c>
      <c r="M135" s="266" t="str">
        <f>IFERROR(VLOOKUP(B135,'बँक जमा खर्च पासबुक'!$BG$8:$CD$111,23,0),"")</f>
        <v/>
      </c>
      <c r="N135" s="266" t="str">
        <f>IFERROR(VLOOKUP(B135,'बँक जमा खर्च पासबुक'!$BG$8:$CD$111,24,0),"")</f>
        <v/>
      </c>
      <c r="O135" s="266" t="str">
        <f t="shared" si="31"/>
        <v/>
      </c>
      <c r="P135" s="266" t="str">
        <f t="shared" si="32"/>
        <v/>
      </c>
      <c r="Q135" s="266" t="str">
        <f t="shared" si="33"/>
        <v/>
      </c>
      <c r="R135" s="266" t="str">
        <f t="shared" si="34"/>
        <v/>
      </c>
    </row>
    <row r="136" spans="2:18" ht="25.5" customHeight="1" x14ac:dyDescent="0.4">
      <c r="B136" s="172"/>
      <c r="C136" s="713"/>
      <c r="D136" s="391" t="s">
        <v>35</v>
      </c>
      <c r="E136" s="785"/>
      <c r="F136" s="786"/>
      <c r="G136" s="262">
        <f>SUM(G127:G135)</f>
        <v>0</v>
      </c>
      <c r="H136" s="262">
        <f>SUM(H127:H135)</f>
        <v>0</v>
      </c>
      <c r="I136" s="262">
        <f>SUM(I127:I135)</f>
        <v>0</v>
      </c>
      <c r="J136" s="391"/>
      <c r="K136" s="785"/>
      <c r="L136" s="786"/>
      <c r="M136" s="266">
        <f>SUM(M128:M135)</f>
        <v>0</v>
      </c>
      <c r="N136" s="266">
        <f>SUM(N128:N135)</f>
        <v>0</v>
      </c>
      <c r="O136" s="266">
        <f>SUM(O128:O135)</f>
        <v>0</v>
      </c>
      <c r="P136" s="266">
        <f>G136-M136</f>
        <v>0</v>
      </c>
      <c r="Q136" s="266">
        <f>H136-N136</f>
        <v>0</v>
      </c>
      <c r="R136" s="266">
        <f>I136-O136</f>
        <v>0</v>
      </c>
    </row>
    <row r="137" spans="2:18" ht="25.5" customHeight="1" x14ac:dyDescent="0.4">
      <c r="B137" s="21"/>
      <c r="G137" s="787"/>
      <c r="H137" s="787"/>
      <c r="I137" s="787"/>
      <c r="M137" s="788"/>
      <c r="N137" s="788"/>
      <c r="O137" s="788"/>
      <c r="P137" s="788"/>
      <c r="Q137" s="788"/>
      <c r="R137" s="788"/>
    </row>
    <row r="138" spans="2:18" ht="25.5" customHeight="1" thickBot="1" x14ac:dyDescent="0.45"/>
    <row r="139" spans="2:18" ht="25.5" customHeight="1" thickBot="1" x14ac:dyDescent="0.45">
      <c r="B139" s="772" t="s">
        <v>442</v>
      </c>
      <c r="C139" s="773" t="s">
        <v>639</v>
      </c>
      <c r="D139" s="351" t="str">
        <f>D11</f>
        <v>शिक्षक मानधन</v>
      </c>
      <c r="E139" s="801"/>
      <c r="F139" s="774"/>
      <c r="G139" s="773" t="s">
        <v>312</v>
      </c>
      <c r="H139" s="238">
        <f>HOME!$E$2</f>
        <v>2022</v>
      </c>
      <c r="I139" s="238">
        <f>HOME!$F$2</f>
        <v>2023</v>
      </c>
      <c r="J139" s="773"/>
      <c r="K139" s="775"/>
      <c r="L139" s="776"/>
      <c r="M139" s="777"/>
      <c r="N139" s="777"/>
      <c r="O139" s="777"/>
      <c r="P139" s="777"/>
      <c r="Q139" s="777"/>
      <c r="R139" s="778"/>
    </row>
    <row r="141" spans="2:18" ht="25.5" customHeight="1" x14ac:dyDescent="0.4">
      <c r="B141" s="1411" t="s">
        <v>86</v>
      </c>
      <c r="C141" s="1413" t="s">
        <v>17</v>
      </c>
      <c r="D141" s="1410" t="s">
        <v>553</v>
      </c>
      <c r="E141" s="1410"/>
      <c r="F141" s="1410"/>
      <c r="G141" s="1410" t="s">
        <v>544</v>
      </c>
      <c r="H141" s="1410"/>
      <c r="I141" s="1410"/>
      <c r="J141" s="1407" t="s">
        <v>554</v>
      </c>
      <c r="K141" s="1408"/>
      <c r="L141" s="1409"/>
      <c r="M141" s="1410" t="s">
        <v>545</v>
      </c>
      <c r="N141" s="1410"/>
      <c r="O141" s="1410"/>
      <c r="P141" s="1410" t="s">
        <v>637</v>
      </c>
      <c r="Q141" s="1410"/>
      <c r="R141" s="1410"/>
    </row>
    <row r="142" spans="2:18" ht="25.5" customHeight="1" x14ac:dyDescent="0.4">
      <c r="B142" s="1412"/>
      <c r="C142" s="1414"/>
      <c r="D142" s="1407" t="s">
        <v>636</v>
      </c>
      <c r="E142" s="1408"/>
      <c r="F142" s="1409"/>
      <c r="G142" s="582" t="s">
        <v>586</v>
      </c>
      <c r="H142" s="582" t="s">
        <v>587</v>
      </c>
      <c r="I142" s="582" t="s">
        <v>35</v>
      </c>
      <c r="J142" s="1407" t="s">
        <v>636</v>
      </c>
      <c r="K142" s="1408"/>
      <c r="L142" s="1409"/>
      <c r="M142" s="582" t="s">
        <v>586</v>
      </c>
      <c r="N142" s="582" t="s">
        <v>587</v>
      </c>
      <c r="O142" s="582" t="s">
        <v>35</v>
      </c>
      <c r="P142" s="582" t="s">
        <v>586</v>
      </c>
      <c r="Q142" s="582" t="s">
        <v>587</v>
      </c>
      <c r="R142" s="582" t="s">
        <v>35</v>
      </c>
    </row>
    <row r="143" spans="2:18" ht="25.5" customHeight="1" x14ac:dyDescent="0.4">
      <c r="B143" s="779"/>
      <c r="C143" s="780"/>
      <c r="D143" s="1404" t="s">
        <v>87</v>
      </c>
      <c r="E143" s="1405"/>
      <c r="F143" s="1406"/>
      <c r="G143" s="264">
        <f>'Balance sheet'!D14</f>
        <v>0</v>
      </c>
      <c r="H143" s="264">
        <f>'Balance sheet'!E14</f>
        <v>0</v>
      </c>
      <c r="I143" s="264">
        <f>SUM(G143:H143)</f>
        <v>0</v>
      </c>
      <c r="J143" s="781"/>
      <c r="K143" s="782"/>
      <c r="L143" s="783"/>
      <c r="M143" s="792"/>
      <c r="N143" s="792"/>
      <c r="O143" s="792"/>
      <c r="P143" s="792"/>
      <c r="Q143" s="792"/>
      <c r="R143" s="792"/>
    </row>
    <row r="144" spans="2:18" ht="25.5" customHeight="1" x14ac:dyDescent="0.4">
      <c r="B144" s="172">
        <v>1</v>
      </c>
      <c r="C144" s="234" t="str">
        <f>IFERROR(VLOOKUP(B144,'बँक जमा खर्च पासबुक'!$BH$8:$CD$111,13,0),"")</f>
        <v/>
      </c>
      <c r="D144" s="354" t="str">
        <f>IFERROR(VLOOKUP(B144,'बँक जमा खर्च पासबुक'!$BH$8:$CD$111,16,0),"")</f>
        <v/>
      </c>
      <c r="E144" s="240" t="str">
        <f>IFERROR(VLOOKUP(B144,'बँक जमा खर्च पासबुक'!$BH$8:$CD$111,14,0),"")</f>
        <v/>
      </c>
      <c r="F144" s="241" t="str">
        <f>IFERROR(VLOOKUP(B144,'बँक जमा खर्च पासबुक'!$BH$8:$CD$111,15,0),"")</f>
        <v/>
      </c>
      <c r="G144" s="262" t="str">
        <f>IFERROR(VLOOKUP(B144,'बँक जमा खर्च पासबुक'!$BH$8:$CD$111,20,0),"")</f>
        <v/>
      </c>
      <c r="H144" s="262" t="str">
        <f>IFERROR(VLOOKUP(B144,'बँक जमा खर्च पासबुक'!$BH$8:$CD$111,21,0),"")</f>
        <v/>
      </c>
      <c r="I144" s="262" t="str">
        <f>IFERROR(G144+H144,"")</f>
        <v/>
      </c>
      <c r="J144" s="354" t="str">
        <f>IFERROR(VLOOKUP(B144,'बँक जमा खर्च पासबुक'!$BH$8:$CD$111,19,0),"")</f>
        <v/>
      </c>
      <c r="K144" s="240" t="str">
        <f>IFERROR(VLOOKUP(B144,'बँक जमा खर्च पासबुक'!$BH$8:$CD$111,17,0),"")</f>
        <v/>
      </c>
      <c r="L144" s="241" t="str">
        <f>IFERROR(VLOOKUP(B144,'बँक जमा खर्च पासबुक'!$BH$8:$CD$111,18,0),"")</f>
        <v/>
      </c>
      <c r="M144" s="266" t="str">
        <f>IFERROR(VLOOKUP(B144,'बँक जमा खर्च पासबुक'!$BH$8:$CD$111,22,0),"")</f>
        <v/>
      </c>
      <c r="N144" s="266" t="str">
        <f>IFERROR(VLOOKUP(B144,'बँक जमा खर्च पासबुक'!$BH$8:$CD$111,23,0),"")</f>
        <v/>
      </c>
      <c r="O144" s="266" t="str">
        <f>IFERROR(M144+N144,"")</f>
        <v/>
      </c>
      <c r="P144" s="266" t="str">
        <f>IFERROR(G143+G144-M144,"")</f>
        <v/>
      </c>
      <c r="Q144" s="266" t="str">
        <f>IFERROR(H143+H144-N144,"")</f>
        <v/>
      </c>
      <c r="R144" s="266" t="str">
        <f>IFERROR(I143+I144-O144,"")</f>
        <v/>
      </c>
    </row>
    <row r="145" spans="2:18" ht="25.5" customHeight="1" x14ac:dyDescent="0.4">
      <c r="B145" s="172">
        <v>2</v>
      </c>
      <c r="C145" s="234" t="str">
        <f>IFERROR(VLOOKUP(B145,'बँक जमा खर्च पासबुक'!$BH$8:$CD$111,13,0),"")</f>
        <v/>
      </c>
      <c r="D145" s="354" t="str">
        <f>IFERROR(VLOOKUP(B145,'बँक जमा खर्च पासबुक'!$BH$8:$CD$111,16,0),"")</f>
        <v/>
      </c>
      <c r="E145" s="240" t="str">
        <f>IFERROR(VLOOKUP(B145,'बँक जमा खर्च पासबुक'!$BH$8:$CD$111,14,0),"")</f>
        <v/>
      </c>
      <c r="F145" s="241" t="str">
        <f>IFERROR(VLOOKUP(B145,'बँक जमा खर्च पासबुक'!$BH$8:$CD$111,15,0),"")</f>
        <v/>
      </c>
      <c r="G145" s="262" t="str">
        <f>IFERROR(VLOOKUP(B145,'बँक जमा खर्च पासबुक'!$BH$8:$CD$111,20,0),"")</f>
        <v/>
      </c>
      <c r="H145" s="262" t="str">
        <f>IFERROR(VLOOKUP(B145,'बँक जमा खर्च पासबुक'!$BH$8:$CD$111,21,0),"")</f>
        <v/>
      </c>
      <c r="I145" s="262" t="str">
        <f t="shared" ref="I145:I149" si="35">IFERROR(G145+H145,"")</f>
        <v/>
      </c>
      <c r="J145" s="354" t="str">
        <f>IFERROR(VLOOKUP(B145,'बँक जमा खर्च पासबुक'!$BH$8:$CD$111,19,0),"")</f>
        <v/>
      </c>
      <c r="K145" s="240" t="str">
        <f>IFERROR(VLOOKUP(B145,'बँक जमा खर्च पासबुक'!$BH$8:$CD$111,17,0),"")</f>
        <v/>
      </c>
      <c r="L145" s="241" t="str">
        <f>IFERROR(VLOOKUP(B145,'बँक जमा खर्च पासबुक'!$BH$8:$CD$111,18,0),"")</f>
        <v/>
      </c>
      <c r="M145" s="266" t="str">
        <f>IFERROR(VLOOKUP(B145,'बँक जमा खर्च पासबुक'!$BH$8:$CD$111,22,0),"")</f>
        <v/>
      </c>
      <c r="N145" s="266" t="str">
        <f>IFERROR(VLOOKUP(B145,'बँक जमा खर्च पासबुक'!$BH$8:$CD$111,23,0),"")</f>
        <v/>
      </c>
      <c r="O145" s="266" t="str">
        <f t="shared" ref="O145:O149" si="36">IFERROR(M145+N145,"")</f>
        <v/>
      </c>
      <c r="P145" s="266" t="str">
        <f>IFERROR(P144+G145-M145,"")</f>
        <v/>
      </c>
      <c r="Q145" s="266" t="str">
        <f>IFERROR(Q144+H145-N145,"")</f>
        <v/>
      </c>
      <c r="R145" s="266" t="str">
        <f>IFERROR(R144+I145-O145,"")</f>
        <v/>
      </c>
    </row>
    <row r="146" spans="2:18" ht="25.5" customHeight="1" x14ac:dyDescent="0.4">
      <c r="B146" s="172">
        <v>3</v>
      </c>
      <c r="C146" s="234" t="str">
        <f>IFERROR(VLOOKUP(B146,'बँक जमा खर्च पासबुक'!$BH$8:$CD$111,13,0),"")</f>
        <v/>
      </c>
      <c r="D146" s="354" t="str">
        <f>IFERROR(VLOOKUP(B146,'बँक जमा खर्च पासबुक'!$BH$8:$CD$111,16,0),"")</f>
        <v/>
      </c>
      <c r="E146" s="240" t="str">
        <f>IFERROR(VLOOKUP(B146,'बँक जमा खर्च पासबुक'!$BH$8:$CD$111,14,0),"")</f>
        <v/>
      </c>
      <c r="F146" s="241" t="str">
        <f>IFERROR(VLOOKUP(B146,'बँक जमा खर्च पासबुक'!$BH$8:$CD$111,15,0),"")</f>
        <v/>
      </c>
      <c r="G146" s="262" t="str">
        <f>IFERROR(VLOOKUP(B146,'बँक जमा खर्च पासबुक'!$BH$8:$CD$111,20,0),"")</f>
        <v/>
      </c>
      <c r="H146" s="262" t="str">
        <f>IFERROR(VLOOKUP(B146,'बँक जमा खर्च पासबुक'!$BH$8:$CD$111,21,0),"")</f>
        <v/>
      </c>
      <c r="I146" s="262" t="str">
        <f t="shared" si="35"/>
        <v/>
      </c>
      <c r="J146" s="354" t="str">
        <f>IFERROR(VLOOKUP(B146,'बँक जमा खर्च पासबुक'!$BH$8:$CD$111,19,0),"")</f>
        <v/>
      </c>
      <c r="K146" s="240" t="str">
        <f>IFERROR(VLOOKUP(B146,'बँक जमा खर्च पासबुक'!$BH$8:$CD$111,17,0),"")</f>
        <v/>
      </c>
      <c r="L146" s="241" t="str">
        <f>IFERROR(VLOOKUP(B146,'बँक जमा खर्च पासबुक'!$BH$8:$CD$111,18,0),"")</f>
        <v/>
      </c>
      <c r="M146" s="266" t="str">
        <f>IFERROR(VLOOKUP(B146,'बँक जमा खर्च पासबुक'!$BH$8:$CD$111,22,0),"")</f>
        <v/>
      </c>
      <c r="N146" s="266" t="str">
        <f>IFERROR(VLOOKUP(B146,'बँक जमा खर्च पासबुक'!$BH$8:$CD$111,23,0),"")</f>
        <v/>
      </c>
      <c r="O146" s="266" t="str">
        <f t="shared" si="36"/>
        <v/>
      </c>
      <c r="P146" s="266" t="str">
        <f t="shared" ref="P146:P149" si="37">IFERROR(P145+G146-M146,"")</f>
        <v/>
      </c>
      <c r="Q146" s="266" t="str">
        <f t="shared" ref="Q146:Q149" si="38">IFERROR(Q145+H146-N146,"")</f>
        <v/>
      </c>
      <c r="R146" s="266" t="str">
        <f t="shared" ref="R146:R149" si="39">IFERROR(R145+I146-O146,"")</f>
        <v/>
      </c>
    </row>
    <row r="147" spans="2:18" ht="25.5" customHeight="1" x14ac:dyDescent="0.4">
      <c r="B147" s="172">
        <v>4</v>
      </c>
      <c r="C147" s="234" t="str">
        <f>IFERROR(VLOOKUP(B147,'बँक जमा खर्च पासबुक'!$BH$8:$CD$111,13,0),"")</f>
        <v/>
      </c>
      <c r="D147" s="354" t="str">
        <f>IFERROR(VLOOKUP(B147,'बँक जमा खर्च पासबुक'!$BH$8:$CD$111,16,0),"")</f>
        <v/>
      </c>
      <c r="E147" s="240" t="str">
        <f>IFERROR(VLOOKUP(B147,'बँक जमा खर्च पासबुक'!$BH$8:$CD$111,14,0),"")</f>
        <v/>
      </c>
      <c r="F147" s="241" t="str">
        <f>IFERROR(VLOOKUP(B147,'बँक जमा खर्च पासबुक'!$BH$8:$CD$111,15,0),"")</f>
        <v/>
      </c>
      <c r="G147" s="262" t="str">
        <f>IFERROR(VLOOKUP(B147,'बँक जमा खर्च पासबुक'!$BH$8:$CD$111,20,0),"")</f>
        <v/>
      </c>
      <c r="H147" s="262" t="str">
        <f>IFERROR(VLOOKUP(B147,'बँक जमा खर्च पासबुक'!$BH$8:$CD$111,21,0),"")</f>
        <v/>
      </c>
      <c r="I147" s="262" t="str">
        <f t="shared" si="35"/>
        <v/>
      </c>
      <c r="J147" s="354" t="str">
        <f>IFERROR(VLOOKUP(B147,'बँक जमा खर्च पासबुक'!$BH$8:$CD$111,19,0),"")</f>
        <v/>
      </c>
      <c r="K147" s="240" t="str">
        <f>IFERROR(VLOOKUP(B147,'बँक जमा खर्च पासबुक'!$BH$8:$CD$111,17,0),"")</f>
        <v/>
      </c>
      <c r="L147" s="241" t="str">
        <f>IFERROR(VLOOKUP(B147,'बँक जमा खर्च पासबुक'!$BH$8:$CD$111,18,0),"")</f>
        <v/>
      </c>
      <c r="M147" s="266" t="str">
        <f>IFERROR(VLOOKUP(B147,'बँक जमा खर्च पासबुक'!$BH$8:$CD$111,22,0),"")</f>
        <v/>
      </c>
      <c r="N147" s="266" t="str">
        <f>IFERROR(VLOOKUP(B147,'बँक जमा खर्च पासबुक'!$BH$8:$CD$111,23,0),"")</f>
        <v/>
      </c>
      <c r="O147" s="266" t="str">
        <f t="shared" si="36"/>
        <v/>
      </c>
      <c r="P147" s="266" t="str">
        <f t="shared" si="37"/>
        <v/>
      </c>
      <c r="Q147" s="266" t="str">
        <f t="shared" si="38"/>
        <v/>
      </c>
      <c r="R147" s="266" t="str">
        <f t="shared" si="39"/>
        <v/>
      </c>
    </row>
    <row r="148" spans="2:18" ht="25.5" customHeight="1" x14ac:dyDescent="0.4">
      <c r="B148" s="172">
        <v>5</v>
      </c>
      <c r="C148" s="234" t="str">
        <f>IFERROR(VLOOKUP(B148,'बँक जमा खर्च पासबुक'!$BH$8:$CD$111,13,0),"")</f>
        <v/>
      </c>
      <c r="D148" s="354" t="str">
        <f>IFERROR(VLOOKUP(B148,'बँक जमा खर्च पासबुक'!$BH$8:$CD$111,16,0),"")</f>
        <v/>
      </c>
      <c r="E148" s="240" t="str">
        <f>IFERROR(VLOOKUP(B148,'बँक जमा खर्च पासबुक'!$BH$8:$CD$111,14,0),"")</f>
        <v/>
      </c>
      <c r="F148" s="241" t="str">
        <f>IFERROR(VLOOKUP(B148,'बँक जमा खर्च पासबुक'!$BH$8:$CD$111,15,0),"")</f>
        <v/>
      </c>
      <c r="G148" s="262" t="str">
        <f>IFERROR(VLOOKUP(B148,'बँक जमा खर्च पासबुक'!$BH$8:$CD$111,20,0),"")</f>
        <v/>
      </c>
      <c r="H148" s="262" t="str">
        <f>IFERROR(VLOOKUP(B148,'बँक जमा खर्च पासबुक'!$BH$8:$CD$111,21,0),"")</f>
        <v/>
      </c>
      <c r="I148" s="262" t="str">
        <f t="shared" si="35"/>
        <v/>
      </c>
      <c r="J148" s="354" t="str">
        <f>IFERROR(VLOOKUP(B148,'बँक जमा खर्च पासबुक'!$BH$8:$CD$111,19,0),"")</f>
        <v/>
      </c>
      <c r="K148" s="240" t="str">
        <f>IFERROR(VLOOKUP(B148,'बँक जमा खर्च पासबुक'!$BH$8:$CD$111,17,0),"")</f>
        <v/>
      </c>
      <c r="L148" s="241" t="str">
        <f>IFERROR(VLOOKUP(B148,'बँक जमा खर्च पासबुक'!$BH$8:$CD$111,18,0),"")</f>
        <v/>
      </c>
      <c r="M148" s="266" t="str">
        <f>IFERROR(VLOOKUP(B148,'बँक जमा खर्च पासबुक'!$BH$8:$CD$111,22,0),"")</f>
        <v/>
      </c>
      <c r="N148" s="266" t="str">
        <f>IFERROR(VLOOKUP(B148,'बँक जमा खर्च पासबुक'!$BH$8:$CD$111,23,0),"")</f>
        <v/>
      </c>
      <c r="O148" s="266" t="str">
        <f t="shared" si="36"/>
        <v/>
      </c>
      <c r="P148" s="266" t="str">
        <f t="shared" si="37"/>
        <v/>
      </c>
      <c r="Q148" s="266" t="str">
        <f t="shared" si="38"/>
        <v/>
      </c>
      <c r="R148" s="266" t="str">
        <f t="shared" si="39"/>
        <v/>
      </c>
    </row>
    <row r="149" spans="2:18" ht="25.5" customHeight="1" x14ac:dyDescent="0.4">
      <c r="B149" s="172">
        <v>6</v>
      </c>
      <c r="C149" s="234" t="str">
        <f>IFERROR(VLOOKUP(B149,'बँक जमा खर्च पासबुक'!$BH$8:$CD$111,13,0),"")</f>
        <v/>
      </c>
      <c r="D149" s="354" t="str">
        <f>IFERROR(VLOOKUP(B149,'बँक जमा खर्च पासबुक'!$BH$8:$CD$111,16,0),"")</f>
        <v/>
      </c>
      <c r="E149" s="240" t="str">
        <f>IFERROR(VLOOKUP(B149,'बँक जमा खर्च पासबुक'!$BH$8:$CD$111,14,0),"")</f>
        <v/>
      </c>
      <c r="F149" s="241" t="str">
        <f>IFERROR(VLOOKUP(B149,'बँक जमा खर्च पासबुक'!$BH$8:$CD$111,15,0),"")</f>
        <v/>
      </c>
      <c r="G149" s="262" t="str">
        <f>IFERROR(VLOOKUP(B149,'बँक जमा खर्च पासबुक'!$BH$8:$CD$111,20,0),"")</f>
        <v/>
      </c>
      <c r="H149" s="262" t="str">
        <f>IFERROR(VLOOKUP(B149,'बँक जमा खर्च पासबुक'!$BH$8:$CD$111,21,0),"")</f>
        <v/>
      </c>
      <c r="I149" s="262" t="str">
        <f t="shared" si="35"/>
        <v/>
      </c>
      <c r="J149" s="354" t="str">
        <f>IFERROR(VLOOKUP(B149,'बँक जमा खर्च पासबुक'!$BH$8:$CD$111,19,0),"")</f>
        <v/>
      </c>
      <c r="K149" s="240" t="str">
        <f>IFERROR(VLOOKUP(B149,'बँक जमा खर्च पासबुक'!$BH$8:$CD$111,17,0),"")</f>
        <v/>
      </c>
      <c r="L149" s="241" t="str">
        <f>IFERROR(VLOOKUP(B149,'बँक जमा खर्च पासबुक'!$BH$8:$CD$111,18,0),"")</f>
        <v/>
      </c>
      <c r="M149" s="266" t="str">
        <f>IFERROR(VLOOKUP(B149,'बँक जमा खर्च पासबुक'!$BH$8:$CD$111,22,0),"")</f>
        <v/>
      </c>
      <c r="N149" s="266" t="str">
        <f>IFERROR(VLOOKUP(B149,'बँक जमा खर्च पासबुक'!$BH$8:$CD$111,23,0),"")</f>
        <v/>
      </c>
      <c r="O149" s="266" t="str">
        <f t="shared" si="36"/>
        <v/>
      </c>
      <c r="P149" s="266" t="str">
        <f t="shared" si="37"/>
        <v/>
      </c>
      <c r="Q149" s="266" t="str">
        <f t="shared" si="38"/>
        <v/>
      </c>
      <c r="R149" s="266" t="str">
        <f t="shared" si="39"/>
        <v/>
      </c>
    </row>
    <row r="150" spans="2:18" ht="25.5" customHeight="1" x14ac:dyDescent="0.4">
      <c r="B150" s="172"/>
      <c r="C150" s="713"/>
      <c r="D150" s="391" t="s">
        <v>35</v>
      </c>
      <c r="E150" s="785"/>
      <c r="F150" s="786"/>
      <c r="G150" s="262">
        <f>SUM(G143:G149)</f>
        <v>0</v>
      </c>
      <c r="H150" s="262">
        <f>SUM(H143:H149)</f>
        <v>0</v>
      </c>
      <c r="I150" s="262">
        <f>SUM(I143:I149)</f>
        <v>0</v>
      </c>
      <c r="J150" s="391"/>
      <c r="K150" s="785"/>
      <c r="L150" s="786"/>
      <c r="M150" s="266">
        <f>SUM(M144:M149)</f>
        <v>0</v>
      </c>
      <c r="N150" s="266">
        <f>SUM(N144:N149)</f>
        <v>0</v>
      </c>
      <c r="O150" s="266">
        <f>SUM(O144:O149)</f>
        <v>0</v>
      </c>
      <c r="P150" s="266">
        <f>G150-M150</f>
        <v>0</v>
      </c>
      <c r="Q150" s="266">
        <f>H150-N150</f>
        <v>0</v>
      </c>
      <c r="R150" s="266">
        <f>I150-O150</f>
        <v>0</v>
      </c>
    </row>
    <row r="151" spans="2:18" ht="25.5" customHeight="1" x14ac:dyDescent="0.4">
      <c r="B151" s="21"/>
      <c r="G151" s="787"/>
      <c r="H151" s="787"/>
      <c r="I151" s="787"/>
      <c r="M151" s="788"/>
      <c r="N151" s="788"/>
      <c r="O151" s="788"/>
      <c r="P151" s="788"/>
      <c r="Q151" s="788"/>
      <c r="R151" s="788"/>
    </row>
    <row r="152" spans="2:18" ht="25.5" customHeight="1" thickBot="1" x14ac:dyDescent="0.45"/>
    <row r="153" spans="2:18" ht="25.5" customHeight="1" thickBot="1" x14ac:dyDescent="0.45">
      <c r="B153" s="772" t="s">
        <v>646</v>
      </c>
      <c r="C153" s="773" t="s">
        <v>638</v>
      </c>
      <c r="D153" s="351" t="str">
        <f>D12</f>
        <v>इंटरनेट साठी शाळा अनुदान</v>
      </c>
      <c r="E153" s="802"/>
      <c r="F153" s="774"/>
      <c r="G153" s="773" t="s">
        <v>312</v>
      </c>
      <c r="H153" s="238">
        <f>HOME!$E$2</f>
        <v>2022</v>
      </c>
      <c r="I153" s="238">
        <f>HOME!$F$2</f>
        <v>2023</v>
      </c>
      <c r="J153" s="773"/>
      <c r="K153" s="775"/>
      <c r="L153" s="776"/>
      <c r="M153" s="777"/>
      <c r="N153" s="777"/>
      <c r="O153" s="777"/>
      <c r="P153" s="777"/>
      <c r="Q153" s="777"/>
      <c r="R153" s="778"/>
    </row>
    <row r="155" spans="2:18" ht="25.5" customHeight="1" x14ac:dyDescent="0.4">
      <c r="B155" s="1411" t="s">
        <v>86</v>
      </c>
      <c r="C155" s="1413" t="s">
        <v>17</v>
      </c>
      <c r="D155" s="1410" t="s">
        <v>553</v>
      </c>
      <c r="E155" s="1410"/>
      <c r="F155" s="1410"/>
      <c r="G155" s="1410" t="s">
        <v>544</v>
      </c>
      <c r="H155" s="1410"/>
      <c r="I155" s="1410"/>
      <c r="J155" s="1407" t="s">
        <v>554</v>
      </c>
      <c r="K155" s="1408"/>
      <c r="L155" s="1409"/>
      <c r="M155" s="1410" t="s">
        <v>545</v>
      </c>
      <c r="N155" s="1410"/>
      <c r="O155" s="1410"/>
      <c r="P155" s="1410" t="s">
        <v>637</v>
      </c>
      <c r="Q155" s="1410"/>
      <c r="R155" s="1410"/>
    </row>
    <row r="156" spans="2:18" ht="25.5" customHeight="1" x14ac:dyDescent="0.4">
      <c r="B156" s="1412"/>
      <c r="C156" s="1414"/>
      <c r="D156" s="1407" t="s">
        <v>636</v>
      </c>
      <c r="E156" s="1408"/>
      <c r="F156" s="1409"/>
      <c r="G156" s="582" t="s">
        <v>586</v>
      </c>
      <c r="H156" s="582" t="s">
        <v>587</v>
      </c>
      <c r="I156" s="582" t="s">
        <v>35</v>
      </c>
      <c r="J156" s="1407" t="s">
        <v>636</v>
      </c>
      <c r="K156" s="1408"/>
      <c r="L156" s="1409"/>
      <c r="M156" s="582" t="s">
        <v>586</v>
      </c>
      <c r="N156" s="582" t="s">
        <v>587</v>
      </c>
      <c r="O156" s="582" t="s">
        <v>35</v>
      </c>
      <c r="P156" s="582" t="s">
        <v>586</v>
      </c>
      <c r="Q156" s="582" t="s">
        <v>587</v>
      </c>
      <c r="R156" s="582" t="s">
        <v>35</v>
      </c>
    </row>
    <row r="157" spans="2:18" ht="25.5" customHeight="1" x14ac:dyDescent="0.4">
      <c r="B157" s="779"/>
      <c r="C157" s="780"/>
      <c r="D157" s="1404" t="s">
        <v>87</v>
      </c>
      <c r="E157" s="1405"/>
      <c r="F157" s="1406"/>
      <c r="G157" s="264">
        <f>'Balance sheet'!D15</f>
        <v>0</v>
      </c>
      <c r="H157" s="264">
        <f>'Balance sheet'!E15</f>
        <v>0</v>
      </c>
      <c r="I157" s="264">
        <f>SUM(G157:H157)</f>
        <v>0</v>
      </c>
      <c r="J157" s="781"/>
      <c r="K157" s="782"/>
      <c r="L157" s="783"/>
      <c r="M157" s="792"/>
      <c r="N157" s="792"/>
      <c r="O157" s="792"/>
      <c r="P157" s="792"/>
      <c r="Q157" s="792"/>
      <c r="R157" s="792"/>
    </row>
    <row r="158" spans="2:18" ht="25.5" customHeight="1" x14ac:dyDescent="0.4">
      <c r="B158" s="582">
        <v>1</v>
      </c>
      <c r="C158" s="245" t="str">
        <f>IFERROR(VLOOKUP(B158,'बँक जमा खर्च पासबुक'!$BI$8:$CD$111,12,0),"")</f>
        <v/>
      </c>
      <c r="D158" s="355" t="str">
        <f>IFERROR(VLOOKUP(B158,'बँक जमा खर्च पासबुक'!$BI$8:$CD$111,15,0),"")</f>
        <v/>
      </c>
      <c r="E158" s="246" t="str">
        <f>IFERROR(VLOOKUP(B158,'बँक जमा खर्च पासबुक'!$BI$8:$CD$111,13,0),"")</f>
        <v/>
      </c>
      <c r="F158" s="247" t="str">
        <f>IFERROR(VLOOKUP(B158,'बँक जमा खर्च पासबुक'!$BI$8:$CD$111,14,0),"")</f>
        <v/>
      </c>
      <c r="G158" s="264" t="str">
        <f>IFERROR(VLOOKUP(B158,'बँक जमा खर्च पासबुक'!$BI$8:$CD$111,19,0),"")</f>
        <v/>
      </c>
      <c r="H158" s="264" t="str">
        <f>IFERROR(VLOOKUP(B158,'बँक जमा खर्च पासबुक'!$BI$8:$CD$111,20,0),"")</f>
        <v/>
      </c>
      <c r="I158" s="264" t="str">
        <f>IFERROR(G158+H158,"")</f>
        <v/>
      </c>
      <c r="J158" s="355" t="str">
        <f>IFERROR(VLOOKUP(B158,'बँक जमा खर्च पासबुक'!$BI$8:$CD$111,18,0),"")</f>
        <v/>
      </c>
      <c r="K158" s="246" t="str">
        <f>IFERROR(VLOOKUP(B158,'बँक जमा खर्च पासबुक'!$BI$8:$CD$111,16,0),"")</f>
        <v/>
      </c>
      <c r="L158" s="247" t="str">
        <f>IFERROR(VLOOKUP(B158,'बँक जमा खर्च पासबुक'!$BI$8:$CD$111,17,0),"")</f>
        <v/>
      </c>
      <c r="M158" s="264" t="str">
        <f>IFERROR(VLOOKUP(B158,'बँक जमा खर्च पासबुक'!$BI$8:$CD$111,21,0),"")</f>
        <v/>
      </c>
      <c r="N158" s="264" t="str">
        <f>IFERROR(VLOOKUP(B158,'बँक जमा खर्च पासबुक'!$BI$8:$CD$111,22,0),"")</f>
        <v/>
      </c>
      <c r="O158" s="264" t="str">
        <f>IFERROR(M158+N158,"")</f>
        <v/>
      </c>
      <c r="P158" s="264" t="str">
        <f>IFERROR(G157+G158-M158,"")</f>
        <v/>
      </c>
      <c r="Q158" s="264" t="str">
        <f>IFERROR(H157+H158-N158,"")</f>
        <v/>
      </c>
      <c r="R158" s="264" t="str">
        <f>IFERROR(I157+I158-O158,"")</f>
        <v/>
      </c>
    </row>
    <row r="159" spans="2:18" ht="25.5" customHeight="1" x14ac:dyDescent="0.4">
      <c r="B159" s="172">
        <v>2</v>
      </c>
      <c r="C159" s="245" t="str">
        <f>IFERROR(VLOOKUP(B159,'बँक जमा खर्च पासबुक'!$BI$8:$CD$111,12,0),"")</f>
        <v/>
      </c>
      <c r="D159" s="355" t="str">
        <f>IFERROR(VLOOKUP(B159,'बँक जमा खर्च पासबुक'!$BI$8:$CD$111,15,0),"")</f>
        <v/>
      </c>
      <c r="E159" s="246" t="str">
        <f>IFERROR(VLOOKUP(B159,'बँक जमा खर्च पासबुक'!$BI$8:$CD$111,13,0),"")</f>
        <v/>
      </c>
      <c r="F159" s="247" t="str">
        <f>IFERROR(VLOOKUP(B159,'बँक जमा खर्च पासबुक'!$BI$8:$CD$111,14,0),"")</f>
        <v/>
      </c>
      <c r="G159" s="264" t="str">
        <f>IFERROR(VLOOKUP(B159,'बँक जमा खर्च पासबुक'!$BI$8:$CD$111,19,0),"")</f>
        <v/>
      </c>
      <c r="H159" s="264" t="str">
        <f>IFERROR(VLOOKUP(B159,'बँक जमा खर्च पासबुक'!$BI$8:$CD$111,20,0),"")</f>
        <v/>
      </c>
      <c r="I159" s="264" t="str">
        <f t="shared" ref="I159:I165" si="40">IFERROR(G159+H159,"")</f>
        <v/>
      </c>
      <c r="J159" s="355" t="str">
        <f>IFERROR(VLOOKUP(B159,'बँक जमा खर्च पासबुक'!$BI$8:$CD$111,18,0),"")</f>
        <v/>
      </c>
      <c r="K159" s="246" t="str">
        <f>IFERROR(VLOOKUP(B159,'बँक जमा खर्च पासबुक'!$BI$8:$CD$111,16,0),"")</f>
        <v/>
      </c>
      <c r="L159" s="247" t="str">
        <f>IFERROR(VLOOKUP(B159,'बँक जमा खर्च पासबुक'!$BI$8:$CD$111,17,0),"")</f>
        <v/>
      </c>
      <c r="M159" s="264" t="str">
        <f>IFERROR(VLOOKUP(B159,'बँक जमा खर्च पासबुक'!$BI$8:$CD$111,21,0),"")</f>
        <v/>
      </c>
      <c r="N159" s="264" t="str">
        <f>IFERROR(VLOOKUP(B159,'बँक जमा खर्च पासबुक'!$BI$8:$CD$111,22,0),"")</f>
        <v/>
      </c>
      <c r="O159" s="264" t="str">
        <f t="shared" ref="O159:O165" si="41">IFERROR(M159+N159,"")</f>
        <v/>
      </c>
      <c r="P159" s="266" t="str">
        <f>IFERROR(P158+G159-M159,"")</f>
        <v/>
      </c>
      <c r="Q159" s="266" t="str">
        <f>IFERROR(Q158+H159-N159,"")</f>
        <v/>
      </c>
      <c r="R159" s="266" t="str">
        <f>IFERROR(R158+I159-O159,"")</f>
        <v/>
      </c>
    </row>
    <row r="160" spans="2:18" ht="25.5" customHeight="1" x14ac:dyDescent="0.4">
      <c r="B160" s="582">
        <v>3</v>
      </c>
      <c r="C160" s="245" t="str">
        <f>IFERROR(VLOOKUP(B160,'बँक जमा खर्च पासबुक'!$BI$8:$CD$111,12,0),"")</f>
        <v/>
      </c>
      <c r="D160" s="355" t="str">
        <f>IFERROR(VLOOKUP(B160,'बँक जमा खर्च पासबुक'!$BI$8:$CD$111,15,0),"")</f>
        <v/>
      </c>
      <c r="E160" s="246" t="str">
        <f>IFERROR(VLOOKUP(B160,'बँक जमा खर्च पासबुक'!$BI$8:$CD$111,13,0),"")</f>
        <v/>
      </c>
      <c r="F160" s="247" t="str">
        <f>IFERROR(VLOOKUP(B160,'बँक जमा खर्च पासबुक'!$BI$8:$CD$111,14,0),"")</f>
        <v/>
      </c>
      <c r="G160" s="264" t="str">
        <f>IFERROR(VLOOKUP(B160,'बँक जमा खर्च पासबुक'!$BI$8:$CD$111,19,0),"")</f>
        <v/>
      </c>
      <c r="H160" s="264" t="str">
        <f>IFERROR(VLOOKUP(B160,'बँक जमा खर्च पासबुक'!$BI$8:$CD$111,20,0),"")</f>
        <v/>
      </c>
      <c r="I160" s="264" t="str">
        <f t="shared" si="40"/>
        <v/>
      </c>
      <c r="J160" s="355" t="str">
        <f>IFERROR(VLOOKUP(B160,'बँक जमा खर्च पासबुक'!$BI$8:$CD$111,18,0),"")</f>
        <v/>
      </c>
      <c r="K160" s="246" t="str">
        <f>IFERROR(VLOOKUP(B160,'बँक जमा खर्च पासबुक'!$BI$8:$CD$111,16,0),"")</f>
        <v/>
      </c>
      <c r="L160" s="247" t="str">
        <f>IFERROR(VLOOKUP(B160,'बँक जमा खर्च पासबुक'!$BI$8:$CD$111,17,0),"")</f>
        <v/>
      </c>
      <c r="M160" s="264" t="str">
        <f>IFERROR(VLOOKUP(B160,'बँक जमा खर्च पासबुक'!$BI$8:$CD$111,21,0),"")</f>
        <v/>
      </c>
      <c r="N160" s="264" t="str">
        <f>IFERROR(VLOOKUP(B160,'बँक जमा खर्च पासबुक'!$BI$8:$CD$111,22,0),"")</f>
        <v/>
      </c>
      <c r="O160" s="264" t="str">
        <f t="shared" si="41"/>
        <v/>
      </c>
      <c r="P160" s="266" t="str">
        <f t="shared" ref="P160:P165" si="42">IFERROR(P159+G160-M160,"")</f>
        <v/>
      </c>
      <c r="Q160" s="266" t="str">
        <f t="shared" ref="Q160:Q165" si="43">IFERROR(Q159+H160-N160,"")</f>
        <v/>
      </c>
      <c r="R160" s="266" t="str">
        <f t="shared" ref="R160:R165" si="44">IFERROR(R159+I160-O160,"")</f>
        <v/>
      </c>
    </row>
    <row r="161" spans="2:18" ht="25.5" customHeight="1" x14ac:dyDescent="0.4">
      <c r="B161" s="172">
        <v>4</v>
      </c>
      <c r="C161" s="245" t="str">
        <f>IFERROR(VLOOKUP(B161,'बँक जमा खर्च पासबुक'!$BI$8:$CD$111,12,0),"")</f>
        <v/>
      </c>
      <c r="D161" s="355" t="str">
        <f>IFERROR(VLOOKUP(B161,'बँक जमा खर्च पासबुक'!$BI$8:$CD$111,15,0),"")</f>
        <v/>
      </c>
      <c r="E161" s="246" t="str">
        <f>IFERROR(VLOOKUP(B161,'बँक जमा खर्च पासबुक'!$BI$8:$CD$111,13,0),"")</f>
        <v/>
      </c>
      <c r="F161" s="247" t="str">
        <f>IFERROR(VLOOKUP(B161,'बँक जमा खर्च पासबुक'!$BI$8:$CD$111,14,0),"")</f>
        <v/>
      </c>
      <c r="G161" s="264" t="str">
        <f>IFERROR(VLOOKUP(B161,'बँक जमा खर्च पासबुक'!$BI$8:$CD$111,19,0),"")</f>
        <v/>
      </c>
      <c r="H161" s="264" t="str">
        <f>IFERROR(VLOOKUP(B161,'बँक जमा खर्च पासबुक'!$BI$8:$CD$111,20,0),"")</f>
        <v/>
      </c>
      <c r="I161" s="264" t="str">
        <f t="shared" si="40"/>
        <v/>
      </c>
      <c r="J161" s="355" t="str">
        <f>IFERROR(VLOOKUP(B161,'बँक जमा खर्च पासबुक'!$BI$8:$CD$111,18,0),"")</f>
        <v/>
      </c>
      <c r="K161" s="246" t="str">
        <f>IFERROR(VLOOKUP(B161,'बँक जमा खर्च पासबुक'!$BI$8:$CD$111,16,0),"")</f>
        <v/>
      </c>
      <c r="L161" s="247" t="str">
        <f>IFERROR(VLOOKUP(B161,'बँक जमा खर्च पासबुक'!$BI$8:$CD$111,17,0),"")</f>
        <v/>
      </c>
      <c r="M161" s="264" t="str">
        <f>IFERROR(VLOOKUP(B161,'बँक जमा खर्च पासबुक'!$BI$8:$CD$111,21,0),"")</f>
        <v/>
      </c>
      <c r="N161" s="264" t="str">
        <f>IFERROR(VLOOKUP(B161,'बँक जमा खर्च पासबुक'!$BI$8:$CD$111,22,0),"")</f>
        <v/>
      </c>
      <c r="O161" s="264" t="str">
        <f t="shared" si="41"/>
        <v/>
      </c>
      <c r="P161" s="266" t="str">
        <f t="shared" si="42"/>
        <v/>
      </c>
      <c r="Q161" s="266" t="str">
        <f t="shared" si="43"/>
        <v/>
      </c>
      <c r="R161" s="266" t="str">
        <f t="shared" si="44"/>
        <v/>
      </c>
    </row>
    <row r="162" spans="2:18" ht="25.5" customHeight="1" x14ac:dyDescent="0.4">
      <c r="B162" s="582">
        <v>5</v>
      </c>
      <c r="C162" s="245" t="str">
        <f>IFERROR(VLOOKUP(B162,'बँक जमा खर्च पासबुक'!$BI$8:$CD$111,12,0),"")</f>
        <v/>
      </c>
      <c r="D162" s="355" t="str">
        <f>IFERROR(VLOOKUP(B162,'बँक जमा खर्च पासबुक'!$BI$8:$CD$111,15,0),"")</f>
        <v/>
      </c>
      <c r="E162" s="246" t="str">
        <f>IFERROR(VLOOKUP(B162,'बँक जमा खर्च पासबुक'!$BI$8:$CD$111,13,0),"")</f>
        <v/>
      </c>
      <c r="F162" s="247" t="str">
        <f>IFERROR(VLOOKUP(B162,'बँक जमा खर्च पासबुक'!$BI$8:$CD$111,14,0),"")</f>
        <v/>
      </c>
      <c r="G162" s="264" t="str">
        <f>IFERROR(VLOOKUP(B162,'बँक जमा खर्च पासबुक'!$BI$8:$CD$111,19,0),"")</f>
        <v/>
      </c>
      <c r="H162" s="264" t="str">
        <f>IFERROR(VLOOKUP(B162,'बँक जमा खर्च पासबुक'!$BI$8:$CD$111,20,0),"")</f>
        <v/>
      </c>
      <c r="I162" s="264" t="str">
        <f t="shared" si="40"/>
        <v/>
      </c>
      <c r="J162" s="355" t="str">
        <f>IFERROR(VLOOKUP(B162,'बँक जमा खर्च पासबुक'!$BI$8:$CD$111,18,0),"")</f>
        <v/>
      </c>
      <c r="K162" s="246" t="str">
        <f>IFERROR(VLOOKUP(B162,'बँक जमा खर्च पासबुक'!$BI$8:$CD$111,16,0),"")</f>
        <v/>
      </c>
      <c r="L162" s="247" t="str">
        <f>IFERROR(VLOOKUP(B162,'बँक जमा खर्च पासबुक'!$BI$8:$CD$111,17,0),"")</f>
        <v/>
      </c>
      <c r="M162" s="264" t="str">
        <f>IFERROR(VLOOKUP(B162,'बँक जमा खर्च पासबुक'!$BI$8:$CD$111,21,0),"")</f>
        <v/>
      </c>
      <c r="N162" s="264" t="str">
        <f>IFERROR(VLOOKUP(B162,'बँक जमा खर्च पासबुक'!$BI$8:$CD$111,22,0),"")</f>
        <v/>
      </c>
      <c r="O162" s="264" t="str">
        <f t="shared" si="41"/>
        <v/>
      </c>
      <c r="P162" s="266" t="str">
        <f t="shared" si="42"/>
        <v/>
      </c>
      <c r="Q162" s="266" t="str">
        <f t="shared" si="43"/>
        <v/>
      </c>
      <c r="R162" s="266" t="str">
        <f t="shared" si="44"/>
        <v/>
      </c>
    </row>
    <row r="163" spans="2:18" ht="25.5" customHeight="1" x14ac:dyDescent="0.4">
      <c r="B163" s="172">
        <v>6</v>
      </c>
      <c r="C163" s="245" t="str">
        <f>IFERROR(VLOOKUP(B163,'बँक जमा खर्च पासबुक'!$BI$8:$CD$111,12,0),"")</f>
        <v/>
      </c>
      <c r="D163" s="355" t="str">
        <f>IFERROR(VLOOKUP(B163,'बँक जमा खर्च पासबुक'!$BI$8:$CD$111,15,0),"")</f>
        <v/>
      </c>
      <c r="E163" s="246" t="str">
        <f>IFERROR(VLOOKUP(B163,'बँक जमा खर्च पासबुक'!$BI$8:$CD$111,13,0),"")</f>
        <v/>
      </c>
      <c r="F163" s="247" t="str">
        <f>IFERROR(VLOOKUP(B163,'बँक जमा खर्च पासबुक'!$BI$8:$CD$111,14,0),"")</f>
        <v/>
      </c>
      <c r="G163" s="264" t="str">
        <f>IFERROR(VLOOKUP(B163,'बँक जमा खर्च पासबुक'!$BI$8:$CD$111,19,0),"")</f>
        <v/>
      </c>
      <c r="H163" s="264" t="str">
        <f>IFERROR(VLOOKUP(B163,'बँक जमा खर्च पासबुक'!$BI$8:$CD$111,20,0),"")</f>
        <v/>
      </c>
      <c r="I163" s="264" t="str">
        <f t="shared" si="40"/>
        <v/>
      </c>
      <c r="J163" s="355" t="str">
        <f>IFERROR(VLOOKUP(B163,'बँक जमा खर्च पासबुक'!$BI$8:$CD$111,18,0),"")</f>
        <v/>
      </c>
      <c r="K163" s="246" t="str">
        <f>IFERROR(VLOOKUP(B163,'बँक जमा खर्च पासबुक'!$BI$8:$CD$111,16,0),"")</f>
        <v/>
      </c>
      <c r="L163" s="247" t="str">
        <f>IFERROR(VLOOKUP(B163,'बँक जमा खर्च पासबुक'!$BI$8:$CD$111,17,0),"")</f>
        <v/>
      </c>
      <c r="M163" s="264" t="str">
        <f>IFERROR(VLOOKUP(B163,'बँक जमा खर्च पासबुक'!$BI$8:$CD$111,21,0),"")</f>
        <v/>
      </c>
      <c r="N163" s="264" t="str">
        <f>IFERROR(VLOOKUP(B163,'बँक जमा खर्च पासबुक'!$BI$8:$CD$111,22,0),"")</f>
        <v/>
      </c>
      <c r="O163" s="264" t="str">
        <f t="shared" si="41"/>
        <v/>
      </c>
      <c r="P163" s="266" t="str">
        <f t="shared" si="42"/>
        <v/>
      </c>
      <c r="Q163" s="266" t="str">
        <f t="shared" si="43"/>
        <v/>
      </c>
      <c r="R163" s="266" t="str">
        <f t="shared" si="44"/>
        <v/>
      </c>
    </row>
    <row r="164" spans="2:18" ht="25.5" customHeight="1" x14ac:dyDescent="0.4">
      <c r="B164" s="582">
        <v>7</v>
      </c>
      <c r="C164" s="245" t="str">
        <f>IFERROR(VLOOKUP(B164,'बँक जमा खर्च पासबुक'!$BI$8:$CD$111,12,0),"")</f>
        <v/>
      </c>
      <c r="D164" s="355" t="str">
        <f>IFERROR(VLOOKUP(B164,'बँक जमा खर्च पासबुक'!$BI$8:$CD$111,15,0),"")</f>
        <v/>
      </c>
      <c r="E164" s="246" t="str">
        <f>IFERROR(VLOOKUP(B164,'बँक जमा खर्च पासबुक'!$BI$8:$CD$111,13,0),"")</f>
        <v/>
      </c>
      <c r="F164" s="247" t="str">
        <f>IFERROR(VLOOKUP(B164,'बँक जमा खर्च पासबुक'!$BI$8:$CD$111,14,0),"")</f>
        <v/>
      </c>
      <c r="G164" s="264" t="str">
        <f>IFERROR(VLOOKUP(B164,'बँक जमा खर्च पासबुक'!$BI$8:$CD$111,19,0),"")</f>
        <v/>
      </c>
      <c r="H164" s="264" t="str">
        <f>IFERROR(VLOOKUP(B164,'बँक जमा खर्च पासबुक'!$BI$8:$CD$111,20,0),"")</f>
        <v/>
      </c>
      <c r="I164" s="264" t="str">
        <f t="shared" si="40"/>
        <v/>
      </c>
      <c r="J164" s="355" t="str">
        <f>IFERROR(VLOOKUP(B164,'बँक जमा खर्च पासबुक'!$BI$8:$CD$111,18,0),"")</f>
        <v/>
      </c>
      <c r="K164" s="246" t="str">
        <f>IFERROR(VLOOKUP(B164,'बँक जमा खर्च पासबुक'!$BI$8:$CD$111,16,0),"")</f>
        <v/>
      </c>
      <c r="L164" s="247" t="str">
        <f>IFERROR(VLOOKUP(B164,'बँक जमा खर्च पासबुक'!$BI$8:$CD$111,17,0),"")</f>
        <v/>
      </c>
      <c r="M164" s="264" t="str">
        <f>IFERROR(VLOOKUP(B164,'बँक जमा खर्च पासबुक'!$BI$8:$CD$111,21,0),"")</f>
        <v/>
      </c>
      <c r="N164" s="264" t="str">
        <f>IFERROR(VLOOKUP(B164,'बँक जमा खर्च पासबुक'!$BI$8:$CD$111,22,0),"")</f>
        <v/>
      </c>
      <c r="O164" s="264" t="str">
        <f t="shared" si="41"/>
        <v/>
      </c>
      <c r="P164" s="266" t="str">
        <f t="shared" si="42"/>
        <v/>
      </c>
      <c r="Q164" s="266" t="str">
        <f t="shared" si="43"/>
        <v/>
      </c>
      <c r="R164" s="266" t="str">
        <f t="shared" si="44"/>
        <v/>
      </c>
    </row>
    <row r="165" spans="2:18" ht="25.5" customHeight="1" x14ac:dyDescent="0.4">
      <c r="B165" s="172">
        <v>8</v>
      </c>
      <c r="C165" s="245" t="str">
        <f>IFERROR(VLOOKUP(B165,'बँक जमा खर्च पासबुक'!$BI$8:$CD$111,12,0),"")</f>
        <v/>
      </c>
      <c r="D165" s="355" t="str">
        <f>IFERROR(VLOOKUP(B165,'बँक जमा खर्च पासबुक'!$BI$8:$CD$111,15,0),"")</f>
        <v/>
      </c>
      <c r="E165" s="246" t="str">
        <f>IFERROR(VLOOKUP(B165,'बँक जमा खर्च पासबुक'!$BI$8:$CD$111,13,0),"")</f>
        <v/>
      </c>
      <c r="F165" s="247" t="str">
        <f>IFERROR(VLOOKUP(B165,'बँक जमा खर्च पासबुक'!$BI$8:$CD$111,14,0),"")</f>
        <v/>
      </c>
      <c r="G165" s="264" t="str">
        <f>IFERROR(VLOOKUP(B165,'बँक जमा खर्च पासबुक'!$BI$8:$CD$111,19,0),"")</f>
        <v/>
      </c>
      <c r="H165" s="264" t="str">
        <f>IFERROR(VLOOKUP(B165,'बँक जमा खर्च पासबुक'!$BI$8:$CD$111,20,0),"")</f>
        <v/>
      </c>
      <c r="I165" s="264" t="str">
        <f t="shared" si="40"/>
        <v/>
      </c>
      <c r="J165" s="355" t="str">
        <f>IFERROR(VLOOKUP(B165,'बँक जमा खर्च पासबुक'!$BI$8:$CD$111,18,0),"")</f>
        <v/>
      </c>
      <c r="K165" s="246" t="str">
        <f>IFERROR(VLOOKUP(B165,'बँक जमा खर्च पासबुक'!$BI$8:$CD$111,16,0),"")</f>
        <v/>
      </c>
      <c r="L165" s="247" t="str">
        <f>IFERROR(VLOOKUP(B165,'बँक जमा खर्च पासबुक'!$BI$8:$CD$111,17,0),"")</f>
        <v/>
      </c>
      <c r="M165" s="264" t="str">
        <f>IFERROR(VLOOKUP(B165,'बँक जमा खर्च पासबुक'!$BI$8:$CD$111,21,0),"")</f>
        <v/>
      </c>
      <c r="N165" s="264" t="str">
        <f>IFERROR(VLOOKUP(B165,'बँक जमा खर्च पासबुक'!$BI$8:$CD$111,22,0),"")</f>
        <v/>
      </c>
      <c r="O165" s="264" t="str">
        <f t="shared" si="41"/>
        <v/>
      </c>
      <c r="P165" s="266" t="str">
        <f t="shared" si="42"/>
        <v/>
      </c>
      <c r="Q165" s="266" t="str">
        <f t="shared" si="43"/>
        <v/>
      </c>
      <c r="R165" s="266" t="str">
        <f t="shared" si="44"/>
        <v/>
      </c>
    </row>
    <row r="166" spans="2:18" ht="25.5" customHeight="1" x14ac:dyDescent="0.4">
      <c r="B166" s="582"/>
      <c r="C166" s="713"/>
      <c r="D166" s="391"/>
      <c r="E166" s="785"/>
      <c r="F166" s="786"/>
      <c r="G166" s="262">
        <f>SUM(G157:G165)</f>
        <v>0</v>
      </c>
      <c r="H166" s="262">
        <f>SUM(H157:H165)</f>
        <v>0</v>
      </c>
      <c r="I166" s="262">
        <f>SUM(I157:I165)</f>
        <v>0</v>
      </c>
      <c r="J166" s="391"/>
      <c r="K166" s="785"/>
      <c r="L166" s="786"/>
      <c r="M166" s="266">
        <f>SUM(M158:M165)</f>
        <v>0</v>
      </c>
      <c r="N166" s="266">
        <f>SUM(N158:N165)</f>
        <v>0</v>
      </c>
      <c r="O166" s="266">
        <f>SUM(O158:O165)</f>
        <v>0</v>
      </c>
      <c r="P166" s="266">
        <f>G166-M166</f>
        <v>0</v>
      </c>
      <c r="Q166" s="266">
        <f>H166-N166</f>
        <v>0</v>
      </c>
      <c r="R166" s="266">
        <f>I166-O166</f>
        <v>0</v>
      </c>
    </row>
    <row r="167" spans="2:18" ht="25.5" customHeight="1" x14ac:dyDescent="0.4">
      <c r="B167" s="21"/>
      <c r="G167" s="787"/>
      <c r="H167" s="787"/>
      <c r="I167" s="787"/>
      <c r="M167" s="788"/>
      <c r="N167" s="788"/>
      <c r="O167" s="788"/>
      <c r="P167" s="788"/>
      <c r="Q167" s="788"/>
      <c r="R167" s="788"/>
    </row>
    <row r="168" spans="2:18" ht="25.5" customHeight="1" thickBot="1" x14ac:dyDescent="0.45"/>
    <row r="169" spans="2:18" ht="25.5" customHeight="1" thickBot="1" x14ac:dyDescent="0.45">
      <c r="B169" s="772" t="s">
        <v>645</v>
      </c>
      <c r="C169" s="773" t="s">
        <v>639</v>
      </c>
      <c r="D169" s="351" t="str">
        <f>D13</f>
        <v>गॅस अनुदान</v>
      </c>
      <c r="E169" s="802"/>
      <c r="F169" s="774"/>
      <c r="G169" s="773" t="s">
        <v>312</v>
      </c>
      <c r="H169" s="238">
        <f>HOME!$E$2</f>
        <v>2022</v>
      </c>
      <c r="I169" s="238">
        <f>HOME!$F$2</f>
        <v>2023</v>
      </c>
      <c r="J169" s="773"/>
      <c r="K169" s="775"/>
      <c r="L169" s="776"/>
      <c r="M169" s="777"/>
      <c r="N169" s="777"/>
      <c r="O169" s="777"/>
      <c r="P169" s="777"/>
      <c r="Q169" s="777"/>
      <c r="R169" s="778"/>
    </row>
    <row r="171" spans="2:18" ht="25.5" customHeight="1" x14ac:dyDescent="0.4">
      <c r="B171" s="1411" t="s">
        <v>86</v>
      </c>
      <c r="C171" s="1413" t="s">
        <v>17</v>
      </c>
      <c r="D171" s="1410" t="s">
        <v>553</v>
      </c>
      <c r="E171" s="1410"/>
      <c r="F171" s="1410"/>
      <c r="G171" s="1410" t="s">
        <v>544</v>
      </c>
      <c r="H171" s="1410"/>
      <c r="I171" s="1410"/>
      <c r="J171" s="1407" t="s">
        <v>554</v>
      </c>
      <c r="K171" s="1408"/>
      <c r="L171" s="1409"/>
      <c r="M171" s="1410" t="s">
        <v>545</v>
      </c>
      <c r="N171" s="1410"/>
      <c r="O171" s="1410"/>
      <c r="P171" s="1410" t="s">
        <v>637</v>
      </c>
      <c r="Q171" s="1410"/>
      <c r="R171" s="1410"/>
    </row>
    <row r="172" spans="2:18" ht="25.5" customHeight="1" x14ac:dyDescent="0.4">
      <c r="B172" s="1412"/>
      <c r="C172" s="1414"/>
      <c r="D172" s="1407" t="s">
        <v>636</v>
      </c>
      <c r="E172" s="1408"/>
      <c r="F172" s="1409"/>
      <c r="G172" s="582" t="s">
        <v>586</v>
      </c>
      <c r="H172" s="582" t="s">
        <v>587</v>
      </c>
      <c r="I172" s="582" t="s">
        <v>35</v>
      </c>
      <c r="J172" s="1407" t="s">
        <v>636</v>
      </c>
      <c r="K172" s="1408"/>
      <c r="L172" s="1409"/>
      <c r="M172" s="582" t="s">
        <v>586</v>
      </c>
      <c r="N172" s="582" t="s">
        <v>587</v>
      </c>
      <c r="O172" s="582" t="s">
        <v>35</v>
      </c>
      <c r="P172" s="582" t="s">
        <v>586</v>
      </c>
      <c r="Q172" s="582" t="s">
        <v>587</v>
      </c>
      <c r="R172" s="582" t="s">
        <v>35</v>
      </c>
    </row>
    <row r="173" spans="2:18" ht="25.5" customHeight="1" x14ac:dyDescent="0.4">
      <c r="B173" s="779"/>
      <c r="C173" s="780"/>
      <c r="D173" s="1404" t="s">
        <v>87</v>
      </c>
      <c r="E173" s="1405"/>
      <c r="F173" s="1406"/>
      <c r="G173" s="264">
        <f>'Balance sheet'!D16</f>
        <v>0</v>
      </c>
      <c r="H173" s="264">
        <f>'Balance sheet'!E16</f>
        <v>0</v>
      </c>
      <c r="I173" s="264">
        <f>SUM(G173:H173)</f>
        <v>0</v>
      </c>
      <c r="J173" s="789"/>
      <c r="K173" s="782"/>
      <c r="L173" s="783"/>
      <c r="M173" s="792"/>
      <c r="N173" s="792"/>
      <c r="O173" s="792"/>
      <c r="P173" s="792"/>
      <c r="Q173" s="792"/>
      <c r="R173" s="792"/>
    </row>
    <row r="174" spans="2:18" ht="25.5" customHeight="1" x14ac:dyDescent="0.4">
      <c r="B174" s="172">
        <v>1</v>
      </c>
      <c r="C174" s="234" t="str">
        <f>IFERROR(VLOOKUP(B174,'बँक जमा खर्च पासबुक'!$BJ$8:$CD$111,11,0),"")</f>
        <v/>
      </c>
      <c r="D174" s="354" t="str">
        <f>IFERROR(VLOOKUP(B174,'बँक जमा खर्च पासबुक'!$BJ$8:$CD$111,14,0),"")</f>
        <v/>
      </c>
      <c r="E174" s="240" t="str">
        <f>IFERROR(VLOOKUP(B174,'बँक जमा खर्च पासबुक'!$BJ$8:$CD$111,12,0),"")</f>
        <v/>
      </c>
      <c r="F174" s="241" t="str">
        <f>IFERROR(VLOOKUP(B174,'बँक जमा खर्च पासबुक'!$BJ$8:$CD$111,13,0),"")</f>
        <v/>
      </c>
      <c r="G174" s="264" t="str">
        <f>IFERROR(VLOOKUP(B174,'बँक जमा खर्च पासबुक'!$BJ$8:$CD$111,18,0),"")</f>
        <v/>
      </c>
      <c r="H174" s="264" t="str">
        <f>IFERROR(VLOOKUP(B174,'बँक जमा खर्च पासबुक'!$BJ$8:$CD$111,19,0),"")</f>
        <v/>
      </c>
      <c r="I174" s="264" t="str">
        <f>IFERROR(G174+H174,"")</f>
        <v/>
      </c>
      <c r="J174" s="244" t="str">
        <f>IFERROR(VLOOKUP(B174,'बँक जमा खर्च पासबुक'!$BJ$8:$CD$111,17,0),"")</f>
        <v/>
      </c>
      <c r="K174" s="240" t="str">
        <f>IFERROR(VLOOKUP(B174,'बँक जमा खर्च पासबुक'!$BJ$8:$CD$111,15,0),"")</f>
        <v/>
      </c>
      <c r="L174" s="241" t="str">
        <f>IFERROR(VLOOKUP(B174,'बँक जमा खर्च पासबुक'!$BJ$8:$CD$111,16,0),"")</f>
        <v/>
      </c>
      <c r="M174" s="264" t="str">
        <f>IFERROR(VLOOKUP(B174,'बँक जमा खर्च पासबुक'!$BJ$8:$CD$111,20,0),"")</f>
        <v/>
      </c>
      <c r="N174" s="264" t="str">
        <f>IFERROR(VLOOKUP(B174,'बँक जमा खर्च पासबुक'!$BJ$8:$CD$111,21,0),"")</f>
        <v/>
      </c>
      <c r="O174" s="264" t="str">
        <f>IFERROR(M174+N174,"")</f>
        <v/>
      </c>
      <c r="P174" s="264" t="str">
        <f>IFERROR(G173+G174-M174,"")</f>
        <v/>
      </c>
      <c r="Q174" s="264" t="str">
        <f>IFERROR(H173+H174-N174,"")</f>
        <v/>
      </c>
      <c r="R174" s="264" t="str">
        <f>IFERROR(I173+I174-O174,"")</f>
        <v/>
      </c>
    </row>
    <row r="175" spans="2:18" ht="25.5" customHeight="1" x14ac:dyDescent="0.4">
      <c r="B175" s="172">
        <v>2</v>
      </c>
      <c r="C175" s="234" t="str">
        <f>IFERROR(VLOOKUP(B175,'बँक जमा खर्च पासबुक'!$BJ$8:$CD$111,11,0),"")</f>
        <v/>
      </c>
      <c r="D175" s="354" t="str">
        <f>IFERROR(VLOOKUP(B175,'बँक जमा खर्च पासबुक'!$BJ$8:$CD$111,14,0),"")</f>
        <v/>
      </c>
      <c r="E175" s="240" t="str">
        <f>IFERROR(VLOOKUP(B175,'बँक जमा खर्च पासबुक'!$BJ$8:$CD$111,12,0),"")</f>
        <v/>
      </c>
      <c r="F175" s="241" t="str">
        <f>IFERROR(VLOOKUP(B175,'बँक जमा खर्च पासबुक'!$BJ$8:$CD$111,13,0),"")</f>
        <v/>
      </c>
      <c r="G175" s="264" t="str">
        <f>IFERROR(VLOOKUP(B175,'बँक जमा खर्च पासबुक'!$BJ$8:$CD$111,18,0),"")</f>
        <v/>
      </c>
      <c r="H175" s="264" t="str">
        <f>IFERROR(VLOOKUP(B175,'बँक जमा खर्च पासबुक'!$BJ$8:$CD$111,19,0),"")</f>
        <v/>
      </c>
      <c r="I175" s="264" t="str">
        <f t="shared" ref="I175:I181" si="45">IFERROR(G175+H175,"")</f>
        <v/>
      </c>
      <c r="J175" s="244" t="str">
        <f>IFERROR(VLOOKUP(B175,'बँक जमा खर्च पासबुक'!$BJ$8:$CD$111,17,0),"")</f>
        <v/>
      </c>
      <c r="K175" s="240" t="str">
        <f>IFERROR(VLOOKUP(B175,'बँक जमा खर्च पासबुक'!$BJ$8:$CD$111,15,0),"")</f>
        <v/>
      </c>
      <c r="L175" s="241" t="str">
        <f>IFERROR(VLOOKUP(B175,'बँक जमा खर्च पासबुक'!$BJ$8:$CD$111,16,0),"")</f>
        <v/>
      </c>
      <c r="M175" s="264" t="str">
        <f>IFERROR(VLOOKUP(B175,'बँक जमा खर्च पासबुक'!$BJ$8:$CD$111,20,0),"")</f>
        <v/>
      </c>
      <c r="N175" s="264" t="str">
        <f>IFERROR(VLOOKUP(B175,'बँक जमा खर्च पासबुक'!$BJ$8:$CD$111,21,0),"")</f>
        <v/>
      </c>
      <c r="O175" s="264" t="str">
        <f>IFERROR(M175+N175,"")</f>
        <v/>
      </c>
      <c r="P175" s="266" t="str">
        <f>IFERROR(P174+G175-M175,"")</f>
        <v/>
      </c>
      <c r="Q175" s="266" t="str">
        <f>IFERROR(Q174+H175-N175,"")</f>
        <v/>
      </c>
      <c r="R175" s="266" t="str">
        <f>IFERROR(R174+I175-O175,"")</f>
        <v/>
      </c>
    </row>
    <row r="176" spans="2:18" ht="25.5" customHeight="1" x14ac:dyDescent="0.4">
      <c r="B176" s="172">
        <v>3</v>
      </c>
      <c r="C176" s="234" t="str">
        <f>IFERROR(VLOOKUP(B176,'बँक जमा खर्च पासबुक'!$BJ$8:$CD$111,11,0),"")</f>
        <v/>
      </c>
      <c r="D176" s="354" t="str">
        <f>IFERROR(VLOOKUP(B176,'बँक जमा खर्च पासबुक'!$BJ$8:$CD$111,14,0),"")</f>
        <v/>
      </c>
      <c r="E176" s="240" t="str">
        <f>IFERROR(VLOOKUP(B176,'बँक जमा खर्च पासबुक'!$BJ$8:$CD$111,12,0),"")</f>
        <v/>
      </c>
      <c r="F176" s="241" t="str">
        <f>IFERROR(VLOOKUP(B176,'बँक जमा खर्च पासबुक'!$BJ$8:$CD$111,13,0),"")</f>
        <v/>
      </c>
      <c r="G176" s="264" t="str">
        <f>IFERROR(VLOOKUP(B176,'बँक जमा खर्च पासबुक'!$BJ$8:$CD$111,18,0),"")</f>
        <v/>
      </c>
      <c r="H176" s="264" t="str">
        <f>IFERROR(VLOOKUP(B176,'बँक जमा खर्च पासबुक'!$BJ$8:$CD$111,19,0),"")</f>
        <v/>
      </c>
      <c r="I176" s="264" t="str">
        <f t="shared" si="45"/>
        <v/>
      </c>
      <c r="J176" s="244" t="str">
        <f>IFERROR(VLOOKUP(B176,'बँक जमा खर्च पासबुक'!$BJ$8:$CD$111,17,0),"")</f>
        <v/>
      </c>
      <c r="K176" s="240" t="str">
        <f>IFERROR(VLOOKUP(B176,'बँक जमा खर्च पासबुक'!$BJ$8:$CD$111,15,0),"")</f>
        <v/>
      </c>
      <c r="L176" s="241" t="str">
        <f>IFERROR(VLOOKUP(B176,'बँक जमा खर्च पासबुक'!$BJ$8:$CD$111,16,0),"")</f>
        <v/>
      </c>
      <c r="M176" s="264" t="str">
        <f>IFERROR(VLOOKUP(B176,'बँक जमा खर्च पासबुक'!$BJ$8:$CD$111,20,0),"")</f>
        <v/>
      </c>
      <c r="N176" s="264" t="str">
        <f>IFERROR(VLOOKUP(B176,'बँक जमा खर्च पासबुक'!$BJ$8:$CD$111,21,0),"")</f>
        <v/>
      </c>
      <c r="O176" s="264" t="str">
        <f t="shared" ref="O176:O181" si="46">IFERROR(M176+N176,"")</f>
        <v/>
      </c>
      <c r="P176" s="266" t="str">
        <f t="shared" ref="P176:P181" si="47">IFERROR(P175+G176-M176,"")</f>
        <v/>
      </c>
      <c r="Q176" s="266" t="str">
        <f t="shared" ref="Q176:Q181" si="48">IFERROR(Q175+H176-N176,"")</f>
        <v/>
      </c>
      <c r="R176" s="266" t="str">
        <f t="shared" ref="R176:R181" si="49">IFERROR(R175+I176-O176,"")</f>
        <v/>
      </c>
    </row>
    <row r="177" spans="2:18" ht="25.5" customHeight="1" x14ac:dyDescent="0.4">
      <c r="B177" s="172">
        <v>4</v>
      </c>
      <c r="C177" s="234" t="str">
        <f>IFERROR(VLOOKUP(B177,'बँक जमा खर्च पासबुक'!$BJ$8:$CD$111,11,0),"")</f>
        <v/>
      </c>
      <c r="D177" s="354" t="str">
        <f>IFERROR(VLOOKUP(B177,'बँक जमा खर्च पासबुक'!$BJ$8:$CD$111,14,0),"")</f>
        <v/>
      </c>
      <c r="E177" s="240" t="str">
        <f>IFERROR(VLOOKUP(B177,'बँक जमा खर्च पासबुक'!$BJ$8:$CD$111,12,0),"")</f>
        <v/>
      </c>
      <c r="F177" s="241" t="str">
        <f>IFERROR(VLOOKUP(B177,'बँक जमा खर्च पासबुक'!$BJ$8:$CD$111,13,0),"")</f>
        <v/>
      </c>
      <c r="G177" s="264" t="str">
        <f>IFERROR(VLOOKUP(B177,'बँक जमा खर्च पासबुक'!$BJ$8:$CD$111,18,0),"")</f>
        <v/>
      </c>
      <c r="H177" s="264" t="str">
        <f>IFERROR(VLOOKUP(B177,'बँक जमा खर्च पासबुक'!$BJ$8:$CD$111,19,0),"")</f>
        <v/>
      </c>
      <c r="I177" s="264" t="str">
        <f t="shared" si="45"/>
        <v/>
      </c>
      <c r="J177" s="244" t="str">
        <f>IFERROR(VLOOKUP(B177,'बँक जमा खर्च पासबुक'!$BJ$8:$CD$111,17,0),"")</f>
        <v/>
      </c>
      <c r="K177" s="240" t="str">
        <f>IFERROR(VLOOKUP(B177,'बँक जमा खर्च पासबुक'!$BJ$8:$CD$111,15,0),"")</f>
        <v/>
      </c>
      <c r="L177" s="241" t="str">
        <f>IFERROR(VLOOKUP(B177,'बँक जमा खर्च पासबुक'!$BJ$8:$CD$111,16,0),"")</f>
        <v/>
      </c>
      <c r="M177" s="264" t="str">
        <f>IFERROR(VLOOKUP(B177,'बँक जमा खर्च पासबुक'!$BJ$8:$CD$111,20,0),"")</f>
        <v/>
      </c>
      <c r="N177" s="264" t="str">
        <f>IFERROR(VLOOKUP(B177,'बँक जमा खर्च पासबुक'!$BJ$8:$CD$111,21,0),"")</f>
        <v/>
      </c>
      <c r="O177" s="264" t="str">
        <f t="shared" si="46"/>
        <v/>
      </c>
      <c r="P177" s="266" t="str">
        <f t="shared" si="47"/>
        <v/>
      </c>
      <c r="Q177" s="266" t="str">
        <f t="shared" si="48"/>
        <v/>
      </c>
      <c r="R177" s="266" t="str">
        <f t="shared" si="49"/>
        <v/>
      </c>
    </row>
    <row r="178" spans="2:18" ht="25.5" customHeight="1" x14ac:dyDescent="0.4">
      <c r="B178" s="172">
        <v>5</v>
      </c>
      <c r="C178" s="234" t="str">
        <f>IFERROR(VLOOKUP(B178,'बँक जमा खर्च पासबुक'!$BJ$8:$CD$111,11,0),"")</f>
        <v/>
      </c>
      <c r="D178" s="354" t="str">
        <f>IFERROR(VLOOKUP(B178,'बँक जमा खर्च पासबुक'!$BJ$8:$CD$111,14,0),"")</f>
        <v/>
      </c>
      <c r="E178" s="240" t="str">
        <f>IFERROR(VLOOKUP(B178,'बँक जमा खर्च पासबुक'!$BJ$8:$CD$111,12,0),"")</f>
        <v/>
      </c>
      <c r="F178" s="241" t="str">
        <f>IFERROR(VLOOKUP(B178,'बँक जमा खर्च पासबुक'!$BJ$8:$CD$111,13,0),"")</f>
        <v/>
      </c>
      <c r="G178" s="264" t="str">
        <f>IFERROR(VLOOKUP(B178,'बँक जमा खर्च पासबुक'!$BJ$8:$CD$111,18,0),"")</f>
        <v/>
      </c>
      <c r="H178" s="264" t="str">
        <f>IFERROR(VLOOKUP(B178,'बँक जमा खर्च पासबुक'!$BJ$8:$CD$111,19,0),"")</f>
        <v/>
      </c>
      <c r="I178" s="264" t="str">
        <f t="shared" si="45"/>
        <v/>
      </c>
      <c r="J178" s="244" t="str">
        <f>IFERROR(VLOOKUP(B178,'बँक जमा खर्च पासबुक'!$BJ$8:$CD$111,17,0),"")</f>
        <v/>
      </c>
      <c r="K178" s="240" t="str">
        <f>IFERROR(VLOOKUP(B178,'बँक जमा खर्च पासबुक'!$BJ$8:$CD$111,15,0),"")</f>
        <v/>
      </c>
      <c r="L178" s="241" t="str">
        <f>IFERROR(VLOOKUP(B178,'बँक जमा खर्च पासबुक'!$BJ$8:$CD$111,16,0),"")</f>
        <v/>
      </c>
      <c r="M178" s="264" t="str">
        <f>IFERROR(VLOOKUP(B178,'बँक जमा खर्च पासबुक'!$BJ$8:$CD$111,20,0),"")</f>
        <v/>
      </c>
      <c r="N178" s="264" t="str">
        <f>IFERROR(VLOOKUP(B178,'बँक जमा खर्च पासबुक'!$BJ$8:$CD$111,21,0),"")</f>
        <v/>
      </c>
      <c r="O178" s="264" t="str">
        <f t="shared" si="46"/>
        <v/>
      </c>
      <c r="P178" s="266" t="str">
        <f t="shared" si="47"/>
        <v/>
      </c>
      <c r="Q178" s="266" t="str">
        <f t="shared" si="48"/>
        <v/>
      </c>
      <c r="R178" s="266" t="str">
        <f t="shared" si="49"/>
        <v/>
      </c>
    </row>
    <row r="179" spans="2:18" ht="25.5" customHeight="1" x14ac:dyDescent="0.4">
      <c r="B179" s="172">
        <v>6</v>
      </c>
      <c r="C179" s="234" t="str">
        <f>IFERROR(VLOOKUP(B179,'बँक जमा खर्च पासबुक'!$BJ$8:$CD$111,11,0),"")</f>
        <v/>
      </c>
      <c r="D179" s="354" t="str">
        <f>IFERROR(VLOOKUP(B179,'बँक जमा खर्च पासबुक'!$BJ$8:$CD$111,14,0),"")</f>
        <v/>
      </c>
      <c r="E179" s="240" t="str">
        <f>IFERROR(VLOOKUP(B179,'बँक जमा खर्च पासबुक'!$BJ$8:$CD$111,12,0),"")</f>
        <v/>
      </c>
      <c r="F179" s="241" t="str">
        <f>IFERROR(VLOOKUP(B179,'बँक जमा खर्च पासबुक'!$BJ$8:$CD$111,13,0),"")</f>
        <v/>
      </c>
      <c r="G179" s="264" t="str">
        <f>IFERROR(VLOOKUP(B179,'बँक जमा खर्च पासबुक'!$BJ$8:$CD$111,18,0),"")</f>
        <v/>
      </c>
      <c r="H179" s="264" t="str">
        <f>IFERROR(VLOOKUP(B179,'बँक जमा खर्च पासबुक'!$BJ$8:$CD$111,19,0),"")</f>
        <v/>
      </c>
      <c r="I179" s="264" t="str">
        <f t="shared" si="45"/>
        <v/>
      </c>
      <c r="J179" s="244" t="str">
        <f>IFERROR(VLOOKUP(B179,'बँक जमा खर्च पासबुक'!$BJ$8:$CD$111,17,0),"")</f>
        <v/>
      </c>
      <c r="K179" s="240" t="str">
        <f>IFERROR(VLOOKUP(B179,'बँक जमा खर्च पासबुक'!$BJ$8:$CD$111,15,0),"")</f>
        <v/>
      </c>
      <c r="L179" s="241" t="str">
        <f>IFERROR(VLOOKUP(B179,'बँक जमा खर्च पासबुक'!$BJ$8:$CD$111,16,0),"")</f>
        <v/>
      </c>
      <c r="M179" s="264" t="str">
        <f>IFERROR(VLOOKUP(B179,'बँक जमा खर्च पासबुक'!$BJ$8:$CD$111,20,0),"")</f>
        <v/>
      </c>
      <c r="N179" s="264" t="str">
        <f>IFERROR(VLOOKUP(B179,'बँक जमा खर्च पासबुक'!$BJ$8:$CD$111,21,0),"")</f>
        <v/>
      </c>
      <c r="O179" s="264" t="str">
        <f t="shared" si="46"/>
        <v/>
      </c>
      <c r="P179" s="266" t="str">
        <f t="shared" si="47"/>
        <v/>
      </c>
      <c r="Q179" s="266" t="str">
        <f t="shared" si="48"/>
        <v/>
      </c>
      <c r="R179" s="266" t="str">
        <f t="shared" si="49"/>
        <v/>
      </c>
    </row>
    <row r="180" spans="2:18" ht="25.5" customHeight="1" x14ac:dyDescent="0.4">
      <c r="B180" s="172">
        <v>7</v>
      </c>
      <c r="C180" s="234" t="str">
        <f>IFERROR(VLOOKUP(B180,'बँक जमा खर्च पासबुक'!$BJ$8:$CD$111,11,0),"")</f>
        <v/>
      </c>
      <c r="D180" s="354" t="str">
        <f>IFERROR(VLOOKUP(B180,'बँक जमा खर्च पासबुक'!$BJ$8:$CD$111,14,0),"")</f>
        <v/>
      </c>
      <c r="E180" s="240" t="str">
        <f>IFERROR(VLOOKUP(B180,'बँक जमा खर्च पासबुक'!$BJ$8:$CD$111,12,0),"")</f>
        <v/>
      </c>
      <c r="F180" s="241" t="str">
        <f>IFERROR(VLOOKUP(B180,'बँक जमा खर्च पासबुक'!$BJ$8:$CD$111,13,0),"")</f>
        <v/>
      </c>
      <c r="G180" s="264" t="str">
        <f>IFERROR(VLOOKUP(B180,'बँक जमा खर्च पासबुक'!$BJ$8:$CD$111,18,0),"")</f>
        <v/>
      </c>
      <c r="H180" s="264" t="str">
        <f>IFERROR(VLOOKUP(B180,'बँक जमा खर्च पासबुक'!$BJ$8:$CD$111,19,0),"")</f>
        <v/>
      </c>
      <c r="I180" s="264" t="str">
        <f t="shared" si="45"/>
        <v/>
      </c>
      <c r="J180" s="244" t="str">
        <f>IFERROR(VLOOKUP(B180,'बँक जमा खर्च पासबुक'!$BJ$8:$CD$111,17,0),"")</f>
        <v/>
      </c>
      <c r="K180" s="240" t="str">
        <f>IFERROR(VLOOKUP(B180,'बँक जमा खर्च पासबुक'!$BJ$8:$CD$111,15,0),"")</f>
        <v/>
      </c>
      <c r="L180" s="241" t="str">
        <f>IFERROR(VLOOKUP(B180,'बँक जमा खर्च पासबुक'!$BJ$8:$CD$111,16,0),"")</f>
        <v/>
      </c>
      <c r="M180" s="264" t="str">
        <f>IFERROR(VLOOKUP(B180,'बँक जमा खर्च पासबुक'!$BJ$8:$CD$111,20,0),"")</f>
        <v/>
      </c>
      <c r="N180" s="264" t="str">
        <f>IFERROR(VLOOKUP(B180,'बँक जमा खर्च पासबुक'!$BJ$8:$CD$111,21,0),"")</f>
        <v/>
      </c>
      <c r="O180" s="264" t="str">
        <f t="shared" si="46"/>
        <v/>
      </c>
      <c r="P180" s="266" t="str">
        <f t="shared" si="47"/>
        <v/>
      </c>
      <c r="Q180" s="266" t="str">
        <f t="shared" si="48"/>
        <v/>
      </c>
      <c r="R180" s="266" t="str">
        <f t="shared" si="49"/>
        <v/>
      </c>
    </row>
    <row r="181" spans="2:18" ht="25.5" customHeight="1" x14ac:dyDescent="0.4">
      <c r="B181" s="172">
        <v>8</v>
      </c>
      <c r="C181" s="234" t="str">
        <f>IFERROR(VLOOKUP(B181,'बँक जमा खर्च पासबुक'!$BJ$8:$CD$111,11,0),"")</f>
        <v/>
      </c>
      <c r="D181" s="354" t="str">
        <f>IFERROR(VLOOKUP(B181,'बँक जमा खर्च पासबुक'!$BJ$8:$CD$111,14,0),"")</f>
        <v/>
      </c>
      <c r="E181" s="240" t="str">
        <f>IFERROR(VLOOKUP(B181,'बँक जमा खर्च पासबुक'!$BJ$8:$CD$111,12,0),"")</f>
        <v/>
      </c>
      <c r="F181" s="241" t="str">
        <f>IFERROR(VLOOKUP(B181,'बँक जमा खर्च पासबुक'!$BJ$8:$CD$111,13,0),"")</f>
        <v/>
      </c>
      <c r="G181" s="264" t="str">
        <f>IFERROR(VLOOKUP(B181,'बँक जमा खर्च पासबुक'!$BJ$8:$CD$111,18,0),"")</f>
        <v/>
      </c>
      <c r="H181" s="264" t="str">
        <f>IFERROR(VLOOKUP(B181,'बँक जमा खर्च पासबुक'!$BJ$8:$CD$111,19,0),"")</f>
        <v/>
      </c>
      <c r="I181" s="264" t="str">
        <f t="shared" si="45"/>
        <v/>
      </c>
      <c r="J181" s="244" t="str">
        <f>IFERROR(VLOOKUP(B181,'बँक जमा खर्च पासबुक'!$BJ$8:$CD$111,17,0),"")</f>
        <v/>
      </c>
      <c r="K181" s="240" t="str">
        <f>IFERROR(VLOOKUP(B181,'बँक जमा खर्च पासबुक'!$BJ$8:$CD$111,15,0),"")</f>
        <v/>
      </c>
      <c r="L181" s="241" t="str">
        <f>IFERROR(VLOOKUP(B181,'बँक जमा खर्च पासबुक'!$BJ$8:$CD$111,16,0),"")</f>
        <v/>
      </c>
      <c r="M181" s="264" t="str">
        <f>IFERROR(VLOOKUP(B181,'बँक जमा खर्च पासबुक'!$BJ$8:$CD$111,20,0),"")</f>
        <v/>
      </c>
      <c r="N181" s="264" t="str">
        <f>IFERROR(VLOOKUP(B181,'बँक जमा खर्च पासबुक'!$BJ$8:$CD$111,21,0),"")</f>
        <v/>
      </c>
      <c r="O181" s="264" t="str">
        <f t="shared" si="46"/>
        <v/>
      </c>
      <c r="P181" s="266" t="str">
        <f t="shared" si="47"/>
        <v/>
      </c>
      <c r="Q181" s="266" t="str">
        <f t="shared" si="48"/>
        <v/>
      </c>
      <c r="R181" s="266" t="str">
        <f t="shared" si="49"/>
        <v/>
      </c>
    </row>
    <row r="182" spans="2:18" ht="25.5" customHeight="1" x14ac:dyDescent="0.4">
      <c r="B182" s="172"/>
      <c r="C182" s="713"/>
      <c r="D182" s="391" t="s">
        <v>35</v>
      </c>
      <c r="E182" s="785"/>
      <c r="F182" s="786"/>
      <c r="G182" s="262">
        <f>SUM(G173:G181)</f>
        <v>0</v>
      </c>
      <c r="H182" s="262">
        <f>SUM(H173:H181)</f>
        <v>0</v>
      </c>
      <c r="I182" s="262">
        <f>SUM(I173:I181)</f>
        <v>0</v>
      </c>
      <c r="J182" s="391"/>
      <c r="K182" s="785"/>
      <c r="L182" s="786"/>
      <c r="M182" s="266">
        <f>SUM(M174:M181)</f>
        <v>0</v>
      </c>
      <c r="N182" s="266">
        <f>SUM(N174:N181)</f>
        <v>0</v>
      </c>
      <c r="O182" s="266">
        <f>SUM(O174:O181)</f>
        <v>0</v>
      </c>
      <c r="P182" s="266">
        <f>G182-M182</f>
        <v>0</v>
      </c>
      <c r="Q182" s="266">
        <f>H182-N182</f>
        <v>0</v>
      </c>
      <c r="R182" s="266">
        <f>I182-O182</f>
        <v>0</v>
      </c>
    </row>
    <row r="183" spans="2:18" ht="25.5" customHeight="1" x14ac:dyDescent="0.4">
      <c r="B183" s="21"/>
      <c r="G183" s="787"/>
      <c r="H183" s="787"/>
      <c r="I183" s="787"/>
      <c r="M183" s="788"/>
      <c r="N183" s="788"/>
      <c r="O183" s="788"/>
      <c r="P183" s="788"/>
      <c r="Q183" s="788"/>
      <c r="R183" s="788"/>
    </row>
    <row r="184" spans="2:18" ht="25.5" customHeight="1" thickBot="1" x14ac:dyDescent="0.45"/>
    <row r="185" spans="2:18" ht="25.5" customHeight="1" thickBot="1" x14ac:dyDescent="0.45">
      <c r="B185" s="772" t="s">
        <v>644</v>
      </c>
      <c r="C185" s="773" t="s">
        <v>638</v>
      </c>
      <c r="D185" s="351" t="str">
        <f>D14</f>
        <v>शा.पो.आ.भांडी अनुदान</v>
      </c>
      <c r="E185" s="802"/>
      <c r="F185" s="774"/>
      <c r="G185" s="773" t="s">
        <v>312</v>
      </c>
      <c r="H185" s="238">
        <f>HOME!$E$2</f>
        <v>2022</v>
      </c>
      <c r="I185" s="238">
        <f>HOME!$F$2</f>
        <v>2023</v>
      </c>
      <c r="J185" s="773"/>
      <c r="K185" s="775"/>
      <c r="L185" s="776"/>
      <c r="M185" s="777"/>
      <c r="N185" s="777"/>
      <c r="O185" s="777"/>
      <c r="P185" s="777"/>
      <c r="Q185" s="777"/>
      <c r="R185" s="778"/>
    </row>
    <row r="187" spans="2:18" ht="25.5" customHeight="1" x14ac:dyDescent="0.4">
      <c r="B187" s="1411" t="s">
        <v>86</v>
      </c>
      <c r="C187" s="1413" t="s">
        <v>17</v>
      </c>
      <c r="D187" s="1410" t="s">
        <v>553</v>
      </c>
      <c r="E187" s="1410"/>
      <c r="F187" s="1410"/>
      <c r="G187" s="1410" t="s">
        <v>544</v>
      </c>
      <c r="H187" s="1410"/>
      <c r="I187" s="1410"/>
      <c r="J187" s="1407" t="s">
        <v>554</v>
      </c>
      <c r="K187" s="1408"/>
      <c r="L187" s="1409"/>
      <c r="M187" s="1410" t="s">
        <v>545</v>
      </c>
      <c r="N187" s="1410"/>
      <c r="O187" s="1410"/>
      <c r="P187" s="1410" t="s">
        <v>637</v>
      </c>
      <c r="Q187" s="1410"/>
      <c r="R187" s="1410"/>
    </row>
    <row r="188" spans="2:18" ht="25.5" customHeight="1" x14ac:dyDescent="0.4">
      <c r="B188" s="1412"/>
      <c r="C188" s="1414"/>
      <c r="D188" s="1407" t="s">
        <v>636</v>
      </c>
      <c r="E188" s="1408"/>
      <c r="F188" s="1409"/>
      <c r="G188" s="582" t="s">
        <v>586</v>
      </c>
      <c r="H188" s="582" t="s">
        <v>587</v>
      </c>
      <c r="I188" s="582" t="s">
        <v>35</v>
      </c>
      <c r="J188" s="1407" t="s">
        <v>636</v>
      </c>
      <c r="K188" s="1408"/>
      <c r="L188" s="1409"/>
      <c r="M188" s="582" t="s">
        <v>586</v>
      </c>
      <c r="N188" s="582" t="s">
        <v>587</v>
      </c>
      <c r="O188" s="582" t="s">
        <v>35</v>
      </c>
      <c r="P188" s="582" t="s">
        <v>586</v>
      </c>
      <c r="Q188" s="582" t="s">
        <v>587</v>
      </c>
      <c r="R188" s="582" t="s">
        <v>35</v>
      </c>
    </row>
    <row r="189" spans="2:18" ht="25.5" customHeight="1" x14ac:dyDescent="0.4">
      <c r="B189" s="779"/>
      <c r="C189" s="780"/>
      <c r="D189" s="1404" t="s">
        <v>87</v>
      </c>
      <c r="E189" s="1405"/>
      <c r="F189" s="1406"/>
      <c r="G189" s="264">
        <f>'Balance sheet'!D17</f>
        <v>0</v>
      </c>
      <c r="H189" s="264">
        <f>'Balance sheet'!E17</f>
        <v>0</v>
      </c>
      <c r="I189" s="264">
        <f>SUM(G189:H189)</f>
        <v>0</v>
      </c>
      <c r="J189" s="789"/>
      <c r="K189" s="782"/>
      <c r="L189" s="783"/>
      <c r="M189" s="792"/>
      <c r="N189" s="792"/>
      <c r="O189" s="792"/>
      <c r="P189" s="792"/>
      <c r="Q189" s="792"/>
      <c r="R189" s="792"/>
    </row>
    <row r="190" spans="2:18" ht="25.5" customHeight="1" x14ac:dyDescent="0.4">
      <c r="B190" s="172">
        <v>1</v>
      </c>
      <c r="C190" s="234" t="str">
        <f>IFERROR(VLOOKUP(B190,'बँक जमा खर्च पासबुक'!$BK$8:$CD$111,10,0),"")</f>
        <v/>
      </c>
      <c r="D190" s="354" t="str">
        <f>IFERROR(VLOOKUP(B190,'बँक जमा खर्च पासबुक'!$BK$8:$CD$111,13,0),"")</f>
        <v/>
      </c>
      <c r="E190" s="240" t="str">
        <f>IFERROR(VLOOKUP(B190,'बँक जमा खर्च पासबुक'!$BK$8:$CD$111,11,0),"")</f>
        <v/>
      </c>
      <c r="F190" s="241" t="str">
        <f>IFERROR(VLOOKUP(B190,'बँक जमा खर्च पासबुक'!$BK$8:$CD$111,12,0),"")</f>
        <v/>
      </c>
      <c r="G190" s="264" t="str">
        <f>IFERROR(VLOOKUP(B190,'बँक जमा खर्च पासबुक'!$BK$8:$CD$111,17,0),"")</f>
        <v/>
      </c>
      <c r="H190" s="264" t="str">
        <f>IFERROR(VLOOKUP(B190,'बँक जमा खर्च पासबुक'!$BK$8:$CD$111,18,0),"")</f>
        <v/>
      </c>
      <c r="I190" s="264" t="str">
        <f>IFERROR(G190+H190,"")</f>
        <v/>
      </c>
      <c r="J190" s="244" t="str">
        <f>IFERROR(VLOOKUP(B190,'बँक जमा खर्च पासबुक'!$BK$8:$CD$111,16,0),"")</f>
        <v/>
      </c>
      <c r="K190" s="240" t="str">
        <f>IFERROR(VLOOKUP(B190,'बँक जमा खर्च पासबुक'!$BK$8:$CD$111,14,0),"")</f>
        <v/>
      </c>
      <c r="L190" s="241" t="str">
        <f>IFERROR(VLOOKUP(B190,'बँक जमा खर्च पासबुक'!$BK$8:$CD$111,15,0),"")</f>
        <v/>
      </c>
      <c r="M190" s="264" t="str">
        <f>IFERROR(VLOOKUP(B190,'बँक जमा खर्च पासबुक'!$BK$8:$CD$111,19,0),"")</f>
        <v/>
      </c>
      <c r="N190" s="264" t="str">
        <f>IFERROR(VLOOKUP(B190,'बँक जमा खर्च पासबुक'!$BK$8:$CD$111,20,0),"")</f>
        <v/>
      </c>
      <c r="O190" s="264" t="str">
        <f>IFERROR(M190+N190,"")</f>
        <v/>
      </c>
      <c r="P190" s="264" t="str">
        <f>IFERROR(G189+G190-M190,"")</f>
        <v/>
      </c>
      <c r="Q190" s="264" t="str">
        <f>IFERROR(H189+H190-N190,"")</f>
        <v/>
      </c>
      <c r="R190" s="264" t="str">
        <f>IFERROR(I189+I190-O190,"")</f>
        <v/>
      </c>
    </row>
    <row r="191" spans="2:18" ht="25.5" customHeight="1" x14ac:dyDescent="0.4">
      <c r="B191" s="172">
        <v>2</v>
      </c>
      <c r="C191" s="234" t="str">
        <f>IFERROR(VLOOKUP(B191,'बँक जमा खर्च पासबुक'!$BK$8:$CD$111,10,0),"")</f>
        <v/>
      </c>
      <c r="D191" s="354" t="str">
        <f>IFERROR(VLOOKUP(B191,'बँक जमा खर्च पासबुक'!$BK$8:$CD$111,13,0),"")</f>
        <v/>
      </c>
      <c r="E191" s="240" t="str">
        <f>IFERROR(VLOOKUP(B191,'बँक जमा खर्च पासबुक'!$BK$8:$CD$111,11,0),"")</f>
        <v/>
      </c>
      <c r="F191" s="241" t="str">
        <f>IFERROR(VLOOKUP(B191,'बँक जमा खर्च पासबुक'!$BK$8:$CD$111,12,0),"")</f>
        <v/>
      </c>
      <c r="G191" s="264" t="str">
        <f>IFERROR(VLOOKUP(B191,'बँक जमा खर्च पासबुक'!$BK$8:$CD$111,17,0),"")</f>
        <v/>
      </c>
      <c r="H191" s="264" t="str">
        <f>IFERROR(VLOOKUP(B191,'बँक जमा खर्च पासबुक'!$BK$8:$CD$111,18,0),"")</f>
        <v/>
      </c>
      <c r="I191" s="264" t="str">
        <f t="shared" ref="I191:I198" si="50">IFERROR(G191+H191,"")</f>
        <v/>
      </c>
      <c r="J191" s="244" t="str">
        <f>IFERROR(VLOOKUP(B191,'बँक जमा खर्च पासबुक'!$BK$8:$CD$111,16,0),"")</f>
        <v/>
      </c>
      <c r="K191" s="240" t="str">
        <f>IFERROR(VLOOKUP(B191,'बँक जमा खर्च पासबुक'!$BK$8:$CD$111,14,0),"")</f>
        <v/>
      </c>
      <c r="L191" s="241" t="str">
        <f>IFERROR(VLOOKUP(B191,'बँक जमा खर्च पासबुक'!$BK$8:$CD$111,15,0),"")</f>
        <v/>
      </c>
      <c r="M191" s="264" t="str">
        <f>IFERROR(VLOOKUP(B191,'बँक जमा खर्च पासबुक'!$BK$8:$CD$111,19,0),"")</f>
        <v/>
      </c>
      <c r="N191" s="264" t="str">
        <f>IFERROR(VLOOKUP(B191,'बँक जमा खर्च पासबुक'!$BK$8:$CD$111,20,0),"")</f>
        <v/>
      </c>
      <c r="O191" s="264" t="str">
        <f t="shared" ref="O191:O198" si="51">IFERROR(M191+N191,"")</f>
        <v/>
      </c>
      <c r="P191" s="266" t="str">
        <f>IFERROR(P190+G191-M191,"")</f>
        <v/>
      </c>
      <c r="Q191" s="266" t="str">
        <f>IFERROR(Q190+H191-N191,"")</f>
        <v/>
      </c>
      <c r="R191" s="266" t="str">
        <f>IFERROR(R190+I191-O191,"")</f>
        <v/>
      </c>
    </row>
    <row r="192" spans="2:18" ht="25.5" customHeight="1" x14ac:dyDescent="0.4">
      <c r="B192" s="172">
        <v>3</v>
      </c>
      <c r="C192" s="234" t="str">
        <f>IFERROR(VLOOKUP(B192,'बँक जमा खर्च पासबुक'!$BK$8:$CD$111,10,0),"")</f>
        <v/>
      </c>
      <c r="D192" s="354" t="str">
        <f>IFERROR(VLOOKUP(B192,'बँक जमा खर्च पासबुक'!$BK$8:$CD$111,13,0),"")</f>
        <v/>
      </c>
      <c r="E192" s="240" t="str">
        <f>IFERROR(VLOOKUP(B192,'बँक जमा खर्च पासबुक'!$BK$8:$CD$111,11,0),"")</f>
        <v/>
      </c>
      <c r="F192" s="241" t="str">
        <f>IFERROR(VLOOKUP(B192,'बँक जमा खर्च पासबुक'!$BK$8:$CD$111,12,0),"")</f>
        <v/>
      </c>
      <c r="G192" s="264" t="str">
        <f>IFERROR(VLOOKUP(B192,'बँक जमा खर्च पासबुक'!$BK$8:$CD$111,17,0),"")</f>
        <v/>
      </c>
      <c r="H192" s="264" t="str">
        <f>IFERROR(VLOOKUP(B192,'बँक जमा खर्च पासबुक'!$BK$8:$CD$111,18,0),"")</f>
        <v/>
      </c>
      <c r="I192" s="264" t="str">
        <f t="shared" si="50"/>
        <v/>
      </c>
      <c r="J192" s="244" t="str">
        <f>IFERROR(VLOOKUP(B192,'बँक जमा खर्च पासबुक'!$BK$8:$CD$111,16,0),"")</f>
        <v/>
      </c>
      <c r="K192" s="240" t="str">
        <f>IFERROR(VLOOKUP(B192,'बँक जमा खर्च पासबुक'!$BK$8:$CD$111,14,0),"")</f>
        <v/>
      </c>
      <c r="L192" s="241" t="str">
        <f>IFERROR(VLOOKUP(B192,'बँक जमा खर्च पासबुक'!$BK$8:$CD$111,15,0),"")</f>
        <v/>
      </c>
      <c r="M192" s="264" t="str">
        <f>IFERROR(VLOOKUP(B192,'बँक जमा खर्च पासबुक'!$BK$8:$CD$111,19,0),"")</f>
        <v/>
      </c>
      <c r="N192" s="264" t="str">
        <f>IFERROR(VLOOKUP(B192,'बँक जमा खर्च पासबुक'!$BK$8:$CD$111,20,0),"")</f>
        <v/>
      </c>
      <c r="O192" s="264" t="str">
        <f t="shared" si="51"/>
        <v/>
      </c>
      <c r="P192" s="266" t="str">
        <f t="shared" ref="P192:P198" si="52">IFERROR(P191+G192-M192,"")</f>
        <v/>
      </c>
      <c r="Q192" s="266" t="str">
        <f t="shared" ref="Q192:Q198" si="53">IFERROR(Q191+H192-N192,"")</f>
        <v/>
      </c>
      <c r="R192" s="266" t="str">
        <f t="shared" ref="R192:R198" si="54">IFERROR(R191+I192-O192,"")</f>
        <v/>
      </c>
    </row>
    <row r="193" spans="2:18" ht="25.5" customHeight="1" x14ac:dyDescent="0.4">
      <c r="B193" s="172">
        <v>4</v>
      </c>
      <c r="C193" s="234" t="str">
        <f>IFERROR(VLOOKUP(B193,'बँक जमा खर्च पासबुक'!$BK$8:$CD$111,10,0),"")</f>
        <v/>
      </c>
      <c r="D193" s="354" t="str">
        <f>IFERROR(VLOOKUP(B193,'बँक जमा खर्च पासबुक'!$BK$8:$CD$111,13,0),"")</f>
        <v/>
      </c>
      <c r="E193" s="240" t="str">
        <f>IFERROR(VLOOKUP(B193,'बँक जमा खर्च पासबुक'!$BK$8:$CD$111,11,0),"")</f>
        <v/>
      </c>
      <c r="F193" s="241" t="str">
        <f>IFERROR(VLOOKUP(B193,'बँक जमा खर्च पासबुक'!$BK$8:$CD$111,12,0),"")</f>
        <v/>
      </c>
      <c r="G193" s="264" t="str">
        <f>IFERROR(VLOOKUP(B193,'बँक जमा खर्च पासबुक'!$BK$8:$CD$111,17,0),"")</f>
        <v/>
      </c>
      <c r="H193" s="264" t="str">
        <f>IFERROR(VLOOKUP(B193,'बँक जमा खर्च पासबुक'!$BK$8:$CD$111,18,0),"")</f>
        <v/>
      </c>
      <c r="I193" s="264" t="str">
        <f t="shared" si="50"/>
        <v/>
      </c>
      <c r="J193" s="244" t="str">
        <f>IFERROR(VLOOKUP(B193,'बँक जमा खर्च पासबुक'!$BK$8:$CD$111,16,0),"")</f>
        <v/>
      </c>
      <c r="K193" s="240" t="str">
        <f>IFERROR(VLOOKUP(B193,'बँक जमा खर्च पासबुक'!$BK$8:$CD$111,14,0),"")</f>
        <v/>
      </c>
      <c r="L193" s="241" t="str">
        <f>IFERROR(VLOOKUP(B193,'बँक जमा खर्च पासबुक'!$BK$8:$CD$111,15,0),"")</f>
        <v/>
      </c>
      <c r="M193" s="264" t="str">
        <f>IFERROR(VLOOKUP(B193,'बँक जमा खर्च पासबुक'!$BK$8:$CD$111,19,0),"")</f>
        <v/>
      </c>
      <c r="N193" s="264" t="str">
        <f>IFERROR(VLOOKUP(B193,'बँक जमा खर्च पासबुक'!$BK$8:$CD$111,20,0),"")</f>
        <v/>
      </c>
      <c r="O193" s="264" t="str">
        <f t="shared" si="51"/>
        <v/>
      </c>
      <c r="P193" s="266" t="str">
        <f t="shared" si="52"/>
        <v/>
      </c>
      <c r="Q193" s="266" t="str">
        <f t="shared" si="53"/>
        <v/>
      </c>
      <c r="R193" s="266" t="str">
        <f t="shared" si="54"/>
        <v/>
      </c>
    </row>
    <row r="194" spans="2:18" ht="25.5" customHeight="1" x14ac:dyDescent="0.4">
      <c r="B194" s="172">
        <v>5</v>
      </c>
      <c r="C194" s="234" t="str">
        <f>IFERROR(VLOOKUP(B194,'बँक जमा खर्च पासबुक'!$BK$8:$CD$111,10,0),"")</f>
        <v/>
      </c>
      <c r="D194" s="354" t="str">
        <f>IFERROR(VLOOKUP(B194,'बँक जमा खर्च पासबुक'!$BK$8:$CD$111,13,0),"")</f>
        <v/>
      </c>
      <c r="E194" s="240" t="str">
        <f>IFERROR(VLOOKUP(B194,'बँक जमा खर्च पासबुक'!$BK$8:$CD$111,11,0),"")</f>
        <v/>
      </c>
      <c r="F194" s="241" t="str">
        <f>IFERROR(VLOOKUP(B194,'बँक जमा खर्च पासबुक'!$BK$8:$CD$111,12,0),"")</f>
        <v/>
      </c>
      <c r="G194" s="264" t="str">
        <f>IFERROR(VLOOKUP(B194,'बँक जमा खर्च पासबुक'!$BK$8:$CD$111,17,0),"")</f>
        <v/>
      </c>
      <c r="H194" s="264" t="str">
        <f>IFERROR(VLOOKUP(B194,'बँक जमा खर्च पासबुक'!$BK$8:$CD$111,18,0),"")</f>
        <v/>
      </c>
      <c r="I194" s="264" t="str">
        <f t="shared" si="50"/>
        <v/>
      </c>
      <c r="J194" s="244" t="str">
        <f>IFERROR(VLOOKUP(B194,'बँक जमा खर्च पासबुक'!$BK$8:$CD$111,16,0),"")</f>
        <v/>
      </c>
      <c r="K194" s="240" t="str">
        <f>IFERROR(VLOOKUP(B194,'बँक जमा खर्च पासबुक'!$BK$8:$CD$111,14,0),"")</f>
        <v/>
      </c>
      <c r="L194" s="241" t="str">
        <f>IFERROR(VLOOKUP(B194,'बँक जमा खर्च पासबुक'!$BK$8:$CD$111,15,0),"")</f>
        <v/>
      </c>
      <c r="M194" s="264" t="str">
        <f>IFERROR(VLOOKUP(B194,'बँक जमा खर्च पासबुक'!$BK$8:$CD$111,19,0),"")</f>
        <v/>
      </c>
      <c r="N194" s="264" t="str">
        <f>IFERROR(VLOOKUP(B194,'बँक जमा खर्च पासबुक'!$BK$8:$CD$111,20,0),"")</f>
        <v/>
      </c>
      <c r="O194" s="264" t="str">
        <f t="shared" si="51"/>
        <v/>
      </c>
      <c r="P194" s="266" t="str">
        <f t="shared" si="52"/>
        <v/>
      </c>
      <c r="Q194" s="266" t="str">
        <f t="shared" si="53"/>
        <v/>
      </c>
      <c r="R194" s="266" t="str">
        <f t="shared" si="54"/>
        <v/>
      </c>
    </row>
    <row r="195" spans="2:18" ht="25.5" customHeight="1" x14ac:dyDescent="0.4">
      <c r="B195" s="172">
        <v>6</v>
      </c>
      <c r="C195" s="234" t="str">
        <f>IFERROR(VLOOKUP(B195,'बँक जमा खर्च पासबुक'!$BK$8:$CD$111,10,0),"")</f>
        <v/>
      </c>
      <c r="D195" s="354" t="str">
        <f>IFERROR(VLOOKUP(B195,'बँक जमा खर्च पासबुक'!$BK$8:$CD$111,13,0),"")</f>
        <v/>
      </c>
      <c r="E195" s="240" t="str">
        <f>IFERROR(VLOOKUP(B195,'बँक जमा खर्च पासबुक'!$BK$8:$CD$111,11,0),"")</f>
        <v/>
      </c>
      <c r="F195" s="241" t="str">
        <f>IFERROR(VLOOKUP(B195,'बँक जमा खर्च पासबुक'!$BK$8:$CD$111,12,0),"")</f>
        <v/>
      </c>
      <c r="G195" s="264" t="str">
        <f>IFERROR(VLOOKUP(B195,'बँक जमा खर्च पासबुक'!$BK$8:$CD$111,17,0),"")</f>
        <v/>
      </c>
      <c r="H195" s="264" t="str">
        <f>IFERROR(VLOOKUP(B195,'बँक जमा खर्च पासबुक'!$BK$8:$CD$111,18,0),"")</f>
        <v/>
      </c>
      <c r="I195" s="264" t="str">
        <f t="shared" si="50"/>
        <v/>
      </c>
      <c r="J195" s="244" t="str">
        <f>IFERROR(VLOOKUP(B195,'बँक जमा खर्च पासबुक'!$BK$8:$CD$111,16,0),"")</f>
        <v/>
      </c>
      <c r="K195" s="240" t="str">
        <f>IFERROR(VLOOKUP(B195,'बँक जमा खर्च पासबुक'!$BK$8:$CD$111,14,0),"")</f>
        <v/>
      </c>
      <c r="L195" s="241" t="str">
        <f>IFERROR(VLOOKUP(B195,'बँक जमा खर्च पासबुक'!$BK$8:$CD$111,15,0),"")</f>
        <v/>
      </c>
      <c r="M195" s="264" t="str">
        <f>IFERROR(VLOOKUP(B195,'बँक जमा खर्च पासबुक'!$BK$8:$CD$111,19,0),"")</f>
        <v/>
      </c>
      <c r="N195" s="264" t="str">
        <f>IFERROR(VLOOKUP(B195,'बँक जमा खर्च पासबुक'!$BK$8:$CD$111,20,0),"")</f>
        <v/>
      </c>
      <c r="O195" s="264" t="str">
        <f t="shared" si="51"/>
        <v/>
      </c>
      <c r="P195" s="266" t="str">
        <f t="shared" si="52"/>
        <v/>
      </c>
      <c r="Q195" s="266" t="str">
        <f t="shared" si="53"/>
        <v/>
      </c>
      <c r="R195" s="266" t="str">
        <f t="shared" si="54"/>
        <v/>
      </c>
    </row>
    <row r="196" spans="2:18" ht="25.5" customHeight="1" x14ac:dyDescent="0.4">
      <c r="B196" s="172">
        <v>7</v>
      </c>
      <c r="C196" s="234" t="str">
        <f>IFERROR(VLOOKUP(B196,'बँक जमा खर्च पासबुक'!$BK$8:$CD$111,10,0),"")</f>
        <v/>
      </c>
      <c r="D196" s="354" t="str">
        <f>IFERROR(VLOOKUP(B196,'बँक जमा खर्च पासबुक'!$BK$8:$CD$111,13,0),"")</f>
        <v/>
      </c>
      <c r="E196" s="240" t="str">
        <f>IFERROR(VLOOKUP(B196,'बँक जमा खर्च पासबुक'!$BK$8:$CD$111,11,0),"")</f>
        <v/>
      </c>
      <c r="F196" s="241" t="str">
        <f>IFERROR(VLOOKUP(B196,'बँक जमा खर्च पासबुक'!$BK$8:$CD$111,12,0),"")</f>
        <v/>
      </c>
      <c r="G196" s="264" t="str">
        <f>IFERROR(VLOOKUP(B196,'बँक जमा खर्च पासबुक'!$BK$8:$CD$111,17,0),"")</f>
        <v/>
      </c>
      <c r="H196" s="264" t="str">
        <f>IFERROR(VLOOKUP(B196,'बँक जमा खर्च पासबुक'!$BK$8:$CD$111,18,0),"")</f>
        <v/>
      </c>
      <c r="I196" s="264" t="str">
        <f t="shared" si="50"/>
        <v/>
      </c>
      <c r="J196" s="244" t="str">
        <f>IFERROR(VLOOKUP(B196,'बँक जमा खर्च पासबुक'!$BK$8:$CD$111,16,0),"")</f>
        <v/>
      </c>
      <c r="K196" s="240" t="str">
        <f>IFERROR(VLOOKUP(B196,'बँक जमा खर्च पासबुक'!$BK$8:$CD$111,14,0),"")</f>
        <v/>
      </c>
      <c r="L196" s="241" t="str">
        <f>IFERROR(VLOOKUP(B196,'बँक जमा खर्च पासबुक'!$BK$8:$CD$111,15,0),"")</f>
        <v/>
      </c>
      <c r="M196" s="264" t="str">
        <f>IFERROR(VLOOKUP(B196,'बँक जमा खर्च पासबुक'!$BK$8:$CD$111,19,0),"")</f>
        <v/>
      </c>
      <c r="N196" s="264" t="str">
        <f>IFERROR(VLOOKUP(B196,'बँक जमा खर्च पासबुक'!$BK$8:$CD$111,20,0),"")</f>
        <v/>
      </c>
      <c r="O196" s="264" t="str">
        <f t="shared" si="51"/>
        <v/>
      </c>
      <c r="P196" s="266" t="str">
        <f t="shared" si="52"/>
        <v/>
      </c>
      <c r="Q196" s="266" t="str">
        <f t="shared" si="53"/>
        <v/>
      </c>
      <c r="R196" s="266" t="str">
        <f t="shared" si="54"/>
        <v/>
      </c>
    </row>
    <row r="197" spans="2:18" ht="25.5" customHeight="1" x14ac:dyDescent="0.4">
      <c r="B197" s="172">
        <v>8</v>
      </c>
      <c r="C197" s="234" t="str">
        <f>IFERROR(VLOOKUP(B197,'बँक जमा खर्च पासबुक'!$BK$8:$CD$111,10,0),"")</f>
        <v/>
      </c>
      <c r="D197" s="354" t="str">
        <f>IFERROR(VLOOKUP(B197,'बँक जमा खर्च पासबुक'!$BK$8:$CD$111,13,0),"")</f>
        <v/>
      </c>
      <c r="E197" s="240" t="str">
        <f>IFERROR(VLOOKUP(B197,'बँक जमा खर्च पासबुक'!$BK$8:$CD$111,11,0),"")</f>
        <v/>
      </c>
      <c r="F197" s="241" t="str">
        <f>IFERROR(VLOOKUP(B197,'बँक जमा खर्च पासबुक'!$BK$8:$CD$111,12,0),"")</f>
        <v/>
      </c>
      <c r="G197" s="264" t="str">
        <f>IFERROR(VLOOKUP(B197,'बँक जमा खर्च पासबुक'!$BK$8:$CD$111,17,0),"")</f>
        <v/>
      </c>
      <c r="H197" s="264" t="str">
        <f>IFERROR(VLOOKUP(B197,'बँक जमा खर्च पासबुक'!$BK$8:$CD$111,18,0),"")</f>
        <v/>
      </c>
      <c r="I197" s="264" t="str">
        <f t="shared" si="50"/>
        <v/>
      </c>
      <c r="J197" s="244" t="str">
        <f>IFERROR(VLOOKUP(B197,'बँक जमा खर्च पासबुक'!$BK$8:$CD$111,16,0),"")</f>
        <v/>
      </c>
      <c r="K197" s="240" t="str">
        <f>IFERROR(VLOOKUP(B197,'बँक जमा खर्च पासबुक'!$BK$8:$CD$111,14,0),"")</f>
        <v/>
      </c>
      <c r="L197" s="241" t="str">
        <f>IFERROR(VLOOKUP(B197,'बँक जमा खर्च पासबुक'!$BK$8:$CD$111,15,0),"")</f>
        <v/>
      </c>
      <c r="M197" s="264" t="str">
        <f>IFERROR(VLOOKUP(B197,'बँक जमा खर्च पासबुक'!$BK$8:$CD$111,19,0),"")</f>
        <v/>
      </c>
      <c r="N197" s="264" t="str">
        <f>IFERROR(VLOOKUP(B197,'बँक जमा खर्च पासबुक'!$BK$8:$CD$111,20,0),"")</f>
        <v/>
      </c>
      <c r="O197" s="264" t="str">
        <f t="shared" si="51"/>
        <v/>
      </c>
      <c r="P197" s="266" t="str">
        <f t="shared" si="52"/>
        <v/>
      </c>
      <c r="Q197" s="266" t="str">
        <f t="shared" si="53"/>
        <v/>
      </c>
      <c r="R197" s="266" t="str">
        <f t="shared" si="54"/>
        <v/>
      </c>
    </row>
    <row r="198" spans="2:18" ht="25.5" customHeight="1" x14ac:dyDescent="0.4">
      <c r="B198" s="172">
        <v>9</v>
      </c>
      <c r="C198" s="234" t="str">
        <f>IFERROR(VLOOKUP(B198,'बँक जमा खर्च पासबुक'!$BK$8:$CD$111,10,0),"")</f>
        <v/>
      </c>
      <c r="D198" s="354" t="str">
        <f>IFERROR(VLOOKUP(B198,'बँक जमा खर्च पासबुक'!$BK$8:$CD$111,13,0),"")</f>
        <v/>
      </c>
      <c r="E198" s="240" t="str">
        <f>IFERROR(VLOOKUP(B198,'बँक जमा खर्च पासबुक'!$BK$8:$CD$111,11,0),"")</f>
        <v/>
      </c>
      <c r="F198" s="241" t="str">
        <f>IFERROR(VLOOKUP(B198,'बँक जमा खर्च पासबुक'!$BK$8:$CD$111,12,0),"")</f>
        <v/>
      </c>
      <c r="G198" s="264" t="str">
        <f>IFERROR(VLOOKUP(B198,'बँक जमा खर्च पासबुक'!$BK$8:$CD$111,17,0),"")</f>
        <v/>
      </c>
      <c r="H198" s="264" t="str">
        <f>IFERROR(VLOOKUP(B198,'बँक जमा खर्च पासबुक'!$BK$8:$CD$111,18,0),"")</f>
        <v/>
      </c>
      <c r="I198" s="264" t="str">
        <f t="shared" si="50"/>
        <v/>
      </c>
      <c r="J198" s="244" t="str">
        <f>IFERROR(VLOOKUP(B198,'बँक जमा खर्च पासबुक'!$BK$8:$CD$111,16,0),"")</f>
        <v/>
      </c>
      <c r="K198" s="240" t="str">
        <f>IFERROR(VLOOKUP(B198,'बँक जमा खर्च पासबुक'!$BK$8:$CD$111,14,0),"")</f>
        <v/>
      </c>
      <c r="L198" s="241" t="str">
        <f>IFERROR(VLOOKUP(B198,'बँक जमा खर्च पासबुक'!$BK$8:$CD$111,15,0),"")</f>
        <v/>
      </c>
      <c r="M198" s="264" t="str">
        <f>IFERROR(VLOOKUP(B198,'बँक जमा खर्च पासबुक'!$BK$8:$CD$111,19,0),"")</f>
        <v/>
      </c>
      <c r="N198" s="264" t="str">
        <f>IFERROR(VLOOKUP(B198,'बँक जमा खर्च पासबुक'!$BK$8:$CD$111,20,0),"")</f>
        <v/>
      </c>
      <c r="O198" s="264" t="str">
        <f t="shared" si="51"/>
        <v/>
      </c>
      <c r="P198" s="266" t="str">
        <f t="shared" si="52"/>
        <v/>
      </c>
      <c r="Q198" s="266" t="str">
        <f t="shared" si="53"/>
        <v/>
      </c>
      <c r="R198" s="266" t="str">
        <f t="shared" si="54"/>
        <v/>
      </c>
    </row>
    <row r="199" spans="2:18" ht="25.5" customHeight="1" x14ac:dyDescent="0.4">
      <c r="B199" s="172"/>
      <c r="C199" s="713"/>
      <c r="D199" s="391" t="s">
        <v>35</v>
      </c>
      <c r="E199" s="785"/>
      <c r="F199" s="786"/>
      <c r="G199" s="262">
        <f>SUM(G189:G198)</f>
        <v>0</v>
      </c>
      <c r="H199" s="262">
        <f>SUM(H189:H198)</f>
        <v>0</v>
      </c>
      <c r="I199" s="262">
        <f>SUM(I189:I198)</f>
        <v>0</v>
      </c>
      <c r="J199" s="391"/>
      <c r="K199" s="785"/>
      <c r="L199" s="786"/>
      <c r="M199" s="266">
        <f>SUM(M190:M198)</f>
        <v>0</v>
      </c>
      <c r="N199" s="266">
        <f>SUM(N190:N198)</f>
        <v>0</v>
      </c>
      <c r="O199" s="266">
        <f>SUM(O190:O198)</f>
        <v>0</v>
      </c>
      <c r="P199" s="266">
        <f>G199-M199</f>
        <v>0</v>
      </c>
      <c r="Q199" s="266">
        <f>H199-N199</f>
        <v>0</v>
      </c>
      <c r="R199" s="266">
        <f>I199-O199</f>
        <v>0</v>
      </c>
    </row>
    <row r="200" spans="2:18" ht="25.5" customHeight="1" x14ac:dyDescent="0.4">
      <c r="B200" s="21"/>
      <c r="G200" s="787"/>
      <c r="H200" s="787"/>
      <c r="I200" s="787"/>
      <c r="M200" s="788"/>
      <c r="N200" s="788"/>
      <c r="O200" s="788"/>
      <c r="P200" s="788"/>
      <c r="Q200" s="788"/>
      <c r="R200" s="788"/>
    </row>
    <row r="201" spans="2:18" ht="25.5" customHeight="1" thickBot="1" x14ac:dyDescent="0.45"/>
    <row r="202" spans="2:18" ht="25.5" customHeight="1" thickBot="1" x14ac:dyDescent="0.45">
      <c r="B202" s="772" t="s">
        <v>643</v>
      </c>
      <c r="C202" s="773" t="s">
        <v>639</v>
      </c>
      <c r="D202" s="351" t="str">
        <f>D15</f>
        <v>बँक अनामत</v>
      </c>
      <c r="E202" s="802"/>
      <c r="F202" s="774"/>
      <c r="G202" s="773" t="s">
        <v>312</v>
      </c>
      <c r="H202" s="238">
        <f>HOME!$E$2</f>
        <v>2022</v>
      </c>
      <c r="I202" s="238">
        <f>HOME!$F$2</f>
        <v>2023</v>
      </c>
      <c r="J202" s="773"/>
      <c r="K202" s="775"/>
      <c r="L202" s="776"/>
      <c r="M202" s="777"/>
      <c r="N202" s="777"/>
      <c r="O202" s="777"/>
      <c r="P202" s="777"/>
      <c r="Q202" s="777"/>
      <c r="R202" s="778"/>
    </row>
    <row r="204" spans="2:18" ht="25.5" customHeight="1" x14ac:dyDescent="0.4">
      <c r="B204" s="1411" t="s">
        <v>86</v>
      </c>
      <c r="C204" s="1413" t="s">
        <v>17</v>
      </c>
      <c r="D204" s="1410" t="s">
        <v>553</v>
      </c>
      <c r="E204" s="1410"/>
      <c r="F204" s="1410"/>
      <c r="G204" s="1410" t="s">
        <v>544</v>
      </c>
      <c r="H204" s="1410"/>
      <c r="I204" s="1410"/>
      <c r="J204" s="1407" t="s">
        <v>554</v>
      </c>
      <c r="K204" s="1408"/>
      <c r="L204" s="1409"/>
      <c r="M204" s="1410" t="s">
        <v>545</v>
      </c>
      <c r="N204" s="1410"/>
      <c r="O204" s="1410"/>
      <c r="P204" s="1410" t="s">
        <v>637</v>
      </c>
      <c r="Q204" s="1410"/>
      <c r="R204" s="1410"/>
    </row>
    <row r="205" spans="2:18" ht="25.5" customHeight="1" x14ac:dyDescent="0.4">
      <c r="B205" s="1412"/>
      <c r="C205" s="1414"/>
      <c r="D205" s="1407" t="s">
        <v>636</v>
      </c>
      <c r="E205" s="1408"/>
      <c r="F205" s="1409"/>
      <c r="G205" s="582" t="s">
        <v>586</v>
      </c>
      <c r="H205" s="582" t="s">
        <v>587</v>
      </c>
      <c r="I205" s="582" t="s">
        <v>35</v>
      </c>
      <c r="J205" s="1407" t="s">
        <v>636</v>
      </c>
      <c r="K205" s="1408"/>
      <c r="L205" s="1409"/>
      <c r="M205" s="582" t="s">
        <v>586</v>
      </c>
      <c r="N205" s="582" t="s">
        <v>587</v>
      </c>
      <c r="O205" s="582" t="s">
        <v>35</v>
      </c>
      <c r="P205" s="582" t="s">
        <v>586</v>
      </c>
      <c r="Q205" s="582" t="s">
        <v>587</v>
      </c>
      <c r="R205" s="582" t="s">
        <v>35</v>
      </c>
    </row>
    <row r="206" spans="2:18" ht="25.5" customHeight="1" x14ac:dyDescent="0.4">
      <c r="B206" s="779"/>
      <c r="C206" s="780"/>
      <c r="D206" s="1404" t="s">
        <v>87</v>
      </c>
      <c r="E206" s="1405"/>
      <c r="F206" s="1406"/>
      <c r="G206" s="264">
        <f>'Balance sheet'!D18</f>
        <v>0</v>
      </c>
      <c r="H206" s="264">
        <f>'Balance sheet'!E18</f>
        <v>0</v>
      </c>
      <c r="I206" s="264">
        <f>SUM(G206:H206)</f>
        <v>0</v>
      </c>
      <c r="J206" s="781"/>
      <c r="K206" s="782"/>
      <c r="L206" s="783"/>
      <c r="M206" s="792"/>
      <c r="N206" s="792"/>
      <c r="O206" s="792"/>
      <c r="P206" s="792"/>
      <c r="Q206" s="792"/>
      <c r="R206" s="792"/>
    </row>
    <row r="207" spans="2:18" ht="25.5" customHeight="1" x14ac:dyDescent="0.4">
      <c r="B207" s="172">
        <v>1</v>
      </c>
      <c r="C207" s="234" t="str">
        <f>IFERROR(VLOOKUP(B207,'बँक जमा खर्च पासबुक'!$BL$8:$CD$111,9,0),"")</f>
        <v/>
      </c>
      <c r="D207" s="354" t="str">
        <f>IFERROR(VLOOKUP(B207,'बँक जमा खर्च पासबुक'!$BL$8:$CD$111,12,0),"")</f>
        <v/>
      </c>
      <c r="E207" s="240" t="str">
        <f>IFERROR(VLOOKUP(B207,'बँक जमा खर्च पासबुक'!$BL$8:$CD$111,10,0),"")</f>
        <v/>
      </c>
      <c r="F207" s="241" t="str">
        <f>IFERROR(VLOOKUP(B207,'बँक जमा खर्च पासबुक'!$BL$8:$CD$111,11,0),"")</f>
        <v/>
      </c>
      <c r="G207" s="262" t="str">
        <f>IFERROR(VLOOKUP(B207,'बँक जमा खर्च पासबुक'!$BL$8:$CD$111,16,0),"")</f>
        <v/>
      </c>
      <c r="H207" s="262" t="str">
        <f>IFERROR(VLOOKUP(B207,'बँक जमा खर्च पासबुक'!$BL$8:$CD$111,17,0),"")</f>
        <v/>
      </c>
      <c r="I207" s="262" t="str">
        <f>IFERROR(G207+H207,"")</f>
        <v/>
      </c>
      <c r="J207" s="354" t="str">
        <f>IFERROR(VLOOKUP(B207,'बँक जमा खर्च पासबुक'!$BL$8:$CD$111,15,0),"")</f>
        <v/>
      </c>
      <c r="K207" s="240" t="str">
        <f>IFERROR(VLOOKUP(B207,'बँक जमा खर्च पासबुक'!$BL$8:$CD$111,13,0),"")</f>
        <v/>
      </c>
      <c r="L207" s="241" t="str">
        <f>IFERROR(VLOOKUP(B207,'बँक जमा खर्च पासबुक'!$BL$8:$CD$111,14,0),"")</f>
        <v/>
      </c>
      <c r="M207" s="266" t="str">
        <f>IFERROR(VLOOKUP(B207,'बँक जमा खर्च पासबुक'!$BL$8:$CD$111,18,0),"")</f>
        <v/>
      </c>
      <c r="N207" s="266" t="str">
        <f>IFERROR(VLOOKUP(B207,'बँक जमा खर्च पासबुक'!$BL$8:$CD$111,19,0),"")</f>
        <v/>
      </c>
      <c r="O207" s="266" t="str">
        <f>IFERROR(M207+N207,"")</f>
        <v/>
      </c>
      <c r="P207" s="266" t="str">
        <f>IFERROR(G206+G207-M207,"")</f>
        <v/>
      </c>
      <c r="Q207" s="266" t="str">
        <f>IFERROR(H206+H207-N207,"")</f>
        <v/>
      </c>
      <c r="R207" s="266" t="str">
        <f>IFERROR(I206+I207-O207,"")</f>
        <v/>
      </c>
    </row>
    <row r="208" spans="2:18" ht="25.5" customHeight="1" x14ac:dyDescent="0.4">
      <c r="B208" s="172">
        <v>2</v>
      </c>
      <c r="C208" s="234" t="str">
        <f>IFERROR(VLOOKUP(B208,'बँक जमा खर्च पासबुक'!$BL$8:$CD$111,9,0),"")</f>
        <v/>
      </c>
      <c r="D208" s="354" t="str">
        <f>IFERROR(VLOOKUP(B208,'बँक जमा खर्च पासबुक'!$BL$8:$CD$111,12,0),"")</f>
        <v/>
      </c>
      <c r="E208" s="240" t="str">
        <f>IFERROR(VLOOKUP(B208,'बँक जमा खर्च पासबुक'!$BL$8:$CD$111,10,0),"")</f>
        <v/>
      </c>
      <c r="F208" s="241" t="str">
        <f>IFERROR(VLOOKUP(B208,'बँक जमा खर्च पासबुक'!$BL$8:$CD$111,11,0),"")</f>
        <v/>
      </c>
      <c r="G208" s="262" t="str">
        <f>IFERROR(VLOOKUP(B208,'बँक जमा खर्च पासबुक'!$BL$8:$CD$111,16,0),"")</f>
        <v/>
      </c>
      <c r="H208" s="262" t="str">
        <f>IFERROR(VLOOKUP(B208,'बँक जमा खर्च पासबुक'!$BL$8:$CD$111,17,0),"")</f>
        <v/>
      </c>
      <c r="I208" s="262" t="str">
        <f t="shared" ref="I208:I213" si="55">IFERROR(G208+H208,"")</f>
        <v/>
      </c>
      <c r="J208" s="354" t="str">
        <f>IFERROR(VLOOKUP(B208,'बँक जमा खर्च पासबुक'!$BL$8:$CD$111,15,0),"")</f>
        <v/>
      </c>
      <c r="K208" s="240" t="str">
        <f>IFERROR(VLOOKUP(B208,'बँक जमा खर्च पासबुक'!$BL$8:$CD$111,13,0),"")</f>
        <v/>
      </c>
      <c r="L208" s="241" t="str">
        <f>IFERROR(VLOOKUP(B208,'बँक जमा खर्च पासबुक'!$BL$8:$CD$111,14,0),"")</f>
        <v/>
      </c>
      <c r="M208" s="266" t="str">
        <f>IFERROR(VLOOKUP(B208,'बँक जमा खर्च पासबुक'!$BL$8:$CD$111,18,0),"")</f>
        <v/>
      </c>
      <c r="N208" s="266" t="str">
        <f>IFERROR(VLOOKUP(B208,'बँक जमा खर्च पासबुक'!$BL$8:$CD$111,19,0),"")</f>
        <v/>
      </c>
      <c r="O208" s="266" t="str">
        <f t="shared" ref="O208:O213" si="56">IFERROR(M208+N208,"")</f>
        <v/>
      </c>
      <c r="P208" s="266" t="str">
        <f>IFERROR(P207+G208-M208,"")</f>
        <v/>
      </c>
      <c r="Q208" s="266" t="str">
        <f>IFERROR(Q207+H208-N208,"")</f>
        <v/>
      </c>
      <c r="R208" s="266" t="str">
        <f>IFERROR(R207+I208-O208,"")</f>
        <v/>
      </c>
    </row>
    <row r="209" spans="2:18" ht="25.5" customHeight="1" x14ac:dyDescent="0.4">
      <c r="B209" s="172">
        <v>3</v>
      </c>
      <c r="C209" s="234" t="str">
        <f>IFERROR(VLOOKUP(B209,'बँक जमा खर्च पासबुक'!$BL$8:$CD$111,9,0),"")</f>
        <v/>
      </c>
      <c r="D209" s="354" t="str">
        <f>IFERROR(VLOOKUP(B209,'बँक जमा खर्च पासबुक'!$BL$8:$CD$111,12,0),"")</f>
        <v/>
      </c>
      <c r="E209" s="240" t="str">
        <f>IFERROR(VLOOKUP(B209,'बँक जमा खर्च पासबुक'!$BL$8:$CD$111,10,0),"")</f>
        <v/>
      </c>
      <c r="F209" s="241" t="str">
        <f>IFERROR(VLOOKUP(B209,'बँक जमा खर्च पासबुक'!$BL$8:$CD$111,11,0),"")</f>
        <v/>
      </c>
      <c r="G209" s="262" t="str">
        <f>IFERROR(VLOOKUP(B209,'बँक जमा खर्च पासबुक'!$BL$8:$CD$111,16,0),"")</f>
        <v/>
      </c>
      <c r="H209" s="262" t="str">
        <f>IFERROR(VLOOKUP(B209,'बँक जमा खर्च पासबुक'!$BL$8:$CD$111,17,0),"")</f>
        <v/>
      </c>
      <c r="I209" s="262" t="str">
        <f t="shared" si="55"/>
        <v/>
      </c>
      <c r="J209" s="354" t="str">
        <f>IFERROR(VLOOKUP(B209,'बँक जमा खर्च पासबुक'!$BL$8:$CD$111,15,0),"")</f>
        <v/>
      </c>
      <c r="K209" s="240" t="str">
        <f>IFERROR(VLOOKUP(B209,'बँक जमा खर्च पासबुक'!$BL$8:$CD$111,13,0),"")</f>
        <v/>
      </c>
      <c r="L209" s="241" t="str">
        <f>IFERROR(VLOOKUP(B209,'बँक जमा खर्च पासबुक'!$BL$8:$CD$111,14,0),"")</f>
        <v/>
      </c>
      <c r="M209" s="266" t="str">
        <f>IFERROR(VLOOKUP(B209,'बँक जमा खर्च पासबुक'!$BL$8:$CD$111,18,0),"")</f>
        <v/>
      </c>
      <c r="N209" s="266" t="str">
        <f>IFERROR(VLOOKUP(B209,'बँक जमा खर्च पासबुक'!$BL$8:$CD$111,19,0),"")</f>
        <v/>
      </c>
      <c r="O209" s="266" t="str">
        <f t="shared" si="56"/>
        <v/>
      </c>
      <c r="P209" s="266" t="str">
        <f t="shared" ref="P209:P213" si="57">IFERROR(P208+G209-M209,"")</f>
        <v/>
      </c>
      <c r="Q209" s="266" t="str">
        <f t="shared" ref="Q209:Q213" si="58">IFERROR(Q208+H209-N209,"")</f>
        <v/>
      </c>
      <c r="R209" s="266" t="str">
        <f t="shared" ref="R209:R213" si="59">IFERROR(R208+I209-O209,"")</f>
        <v/>
      </c>
    </row>
    <row r="210" spans="2:18" ht="25.5" customHeight="1" x14ac:dyDescent="0.4">
      <c r="B210" s="172">
        <v>4</v>
      </c>
      <c r="C210" s="234" t="str">
        <f>IFERROR(VLOOKUP(B210,'बँक जमा खर्च पासबुक'!$BL$8:$CD$111,9,0),"")</f>
        <v/>
      </c>
      <c r="D210" s="354" t="str">
        <f>IFERROR(VLOOKUP(B210,'बँक जमा खर्च पासबुक'!$BL$8:$CD$111,12,0),"")</f>
        <v/>
      </c>
      <c r="E210" s="240" t="str">
        <f>IFERROR(VLOOKUP(B210,'बँक जमा खर्च पासबुक'!$BL$8:$CD$111,10,0),"")</f>
        <v/>
      </c>
      <c r="F210" s="241" t="str">
        <f>IFERROR(VLOOKUP(B210,'बँक जमा खर्च पासबुक'!$BL$8:$CD$111,11,0),"")</f>
        <v/>
      </c>
      <c r="G210" s="262" t="str">
        <f>IFERROR(VLOOKUP(B210,'बँक जमा खर्च पासबुक'!$BL$8:$CD$111,16,0),"")</f>
        <v/>
      </c>
      <c r="H210" s="262" t="str">
        <f>IFERROR(VLOOKUP(B210,'बँक जमा खर्च पासबुक'!$BL$8:$CD$111,17,0),"")</f>
        <v/>
      </c>
      <c r="I210" s="262" t="str">
        <f t="shared" si="55"/>
        <v/>
      </c>
      <c r="J210" s="354" t="str">
        <f>IFERROR(VLOOKUP(B210,'बँक जमा खर्च पासबुक'!$BL$8:$CD$111,15,0),"")</f>
        <v/>
      </c>
      <c r="K210" s="240" t="str">
        <f>IFERROR(VLOOKUP(B210,'बँक जमा खर्च पासबुक'!$BL$8:$CD$111,13,0),"")</f>
        <v/>
      </c>
      <c r="L210" s="241" t="str">
        <f>IFERROR(VLOOKUP(B210,'बँक जमा खर्च पासबुक'!$BL$8:$CD$111,14,0),"")</f>
        <v/>
      </c>
      <c r="M210" s="266" t="str">
        <f>IFERROR(VLOOKUP(B210,'बँक जमा खर्च पासबुक'!$BL$8:$CD$111,18,0),"")</f>
        <v/>
      </c>
      <c r="N210" s="266" t="str">
        <f>IFERROR(VLOOKUP(B210,'बँक जमा खर्च पासबुक'!$BL$8:$CD$111,19,0),"")</f>
        <v/>
      </c>
      <c r="O210" s="266" t="str">
        <f t="shared" si="56"/>
        <v/>
      </c>
      <c r="P210" s="266" t="str">
        <f t="shared" si="57"/>
        <v/>
      </c>
      <c r="Q210" s="266" t="str">
        <f t="shared" si="58"/>
        <v/>
      </c>
      <c r="R210" s="266" t="str">
        <f t="shared" si="59"/>
        <v/>
      </c>
    </row>
    <row r="211" spans="2:18" ht="25.5" customHeight="1" x14ac:dyDescent="0.4">
      <c r="B211" s="172">
        <v>5</v>
      </c>
      <c r="C211" s="234" t="str">
        <f>IFERROR(VLOOKUP(B211,'बँक जमा खर्च पासबुक'!$BL$8:$CD$111,9,0),"")</f>
        <v/>
      </c>
      <c r="D211" s="354" t="str">
        <f>IFERROR(VLOOKUP(B211,'बँक जमा खर्च पासबुक'!$BL$8:$CD$111,12,0),"")</f>
        <v/>
      </c>
      <c r="E211" s="240" t="str">
        <f>IFERROR(VLOOKUP(B211,'बँक जमा खर्च पासबुक'!$BL$8:$CD$111,10,0),"")</f>
        <v/>
      </c>
      <c r="F211" s="241" t="str">
        <f>IFERROR(VLOOKUP(B211,'बँक जमा खर्च पासबुक'!$BL$8:$CD$111,11,0),"")</f>
        <v/>
      </c>
      <c r="G211" s="262" t="str">
        <f>IFERROR(VLOOKUP(B211,'बँक जमा खर्च पासबुक'!$BL$8:$CD$111,16,0),"")</f>
        <v/>
      </c>
      <c r="H211" s="262" t="str">
        <f>IFERROR(VLOOKUP(B211,'बँक जमा खर्च पासबुक'!$BL$8:$CD$111,17,0),"")</f>
        <v/>
      </c>
      <c r="I211" s="262" t="str">
        <f t="shared" si="55"/>
        <v/>
      </c>
      <c r="J211" s="354" t="str">
        <f>IFERROR(VLOOKUP(B211,'बँक जमा खर्च पासबुक'!$BL$8:$CD$111,15,0),"")</f>
        <v/>
      </c>
      <c r="K211" s="240" t="str">
        <f>IFERROR(VLOOKUP(B211,'बँक जमा खर्च पासबुक'!$BL$8:$CD$111,13,0),"")</f>
        <v/>
      </c>
      <c r="L211" s="241" t="str">
        <f>IFERROR(VLOOKUP(B211,'बँक जमा खर्च पासबुक'!$BL$8:$CD$111,14,0),"")</f>
        <v/>
      </c>
      <c r="M211" s="266" t="str">
        <f>IFERROR(VLOOKUP(B211,'बँक जमा खर्च पासबुक'!$BL$8:$CD$111,18,0),"")</f>
        <v/>
      </c>
      <c r="N211" s="266" t="str">
        <f>IFERROR(VLOOKUP(B211,'बँक जमा खर्च पासबुक'!$BL$8:$CD$111,19,0),"")</f>
        <v/>
      </c>
      <c r="O211" s="266" t="str">
        <f t="shared" si="56"/>
        <v/>
      </c>
      <c r="P211" s="266" t="str">
        <f t="shared" si="57"/>
        <v/>
      </c>
      <c r="Q211" s="266" t="str">
        <f t="shared" si="58"/>
        <v/>
      </c>
      <c r="R211" s="266" t="str">
        <f t="shared" si="59"/>
        <v/>
      </c>
    </row>
    <row r="212" spans="2:18" ht="25.5" customHeight="1" x14ac:dyDescent="0.4">
      <c r="B212" s="172">
        <v>6</v>
      </c>
      <c r="C212" s="234" t="str">
        <f>IFERROR(VLOOKUP(B212,'बँक जमा खर्च पासबुक'!$BL$8:$CD$111,9,0),"")</f>
        <v/>
      </c>
      <c r="D212" s="354" t="str">
        <f>IFERROR(VLOOKUP(B212,'बँक जमा खर्च पासबुक'!$BL$8:$CD$111,12,0),"")</f>
        <v/>
      </c>
      <c r="E212" s="240" t="str">
        <f>IFERROR(VLOOKUP(B212,'बँक जमा खर्च पासबुक'!$BL$8:$CD$111,10,0),"")</f>
        <v/>
      </c>
      <c r="F212" s="241" t="str">
        <f>IFERROR(VLOOKUP(B212,'बँक जमा खर्च पासबुक'!$BL$8:$CD$111,11,0),"")</f>
        <v/>
      </c>
      <c r="G212" s="262" t="str">
        <f>IFERROR(VLOOKUP(B212,'बँक जमा खर्च पासबुक'!$BL$8:$CD$111,16,0),"")</f>
        <v/>
      </c>
      <c r="H212" s="262" t="str">
        <f>IFERROR(VLOOKUP(B212,'बँक जमा खर्च पासबुक'!$BL$8:$CD$111,17,0),"")</f>
        <v/>
      </c>
      <c r="I212" s="262" t="str">
        <f t="shared" si="55"/>
        <v/>
      </c>
      <c r="J212" s="354" t="str">
        <f>IFERROR(VLOOKUP(B212,'बँक जमा खर्च पासबुक'!$BL$8:$CD$111,15,0),"")</f>
        <v/>
      </c>
      <c r="K212" s="240" t="str">
        <f>IFERROR(VLOOKUP(B212,'बँक जमा खर्च पासबुक'!$BL$8:$CD$111,13,0),"")</f>
        <v/>
      </c>
      <c r="L212" s="241" t="str">
        <f>IFERROR(VLOOKUP(B212,'बँक जमा खर्च पासबुक'!$BL$8:$CD$111,14,0),"")</f>
        <v/>
      </c>
      <c r="M212" s="266" t="str">
        <f>IFERROR(VLOOKUP(B212,'बँक जमा खर्च पासबुक'!$BL$8:$CD$111,18,0),"")</f>
        <v/>
      </c>
      <c r="N212" s="266" t="str">
        <f>IFERROR(VLOOKUP(B212,'बँक जमा खर्च पासबुक'!$BL$8:$CD$111,19,0),"")</f>
        <v/>
      </c>
      <c r="O212" s="266" t="str">
        <f t="shared" si="56"/>
        <v/>
      </c>
      <c r="P212" s="266" t="str">
        <f t="shared" si="57"/>
        <v/>
      </c>
      <c r="Q212" s="266" t="str">
        <f t="shared" si="58"/>
        <v/>
      </c>
      <c r="R212" s="266" t="str">
        <f t="shared" si="59"/>
        <v/>
      </c>
    </row>
    <row r="213" spans="2:18" ht="25.5" customHeight="1" x14ac:dyDescent="0.4">
      <c r="B213" s="172">
        <v>7</v>
      </c>
      <c r="C213" s="234" t="str">
        <f>IFERROR(VLOOKUP(B213,'बँक जमा खर्च पासबुक'!$BL$8:$CD$111,9,0),"")</f>
        <v/>
      </c>
      <c r="D213" s="354" t="str">
        <f>IFERROR(VLOOKUP(B213,'बँक जमा खर्च पासबुक'!$BL$8:$CD$111,12,0),"")</f>
        <v/>
      </c>
      <c r="E213" s="240" t="str">
        <f>IFERROR(VLOOKUP(B213,'बँक जमा खर्च पासबुक'!$BL$8:$CD$111,10,0),"")</f>
        <v/>
      </c>
      <c r="F213" s="241" t="str">
        <f>IFERROR(VLOOKUP(B213,'बँक जमा खर्च पासबुक'!$BL$8:$CD$111,11,0),"")</f>
        <v/>
      </c>
      <c r="G213" s="262" t="str">
        <f>IFERROR(VLOOKUP(B213,'बँक जमा खर्च पासबुक'!$BL$8:$CD$111,16,0),"")</f>
        <v/>
      </c>
      <c r="H213" s="262" t="str">
        <f>IFERROR(VLOOKUP(B213,'बँक जमा खर्च पासबुक'!$BL$8:$CD$111,17,0),"")</f>
        <v/>
      </c>
      <c r="I213" s="262" t="str">
        <f t="shared" si="55"/>
        <v/>
      </c>
      <c r="J213" s="354" t="str">
        <f>IFERROR(VLOOKUP(B213,'बँक जमा खर्च पासबुक'!$BL$8:$CD$111,15,0),"")</f>
        <v/>
      </c>
      <c r="K213" s="240" t="str">
        <f>IFERROR(VLOOKUP(B213,'बँक जमा खर्च पासबुक'!$BL$8:$CD$111,13,0),"")</f>
        <v/>
      </c>
      <c r="L213" s="241" t="str">
        <f>IFERROR(VLOOKUP(B213,'बँक जमा खर्च पासबुक'!$BL$8:$CD$111,14,0),"")</f>
        <v/>
      </c>
      <c r="M213" s="266" t="str">
        <f>IFERROR(VLOOKUP(B213,'बँक जमा खर्च पासबुक'!$BL$8:$CD$111,18,0),"")</f>
        <v/>
      </c>
      <c r="N213" s="266" t="str">
        <f>IFERROR(VLOOKUP(B213,'बँक जमा खर्च पासबुक'!$BL$8:$CD$111,19,0),"")</f>
        <v/>
      </c>
      <c r="O213" s="266" t="str">
        <f t="shared" si="56"/>
        <v/>
      </c>
      <c r="P213" s="266" t="str">
        <f t="shared" si="57"/>
        <v/>
      </c>
      <c r="Q213" s="266" t="str">
        <f t="shared" si="58"/>
        <v/>
      </c>
      <c r="R213" s="266" t="str">
        <f t="shared" si="59"/>
        <v/>
      </c>
    </row>
    <row r="214" spans="2:18" ht="25.5" customHeight="1" x14ac:dyDescent="0.4">
      <c r="B214" s="172"/>
      <c r="C214" s="713"/>
      <c r="D214" s="391" t="s">
        <v>35</v>
      </c>
      <c r="E214" s="785"/>
      <c r="F214" s="786"/>
      <c r="G214" s="262">
        <f>SUM(G206:G213)</f>
        <v>0</v>
      </c>
      <c r="H214" s="262">
        <f>SUM(H206:H213)</f>
        <v>0</v>
      </c>
      <c r="I214" s="262">
        <f>SUM(I206:I213)</f>
        <v>0</v>
      </c>
      <c r="J214" s="391"/>
      <c r="K214" s="785"/>
      <c r="L214" s="786"/>
      <c r="M214" s="266">
        <f>SUM(M207:M213)</f>
        <v>0</v>
      </c>
      <c r="N214" s="266">
        <f>SUM(N207:N213)</f>
        <v>0</v>
      </c>
      <c r="O214" s="266">
        <f>SUM(O207:O213)</f>
        <v>0</v>
      </c>
      <c r="P214" s="266">
        <f>G214-M214</f>
        <v>0</v>
      </c>
      <c r="Q214" s="266">
        <f>H214-N214</f>
        <v>0</v>
      </c>
      <c r="R214" s="266">
        <f>I214-O214</f>
        <v>0</v>
      </c>
    </row>
    <row r="215" spans="2:18" ht="25.5" customHeight="1" x14ac:dyDescent="0.4">
      <c r="B215" s="21"/>
      <c r="G215" s="787"/>
      <c r="H215" s="787"/>
      <c r="I215" s="787"/>
      <c r="M215" s="788"/>
      <c r="N215" s="788"/>
      <c r="O215" s="788"/>
      <c r="P215" s="788"/>
      <c r="Q215" s="788"/>
      <c r="R215" s="788"/>
    </row>
    <row r="216" spans="2:18" ht="25.5" customHeight="1" thickBot="1" x14ac:dyDescent="0.45"/>
    <row r="217" spans="2:18" ht="25.5" customHeight="1" thickBot="1" x14ac:dyDescent="0.45">
      <c r="B217" s="772" t="s">
        <v>642</v>
      </c>
      <c r="C217" s="773" t="s">
        <v>638</v>
      </c>
      <c r="D217" s="351" t="str">
        <f>D16</f>
        <v>इतर अनुदान</v>
      </c>
      <c r="E217" s="802"/>
      <c r="F217" s="774"/>
      <c r="G217" s="773" t="s">
        <v>312</v>
      </c>
      <c r="H217" s="238">
        <f>HOME!$E$2</f>
        <v>2022</v>
      </c>
      <c r="I217" s="238">
        <f>HOME!$F$2</f>
        <v>2023</v>
      </c>
      <c r="J217" s="773"/>
      <c r="K217" s="775"/>
      <c r="L217" s="776"/>
      <c r="M217" s="777"/>
      <c r="N217" s="777"/>
      <c r="O217" s="777"/>
      <c r="P217" s="777"/>
      <c r="Q217" s="777"/>
      <c r="R217" s="778"/>
    </row>
    <row r="219" spans="2:18" ht="25.5" customHeight="1" x14ac:dyDescent="0.4">
      <c r="B219" s="1411" t="s">
        <v>86</v>
      </c>
      <c r="C219" s="1413" t="s">
        <v>17</v>
      </c>
      <c r="D219" s="1410" t="s">
        <v>553</v>
      </c>
      <c r="E219" s="1410"/>
      <c r="F219" s="1410"/>
      <c r="G219" s="1410" t="s">
        <v>544</v>
      </c>
      <c r="H219" s="1410"/>
      <c r="I219" s="1410"/>
      <c r="J219" s="1407" t="s">
        <v>554</v>
      </c>
      <c r="K219" s="1408"/>
      <c r="L219" s="1409"/>
      <c r="M219" s="1410" t="s">
        <v>545</v>
      </c>
      <c r="N219" s="1410"/>
      <c r="O219" s="1410"/>
      <c r="P219" s="1410" t="s">
        <v>637</v>
      </c>
      <c r="Q219" s="1410"/>
      <c r="R219" s="1410"/>
    </row>
    <row r="220" spans="2:18" ht="25.5" customHeight="1" x14ac:dyDescent="0.4">
      <c r="B220" s="1412"/>
      <c r="C220" s="1414"/>
      <c r="D220" s="1407" t="s">
        <v>636</v>
      </c>
      <c r="E220" s="1408"/>
      <c r="F220" s="1409"/>
      <c r="G220" s="582" t="s">
        <v>586</v>
      </c>
      <c r="H220" s="582" t="s">
        <v>587</v>
      </c>
      <c r="I220" s="582" t="s">
        <v>35</v>
      </c>
      <c r="J220" s="1407" t="s">
        <v>636</v>
      </c>
      <c r="K220" s="1408"/>
      <c r="L220" s="1409"/>
      <c r="M220" s="582" t="s">
        <v>586</v>
      </c>
      <c r="N220" s="582" t="s">
        <v>587</v>
      </c>
      <c r="O220" s="582" t="s">
        <v>35</v>
      </c>
      <c r="P220" s="582" t="s">
        <v>586</v>
      </c>
      <c r="Q220" s="582" t="s">
        <v>587</v>
      </c>
      <c r="R220" s="582" t="s">
        <v>35</v>
      </c>
    </row>
    <row r="221" spans="2:18" ht="25.5" customHeight="1" x14ac:dyDescent="0.4">
      <c r="B221" s="779"/>
      <c r="C221" s="780"/>
      <c r="D221" s="1404" t="s">
        <v>87</v>
      </c>
      <c r="E221" s="1405"/>
      <c r="F221" s="1406"/>
      <c r="G221" s="264">
        <f>'Balance sheet'!D19</f>
        <v>0</v>
      </c>
      <c r="H221" s="264">
        <f>'Balance sheet'!E19</f>
        <v>0</v>
      </c>
      <c r="I221" s="264">
        <f>SUM(G221:H221)</f>
        <v>0</v>
      </c>
      <c r="J221" s="789"/>
      <c r="K221" s="782"/>
      <c r="L221" s="783"/>
      <c r="M221" s="792"/>
      <c r="N221" s="792"/>
      <c r="O221" s="792"/>
      <c r="P221" s="792"/>
      <c r="Q221" s="792"/>
      <c r="R221" s="792"/>
    </row>
    <row r="222" spans="2:18" ht="25.5" customHeight="1" x14ac:dyDescent="0.4">
      <c r="B222" s="172">
        <v>1</v>
      </c>
      <c r="C222" s="234" t="str">
        <f>IFERROR(VLOOKUP(B222,'बँक जमा खर्च पासबुक'!$BM$8:$CD$111,8,0),"")</f>
        <v/>
      </c>
      <c r="D222" s="354" t="str">
        <f>IFERROR(VLOOKUP(B222,'बँक जमा खर्च पासबुक'!$BM$8:$CD$111,11,0),"")</f>
        <v/>
      </c>
      <c r="E222" s="240" t="str">
        <f>IFERROR(VLOOKUP(B222,'बँक जमा खर्च पासबुक'!$BM$8:$CD$111,9,0),"")</f>
        <v/>
      </c>
      <c r="F222" s="241" t="str">
        <f>IFERROR(VLOOKUP(B222,'बँक जमा खर्च पासबुक'!$BM$8:$CD$111,10,0),"")</f>
        <v/>
      </c>
      <c r="G222" s="264" t="str">
        <f>IFERROR(VLOOKUP(B222,'बँक जमा खर्च पासबुक'!$BM$8:$CD$111,15,0),"")</f>
        <v/>
      </c>
      <c r="H222" s="264" t="str">
        <f>IFERROR(VLOOKUP(B222,'बँक जमा खर्च पासबुक'!$BM$8:$CD$111,16,0),"")</f>
        <v/>
      </c>
      <c r="I222" s="264" t="str">
        <f>IFERROR(G222+H222,"")</f>
        <v/>
      </c>
      <c r="J222" s="244" t="str">
        <f>IFERROR(VLOOKUP(B222,'बँक जमा खर्च पासबुक'!$BM$8:$CD$111,14,0),"")</f>
        <v/>
      </c>
      <c r="K222" s="240" t="str">
        <f>IFERROR(VLOOKUP(B222,'बँक जमा खर्च पासबुक'!$BM$8:$CD$111,12,0),"")</f>
        <v/>
      </c>
      <c r="L222" s="241" t="str">
        <f>IFERROR(VLOOKUP(B222,'बँक जमा खर्च पासबुक'!$BM$8:$CD$111,13,0),"")</f>
        <v/>
      </c>
      <c r="M222" s="264" t="str">
        <f>IFERROR(VLOOKUP(B222,'बँक जमा खर्च पासबुक'!$BM$8:$CD$111,17,0),"")</f>
        <v/>
      </c>
      <c r="N222" s="264" t="str">
        <f>IFERROR(VLOOKUP(B222,'बँक जमा खर्च पासबुक'!$BM$8:$CD$111,18,0),"")</f>
        <v/>
      </c>
      <c r="O222" s="264" t="str">
        <f>IFERROR(M222+N222,"")</f>
        <v/>
      </c>
      <c r="P222" s="264" t="str">
        <f>IFERROR(G221+G222-M222,"")</f>
        <v/>
      </c>
      <c r="Q222" s="264" t="str">
        <f>IFERROR(H221+H222-N222,"")</f>
        <v/>
      </c>
      <c r="R222" s="264" t="str">
        <f>IFERROR(I221+I222-O222,"")</f>
        <v/>
      </c>
    </row>
    <row r="223" spans="2:18" ht="25.5" customHeight="1" x14ac:dyDescent="0.4">
      <c r="B223" s="172">
        <v>2</v>
      </c>
      <c r="C223" s="234" t="str">
        <f>IFERROR(VLOOKUP(B223,'बँक जमा खर्च पासबुक'!$BM$8:$CD$111,8,0),"")</f>
        <v/>
      </c>
      <c r="D223" s="354" t="str">
        <f>IFERROR(VLOOKUP(B223,'बँक जमा खर्च पासबुक'!$BM$8:$CD$111,11,0),"")</f>
        <v/>
      </c>
      <c r="E223" s="240" t="str">
        <f>IFERROR(VLOOKUP(B223,'बँक जमा खर्च पासबुक'!$BM$8:$CD$111,9,0),"")</f>
        <v/>
      </c>
      <c r="F223" s="241" t="str">
        <f>IFERROR(VLOOKUP(B223,'बँक जमा खर्च पासबुक'!$BM$8:$CD$111,10,0),"")</f>
        <v/>
      </c>
      <c r="G223" s="264" t="str">
        <f>IFERROR(VLOOKUP(B223,'बँक जमा खर्च पासबुक'!$BM$8:$CD$111,15,0),"")</f>
        <v/>
      </c>
      <c r="H223" s="264" t="str">
        <f>IFERROR(VLOOKUP(B223,'बँक जमा खर्च पासबुक'!$BM$8:$CD$111,16,0),"")</f>
        <v/>
      </c>
      <c r="I223" s="264" t="str">
        <f t="shared" ref="I223:I230" si="60">IFERROR(G223+H223,"")</f>
        <v/>
      </c>
      <c r="J223" s="244" t="str">
        <f>IFERROR(VLOOKUP(B223,'बँक जमा खर्च पासबुक'!$BM$8:$CD$111,14,0),"")</f>
        <v/>
      </c>
      <c r="K223" s="240" t="str">
        <f>IFERROR(VLOOKUP(B223,'बँक जमा खर्च पासबुक'!$BM$8:$CD$111,12,0),"")</f>
        <v/>
      </c>
      <c r="L223" s="241" t="str">
        <f>IFERROR(VLOOKUP(B223,'बँक जमा खर्च पासबुक'!$BM$8:$CD$111,13,0),"")</f>
        <v/>
      </c>
      <c r="M223" s="264" t="str">
        <f>IFERROR(VLOOKUP(B223,'बँक जमा खर्च पासबुक'!$BM$8:$CD$111,17,0),"")</f>
        <v/>
      </c>
      <c r="N223" s="264" t="str">
        <f>IFERROR(VLOOKUP(B223,'बँक जमा खर्च पासबुक'!$BM$8:$CD$111,18,0),"")</f>
        <v/>
      </c>
      <c r="O223" s="264" t="str">
        <f t="shared" ref="O223:O230" si="61">IFERROR(M223+N223,"")</f>
        <v/>
      </c>
      <c r="P223" s="266" t="str">
        <f>IFERROR(P222+G223-M223,"")</f>
        <v/>
      </c>
      <c r="Q223" s="266" t="str">
        <f>IFERROR(Q222+H223-N223,"")</f>
        <v/>
      </c>
      <c r="R223" s="266" t="str">
        <f>IFERROR(R222+I223-O223,"")</f>
        <v/>
      </c>
    </row>
    <row r="224" spans="2:18" ht="25.5" customHeight="1" x14ac:dyDescent="0.4">
      <c r="B224" s="172">
        <v>3</v>
      </c>
      <c r="C224" s="234" t="str">
        <f>IFERROR(VLOOKUP(B224,'बँक जमा खर्च पासबुक'!$BM$8:$CD$111,8,0),"")</f>
        <v/>
      </c>
      <c r="D224" s="354" t="str">
        <f>IFERROR(VLOOKUP(B224,'बँक जमा खर्च पासबुक'!$BM$8:$CD$111,11,0),"")</f>
        <v/>
      </c>
      <c r="E224" s="240" t="str">
        <f>IFERROR(VLOOKUP(B224,'बँक जमा खर्च पासबुक'!$BM$8:$CD$111,9,0),"")</f>
        <v/>
      </c>
      <c r="F224" s="241" t="str">
        <f>IFERROR(VLOOKUP(B224,'बँक जमा खर्च पासबुक'!$BM$8:$CD$111,10,0),"")</f>
        <v/>
      </c>
      <c r="G224" s="264" t="str">
        <f>IFERROR(VLOOKUP(B224,'बँक जमा खर्च पासबुक'!$BM$8:$CD$111,15,0),"")</f>
        <v/>
      </c>
      <c r="H224" s="264" t="str">
        <f>IFERROR(VLOOKUP(B224,'बँक जमा खर्च पासबुक'!$BM$8:$CD$111,16,0),"")</f>
        <v/>
      </c>
      <c r="I224" s="264" t="str">
        <f t="shared" si="60"/>
        <v/>
      </c>
      <c r="J224" s="244" t="str">
        <f>IFERROR(VLOOKUP(B224,'बँक जमा खर्च पासबुक'!$BM$8:$CD$111,14,0),"")</f>
        <v/>
      </c>
      <c r="K224" s="240" t="str">
        <f>IFERROR(VLOOKUP(B224,'बँक जमा खर्च पासबुक'!$BM$8:$CD$111,12,0),"")</f>
        <v/>
      </c>
      <c r="L224" s="241" t="str">
        <f>IFERROR(VLOOKUP(B224,'बँक जमा खर्च पासबुक'!$BM$8:$CD$111,13,0),"")</f>
        <v/>
      </c>
      <c r="M224" s="264" t="str">
        <f>IFERROR(VLOOKUP(B224,'बँक जमा खर्च पासबुक'!$BM$8:$CD$111,17,0),"")</f>
        <v/>
      </c>
      <c r="N224" s="264" t="str">
        <f>IFERROR(VLOOKUP(B224,'बँक जमा खर्च पासबुक'!$BM$8:$CD$111,18,0),"")</f>
        <v/>
      </c>
      <c r="O224" s="264" t="str">
        <f t="shared" si="61"/>
        <v/>
      </c>
      <c r="P224" s="266" t="str">
        <f t="shared" ref="P224:P230" si="62">IFERROR(P223+G224-M224,"")</f>
        <v/>
      </c>
      <c r="Q224" s="266" t="str">
        <f t="shared" ref="Q224:Q230" si="63">IFERROR(Q223+H224-N224,"")</f>
        <v/>
      </c>
      <c r="R224" s="266" t="str">
        <f t="shared" ref="R224:R230" si="64">IFERROR(R223+I224-O224,"")</f>
        <v/>
      </c>
    </row>
    <row r="225" spans="2:18" ht="25.5" customHeight="1" x14ac:dyDescent="0.4">
      <c r="B225" s="172">
        <v>4</v>
      </c>
      <c r="C225" s="234" t="str">
        <f>IFERROR(VLOOKUP(B225,'बँक जमा खर्च पासबुक'!$BM$8:$CD$111,8,0),"")</f>
        <v/>
      </c>
      <c r="D225" s="354" t="str">
        <f>IFERROR(VLOOKUP(B225,'बँक जमा खर्च पासबुक'!$BM$8:$CD$111,11,0),"")</f>
        <v/>
      </c>
      <c r="E225" s="240" t="str">
        <f>IFERROR(VLOOKUP(B225,'बँक जमा खर्च पासबुक'!$BM$8:$CD$111,9,0),"")</f>
        <v/>
      </c>
      <c r="F225" s="241" t="str">
        <f>IFERROR(VLOOKUP(B225,'बँक जमा खर्च पासबुक'!$BM$8:$CD$111,10,0),"")</f>
        <v/>
      </c>
      <c r="G225" s="264" t="str">
        <f>IFERROR(VLOOKUP(B225,'बँक जमा खर्च पासबुक'!$BM$8:$CD$111,15,0),"")</f>
        <v/>
      </c>
      <c r="H225" s="264" t="str">
        <f>IFERROR(VLOOKUP(B225,'बँक जमा खर्च पासबुक'!$BM$8:$CD$111,16,0),"")</f>
        <v/>
      </c>
      <c r="I225" s="264" t="str">
        <f t="shared" si="60"/>
        <v/>
      </c>
      <c r="J225" s="244" t="str">
        <f>IFERROR(VLOOKUP(B225,'बँक जमा खर्च पासबुक'!$BM$8:$CD$111,14,0),"")</f>
        <v/>
      </c>
      <c r="K225" s="240" t="str">
        <f>IFERROR(VLOOKUP(B225,'बँक जमा खर्च पासबुक'!$BM$8:$CD$111,12,0),"")</f>
        <v/>
      </c>
      <c r="L225" s="241" t="str">
        <f>IFERROR(VLOOKUP(B225,'बँक जमा खर्च पासबुक'!$BM$8:$CD$111,13,0),"")</f>
        <v/>
      </c>
      <c r="M225" s="264" t="str">
        <f>IFERROR(VLOOKUP(B225,'बँक जमा खर्च पासबुक'!$BM$8:$CD$111,17,0),"")</f>
        <v/>
      </c>
      <c r="N225" s="264" t="str">
        <f>IFERROR(VLOOKUP(B225,'बँक जमा खर्च पासबुक'!$BM$8:$CD$111,18,0),"")</f>
        <v/>
      </c>
      <c r="O225" s="264" t="str">
        <f t="shared" si="61"/>
        <v/>
      </c>
      <c r="P225" s="266" t="str">
        <f t="shared" si="62"/>
        <v/>
      </c>
      <c r="Q225" s="266" t="str">
        <f t="shared" si="63"/>
        <v/>
      </c>
      <c r="R225" s="266" t="str">
        <f t="shared" si="64"/>
        <v/>
      </c>
    </row>
    <row r="226" spans="2:18" ht="25.5" customHeight="1" x14ac:dyDescent="0.4">
      <c r="B226" s="172">
        <v>5</v>
      </c>
      <c r="C226" s="234" t="str">
        <f>IFERROR(VLOOKUP(B226,'बँक जमा खर्च पासबुक'!$BM$8:$CD$111,8,0),"")</f>
        <v/>
      </c>
      <c r="D226" s="354" t="str">
        <f>IFERROR(VLOOKUP(B226,'बँक जमा खर्च पासबुक'!$BM$8:$CD$111,11,0),"")</f>
        <v/>
      </c>
      <c r="E226" s="240" t="str">
        <f>IFERROR(VLOOKUP(B226,'बँक जमा खर्च पासबुक'!$BM$8:$CD$111,9,0),"")</f>
        <v/>
      </c>
      <c r="F226" s="241" t="str">
        <f>IFERROR(VLOOKUP(B226,'बँक जमा खर्च पासबुक'!$BM$8:$CD$111,10,0),"")</f>
        <v/>
      </c>
      <c r="G226" s="264" t="str">
        <f>IFERROR(VLOOKUP(B226,'बँक जमा खर्च पासबुक'!$BM$8:$CD$111,15,0),"")</f>
        <v/>
      </c>
      <c r="H226" s="264" t="str">
        <f>IFERROR(VLOOKUP(B226,'बँक जमा खर्च पासबुक'!$BM$8:$CD$111,16,0),"")</f>
        <v/>
      </c>
      <c r="I226" s="264" t="str">
        <f t="shared" si="60"/>
        <v/>
      </c>
      <c r="J226" s="244" t="str">
        <f>IFERROR(VLOOKUP(B226,'बँक जमा खर्च पासबुक'!$BM$8:$CD$111,14,0),"")</f>
        <v/>
      </c>
      <c r="K226" s="240" t="str">
        <f>IFERROR(VLOOKUP(B226,'बँक जमा खर्च पासबुक'!$BM$8:$CD$111,12,0),"")</f>
        <v/>
      </c>
      <c r="L226" s="241" t="str">
        <f>IFERROR(VLOOKUP(B226,'बँक जमा खर्च पासबुक'!$BM$8:$CD$111,13,0),"")</f>
        <v/>
      </c>
      <c r="M226" s="264" t="str">
        <f>IFERROR(VLOOKUP(B226,'बँक जमा खर्च पासबुक'!$BM$8:$CD$111,17,0),"")</f>
        <v/>
      </c>
      <c r="N226" s="264" t="str">
        <f>IFERROR(VLOOKUP(B226,'बँक जमा खर्च पासबुक'!$BM$8:$CD$111,18,0),"")</f>
        <v/>
      </c>
      <c r="O226" s="264" t="str">
        <f t="shared" si="61"/>
        <v/>
      </c>
      <c r="P226" s="266" t="str">
        <f t="shared" si="62"/>
        <v/>
      </c>
      <c r="Q226" s="266" t="str">
        <f t="shared" si="63"/>
        <v/>
      </c>
      <c r="R226" s="266" t="str">
        <f t="shared" si="64"/>
        <v/>
      </c>
    </row>
    <row r="227" spans="2:18" ht="25.5" customHeight="1" x14ac:dyDescent="0.4">
      <c r="B227" s="172">
        <v>6</v>
      </c>
      <c r="C227" s="234" t="str">
        <f>IFERROR(VLOOKUP(B227,'बँक जमा खर्च पासबुक'!$BM$8:$CD$111,8,0),"")</f>
        <v/>
      </c>
      <c r="D227" s="354" t="str">
        <f>IFERROR(VLOOKUP(B227,'बँक जमा खर्च पासबुक'!$BM$8:$CD$111,11,0),"")</f>
        <v/>
      </c>
      <c r="E227" s="240" t="str">
        <f>IFERROR(VLOOKUP(B227,'बँक जमा खर्च पासबुक'!$BM$8:$CD$111,9,0),"")</f>
        <v/>
      </c>
      <c r="F227" s="241" t="str">
        <f>IFERROR(VLOOKUP(B227,'बँक जमा खर्च पासबुक'!$BM$8:$CD$111,10,0),"")</f>
        <v/>
      </c>
      <c r="G227" s="264" t="str">
        <f>IFERROR(VLOOKUP(B227,'बँक जमा खर्च पासबुक'!$BM$8:$CD$111,15,0),"")</f>
        <v/>
      </c>
      <c r="H227" s="264" t="str">
        <f>IFERROR(VLOOKUP(B227,'बँक जमा खर्च पासबुक'!$BM$8:$CD$111,16,0),"")</f>
        <v/>
      </c>
      <c r="I227" s="264" t="str">
        <f t="shared" si="60"/>
        <v/>
      </c>
      <c r="J227" s="244" t="str">
        <f>IFERROR(VLOOKUP(B227,'बँक जमा खर्च पासबुक'!$BM$8:$CD$111,14,0),"")</f>
        <v/>
      </c>
      <c r="K227" s="240" t="str">
        <f>IFERROR(VLOOKUP(B227,'बँक जमा खर्च पासबुक'!$BM$8:$CD$111,12,0),"")</f>
        <v/>
      </c>
      <c r="L227" s="241" t="str">
        <f>IFERROR(VLOOKUP(B227,'बँक जमा खर्च पासबुक'!$BM$8:$CD$111,13,0),"")</f>
        <v/>
      </c>
      <c r="M227" s="264" t="str">
        <f>IFERROR(VLOOKUP(B227,'बँक जमा खर्च पासबुक'!$BM$8:$CD$111,17,0),"")</f>
        <v/>
      </c>
      <c r="N227" s="264" t="str">
        <f>IFERROR(VLOOKUP(B227,'बँक जमा खर्च पासबुक'!$BM$8:$CD$111,18,0),"")</f>
        <v/>
      </c>
      <c r="O227" s="264" t="str">
        <f t="shared" si="61"/>
        <v/>
      </c>
      <c r="P227" s="266" t="str">
        <f t="shared" si="62"/>
        <v/>
      </c>
      <c r="Q227" s="266" t="str">
        <f t="shared" si="63"/>
        <v/>
      </c>
      <c r="R227" s="266" t="str">
        <f t="shared" si="64"/>
        <v/>
      </c>
    </row>
    <row r="228" spans="2:18" ht="25.5" customHeight="1" x14ac:dyDescent="0.4">
      <c r="B228" s="172">
        <v>7</v>
      </c>
      <c r="C228" s="234" t="str">
        <f>IFERROR(VLOOKUP(B228,'बँक जमा खर्च पासबुक'!$BM$8:$CD$111,8,0),"")</f>
        <v/>
      </c>
      <c r="D228" s="354" t="str">
        <f>IFERROR(VLOOKUP(B228,'बँक जमा खर्च पासबुक'!$BM$8:$CD$111,11,0),"")</f>
        <v/>
      </c>
      <c r="E228" s="240" t="str">
        <f>IFERROR(VLOOKUP(B228,'बँक जमा खर्च पासबुक'!$BM$8:$CD$111,9,0),"")</f>
        <v/>
      </c>
      <c r="F228" s="241" t="str">
        <f>IFERROR(VLOOKUP(B228,'बँक जमा खर्च पासबुक'!$BM$8:$CD$111,10,0),"")</f>
        <v/>
      </c>
      <c r="G228" s="264" t="str">
        <f>IFERROR(VLOOKUP(B228,'बँक जमा खर्च पासबुक'!$BM$8:$CD$111,15,0),"")</f>
        <v/>
      </c>
      <c r="H228" s="264" t="str">
        <f>IFERROR(VLOOKUP(B228,'बँक जमा खर्च पासबुक'!$BM$8:$CD$111,16,0),"")</f>
        <v/>
      </c>
      <c r="I228" s="264" t="str">
        <f t="shared" si="60"/>
        <v/>
      </c>
      <c r="J228" s="244" t="str">
        <f>IFERROR(VLOOKUP(B228,'बँक जमा खर्च पासबुक'!$BM$8:$CD$111,14,0),"")</f>
        <v/>
      </c>
      <c r="K228" s="240" t="str">
        <f>IFERROR(VLOOKUP(B228,'बँक जमा खर्च पासबुक'!$BM$8:$CD$111,12,0),"")</f>
        <v/>
      </c>
      <c r="L228" s="241" t="str">
        <f>IFERROR(VLOOKUP(B228,'बँक जमा खर्च पासबुक'!$BM$8:$CD$111,13,0),"")</f>
        <v/>
      </c>
      <c r="M228" s="264" t="str">
        <f>IFERROR(VLOOKUP(B228,'बँक जमा खर्च पासबुक'!$BM$8:$CD$111,17,0),"")</f>
        <v/>
      </c>
      <c r="N228" s="264" t="str">
        <f>IFERROR(VLOOKUP(B228,'बँक जमा खर्च पासबुक'!$BM$8:$CD$111,18,0),"")</f>
        <v/>
      </c>
      <c r="O228" s="264" t="str">
        <f t="shared" si="61"/>
        <v/>
      </c>
      <c r="P228" s="266" t="str">
        <f t="shared" si="62"/>
        <v/>
      </c>
      <c r="Q228" s="266" t="str">
        <f t="shared" si="63"/>
        <v/>
      </c>
      <c r="R228" s="266" t="str">
        <f t="shared" si="64"/>
        <v/>
      </c>
    </row>
    <row r="229" spans="2:18" ht="25.5" customHeight="1" x14ac:dyDescent="0.4">
      <c r="B229" s="172">
        <v>8</v>
      </c>
      <c r="C229" s="234" t="str">
        <f>IFERROR(VLOOKUP(B229,'बँक जमा खर्च पासबुक'!$BM$8:$CD$111,8,0),"")</f>
        <v/>
      </c>
      <c r="D229" s="354" t="str">
        <f>IFERROR(VLOOKUP(B229,'बँक जमा खर्च पासबुक'!$BM$8:$CD$111,11,0),"")</f>
        <v/>
      </c>
      <c r="E229" s="240" t="str">
        <f>IFERROR(VLOOKUP(B229,'बँक जमा खर्च पासबुक'!$BM$8:$CD$111,9,0),"")</f>
        <v/>
      </c>
      <c r="F229" s="241" t="str">
        <f>IFERROR(VLOOKUP(B229,'बँक जमा खर्च पासबुक'!$BM$8:$CD$111,10,0),"")</f>
        <v/>
      </c>
      <c r="G229" s="264" t="str">
        <f>IFERROR(VLOOKUP(B229,'बँक जमा खर्च पासबुक'!$BM$8:$CD$111,15,0),"")</f>
        <v/>
      </c>
      <c r="H229" s="264" t="str">
        <f>IFERROR(VLOOKUP(B229,'बँक जमा खर्च पासबुक'!$BM$8:$CD$111,16,0),"")</f>
        <v/>
      </c>
      <c r="I229" s="264" t="str">
        <f t="shared" si="60"/>
        <v/>
      </c>
      <c r="J229" s="244" t="str">
        <f>IFERROR(VLOOKUP(B229,'बँक जमा खर्च पासबुक'!$BM$8:$CD$111,14,0),"")</f>
        <v/>
      </c>
      <c r="K229" s="240" t="str">
        <f>IFERROR(VLOOKUP(B229,'बँक जमा खर्च पासबुक'!$BM$8:$CD$111,12,0),"")</f>
        <v/>
      </c>
      <c r="L229" s="241" t="str">
        <f>IFERROR(VLOOKUP(B229,'बँक जमा खर्च पासबुक'!$BM$8:$CD$111,13,0),"")</f>
        <v/>
      </c>
      <c r="M229" s="264" t="str">
        <f>IFERROR(VLOOKUP(B229,'बँक जमा खर्च पासबुक'!$BM$8:$CD$111,17,0),"")</f>
        <v/>
      </c>
      <c r="N229" s="264" t="str">
        <f>IFERROR(VLOOKUP(B229,'बँक जमा खर्च पासबुक'!$BM$8:$CD$111,18,0),"")</f>
        <v/>
      </c>
      <c r="O229" s="264" t="str">
        <f t="shared" si="61"/>
        <v/>
      </c>
      <c r="P229" s="266" t="str">
        <f t="shared" si="62"/>
        <v/>
      </c>
      <c r="Q229" s="266" t="str">
        <f t="shared" si="63"/>
        <v/>
      </c>
      <c r="R229" s="266" t="str">
        <f t="shared" si="64"/>
        <v/>
      </c>
    </row>
    <row r="230" spans="2:18" ht="25.5" customHeight="1" x14ac:dyDescent="0.4">
      <c r="B230" s="172">
        <v>9</v>
      </c>
      <c r="C230" s="234" t="str">
        <f>IFERROR(VLOOKUP(B230,'बँक जमा खर्च पासबुक'!$BM$8:$CD$111,8,0),"")</f>
        <v/>
      </c>
      <c r="D230" s="354" t="str">
        <f>IFERROR(VLOOKUP(B230,'बँक जमा खर्च पासबुक'!$BM$8:$CD$111,11,0),"")</f>
        <v/>
      </c>
      <c r="E230" s="240" t="str">
        <f>IFERROR(VLOOKUP(B230,'बँक जमा खर्च पासबुक'!$BM$8:$CD$111,9,0),"")</f>
        <v/>
      </c>
      <c r="F230" s="241" t="str">
        <f>IFERROR(VLOOKUP(B230,'बँक जमा खर्च पासबुक'!$BM$8:$CD$111,10,0),"")</f>
        <v/>
      </c>
      <c r="G230" s="264" t="str">
        <f>IFERROR(VLOOKUP(B230,'बँक जमा खर्च पासबुक'!$BM$8:$CD$111,15,0),"")</f>
        <v/>
      </c>
      <c r="H230" s="264" t="str">
        <f>IFERROR(VLOOKUP(B230,'बँक जमा खर्च पासबुक'!$BM$8:$CD$111,16,0),"")</f>
        <v/>
      </c>
      <c r="I230" s="264" t="str">
        <f t="shared" si="60"/>
        <v/>
      </c>
      <c r="J230" s="244" t="str">
        <f>IFERROR(VLOOKUP(B230,'बँक जमा खर्च पासबुक'!$BM$8:$CD$111,14,0),"")</f>
        <v/>
      </c>
      <c r="K230" s="240" t="str">
        <f>IFERROR(VLOOKUP(B230,'बँक जमा खर्च पासबुक'!$BM$8:$CD$111,12,0),"")</f>
        <v/>
      </c>
      <c r="L230" s="241" t="str">
        <f>IFERROR(VLOOKUP(B230,'बँक जमा खर्च पासबुक'!$BM$8:$CD$111,13,0),"")</f>
        <v/>
      </c>
      <c r="M230" s="264" t="str">
        <f>IFERROR(VLOOKUP(B230,'बँक जमा खर्च पासबुक'!$BM$8:$CD$111,17,0),"")</f>
        <v/>
      </c>
      <c r="N230" s="264" t="str">
        <f>IFERROR(VLOOKUP(B230,'बँक जमा खर्च पासबुक'!$BM$8:$CD$111,18,0),"")</f>
        <v/>
      </c>
      <c r="O230" s="264" t="str">
        <f t="shared" si="61"/>
        <v/>
      </c>
      <c r="P230" s="266" t="str">
        <f t="shared" si="62"/>
        <v/>
      </c>
      <c r="Q230" s="266" t="str">
        <f t="shared" si="63"/>
        <v/>
      </c>
      <c r="R230" s="266" t="str">
        <f t="shared" si="64"/>
        <v/>
      </c>
    </row>
    <row r="231" spans="2:18" ht="25.5" customHeight="1" x14ac:dyDescent="0.4">
      <c r="B231" s="172"/>
      <c r="C231" s="713"/>
      <c r="D231" s="391" t="s">
        <v>35</v>
      </c>
      <c r="E231" s="785"/>
      <c r="F231" s="786"/>
      <c r="G231" s="262">
        <f>SUM(G221:G230)</f>
        <v>0</v>
      </c>
      <c r="H231" s="262">
        <f>SUM(H221:H230)</f>
        <v>0</v>
      </c>
      <c r="I231" s="262">
        <f>SUM(I221:I230)</f>
        <v>0</v>
      </c>
      <c r="J231" s="391"/>
      <c r="K231" s="785"/>
      <c r="L231" s="786"/>
      <c r="M231" s="266">
        <f>SUM(M222:M230)</f>
        <v>0</v>
      </c>
      <c r="N231" s="266">
        <f>SUM(N222:N230)</f>
        <v>0</v>
      </c>
      <c r="O231" s="266">
        <f>SUM(O222:O230)</f>
        <v>0</v>
      </c>
      <c r="P231" s="266">
        <f>G231-M231</f>
        <v>0</v>
      </c>
      <c r="Q231" s="266">
        <f>H231-N231</f>
        <v>0</v>
      </c>
      <c r="R231" s="266">
        <f>I231-O231</f>
        <v>0</v>
      </c>
    </row>
    <row r="232" spans="2:18" ht="25.5" customHeight="1" x14ac:dyDescent="0.4">
      <c r="B232" s="21"/>
      <c r="G232" s="787"/>
      <c r="H232" s="787"/>
      <c r="I232" s="787"/>
      <c r="M232" s="788"/>
      <c r="N232" s="788"/>
      <c r="O232" s="788"/>
      <c r="P232" s="788"/>
      <c r="Q232" s="788"/>
      <c r="R232" s="788"/>
    </row>
    <row r="233" spans="2:18" ht="25.5" customHeight="1" thickBot="1" x14ac:dyDescent="0.45"/>
    <row r="234" spans="2:18" ht="25.5" customHeight="1" thickBot="1" x14ac:dyDescent="0.45">
      <c r="B234" s="772" t="s">
        <v>641</v>
      </c>
      <c r="C234" s="773" t="s">
        <v>638</v>
      </c>
      <c r="D234" s="351" t="str">
        <f>D17</f>
        <v>निनावी रक्कम</v>
      </c>
      <c r="E234" s="802"/>
      <c r="F234" s="774"/>
      <c r="G234" s="773" t="s">
        <v>312</v>
      </c>
      <c r="H234" s="238">
        <f>HOME!$E$2</f>
        <v>2022</v>
      </c>
      <c r="I234" s="238">
        <f>HOME!$F$2</f>
        <v>2023</v>
      </c>
      <c r="J234" s="773"/>
      <c r="K234" s="775"/>
      <c r="L234" s="776"/>
      <c r="M234" s="777"/>
      <c r="N234" s="777"/>
      <c r="O234" s="777"/>
      <c r="P234" s="777"/>
      <c r="Q234" s="777"/>
      <c r="R234" s="778"/>
    </row>
    <row r="236" spans="2:18" ht="25.5" customHeight="1" x14ac:dyDescent="0.4">
      <c r="B236" s="1411" t="s">
        <v>86</v>
      </c>
      <c r="C236" s="1413" t="s">
        <v>17</v>
      </c>
      <c r="D236" s="1410" t="s">
        <v>553</v>
      </c>
      <c r="E236" s="1410"/>
      <c r="F236" s="1410"/>
      <c r="G236" s="1410" t="s">
        <v>544</v>
      </c>
      <c r="H236" s="1410"/>
      <c r="I236" s="1410"/>
      <c r="J236" s="1407" t="s">
        <v>554</v>
      </c>
      <c r="K236" s="1408"/>
      <c r="L236" s="1409"/>
      <c r="M236" s="1410" t="s">
        <v>545</v>
      </c>
      <c r="N236" s="1410"/>
      <c r="O236" s="1410"/>
      <c r="P236" s="1410" t="s">
        <v>637</v>
      </c>
      <c r="Q236" s="1410"/>
      <c r="R236" s="1410"/>
    </row>
    <row r="237" spans="2:18" ht="25.5" customHeight="1" x14ac:dyDescent="0.4">
      <c r="B237" s="1412"/>
      <c r="C237" s="1414"/>
      <c r="D237" s="1407" t="s">
        <v>636</v>
      </c>
      <c r="E237" s="1408"/>
      <c r="F237" s="1409"/>
      <c r="G237" s="582" t="s">
        <v>586</v>
      </c>
      <c r="H237" s="582" t="s">
        <v>587</v>
      </c>
      <c r="I237" s="582" t="s">
        <v>35</v>
      </c>
      <c r="J237" s="1407" t="s">
        <v>636</v>
      </c>
      <c r="K237" s="1408"/>
      <c r="L237" s="1409"/>
      <c r="M237" s="582" t="s">
        <v>586</v>
      </c>
      <c r="N237" s="582" t="s">
        <v>587</v>
      </c>
      <c r="O237" s="582" t="s">
        <v>35</v>
      </c>
      <c r="P237" s="582" t="s">
        <v>586</v>
      </c>
      <c r="Q237" s="582" t="s">
        <v>587</v>
      </c>
      <c r="R237" s="582" t="s">
        <v>35</v>
      </c>
    </row>
    <row r="238" spans="2:18" ht="25.5" customHeight="1" x14ac:dyDescent="0.4">
      <c r="B238" s="779"/>
      <c r="C238" s="780"/>
      <c r="D238" s="1404" t="s">
        <v>87</v>
      </c>
      <c r="E238" s="1405"/>
      <c r="F238" s="1406"/>
      <c r="G238" s="264">
        <f>'Balance sheet'!D20</f>
        <v>0</v>
      </c>
      <c r="H238" s="264">
        <f>'Balance sheet'!E20</f>
        <v>0</v>
      </c>
      <c r="I238" s="264">
        <f>SUM(G238:H238)</f>
        <v>0</v>
      </c>
      <c r="J238" s="789"/>
      <c r="K238" s="782"/>
      <c r="L238" s="783"/>
      <c r="M238" s="792"/>
      <c r="N238" s="792"/>
      <c r="O238" s="792"/>
      <c r="P238" s="792"/>
      <c r="Q238" s="792"/>
      <c r="R238" s="792"/>
    </row>
    <row r="239" spans="2:18" ht="25.5" customHeight="1" x14ac:dyDescent="0.4">
      <c r="B239" s="172">
        <v>1</v>
      </c>
      <c r="C239" s="234" t="str">
        <f>IFERROR(VLOOKUP(B239,'बँक जमा खर्च पासबुक'!$BN$8:$CD$111,7,0),"")</f>
        <v/>
      </c>
      <c r="D239" s="354" t="str">
        <f>IFERROR(VLOOKUP(B239,'बँक जमा खर्च पासबुक'!$BN$8:$CD$111,10,0),"")</f>
        <v/>
      </c>
      <c r="E239" s="240" t="str">
        <f>IFERROR(VLOOKUP(B239,'बँक जमा खर्च पासबुक'!$BN$8:$CD$111,8,0),"")</f>
        <v/>
      </c>
      <c r="F239" s="241" t="str">
        <f>IFERROR(VLOOKUP(B239,'बँक जमा खर्च पासबुक'!$BN$8:$CD$111,9,0),"")</f>
        <v/>
      </c>
      <c r="G239" s="264" t="str">
        <f>IFERROR(VLOOKUP(B239,'बँक जमा खर्च पासबुक'!$BN$8:$CD$111,14,0),"")</f>
        <v/>
      </c>
      <c r="H239" s="264" t="str">
        <f>IFERROR(VLOOKUP(B239,'बँक जमा खर्च पासबुक'!$BN$8:$CD$111,15,0),"")</f>
        <v/>
      </c>
      <c r="I239" s="264" t="str">
        <f>IFERROR(G239+H239,"")</f>
        <v/>
      </c>
      <c r="J239" s="244" t="str">
        <f>IFERROR(VLOOKUP(B239,'बँक जमा खर्च पासबुक'!$BN$8:$CD$111,13,0),"")</f>
        <v/>
      </c>
      <c r="K239" s="240" t="str">
        <f>IFERROR(VLOOKUP(B239,'बँक जमा खर्च पासबुक'!$BN$8:$CD$111,11,0),"")</f>
        <v/>
      </c>
      <c r="L239" s="241" t="str">
        <f>IFERROR(VLOOKUP(B239,'बँक जमा खर्च पासबुक'!$BN$8:$CD$111,12,0),"")</f>
        <v/>
      </c>
      <c r="M239" s="264" t="str">
        <f>IFERROR(VLOOKUP(B239,'बँक जमा खर्च पासबुक'!$BN$8:$CD$111,16,0),"")</f>
        <v/>
      </c>
      <c r="N239" s="264" t="str">
        <f>IFERROR(VLOOKUP(B239,'बँक जमा खर्च पासबुक'!$BN$8:$CD$111,17,0),"")</f>
        <v/>
      </c>
      <c r="O239" s="264" t="str">
        <f>IFERROR(M239+N239,"")</f>
        <v/>
      </c>
      <c r="P239" s="264" t="str">
        <f>IFERROR(G238+G239-M239,"")</f>
        <v/>
      </c>
      <c r="Q239" s="264" t="str">
        <f>IFERROR(H238+H239-N239,"")</f>
        <v/>
      </c>
      <c r="R239" s="264" t="str">
        <f>IFERROR(I238+I239-O239,"")</f>
        <v/>
      </c>
    </row>
    <row r="240" spans="2:18" ht="25.5" customHeight="1" x14ac:dyDescent="0.4">
      <c r="B240" s="172">
        <v>2</v>
      </c>
      <c r="C240" s="234" t="str">
        <f>IFERROR(VLOOKUP(B240,'बँक जमा खर्च पासबुक'!$BN$8:$CD$111,7,0),"")</f>
        <v/>
      </c>
      <c r="D240" s="354" t="str">
        <f>IFERROR(VLOOKUP(B240,'बँक जमा खर्च पासबुक'!$BN$8:$CD$111,10,0),"")</f>
        <v/>
      </c>
      <c r="E240" s="240" t="str">
        <f>IFERROR(VLOOKUP(B240,'बँक जमा खर्च पासबुक'!$BN$8:$CD$111,8,0),"")</f>
        <v/>
      </c>
      <c r="F240" s="241" t="str">
        <f>IFERROR(VLOOKUP(B240,'बँक जमा खर्च पासबुक'!$BN$8:$CD$111,9,0),"")</f>
        <v/>
      </c>
      <c r="G240" s="264" t="str">
        <f>IFERROR(VLOOKUP(B240,'बँक जमा खर्च पासबुक'!$BN$8:$CD$111,14,0),"")</f>
        <v/>
      </c>
      <c r="H240" s="264" t="str">
        <f>IFERROR(VLOOKUP(B240,'बँक जमा खर्च पासबुक'!$BN$8:$CD$111,15,0),"")</f>
        <v/>
      </c>
      <c r="I240" s="264" t="str">
        <f t="shared" ref="I240:I245" si="65">IFERROR(G240+H240,"")</f>
        <v/>
      </c>
      <c r="J240" s="244" t="str">
        <f>IFERROR(VLOOKUP(B240,'बँक जमा खर्च पासबुक'!$BN$8:$CD$111,13,0),"")</f>
        <v/>
      </c>
      <c r="K240" s="240" t="str">
        <f>IFERROR(VLOOKUP(B240,'बँक जमा खर्च पासबुक'!$BN$8:$CD$111,11,0),"")</f>
        <v/>
      </c>
      <c r="L240" s="241" t="str">
        <f>IFERROR(VLOOKUP(B240,'बँक जमा खर्च पासबुक'!$BN$8:$CD$111,12,0),"")</f>
        <v/>
      </c>
      <c r="M240" s="264" t="str">
        <f>IFERROR(VLOOKUP(B240,'बँक जमा खर्च पासबुक'!$BN$8:$CD$111,16,0),"")</f>
        <v/>
      </c>
      <c r="N240" s="264" t="str">
        <f>IFERROR(VLOOKUP(B240,'बँक जमा खर्च पासबुक'!$BN$8:$CD$111,17,0),"")</f>
        <v/>
      </c>
      <c r="O240" s="264" t="str">
        <f t="shared" ref="O240:O245" si="66">IFERROR(M240+N240,"")</f>
        <v/>
      </c>
      <c r="P240" s="266" t="str">
        <f>IFERROR(P239+G240-M240,"")</f>
        <v/>
      </c>
      <c r="Q240" s="266" t="str">
        <f>IFERROR(Q239+H240-N240,"")</f>
        <v/>
      </c>
      <c r="R240" s="266" t="str">
        <f>IFERROR(R239+I240-O240,"")</f>
        <v/>
      </c>
    </row>
    <row r="241" spans="2:18" ht="25.5" customHeight="1" x14ac:dyDescent="0.4">
      <c r="B241" s="172">
        <v>3</v>
      </c>
      <c r="C241" s="234" t="str">
        <f>IFERROR(VLOOKUP(B241,'बँक जमा खर्च पासबुक'!$BN$8:$CD$111,7,0),"")</f>
        <v/>
      </c>
      <c r="D241" s="354" t="str">
        <f>IFERROR(VLOOKUP(B241,'बँक जमा खर्च पासबुक'!$BN$8:$CD$111,10,0),"")</f>
        <v/>
      </c>
      <c r="E241" s="240" t="str">
        <f>IFERROR(VLOOKUP(B241,'बँक जमा खर्च पासबुक'!$BN$8:$CD$111,8,0),"")</f>
        <v/>
      </c>
      <c r="F241" s="241" t="str">
        <f>IFERROR(VLOOKUP(B241,'बँक जमा खर्च पासबुक'!$BN$8:$CD$111,9,0),"")</f>
        <v/>
      </c>
      <c r="G241" s="264" t="str">
        <f>IFERROR(VLOOKUP(B241,'बँक जमा खर्च पासबुक'!$BN$8:$CD$111,14,0),"")</f>
        <v/>
      </c>
      <c r="H241" s="264" t="str">
        <f>IFERROR(VLOOKUP(B241,'बँक जमा खर्च पासबुक'!$BN$8:$CD$111,15,0),"")</f>
        <v/>
      </c>
      <c r="I241" s="264" t="str">
        <f t="shared" si="65"/>
        <v/>
      </c>
      <c r="J241" s="244" t="str">
        <f>IFERROR(VLOOKUP(B241,'बँक जमा खर्च पासबुक'!$BN$8:$CD$111,13,0),"")</f>
        <v/>
      </c>
      <c r="K241" s="240" t="str">
        <f>IFERROR(VLOOKUP(B241,'बँक जमा खर्च पासबुक'!$BN$8:$CD$111,11,0),"")</f>
        <v/>
      </c>
      <c r="L241" s="241" t="str">
        <f>IFERROR(VLOOKUP(B241,'बँक जमा खर्च पासबुक'!$BN$8:$CD$111,12,0),"")</f>
        <v/>
      </c>
      <c r="M241" s="264" t="str">
        <f>IFERROR(VLOOKUP(B241,'बँक जमा खर्च पासबुक'!$BN$8:$CD$111,16,0),"")</f>
        <v/>
      </c>
      <c r="N241" s="264" t="str">
        <f>IFERROR(VLOOKUP(B241,'बँक जमा खर्च पासबुक'!$BN$8:$CD$111,17,0),"")</f>
        <v/>
      </c>
      <c r="O241" s="264" t="str">
        <f t="shared" si="66"/>
        <v/>
      </c>
      <c r="P241" s="266" t="str">
        <f t="shared" ref="P241:P245" si="67">IFERROR(P240+G241-M241,"")</f>
        <v/>
      </c>
      <c r="Q241" s="266" t="str">
        <f t="shared" ref="Q241:Q245" si="68">IFERROR(Q240+H241-N241,"")</f>
        <v/>
      </c>
      <c r="R241" s="266" t="str">
        <f t="shared" ref="R241:R245" si="69">IFERROR(R240+I241-O241,"")</f>
        <v/>
      </c>
    </row>
    <row r="242" spans="2:18" ht="25.5" customHeight="1" x14ac:dyDescent="0.4">
      <c r="B242" s="172">
        <v>4</v>
      </c>
      <c r="C242" s="234" t="str">
        <f>IFERROR(VLOOKUP(B242,'बँक जमा खर्च पासबुक'!$BN$8:$CD$111,7,0),"")</f>
        <v/>
      </c>
      <c r="D242" s="354" t="str">
        <f>IFERROR(VLOOKUP(B242,'बँक जमा खर्च पासबुक'!$BN$8:$CD$111,10,0),"")</f>
        <v/>
      </c>
      <c r="E242" s="240" t="str">
        <f>IFERROR(VLOOKUP(B242,'बँक जमा खर्च पासबुक'!$BN$8:$CD$111,8,0),"")</f>
        <v/>
      </c>
      <c r="F242" s="241" t="str">
        <f>IFERROR(VLOOKUP(B242,'बँक जमा खर्च पासबुक'!$BN$8:$CD$111,9,0),"")</f>
        <v/>
      </c>
      <c r="G242" s="264" t="str">
        <f>IFERROR(VLOOKUP(B242,'बँक जमा खर्च पासबुक'!$BN$8:$CD$111,14,0),"")</f>
        <v/>
      </c>
      <c r="H242" s="264" t="str">
        <f>IFERROR(VLOOKUP(B242,'बँक जमा खर्च पासबुक'!$BN$8:$CD$111,15,0),"")</f>
        <v/>
      </c>
      <c r="I242" s="264" t="str">
        <f t="shared" si="65"/>
        <v/>
      </c>
      <c r="J242" s="244" t="str">
        <f>IFERROR(VLOOKUP(B242,'बँक जमा खर्च पासबुक'!$BN$8:$CD$111,13,0),"")</f>
        <v/>
      </c>
      <c r="K242" s="240" t="str">
        <f>IFERROR(VLOOKUP(B242,'बँक जमा खर्च पासबुक'!$BN$8:$CD$111,11,0),"")</f>
        <v/>
      </c>
      <c r="L242" s="241" t="str">
        <f>IFERROR(VLOOKUP(B242,'बँक जमा खर्च पासबुक'!$BN$8:$CD$111,12,0),"")</f>
        <v/>
      </c>
      <c r="M242" s="264" t="str">
        <f>IFERROR(VLOOKUP(B242,'बँक जमा खर्च पासबुक'!$BN$8:$CD$111,16,0),"")</f>
        <v/>
      </c>
      <c r="N242" s="264" t="str">
        <f>IFERROR(VLOOKUP(B242,'बँक जमा खर्च पासबुक'!$BN$8:$CD$111,17,0),"")</f>
        <v/>
      </c>
      <c r="O242" s="264" t="str">
        <f t="shared" si="66"/>
        <v/>
      </c>
      <c r="P242" s="266" t="str">
        <f t="shared" si="67"/>
        <v/>
      </c>
      <c r="Q242" s="266" t="str">
        <f t="shared" si="68"/>
        <v/>
      </c>
      <c r="R242" s="266" t="str">
        <f t="shared" si="69"/>
        <v/>
      </c>
    </row>
    <row r="243" spans="2:18" ht="25.5" customHeight="1" x14ac:dyDescent="0.4">
      <c r="B243" s="172">
        <v>5</v>
      </c>
      <c r="C243" s="234" t="str">
        <f>IFERROR(VLOOKUP(B243,'बँक जमा खर्च पासबुक'!$BN$8:$CD$111,7,0),"")</f>
        <v/>
      </c>
      <c r="D243" s="354" t="str">
        <f>IFERROR(VLOOKUP(B243,'बँक जमा खर्च पासबुक'!$BN$8:$CD$111,10,0),"")</f>
        <v/>
      </c>
      <c r="E243" s="240" t="str">
        <f>IFERROR(VLOOKUP(B243,'बँक जमा खर्च पासबुक'!$BN$8:$CD$111,8,0),"")</f>
        <v/>
      </c>
      <c r="F243" s="241" t="str">
        <f>IFERROR(VLOOKUP(B243,'बँक जमा खर्च पासबुक'!$BN$8:$CD$111,9,0),"")</f>
        <v/>
      </c>
      <c r="G243" s="264" t="str">
        <f>IFERROR(VLOOKUP(B243,'बँक जमा खर्च पासबुक'!$BN$8:$CD$111,14,0),"")</f>
        <v/>
      </c>
      <c r="H243" s="264" t="str">
        <f>IFERROR(VLOOKUP(B243,'बँक जमा खर्च पासबुक'!$BN$8:$CD$111,15,0),"")</f>
        <v/>
      </c>
      <c r="I243" s="264" t="str">
        <f t="shared" si="65"/>
        <v/>
      </c>
      <c r="J243" s="244" t="str">
        <f>IFERROR(VLOOKUP(B243,'बँक जमा खर्च पासबुक'!$BN$8:$CD$111,13,0),"")</f>
        <v/>
      </c>
      <c r="K243" s="240" t="str">
        <f>IFERROR(VLOOKUP(B243,'बँक जमा खर्च पासबुक'!$BN$8:$CD$111,11,0),"")</f>
        <v/>
      </c>
      <c r="L243" s="241" t="str">
        <f>IFERROR(VLOOKUP(B243,'बँक जमा खर्च पासबुक'!$BN$8:$CD$111,12,0),"")</f>
        <v/>
      </c>
      <c r="M243" s="264" t="str">
        <f>IFERROR(VLOOKUP(B243,'बँक जमा खर्च पासबुक'!$BN$8:$CD$111,16,0),"")</f>
        <v/>
      </c>
      <c r="N243" s="264" t="str">
        <f>IFERROR(VLOOKUP(B243,'बँक जमा खर्च पासबुक'!$BN$8:$CD$111,17,0),"")</f>
        <v/>
      </c>
      <c r="O243" s="264" t="str">
        <f t="shared" si="66"/>
        <v/>
      </c>
      <c r="P243" s="266" t="str">
        <f t="shared" si="67"/>
        <v/>
      </c>
      <c r="Q243" s="266" t="str">
        <f t="shared" si="68"/>
        <v/>
      </c>
      <c r="R243" s="266" t="str">
        <f t="shared" si="69"/>
        <v/>
      </c>
    </row>
    <row r="244" spans="2:18" ht="25.5" customHeight="1" x14ac:dyDescent="0.4">
      <c r="B244" s="172">
        <v>6</v>
      </c>
      <c r="C244" s="234" t="str">
        <f>IFERROR(VLOOKUP(B244,'बँक जमा खर्च पासबुक'!$BN$8:$CD$111,7,0),"")</f>
        <v/>
      </c>
      <c r="D244" s="354" t="str">
        <f>IFERROR(VLOOKUP(B244,'बँक जमा खर्च पासबुक'!$BN$8:$CD$111,10,0),"")</f>
        <v/>
      </c>
      <c r="E244" s="240" t="str">
        <f>IFERROR(VLOOKUP(B244,'बँक जमा खर्च पासबुक'!$BN$8:$CD$111,8,0),"")</f>
        <v/>
      </c>
      <c r="F244" s="241" t="str">
        <f>IFERROR(VLOOKUP(B244,'बँक जमा खर्च पासबुक'!$BN$8:$CD$111,9,0),"")</f>
        <v/>
      </c>
      <c r="G244" s="264" t="str">
        <f>IFERROR(VLOOKUP(B244,'बँक जमा खर्च पासबुक'!$BN$8:$CD$111,14,0),"")</f>
        <v/>
      </c>
      <c r="H244" s="264" t="str">
        <f>IFERROR(VLOOKUP(B244,'बँक जमा खर्च पासबुक'!$BN$8:$CD$111,15,0),"")</f>
        <v/>
      </c>
      <c r="I244" s="264" t="str">
        <f t="shared" si="65"/>
        <v/>
      </c>
      <c r="J244" s="244" t="str">
        <f>IFERROR(VLOOKUP(B244,'बँक जमा खर्च पासबुक'!$BN$8:$CD$111,13,0),"")</f>
        <v/>
      </c>
      <c r="K244" s="240" t="str">
        <f>IFERROR(VLOOKUP(B244,'बँक जमा खर्च पासबुक'!$BN$8:$CD$111,11,0),"")</f>
        <v/>
      </c>
      <c r="L244" s="241" t="str">
        <f>IFERROR(VLOOKUP(B244,'बँक जमा खर्च पासबुक'!$BN$8:$CD$111,12,0),"")</f>
        <v/>
      </c>
      <c r="M244" s="264" t="str">
        <f>IFERROR(VLOOKUP(B244,'बँक जमा खर्च पासबुक'!$BN$8:$CD$111,16,0),"")</f>
        <v/>
      </c>
      <c r="N244" s="264" t="str">
        <f>IFERROR(VLOOKUP(B244,'बँक जमा खर्च पासबुक'!$BN$8:$CD$111,17,0),"")</f>
        <v/>
      </c>
      <c r="O244" s="264" t="str">
        <f t="shared" si="66"/>
        <v/>
      </c>
      <c r="P244" s="266" t="str">
        <f t="shared" si="67"/>
        <v/>
      </c>
      <c r="Q244" s="266" t="str">
        <f t="shared" si="68"/>
        <v/>
      </c>
      <c r="R244" s="266" t="str">
        <f t="shared" si="69"/>
        <v/>
      </c>
    </row>
    <row r="245" spans="2:18" ht="25.5" customHeight="1" x14ac:dyDescent="0.4">
      <c r="B245" s="172">
        <v>7</v>
      </c>
      <c r="C245" s="234" t="str">
        <f>IFERROR(VLOOKUP(B245,'बँक जमा खर्च पासबुक'!$BN$8:$CD$111,7,0),"")</f>
        <v/>
      </c>
      <c r="D245" s="354" t="str">
        <f>IFERROR(VLOOKUP(B245,'बँक जमा खर्च पासबुक'!$BN$8:$CD$111,10,0),"")</f>
        <v/>
      </c>
      <c r="E245" s="240" t="str">
        <f>IFERROR(VLOOKUP(B245,'बँक जमा खर्च पासबुक'!$BN$8:$CD$111,8,0),"")</f>
        <v/>
      </c>
      <c r="F245" s="241" t="str">
        <f>IFERROR(VLOOKUP(B245,'बँक जमा खर्च पासबुक'!$BN$8:$CD$111,9,0),"")</f>
        <v/>
      </c>
      <c r="G245" s="264" t="str">
        <f>IFERROR(VLOOKUP(B245,'बँक जमा खर्च पासबुक'!$BN$8:$CD$111,14,0),"")</f>
        <v/>
      </c>
      <c r="H245" s="264" t="str">
        <f>IFERROR(VLOOKUP(B245,'बँक जमा खर्च पासबुक'!$BN$8:$CD$111,15,0),"")</f>
        <v/>
      </c>
      <c r="I245" s="264" t="str">
        <f t="shared" si="65"/>
        <v/>
      </c>
      <c r="J245" s="244" t="str">
        <f>IFERROR(VLOOKUP(B245,'बँक जमा खर्च पासबुक'!$BN$8:$CD$111,13,0),"")</f>
        <v/>
      </c>
      <c r="K245" s="240" t="str">
        <f>IFERROR(VLOOKUP(B245,'बँक जमा खर्च पासबुक'!$BN$8:$CD$111,11,0),"")</f>
        <v/>
      </c>
      <c r="L245" s="241" t="str">
        <f>IFERROR(VLOOKUP(B245,'बँक जमा खर्च पासबुक'!$BN$8:$CD$111,12,0),"")</f>
        <v/>
      </c>
      <c r="M245" s="264" t="str">
        <f>IFERROR(VLOOKUP(B245,'बँक जमा खर्च पासबुक'!$BN$8:$CD$111,16,0),"")</f>
        <v/>
      </c>
      <c r="N245" s="264" t="str">
        <f>IFERROR(VLOOKUP(B245,'बँक जमा खर्च पासबुक'!$BN$8:$CD$111,17,0),"")</f>
        <v/>
      </c>
      <c r="O245" s="264" t="str">
        <f t="shared" si="66"/>
        <v/>
      </c>
      <c r="P245" s="266" t="str">
        <f t="shared" si="67"/>
        <v/>
      </c>
      <c r="Q245" s="266" t="str">
        <f t="shared" si="68"/>
        <v/>
      </c>
      <c r="R245" s="266" t="str">
        <f t="shared" si="69"/>
        <v/>
      </c>
    </row>
    <row r="246" spans="2:18" ht="25.5" customHeight="1" x14ac:dyDescent="0.4">
      <c r="B246" s="172"/>
      <c r="C246" s="713"/>
      <c r="D246" s="391" t="s">
        <v>35</v>
      </c>
      <c r="E246" s="785"/>
      <c r="F246" s="786"/>
      <c r="G246" s="262">
        <f>SUM(G238:G245)</f>
        <v>0</v>
      </c>
      <c r="H246" s="262">
        <f>SUM(H238:H245)</f>
        <v>0</v>
      </c>
      <c r="I246" s="262">
        <f>SUM(I238:I245)</f>
        <v>0</v>
      </c>
      <c r="J246" s="391"/>
      <c r="K246" s="785"/>
      <c r="L246" s="786"/>
      <c r="M246" s="266">
        <f>SUM(M239:M245)</f>
        <v>0</v>
      </c>
      <c r="N246" s="266">
        <f>SUM(N239:N245)</f>
        <v>0</v>
      </c>
      <c r="O246" s="266">
        <f>SUM(O239:O245)</f>
        <v>0</v>
      </c>
      <c r="P246" s="266">
        <f>G246-M246</f>
        <v>0</v>
      </c>
      <c r="Q246" s="266">
        <f>H246-N246</f>
        <v>0</v>
      </c>
      <c r="R246" s="266">
        <f>I246-O246</f>
        <v>0</v>
      </c>
    </row>
    <row r="247" spans="2:18" ht="25.5" customHeight="1" x14ac:dyDescent="0.4">
      <c r="B247" s="21"/>
      <c r="G247" s="787"/>
      <c r="H247" s="787"/>
      <c r="I247" s="787"/>
      <c r="M247" s="788"/>
      <c r="N247" s="788"/>
      <c r="O247" s="788"/>
      <c r="P247" s="788"/>
      <c r="Q247" s="788"/>
      <c r="R247" s="788"/>
    </row>
    <row r="248" spans="2:18" ht="25.5" customHeight="1" thickBot="1" x14ac:dyDescent="0.45"/>
    <row r="249" spans="2:18" ht="25.5" customHeight="1" thickBot="1" x14ac:dyDescent="0.45">
      <c r="B249" s="772" t="s">
        <v>640</v>
      </c>
      <c r="C249" s="773" t="s">
        <v>638</v>
      </c>
      <c r="D249" s="351" t="str">
        <f>D18</f>
        <v>इतर फरक रक्कम</v>
      </c>
      <c r="E249" s="802"/>
      <c r="F249" s="774"/>
      <c r="G249" s="773" t="s">
        <v>312</v>
      </c>
      <c r="H249" s="238">
        <f>HOME!$E$2</f>
        <v>2022</v>
      </c>
      <c r="I249" s="238">
        <f>HOME!$F$2</f>
        <v>2023</v>
      </c>
      <c r="J249" s="773"/>
      <c r="K249" s="775"/>
      <c r="L249" s="776"/>
      <c r="M249" s="777"/>
      <c r="N249" s="777"/>
      <c r="O249" s="777"/>
      <c r="P249" s="777"/>
      <c r="Q249" s="777"/>
      <c r="R249" s="778"/>
    </row>
    <row r="251" spans="2:18" ht="25.5" customHeight="1" x14ac:dyDescent="0.4">
      <c r="B251" s="1411" t="s">
        <v>86</v>
      </c>
      <c r="C251" s="1413" t="s">
        <v>17</v>
      </c>
      <c r="D251" s="1410" t="s">
        <v>553</v>
      </c>
      <c r="E251" s="1410"/>
      <c r="F251" s="1410"/>
      <c r="G251" s="1410" t="s">
        <v>544</v>
      </c>
      <c r="H251" s="1410"/>
      <c r="I251" s="1410"/>
      <c r="J251" s="1407" t="s">
        <v>554</v>
      </c>
      <c r="K251" s="1408"/>
      <c r="L251" s="1409"/>
      <c r="M251" s="1410" t="s">
        <v>545</v>
      </c>
      <c r="N251" s="1410"/>
      <c r="O251" s="1410"/>
      <c r="P251" s="1410" t="s">
        <v>637</v>
      </c>
      <c r="Q251" s="1410"/>
      <c r="R251" s="1410"/>
    </row>
    <row r="252" spans="2:18" ht="25.5" customHeight="1" x14ac:dyDescent="0.4">
      <c r="B252" s="1412"/>
      <c r="C252" s="1414"/>
      <c r="D252" s="1407" t="s">
        <v>636</v>
      </c>
      <c r="E252" s="1408"/>
      <c r="F252" s="1409"/>
      <c r="G252" s="582" t="s">
        <v>586</v>
      </c>
      <c r="H252" s="582" t="s">
        <v>587</v>
      </c>
      <c r="I252" s="582" t="s">
        <v>35</v>
      </c>
      <c r="J252" s="1407" t="s">
        <v>636</v>
      </c>
      <c r="K252" s="1408"/>
      <c r="L252" s="1409"/>
      <c r="M252" s="582" t="s">
        <v>586</v>
      </c>
      <c r="N252" s="582" t="s">
        <v>587</v>
      </c>
      <c r="O252" s="582" t="s">
        <v>35</v>
      </c>
      <c r="P252" s="582" t="s">
        <v>586</v>
      </c>
      <c r="Q252" s="582" t="s">
        <v>587</v>
      </c>
      <c r="R252" s="582" t="s">
        <v>35</v>
      </c>
    </row>
    <row r="253" spans="2:18" ht="25.5" customHeight="1" x14ac:dyDescent="0.4">
      <c r="B253" s="779"/>
      <c r="C253" s="780"/>
      <c r="D253" s="1404" t="s">
        <v>87</v>
      </c>
      <c r="E253" s="1405"/>
      <c r="F253" s="1406"/>
      <c r="G253" s="264">
        <f>'Balance sheet'!D21</f>
        <v>0</v>
      </c>
      <c r="H253" s="264">
        <f>'Balance sheet'!E21</f>
        <v>0</v>
      </c>
      <c r="I253" s="264">
        <f>SUM(G253:H253)</f>
        <v>0</v>
      </c>
      <c r="J253" s="789"/>
      <c r="K253" s="782"/>
      <c r="L253" s="783"/>
      <c r="M253" s="792"/>
      <c r="N253" s="792"/>
      <c r="O253" s="792"/>
      <c r="P253" s="792"/>
      <c r="Q253" s="792"/>
      <c r="R253" s="792"/>
    </row>
    <row r="254" spans="2:18" ht="25.5" customHeight="1" x14ac:dyDescent="0.4">
      <c r="B254" s="172">
        <v>1</v>
      </c>
      <c r="C254" s="234" t="str">
        <f>IFERROR(VLOOKUP(B254,'बँक जमा खर्च पासबुक'!$BO$8:$CD$111,6,0),"")</f>
        <v/>
      </c>
      <c r="D254" s="354" t="str">
        <f>IFERROR(VLOOKUP(B254,'बँक जमा खर्च पासबुक'!$BO$8:$CD$111,9,0),"")</f>
        <v/>
      </c>
      <c r="E254" s="240" t="str">
        <f>IFERROR(VLOOKUP(B254,'बँक जमा खर्च पासबुक'!$BO$8:$CD$111,7,0),"")</f>
        <v/>
      </c>
      <c r="F254" s="241" t="str">
        <f>IFERROR(VLOOKUP(B254,'बँक जमा खर्च पासबुक'!$BO$8:$CD$111,8,0),"")</f>
        <v/>
      </c>
      <c r="G254" s="264" t="str">
        <f>IFERROR(VLOOKUP(B254,'बँक जमा खर्च पासबुक'!$BO$8:$CD$111,13,0),"")</f>
        <v/>
      </c>
      <c r="H254" s="264" t="str">
        <f>IFERROR(VLOOKUP(B254,'बँक जमा खर्च पासबुक'!$BO$8:$CD$111,14,0),"")</f>
        <v/>
      </c>
      <c r="I254" s="264" t="str">
        <f>IFERROR(G254+H254,"")</f>
        <v/>
      </c>
      <c r="J254" s="244" t="str">
        <f>IFERROR(VLOOKUP(B254,'बँक जमा खर्च पासबुक'!$BO$8:$CD$111,12,0),"")</f>
        <v/>
      </c>
      <c r="K254" s="240" t="str">
        <f>IFERROR(VLOOKUP(B254,'बँक जमा खर्च पासबुक'!$BO$8:$CD$111,10,0),"")</f>
        <v/>
      </c>
      <c r="L254" s="241" t="str">
        <f>IFERROR(VLOOKUP(B254,'बँक जमा खर्च पासबुक'!$BO$8:$CD$111,11,0),"")</f>
        <v/>
      </c>
      <c r="M254" s="264" t="str">
        <f>IFERROR(VLOOKUP(B254,'बँक जमा खर्च पासबुक'!$BO$8:$CD$111,15,0),"")</f>
        <v/>
      </c>
      <c r="N254" s="264" t="str">
        <f>IFERROR(VLOOKUP(B254,'बँक जमा खर्च पासबुक'!$BO$8:$CD$111,16,0),"")</f>
        <v/>
      </c>
      <c r="O254" s="264" t="str">
        <f>IFERROR(M254+N254,"")</f>
        <v/>
      </c>
      <c r="P254" s="264" t="str">
        <f>IFERROR(G253+G254-M254,"")</f>
        <v/>
      </c>
      <c r="Q254" s="264" t="str">
        <f>IFERROR(H253+H254-N254,"")</f>
        <v/>
      </c>
      <c r="R254" s="264" t="str">
        <f>IFERROR(I253+I254-O254,"")</f>
        <v/>
      </c>
    </row>
    <row r="255" spans="2:18" ht="25.5" customHeight="1" x14ac:dyDescent="0.4">
      <c r="B255" s="172">
        <v>2</v>
      </c>
      <c r="C255" s="234" t="str">
        <f>IFERROR(VLOOKUP(B255,'बँक जमा खर्च पासबुक'!$BO$8:$CD$111,6,0),"")</f>
        <v/>
      </c>
      <c r="D255" s="354" t="str">
        <f>IFERROR(VLOOKUP(B255,'बँक जमा खर्च पासबुक'!$BO$8:$CD$111,9,0),"")</f>
        <v/>
      </c>
      <c r="E255" s="240" t="str">
        <f>IFERROR(VLOOKUP(B255,'बँक जमा खर्च पासबुक'!$BO$8:$CD$111,7,0),"")</f>
        <v/>
      </c>
      <c r="F255" s="241" t="str">
        <f>IFERROR(VLOOKUP(B255,'बँक जमा खर्च पासबुक'!$BO$8:$CD$111,8,0),"")</f>
        <v/>
      </c>
      <c r="G255" s="264" t="str">
        <f>IFERROR(VLOOKUP(B255,'बँक जमा खर्च पासबुक'!$BO$8:$CD$111,13,0),"")</f>
        <v/>
      </c>
      <c r="H255" s="264" t="str">
        <f>IFERROR(VLOOKUP(B255,'बँक जमा खर्च पासबुक'!$BO$8:$CD$111,14,0),"")</f>
        <v/>
      </c>
      <c r="I255" s="264" t="str">
        <f t="shared" ref="I255:I261" si="70">IFERROR(G255+H255,"")</f>
        <v/>
      </c>
      <c r="J255" s="244" t="str">
        <f>IFERROR(VLOOKUP(B255,'बँक जमा खर्च पासबुक'!$BO$8:$CD$111,12,0),"")</f>
        <v/>
      </c>
      <c r="K255" s="240" t="str">
        <f>IFERROR(VLOOKUP(B255,'बँक जमा खर्च पासबुक'!$BO$8:$CD$111,10,0),"")</f>
        <v/>
      </c>
      <c r="L255" s="241" t="str">
        <f>IFERROR(VLOOKUP(B255,'बँक जमा खर्च पासबुक'!$BO$8:$CD$111,11,0),"")</f>
        <v/>
      </c>
      <c r="M255" s="264" t="str">
        <f>IFERROR(VLOOKUP(B255,'बँक जमा खर्च पासबुक'!$BO$8:$CD$111,15,0),"")</f>
        <v/>
      </c>
      <c r="N255" s="264" t="str">
        <f>IFERROR(VLOOKUP(B255,'बँक जमा खर्च पासबुक'!$BO$8:$CD$111,16,0),"")</f>
        <v/>
      </c>
      <c r="O255" s="264" t="str">
        <f t="shared" ref="O255:O261" si="71">IFERROR(M255+N255,"")</f>
        <v/>
      </c>
      <c r="P255" s="266" t="str">
        <f>IFERROR(P254+G255-M255,"")</f>
        <v/>
      </c>
      <c r="Q255" s="266" t="str">
        <f>IFERROR(Q254+H255-N255,"")</f>
        <v/>
      </c>
      <c r="R255" s="266" t="str">
        <f>IFERROR(R254+I255-O255,"")</f>
        <v/>
      </c>
    </row>
    <row r="256" spans="2:18" ht="25.5" customHeight="1" x14ac:dyDescent="0.4">
      <c r="B256" s="172">
        <v>3</v>
      </c>
      <c r="C256" s="234" t="str">
        <f>IFERROR(VLOOKUP(B256,'बँक जमा खर्च पासबुक'!$BO$8:$CD$111,6,0),"")</f>
        <v/>
      </c>
      <c r="D256" s="354" t="str">
        <f>IFERROR(VLOOKUP(B256,'बँक जमा खर्च पासबुक'!$BO$8:$CD$111,9,0),"")</f>
        <v/>
      </c>
      <c r="E256" s="240" t="str">
        <f>IFERROR(VLOOKUP(B256,'बँक जमा खर्च पासबुक'!$BO$8:$CD$111,7,0),"")</f>
        <v/>
      </c>
      <c r="F256" s="241" t="str">
        <f>IFERROR(VLOOKUP(B256,'बँक जमा खर्च पासबुक'!$BO$8:$CD$111,8,0),"")</f>
        <v/>
      </c>
      <c r="G256" s="264" t="str">
        <f>IFERROR(VLOOKUP(B256,'बँक जमा खर्च पासबुक'!$BO$8:$CD$111,13,0),"")</f>
        <v/>
      </c>
      <c r="H256" s="264" t="str">
        <f>IFERROR(VLOOKUP(B256,'बँक जमा खर्च पासबुक'!$BO$8:$CD$111,14,0),"")</f>
        <v/>
      </c>
      <c r="I256" s="264" t="str">
        <f t="shared" si="70"/>
        <v/>
      </c>
      <c r="J256" s="244" t="str">
        <f>IFERROR(VLOOKUP(B256,'बँक जमा खर्च पासबुक'!$BO$8:$CD$111,12,0),"")</f>
        <v/>
      </c>
      <c r="K256" s="240" t="str">
        <f>IFERROR(VLOOKUP(B256,'बँक जमा खर्च पासबुक'!$BO$8:$CD$111,10,0),"")</f>
        <v/>
      </c>
      <c r="L256" s="241" t="str">
        <f>IFERROR(VLOOKUP(B256,'बँक जमा खर्च पासबुक'!$BO$8:$CD$111,11,0),"")</f>
        <v/>
      </c>
      <c r="M256" s="264" t="str">
        <f>IFERROR(VLOOKUP(B256,'बँक जमा खर्च पासबुक'!$BO$8:$CD$111,15,0),"")</f>
        <v/>
      </c>
      <c r="N256" s="264" t="str">
        <f>IFERROR(VLOOKUP(B256,'बँक जमा खर्च पासबुक'!$BO$8:$CD$111,16,0),"")</f>
        <v/>
      </c>
      <c r="O256" s="264" t="str">
        <f t="shared" si="71"/>
        <v/>
      </c>
      <c r="P256" s="266" t="str">
        <f t="shared" ref="P256:P261" si="72">IFERROR(P255+G256-M256,"")</f>
        <v/>
      </c>
      <c r="Q256" s="266" t="str">
        <f t="shared" ref="Q256:Q261" si="73">IFERROR(Q255+H256-N256,"")</f>
        <v/>
      </c>
      <c r="R256" s="266" t="str">
        <f t="shared" ref="R256:R261" si="74">IFERROR(R255+I256-O256,"")</f>
        <v/>
      </c>
    </row>
    <row r="257" spans="2:18" ht="25.5" customHeight="1" x14ac:dyDescent="0.4">
      <c r="B257" s="172">
        <v>4</v>
      </c>
      <c r="C257" s="234" t="str">
        <f>IFERROR(VLOOKUP(B257,'बँक जमा खर्च पासबुक'!$BO$8:$CD$111,6,0),"")</f>
        <v/>
      </c>
      <c r="D257" s="354" t="str">
        <f>IFERROR(VLOOKUP(B257,'बँक जमा खर्च पासबुक'!$BO$8:$CD$111,9,0),"")</f>
        <v/>
      </c>
      <c r="E257" s="240" t="str">
        <f>IFERROR(VLOOKUP(B257,'बँक जमा खर्च पासबुक'!$BO$8:$CD$111,7,0),"")</f>
        <v/>
      </c>
      <c r="F257" s="241" t="str">
        <f>IFERROR(VLOOKUP(B257,'बँक जमा खर्च पासबुक'!$BO$8:$CD$111,8,0),"")</f>
        <v/>
      </c>
      <c r="G257" s="264" t="str">
        <f>IFERROR(VLOOKUP(B257,'बँक जमा खर्च पासबुक'!$BO$8:$CD$111,13,0),"")</f>
        <v/>
      </c>
      <c r="H257" s="264" t="str">
        <f>IFERROR(VLOOKUP(B257,'बँक जमा खर्च पासबुक'!$BO$8:$CD$111,14,0),"")</f>
        <v/>
      </c>
      <c r="I257" s="264" t="str">
        <f t="shared" si="70"/>
        <v/>
      </c>
      <c r="J257" s="244" t="str">
        <f>IFERROR(VLOOKUP(B257,'बँक जमा खर्च पासबुक'!$BO$8:$CD$111,12,0),"")</f>
        <v/>
      </c>
      <c r="K257" s="240" t="str">
        <f>IFERROR(VLOOKUP(B257,'बँक जमा खर्च पासबुक'!$BO$8:$CD$111,10,0),"")</f>
        <v/>
      </c>
      <c r="L257" s="241" t="str">
        <f>IFERROR(VLOOKUP(B257,'बँक जमा खर्च पासबुक'!$BO$8:$CD$111,11,0),"")</f>
        <v/>
      </c>
      <c r="M257" s="264" t="str">
        <f>IFERROR(VLOOKUP(B257,'बँक जमा खर्च पासबुक'!$BO$8:$CD$111,15,0),"")</f>
        <v/>
      </c>
      <c r="N257" s="264" t="str">
        <f>IFERROR(VLOOKUP(B257,'बँक जमा खर्च पासबुक'!$BO$8:$CD$111,16,0),"")</f>
        <v/>
      </c>
      <c r="O257" s="264" t="str">
        <f t="shared" si="71"/>
        <v/>
      </c>
      <c r="P257" s="266" t="str">
        <f t="shared" si="72"/>
        <v/>
      </c>
      <c r="Q257" s="266" t="str">
        <f t="shared" si="73"/>
        <v/>
      </c>
      <c r="R257" s="266" t="str">
        <f t="shared" si="74"/>
        <v/>
      </c>
    </row>
    <row r="258" spans="2:18" ht="25.5" customHeight="1" x14ac:dyDescent="0.4">
      <c r="B258" s="172">
        <v>5</v>
      </c>
      <c r="C258" s="234" t="str">
        <f>IFERROR(VLOOKUP(B258,'बँक जमा खर्च पासबुक'!$BO$8:$CD$111,6,0),"")</f>
        <v/>
      </c>
      <c r="D258" s="354" t="str">
        <f>IFERROR(VLOOKUP(B258,'बँक जमा खर्च पासबुक'!$BO$8:$CD$111,9,0),"")</f>
        <v/>
      </c>
      <c r="E258" s="240" t="str">
        <f>IFERROR(VLOOKUP(B258,'बँक जमा खर्च पासबुक'!$BO$8:$CD$111,7,0),"")</f>
        <v/>
      </c>
      <c r="F258" s="241" t="str">
        <f>IFERROR(VLOOKUP(B258,'बँक जमा खर्च पासबुक'!$BO$8:$CD$111,8,0),"")</f>
        <v/>
      </c>
      <c r="G258" s="264" t="str">
        <f>IFERROR(VLOOKUP(B258,'बँक जमा खर्च पासबुक'!$BO$8:$CD$111,13,0),"")</f>
        <v/>
      </c>
      <c r="H258" s="264" t="str">
        <f>IFERROR(VLOOKUP(B258,'बँक जमा खर्च पासबुक'!$BO$8:$CD$111,14,0),"")</f>
        <v/>
      </c>
      <c r="I258" s="264" t="str">
        <f t="shared" si="70"/>
        <v/>
      </c>
      <c r="J258" s="244" t="str">
        <f>IFERROR(VLOOKUP(B258,'बँक जमा खर्च पासबुक'!$BO$8:$CD$111,12,0),"")</f>
        <v/>
      </c>
      <c r="K258" s="240" t="str">
        <f>IFERROR(VLOOKUP(B258,'बँक जमा खर्च पासबुक'!$BO$8:$CD$111,10,0),"")</f>
        <v/>
      </c>
      <c r="L258" s="241" t="str">
        <f>IFERROR(VLOOKUP(B258,'बँक जमा खर्च पासबुक'!$BO$8:$CD$111,11,0),"")</f>
        <v/>
      </c>
      <c r="M258" s="264" t="str">
        <f>IFERROR(VLOOKUP(B258,'बँक जमा खर्च पासबुक'!$BO$8:$CD$111,15,0),"")</f>
        <v/>
      </c>
      <c r="N258" s="264" t="str">
        <f>IFERROR(VLOOKUP(B258,'बँक जमा खर्च पासबुक'!$BO$8:$CD$111,16,0),"")</f>
        <v/>
      </c>
      <c r="O258" s="264" t="str">
        <f t="shared" si="71"/>
        <v/>
      </c>
      <c r="P258" s="266" t="str">
        <f t="shared" si="72"/>
        <v/>
      </c>
      <c r="Q258" s="266" t="str">
        <f t="shared" si="73"/>
        <v/>
      </c>
      <c r="R258" s="266" t="str">
        <f t="shared" si="74"/>
        <v/>
      </c>
    </row>
    <row r="259" spans="2:18" ht="25.5" customHeight="1" x14ac:dyDescent="0.4">
      <c r="B259" s="172">
        <v>6</v>
      </c>
      <c r="C259" s="234" t="str">
        <f>IFERROR(VLOOKUP(B259,'बँक जमा खर्च पासबुक'!$BO$8:$CD$111,6,0),"")</f>
        <v/>
      </c>
      <c r="D259" s="354" t="str">
        <f>IFERROR(VLOOKUP(B259,'बँक जमा खर्च पासबुक'!$BO$8:$CD$111,9,0),"")</f>
        <v/>
      </c>
      <c r="E259" s="240" t="str">
        <f>IFERROR(VLOOKUP(B259,'बँक जमा खर्च पासबुक'!$BO$8:$CD$111,7,0),"")</f>
        <v/>
      </c>
      <c r="F259" s="241" t="str">
        <f>IFERROR(VLOOKUP(B259,'बँक जमा खर्च पासबुक'!$BO$8:$CD$111,8,0),"")</f>
        <v/>
      </c>
      <c r="G259" s="264" t="str">
        <f>IFERROR(VLOOKUP(B259,'बँक जमा खर्च पासबुक'!$BO$8:$CD$111,13,0),"")</f>
        <v/>
      </c>
      <c r="H259" s="264" t="str">
        <f>IFERROR(VLOOKUP(B259,'बँक जमा खर्च पासबुक'!$BO$8:$CD$111,14,0),"")</f>
        <v/>
      </c>
      <c r="I259" s="264" t="str">
        <f t="shared" si="70"/>
        <v/>
      </c>
      <c r="J259" s="244" t="str">
        <f>IFERROR(VLOOKUP(B259,'बँक जमा खर्च पासबुक'!$BO$8:$CD$111,12,0),"")</f>
        <v/>
      </c>
      <c r="K259" s="240" t="str">
        <f>IFERROR(VLOOKUP(B259,'बँक जमा खर्च पासबुक'!$BO$8:$CD$111,10,0),"")</f>
        <v/>
      </c>
      <c r="L259" s="241" t="str">
        <f>IFERROR(VLOOKUP(B259,'बँक जमा खर्च पासबुक'!$BO$8:$CD$111,11,0),"")</f>
        <v/>
      </c>
      <c r="M259" s="264" t="str">
        <f>IFERROR(VLOOKUP(B259,'बँक जमा खर्च पासबुक'!$BO$8:$CD$111,15,0),"")</f>
        <v/>
      </c>
      <c r="N259" s="264" t="str">
        <f>IFERROR(VLOOKUP(B259,'बँक जमा खर्च पासबुक'!$BO$8:$CD$111,16,0),"")</f>
        <v/>
      </c>
      <c r="O259" s="264" t="str">
        <f t="shared" si="71"/>
        <v/>
      </c>
      <c r="P259" s="266" t="str">
        <f t="shared" si="72"/>
        <v/>
      </c>
      <c r="Q259" s="266" t="str">
        <f t="shared" si="73"/>
        <v/>
      </c>
      <c r="R259" s="266" t="str">
        <f t="shared" si="74"/>
        <v/>
      </c>
    </row>
    <row r="260" spans="2:18" ht="25.5" customHeight="1" x14ac:dyDescent="0.4">
      <c r="B260" s="172">
        <v>7</v>
      </c>
      <c r="C260" s="234" t="str">
        <f>IFERROR(VLOOKUP(B260,'बँक जमा खर्च पासबुक'!$BO$8:$CD$111,6,0),"")</f>
        <v/>
      </c>
      <c r="D260" s="354" t="str">
        <f>IFERROR(VLOOKUP(B260,'बँक जमा खर्च पासबुक'!$BO$8:$CD$111,9,0),"")</f>
        <v/>
      </c>
      <c r="E260" s="240" t="str">
        <f>IFERROR(VLOOKUP(B260,'बँक जमा खर्च पासबुक'!$BO$8:$CD$111,7,0),"")</f>
        <v/>
      </c>
      <c r="F260" s="241" t="str">
        <f>IFERROR(VLOOKUP(B260,'बँक जमा खर्च पासबुक'!$BO$8:$CD$111,8,0),"")</f>
        <v/>
      </c>
      <c r="G260" s="264" t="str">
        <f>IFERROR(VLOOKUP(B260,'बँक जमा खर्च पासबुक'!$BO$8:$CD$111,13,0),"")</f>
        <v/>
      </c>
      <c r="H260" s="264" t="str">
        <f>IFERROR(VLOOKUP(B260,'बँक जमा खर्च पासबुक'!$BO$8:$CD$111,14,0),"")</f>
        <v/>
      </c>
      <c r="I260" s="264" t="str">
        <f t="shared" si="70"/>
        <v/>
      </c>
      <c r="J260" s="244" t="str">
        <f>IFERROR(VLOOKUP(B260,'बँक जमा खर्च पासबुक'!$BO$8:$CD$111,12,0),"")</f>
        <v/>
      </c>
      <c r="K260" s="240" t="str">
        <f>IFERROR(VLOOKUP(B260,'बँक जमा खर्च पासबुक'!$BO$8:$CD$111,10,0),"")</f>
        <v/>
      </c>
      <c r="L260" s="241" t="str">
        <f>IFERROR(VLOOKUP(B260,'बँक जमा खर्च पासबुक'!$BO$8:$CD$111,11,0),"")</f>
        <v/>
      </c>
      <c r="M260" s="264" t="str">
        <f>IFERROR(VLOOKUP(B260,'बँक जमा खर्च पासबुक'!$BO$8:$CD$111,15,0),"")</f>
        <v/>
      </c>
      <c r="N260" s="264" t="str">
        <f>IFERROR(VLOOKUP(B260,'बँक जमा खर्च पासबुक'!$BO$8:$CD$111,16,0),"")</f>
        <v/>
      </c>
      <c r="O260" s="264" t="str">
        <f t="shared" si="71"/>
        <v/>
      </c>
      <c r="P260" s="266" t="str">
        <f t="shared" si="72"/>
        <v/>
      </c>
      <c r="Q260" s="266" t="str">
        <f t="shared" si="73"/>
        <v/>
      </c>
      <c r="R260" s="266" t="str">
        <f t="shared" si="74"/>
        <v/>
      </c>
    </row>
    <row r="261" spans="2:18" ht="25.5" customHeight="1" x14ac:dyDescent="0.4">
      <c r="B261" s="172">
        <v>8</v>
      </c>
      <c r="C261" s="234" t="str">
        <f>IFERROR(VLOOKUP(B261,'बँक जमा खर्च पासबुक'!$BO$8:$CD$111,6,0),"")</f>
        <v/>
      </c>
      <c r="D261" s="354" t="str">
        <f>IFERROR(VLOOKUP(B261,'बँक जमा खर्च पासबुक'!$BO$8:$CD$111,9,0),"")</f>
        <v/>
      </c>
      <c r="E261" s="240" t="str">
        <f>IFERROR(VLOOKUP(B261,'बँक जमा खर्च पासबुक'!$BO$8:$CD$111,7,0),"")</f>
        <v/>
      </c>
      <c r="F261" s="241" t="str">
        <f>IFERROR(VLOOKUP(B261,'बँक जमा खर्च पासबुक'!$BO$8:$CD$111,8,0),"")</f>
        <v/>
      </c>
      <c r="G261" s="264" t="str">
        <f>IFERROR(VLOOKUP(B261,'बँक जमा खर्च पासबुक'!$BO$8:$CD$111,13,0),"")</f>
        <v/>
      </c>
      <c r="H261" s="264" t="str">
        <f>IFERROR(VLOOKUP(B261,'बँक जमा खर्च पासबुक'!$BO$8:$CD$111,14,0),"")</f>
        <v/>
      </c>
      <c r="I261" s="264" t="str">
        <f t="shared" si="70"/>
        <v/>
      </c>
      <c r="J261" s="244" t="str">
        <f>IFERROR(VLOOKUP(B261,'बँक जमा खर्च पासबुक'!$BO$8:$CD$111,12,0),"")</f>
        <v/>
      </c>
      <c r="K261" s="240" t="str">
        <f>IFERROR(VLOOKUP(B261,'बँक जमा खर्च पासबुक'!$BO$8:$CD$111,10,0),"")</f>
        <v/>
      </c>
      <c r="L261" s="241" t="str">
        <f>IFERROR(VLOOKUP(B261,'बँक जमा खर्च पासबुक'!$BO$8:$CD$111,11,0),"")</f>
        <v/>
      </c>
      <c r="M261" s="264" t="str">
        <f>IFERROR(VLOOKUP(B261,'बँक जमा खर्च पासबुक'!$BO$8:$CD$111,15,0),"")</f>
        <v/>
      </c>
      <c r="N261" s="264" t="str">
        <f>IFERROR(VLOOKUP(B261,'बँक जमा खर्च पासबुक'!$BO$8:$CD$111,16,0),"")</f>
        <v/>
      </c>
      <c r="O261" s="264" t="str">
        <f t="shared" si="71"/>
        <v/>
      </c>
      <c r="P261" s="266" t="str">
        <f t="shared" si="72"/>
        <v/>
      </c>
      <c r="Q261" s="266" t="str">
        <f t="shared" si="73"/>
        <v/>
      </c>
      <c r="R261" s="266" t="str">
        <f t="shared" si="74"/>
        <v/>
      </c>
    </row>
    <row r="262" spans="2:18" ht="25.5" customHeight="1" x14ac:dyDescent="0.4">
      <c r="B262" s="172"/>
      <c r="C262" s="713"/>
      <c r="D262" s="391" t="s">
        <v>35</v>
      </c>
      <c r="E262" s="785"/>
      <c r="F262" s="786"/>
      <c r="G262" s="262">
        <f>SUM(G253:G261)</f>
        <v>0</v>
      </c>
      <c r="H262" s="262">
        <f>SUM(H253:H261)</f>
        <v>0</v>
      </c>
      <c r="I262" s="262">
        <f>SUM(I253:I261)</f>
        <v>0</v>
      </c>
      <c r="J262" s="391"/>
      <c r="K262" s="785"/>
      <c r="L262" s="786"/>
      <c r="M262" s="266">
        <f>SUM(M254:M261)</f>
        <v>0</v>
      </c>
      <c r="N262" s="266">
        <f>SUM(N254:N261)</f>
        <v>0</v>
      </c>
      <c r="O262" s="266">
        <f>SUM(O254:O261)</f>
        <v>0</v>
      </c>
      <c r="P262" s="266">
        <f>G262-M262</f>
        <v>0</v>
      </c>
      <c r="Q262" s="266">
        <f>H262-N262</f>
        <v>0</v>
      </c>
      <c r="R262" s="266">
        <f>I262-O262</f>
        <v>0</v>
      </c>
    </row>
    <row r="265" spans="2:18" ht="25.5" customHeight="1" x14ac:dyDescent="0.4"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2:18" ht="25.5" customHeight="1" x14ac:dyDescent="0.4"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2:18" ht="25.5" customHeight="1" x14ac:dyDescent="0.4"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2:18" ht="25.5" customHeight="1" x14ac:dyDescent="0.4"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2:18" ht="25.5" customHeight="1" x14ac:dyDescent="0.4"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2:18" ht="25.5" customHeight="1" x14ac:dyDescent="0.4"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2:18" ht="25.5" customHeight="1" x14ac:dyDescent="0.4"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2:18" ht="25.5" customHeight="1" x14ac:dyDescent="0.4"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="1" customFormat="1" ht="25.5" customHeight="1" x14ac:dyDescent="0.4"/>
    <row r="274" s="1" customFormat="1" ht="25.5" customHeight="1" x14ac:dyDescent="0.4"/>
    <row r="275" s="1" customFormat="1" ht="25.5" customHeight="1" x14ac:dyDescent="0.4"/>
    <row r="276" s="1" customFormat="1" ht="25.5" customHeight="1" x14ac:dyDescent="0.4"/>
    <row r="277" s="1" customFormat="1" ht="25.5" customHeight="1" x14ac:dyDescent="0.4"/>
    <row r="278" s="1" customFormat="1" ht="25.5" customHeight="1" x14ac:dyDescent="0.4"/>
    <row r="281" s="1" customFormat="1" ht="25.5" customHeight="1" x14ac:dyDescent="0.4"/>
    <row r="282" s="1" customFormat="1" ht="25.5" customHeight="1" x14ac:dyDescent="0.4"/>
    <row r="283" s="1" customFormat="1" ht="25.5" customHeight="1" x14ac:dyDescent="0.4"/>
    <row r="284" s="1" customFormat="1" ht="25.5" customHeight="1" x14ac:dyDescent="0.4"/>
    <row r="285" s="1" customFormat="1" ht="25.5" customHeight="1" x14ac:dyDescent="0.4"/>
    <row r="286" s="1" customFormat="1" ht="25.5" customHeight="1" x14ac:dyDescent="0.4"/>
    <row r="287" s="1" customFormat="1" ht="25.5" customHeight="1" x14ac:dyDescent="0.4"/>
    <row r="288" s="1" customFormat="1" ht="25.5" customHeight="1" x14ac:dyDescent="0.4"/>
    <row r="289" s="1" customFormat="1" ht="25.5" customHeight="1" x14ac:dyDescent="0.4"/>
    <row r="290" s="1" customFormat="1" ht="25.5" customHeight="1" x14ac:dyDescent="0.4"/>
    <row r="291" s="1" customFormat="1" ht="25.5" customHeight="1" x14ac:dyDescent="0.4"/>
    <row r="292" s="1" customFormat="1" ht="25.5" customHeight="1" x14ac:dyDescent="0.4"/>
    <row r="293" s="1" customFormat="1" ht="25.5" customHeight="1" x14ac:dyDescent="0.4"/>
    <row r="294" s="1" customFormat="1" ht="25.5" customHeight="1" x14ac:dyDescent="0.4"/>
    <row r="297" s="1" customFormat="1" ht="25.5" customHeight="1" x14ac:dyDescent="0.4"/>
    <row r="298" s="1" customFormat="1" ht="25.5" customHeight="1" x14ac:dyDescent="0.4"/>
    <row r="299" s="1" customFormat="1" ht="25.5" customHeight="1" x14ac:dyDescent="0.4"/>
    <row r="300" s="1" customFormat="1" ht="25.5" customHeight="1" x14ac:dyDescent="0.4"/>
    <row r="301" s="1" customFormat="1" ht="25.5" customHeight="1" x14ac:dyDescent="0.4"/>
    <row r="302" s="1" customFormat="1" ht="25.5" customHeight="1" x14ac:dyDescent="0.4"/>
    <row r="303" s="1" customFormat="1" ht="25.5" customHeight="1" x14ac:dyDescent="0.4"/>
    <row r="304" s="1" customFormat="1" ht="25.5" customHeight="1" x14ac:dyDescent="0.4"/>
    <row r="305" s="1" customFormat="1" ht="25.5" customHeight="1" x14ac:dyDescent="0.4"/>
    <row r="306" s="1" customFormat="1" ht="25.5" customHeight="1" x14ac:dyDescent="0.4"/>
    <row r="307" s="1" customFormat="1" ht="25.5" customHeight="1" x14ac:dyDescent="0.4"/>
    <row r="308" s="1" customFormat="1" ht="25.5" customHeight="1" x14ac:dyDescent="0.4"/>
    <row r="309" s="1" customFormat="1" ht="25.5" customHeight="1" x14ac:dyDescent="0.4"/>
    <row r="310" s="1" customFormat="1" ht="25.5" customHeight="1" x14ac:dyDescent="0.4"/>
  </sheetData>
  <sheetProtection algorithmName="SHA-512" hashValue="XvuTGp+3haPpAkf+/2PaWSWnUiS3Nx7Tn+3y4oNPUP9L+tfMoUGCrEmwN9pTpjZCki31sjq4PpprlGAApgWLsQ==" saltValue="OaFZqjwxit268lkvotJyLg==" spinCount="100000" sheet="1" objects="1" scenarios="1" selectLockedCells="1"/>
  <mergeCells count="136">
    <mergeCell ref="D23:E23"/>
    <mergeCell ref="D101:E101"/>
    <mergeCell ref="D83:E83"/>
    <mergeCell ref="D40:E40"/>
    <mergeCell ref="D171:F171"/>
    <mergeCell ref="D85:F85"/>
    <mergeCell ref="D103:F103"/>
    <mergeCell ref="D125:F125"/>
    <mergeCell ref="D43:F43"/>
    <mergeCell ref="D44:F44"/>
    <mergeCell ref="C42:C43"/>
    <mergeCell ref="D42:F42"/>
    <mergeCell ref="B171:B172"/>
    <mergeCell ref="C171:C172"/>
    <mergeCell ref="D25:F25"/>
    <mergeCell ref="B25:B26"/>
    <mergeCell ref="C25:C26"/>
    <mergeCell ref="B42:B43"/>
    <mergeCell ref="B85:B86"/>
    <mergeCell ref="C85:C86"/>
    <mergeCell ref="B103:B104"/>
    <mergeCell ref="C103:C104"/>
    <mergeCell ref="B125:B126"/>
    <mergeCell ref="C125:C126"/>
    <mergeCell ref="D26:F26"/>
    <mergeCell ref="D27:F27"/>
    <mergeCell ref="M236:O236"/>
    <mergeCell ref="P236:R236"/>
    <mergeCell ref="G251:I251"/>
    <mergeCell ref="M251:O251"/>
    <mergeCell ref="P251:R251"/>
    <mergeCell ref="M219:O219"/>
    <mergeCell ref="P219:R219"/>
    <mergeCell ref="M155:O155"/>
    <mergeCell ref="P155:R155"/>
    <mergeCell ref="G171:I171"/>
    <mergeCell ref="M171:O171"/>
    <mergeCell ref="P171:R171"/>
    <mergeCell ref="G187:I187"/>
    <mergeCell ref="M187:O187"/>
    <mergeCell ref="P187:R187"/>
    <mergeCell ref="G204:I204"/>
    <mergeCell ref="M204:O204"/>
    <mergeCell ref="P204:R204"/>
    <mergeCell ref="M125:O125"/>
    <mergeCell ref="P125:R125"/>
    <mergeCell ref="J103:L103"/>
    <mergeCell ref="J125:L125"/>
    <mergeCell ref="G141:I141"/>
    <mergeCell ref="M141:O141"/>
    <mergeCell ref="P141:R141"/>
    <mergeCell ref="G103:I103"/>
    <mergeCell ref="M103:O103"/>
    <mergeCell ref="P103:R103"/>
    <mergeCell ref="G125:I125"/>
    <mergeCell ref="M25:O25"/>
    <mergeCell ref="P25:R25"/>
    <mergeCell ref="G85:I85"/>
    <mergeCell ref="M85:O85"/>
    <mergeCell ref="P85:R85"/>
    <mergeCell ref="G42:I42"/>
    <mergeCell ref="M42:O42"/>
    <mergeCell ref="P42:R42"/>
    <mergeCell ref="J25:L25"/>
    <mergeCell ref="J42:L42"/>
    <mergeCell ref="J85:L85"/>
    <mergeCell ref="J26:L26"/>
    <mergeCell ref="J43:L43"/>
    <mergeCell ref="B187:B188"/>
    <mergeCell ref="C187:C188"/>
    <mergeCell ref="D187:F187"/>
    <mergeCell ref="J187:L187"/>
    <mergeCell ref="C141:C142"/>
    <mergeCell ref="D141:F141"/>
    <mergeCell ref="J141:L141"/>
    <mergeCell ref="B155:B156"/>
    <mergeCell ref="C155:C156"/>
    <mergeCell ref="D155:F155"/>
    <mergeCell ref="J155:L155"/>
    <mergeCell ref="G155:I155"/>
    <mergeCell ref="J171:L171"/>
    <mergeCell ref="B141:B142"/>
    <mergeCell ref="D142:F142"/>
    <mergeCell ref="D143:F143"/>
    <mergeCell ref="J142:L142"/>
    <mergeCell ref="D156:F156"/>
    <mergeCell ref="D157:F157"/>
    <mergeCell ref="J156:L156"/>
    <mergeCell ref="D172:F172"/>
    <mergeCell ref="B204:B205"/>
    <mergeCell ref="C204:C205"/>
    <mergeCell ref="D204:F204"/>
    <mergeCell ref="J204:L204"/>
    <mergeCell ref="B219:B220"/>
    <mergeCell ref="C219:C220"/>
    <mergeCell ref="D219:F219"/>
    <mergeCell ref="J219:L219"/>
    <mergeCell ref="G219:I219"/>
    <mergeCell ref="D205:F205"/>
    <mergeCell ref="D206:F206"/>
    <mergeCell ref="J205:L205"/>
    <mergeCell ref="J220:L220"/>
    <mergeCell ref="D220:F220"/>
    <mergeCell ref="B236:B237"/>
    <mergeCell ref="C236:C237"/>
    <mergeCell ref="D236:F236"/>
    <mergeCell ref="J236:L236"/>
    <mergeCell ref="B251:B252"/>
    <mergeCell ref="C251:C252"/>
    <mergeCell ref="D251:F251"/>
    <mergeCell ref="J251:L251"/>
    <mergeCell ref="G236:I236"/>
    <mergeCell ref="D4:E4"/>
    <mergeCell ref="G4:I4"/>
    <mergeCell ref="D253:F253"/>
    <mergeCell ref="D221:F221"/>
    <mergeCell ref="D237:F237"/>
    <mergeCell ref="D238:F238"/>
    <mergeCell ref="J237:L237"/>
    <mergeCell ref="J252:L252"/>
    <mergeCell ref="D252:F252"/>
    <mergeCell ref="D173:F173"/>
    <mergeCell ref="J172:L172"/>
    <mergeCell ref="D188:F188"/>
    <mergeCell ref="D189:F189"/>
    <mergeCell ref="J188:L188"/>
    <mergeCell ref="J86:L86"/>
    <mergeCell ref="J104:L104"/>
    <mergeCell ref="J126:L126"/>
    <mergeCell ref="D126:F126"/>
    <mergeCell ref="D127:F127"/>
    <mergeCell ref="D104:F104"/>
    <mergeCell ref="D105:F105"/>
    <mergeCell ref="D86:F86"/>
    <mergeCell ref="D87:F87"/>
    <mergeCell ref="G25:I2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5" orientation="landscape" horizontalDpi="0" verticalDpi="0" r:id="rId1"/>
  <rowBreaks count="7" manualBreakCount="7">
    <brk id="21" max="18" man="1"/>
    <brk id="38" max="18" man="1"/>
    <brk id="81" max="16383" man="1"/>
    <brk id="121" max="16383" man="1"/>
    <brk id="151" max="18" man="1"/>
    <brk id="183" max="18" man="1"/>
    <brk id="215" max="1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5DE64A"/>
    <pageSetUpPr fitToPage="1"/>
  </sheetPr>
  <dimension ref="A1:BU376"/>
  <sheetViews>
    <sheetView showZeros="0" topLeftCell="T1" zoomScaleNormal="100" workbookViewId="0">
      <selection activeCell="D5" sqref="D5:J5"/>
    </sheetView>
  </sheetViews>
  <sheetFormatPr defaultRowHeight="22.5" customHeight="1" x14ac:dyDescent="0.4"/>
  <cols>
    <col min="1" max="1" width="9.140625" style="1" hidden="1" customWidth="1"/>
    <col min="2" max="2" width="7.28515625" style="21" hidden="1" customWidth="1"/>
    <col min="3" max="3" width="15.42578125" style="21" hidden="1" customWidth="1"/>
    <col min="4" max="5" width="14" style="21" hidden="1" customWidth="1"/>
    <col min="6" max="6" width="25.5703125" style="1" hidden="1" customWidth="1"/>
    <col min="7" max="7" width="11.85546875" style="1" hidden="1" customWidth="1"/>
    <col min="8" max="8" width="12.42578125" style="1" hidden="1" customWidth="1"/>
    <col min="9" max="9" width="29" style="1" hidden="1" customWidth="1"/>
    <col min="10" max="10" width="13.28515625" style="1" hidden="1" customWidth="1"/>
    <col min="11" max="11" width="0.7109375" style="21" hidden="1" customWidth="1"/>
    <col min="12" max="12" width="11.42578125" style="21" hidden="1" customWidth="1"/>
    <col min="13" max="13" width="12.85546875" style="1" hidden="1" customWidth="1"/>
    <col min="14" max="14" width="12.28515625" style="1" hidden="1" customWidth="1"/>
    <col min="15" max="15" width="13.85546875" style="1" hidden="1" customWidth="1"/>
    <col min="16" max="16" width="14.42578125" style="1" hidden="1" customWidth="1"/>
    <col min="17" max="19" width="9.140625" style="1" hidden="1" customWidth="1"/>
    <col min="20" max="20" width="9.140625" style="1" customWidth="1"/>
    <col min="21" max="21" width="5.7109375" style="1" customWidth="1"/>
    <col min="22" max="22" width="16.7109375" style="1" customWidth="1"/>
    <col min="23" max="23" width="14.42578125" style="1" customWidth="1"/>
    <col min="24" max="24" width="12.85546875" style="1" customWidth="1"/>
    <col min="25" max="25" width="13.42578125" style="1" customWidth="1"/>
    <col min="26" max="26" width="11.85546875" style="1" customWidth="1"/>
    <col min="27" max="30" width="9.140625" style="1"/>
    <col min="31" max="31" width="29.28515625" style="1" customWidth="1"/>
    <col min="32" max="32" width="12.42578125" style="1" customWidth="1"/>
    <col min="33" max="35" width="9.140625" style="1"/>
    <col min="36" max="36" width="9" style="1" customWidth="1"/>
    <col min="37" max="37" width="9.28515625" style="1" customWidth="1"/>
    <col min="38" max="38" width="0.140625" style="1" customWidth="1"/>
    <col min="39" max="39" width="7.28515625" style="1" hidden="1" customWidth="1"/>
    <col min="40" max="40" width="8.5703125" style="1" hidden="1" customWidth="1"/>
    <col min="41" max="41" width="8.85546875" style="1" hidden="1" customWidth="1"/>
    <col min="42" max="42" width="10.42578125" style="1" hidden="1" customWidth="1"/>
    <col min="43" max="43" width="10.7109375" style="1" hidden="1" customWidth="1"/>
    <col min="44" max="44" width="11.42578125" style="1" hidden="1" customWidth="1"/>
    <col min="45" max="45" width="13.28515625" style="1" hidden="1" customWidth="1"/>
    <col min="46" max="46" width="11.140625" style="1" hidden="1" customWidth="1"/>
    <col min="47" max="47" width="6.85546875" style="1" hidden="1" customWidth="1"/>
    <col min="48" max="48" width="7.7109375" style="1" hidden="1" customWidth="1"/>
    <col min="49" max="49" width="6.85546875" style="1" hidden="1" customWidth="1"/>
    <col min="50" max="50" width="7.85546875" style="1" hidden="1" customWidth="1"/>
    <col min="51" max="51" width="7" style="1" hidden="1" customWidth="1"/>
    <col min="52" max="52" width="7.140625" style="1" hidden="1" customWidth="1"/>
    <col min="53" max="53" width="7.42578125" style="1" hidden="1" customWidth="1"/>
    <col min="54" max="54" width="9.85546875" style="1" hidden="1" customWidth="1"/>
    <col min="55" max="55" width="9.7109375" style="1" hidden="1" customWidth="1"/>
    <col min="56" max="56" width="7" style="1" hidden="1" customWidth="1"/>
    <col min="57" max="57" width="9.7109375" style="1" hidden="1" customWidth="1"/>
    <col min="58" max="58" width="14.5703125" style="1" hidden="1" customWidth="1"/>
    <col min="59" max="59" width="8.28515625" style="1" hidden="1" customWidth="1"/>
    <col min="60" max="60" width="9.28515625" style="1" hidden="1" customWidth="1"/>
    <col min="61" max="61" width="11" style="1" hidden="1" customWidth="1"/>
    <col min="62" max="62" width="10.42578125" style="1" hidden="1" customWidth="1"/>
    <col min="63" max="63" width="9.42578125" style="1" hidden="1" customWidth="1"/>
    <col min="64" max="64" width="12.42578125" style="1" hidden="1" customWidth="1"/>
    <col min="65" max="65" width="13.140625" style="1" hidden="1" customWidth="1"/>
    <col min="66" max="66" width="12.42578125" style="1" hidden="1" customWidth="1"/>
    <col min="67" max="67" width="10.7109375" style="1" hidden="1" customWidth="1"/>
    <col min="68" max="68" width="11.5703125" style="1" hidden="1" customWidth="1"/>
    <col min="69" max="69" width="8.42578125" style="1" hidden="1" customWidth="1"/>
    <col min="70" max="70" width="8.140625" style="1" hidden="1" customWidth="1"/>
    <col min="71" max="71" width="8.5703125" style="1" hidden="1" customWidth="1"/>
    <col min="72" max="72" width="17" style="1" hidden="1" customWidth="1"/>
    <col min="73" max="73" width="0.140625" style="1" hidden="1" customWidth="1"/>
    <col min="74" max="16384" width="9.140625" style="1"/>
  </cols>
  <sheetData>
    <row r="1" spans="1:72" ht="22.5" customHeight="1" x14ac:dyDescent="0.4"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1455"/>
      <c r="N1" s="1455"/>
      <c r="O1" s="1455"/>
      <c r="P1" s="1455"/>
      <c r="AM1" s="380"/>
      <c r="AN1" s="380"/>
      <c r="AO1" s="380"/>
      <c r="AP1" s="380"/>
      <c r="AQ1" s="380"/>
      <c r="AR1" s="380"/>
      <c r="AS1" s="380"/>
      <c r="AT1" s="380"/>
      <c r="AU1" s="380"/>
      <c r="AV1" s="380" t="s">
        <v>582</v>
      </c>
      <c r="AW1" s="380"/>
      <c r="AX1" s="380"/>
      <c r="AY1" s="380"/>
      <c r="AZ1" s="380"/>
      <c r="BA1" s="380"/>
      <c r="BB1" s="380"/>
      <c r="BC1" s="380"/>
      <c r="BD1" s="380"/>
      <c r="BE1" s="380"/>
      <c r="BF1" s="380"/>
      <c r="BG1" s="380"/>
      <c r="BH1" s="380"/>
      <c r="BI1" s="380"/>
      <c r="BJ1" s="380"/>
      <c r="BK1" s="380" t="s">
        <v>625</v>
      </c>
      <c r="BL1" s="380"/>
      <c r="BM1" s="380"/>
      <c r="BN1" s="380"/>
      <c r="BO1" s="380"/>
      <c r="BP1" s="380"/>
      <c r="BQ1" s="380"/>
      <c r="BR1" s="380"/>
      <c r="BS1" s="380"/>
      <c r="BT1" s="380"/>
    </row>
    <row r="2" spans="1:72" ht="22.5" customHeight="1" x14ac:dyDescent="0.4">
      <c r="AM2" s="380"/>
      <c r="AN2" s="380"/>
      <c r="AO2" s="380"/>
      <c r="AP2" s="380" t="s">
        <v>42</v>
      </c>
      <c r="AQ2" s="380" t="s">
        <v>44</v>
      </c>
      <c r="AR2" s="380" t="s">
        <v>94</v>
      </c>
      <c r="AS2" s="380" t="s">
        <v>46</v>
      </c>
      <c r="AT2" s="380" t="s">
        <v>34</v>
      </c>
      <c r="AU2" s="380" t="s">
        <v>37</v>
      </c>
      <c r="AV2" s="380" t="s">
        <v>47</v>
      </c>
      <c r="AW2" s="380" t="s">
        <v>38</v>
      </c>
      <c r="AX2" s="380" t="s">
        <v>39</v>
      </c>
      <c r="AY2" s="380" t="s">
        <v>33</v>
      </c>
      <c r="AZ2" s="380" t="s">
        <v>40</v>
      </c>
      <c r="BA2" s="380" t="s">
        <v>41</v>
      </c>
      <c r="BB2" s="380"/>
      <c r="BC2" s="380"/>
      <c r="BD2" s="380"/>
      <c r="BE2" s="380" t="s">
        <v>42</v>
      </c>
      <c r="BF2" s="380" t="s">
        <v>44</v>
      </c>
      <c r="BG2" s="380" t="s">
        <v>94</v>
      </c>
      <c r="BH2" s="380" t="s">
        <v>46</v>
      </c>
      <c r="BI2" s="380" t="s">
        <v>34</v>
      </c>
      <c r="BJ2" s="380" t="s">
        <v>37</v>
      </c>
      <c r="BK2" s="380" t="s">
        <v>47</v>
      </c>
      <c r="BL2" s="380" t="s">
        <v>38</v>
      </c>
      <c r="BM2" s="380" t="s">
        <v>39</v>
      </c>
      <c r="BN2" s="380" t="s">
        <v>33</v>
      </c>
      <c r="BO2" s="380" t="s">
        <v>40</v>
      </c>
      <c r="BP2" s="380" t="s">
        <v>41</v>
      </c>
      <c r="BQ2" s="380"/>
      <c r="BR2" s="380"/>
      <c r="BS2" s="380"/>
      <c r="BT2" s="380"/>
    </row>
    <row r="3" spans="1:72" ht="22.5" customHeight="1" thickBot="1" x14ac:dyDescent="0.45">
      <c r="B3" s="1"/>
      <c r="C3" s="1"/>
      <c r="D3" s="1"/>
      <c r="E3" s="1"/>
      <c r="K3" s="1"/>
      <c r="L3" s="1"/>
      <c r="AM3" s="380"/>
      <c r="AN3" s="380"/>
      <c r="AO3" s="380">
        <v>1</v>
      </c>
      <c r="AP3" s="380" t="str">
        <f>D9</f>
        <v/>
      </c>
      <c r="AQ3" s="380" t="str">
        <f>D39</f>
        <v/>
      </c>
      <c r="AR3" s="380" t="str">
        <f>D70</f>
        <v/>
      </c>
      <c r="AS3" s="380" t="str">
        <f>D100</f>
        <v/>
      </c>
      <c r="AT3" s="380" t="str">
        <f>D131</f>
        <v/>
      </c>
      <c r="AU3" s="380" t="str">
        <f>D162</f>
        <v/>
      </c>
      <c r="AV3" s="380" t="str">
        <f>D192</f>
        <v/>
      </c>
      <c r="AW3" s="380" t="str">
        <f>D223</f>
        <v/>
      </c>
      <c r="AX3" s="380" t="str">
        <f>D253</f>
        <v/>
      </c>
      <c r="AY3" s="380" t="str">
        <f>D284</f>
        <v/>
      </c>
      <c r="AZ3" s="380" t="str">
        <f>D315</f>
        <v/>
      </c>
      <c r="BA3" s="380" t="str">
        <f>D344</f>
        <v/>
      </c>
      <c r="BB3" s="380"/>
      <c r="BC3" s="380"/>
      <c r="BD3" s="380">
        <v>1</v>
      </c>
      <c r="BE3" s="380" t="str">
        <f>E9</f>
        <v/>
      </c>
      <c r="BF3" s="380" t="str">
        <f>E39</f>
        <v/>
      </c>
      <c r="BG3" s="380" t="str">
        <f>E70</f>
        <v/>
      </c>
      <c r="BH3" s="380" t="str">
        <f>E100</f>
        <v/>
      </c>
      <c r="BI3" s="380" t="str">
        <f>E131</f>
        <v/>
      </c>
      <c r="BJ3" s="380" t="str">
        <f>E162</f>
        <v/>
      </c>
      <c r="BK3" s="380" t="str">
        <f>E192</f>
        <v/>
      </c>
      <c r="BL3" s="380" t="str">
        <f>E223</f>
        <v/>
      </c>
      <c r="BM3" s="380" t="str">
        <f>E253</f>
        <v/>
      </c>
      <c r="BN3" s="380" t="str">
        <f>E284</f>
        <v/>
      </c>
      <c r="BO3" s="380" t="str">
        <f>E315</f>
        <v/>
      </c>
      <c r="BP3" s="380" t="str">
        <f>E344</f>
        <v/>
      </c>
      <c r="BQ3" s="380"/>
      <c r="BR3" s="380"/>
      <c r="BS3" s="380"/>
      <c r="BT3" s="380"/>
    </row>
    <row r="4" spans="1:72" ht="22.5" customHeight="1" x14ac:dyDescent="0.4">
      <c r="B4" s="1"/>
      <c r="C4" s="1"/>
      <c r="D4" s="1"/>
      <c r="E4" s="1"/>
      <c r="K4" s="1"/>
      <c r="L4" s="1"/>
      <c r="U4" s="1422" t="s">
        <v>648</v>
      </c>
      <c r="V4" s="1423"/>
      <c r="W4" s="1423"/>
      <c r="X4" s="1423"/>
      <c r="Y4" s="1423"/>
      <c r="Z4" s="1423"/>
      <c r="AA4" s="1423"/>
      <c r="AB4" s="1423"/>
      <c r="AC4" s="1423"/>
      <c r="AD4" s="1424"/>
      <c r="AM4" s="380"/>
      <c r="AN4" s="380"/>
      <c r="AO4" s="380">
        <v>2</v>
      </c>
      <c r="AP4" s="380" t="str">
        <f t="shared" ref="AP4:AP7" si="0">D10</f>
        <v/>
      </c>
      <c r="AQ4" s="380" t="str">
        <f t="shared" ref="AQ4:AQ7" si="1">D40</f>
        <v/>
      </c>
      <c r="AR4" s="380" t="str">
        <f t="shared" ref="AR4:AR6" si="2">D71</f>
        <v/>
      </c>
      <c r="AS4" s="380" t="str">
        <f t="shared" ref="AS4:AS6" si="3">D101</f>
        <v/>
      </c>
      <c r="AT4" s="380" t="str">
        <f t="shared" ref="AT4:AT6" si="4">D132</f>
        <v/>
      </c>
      <c r="AU4" s="380" t="str">
        <f t="shared" ref="AU4:AU6" si="5">D163</f>
        <v/>
      </c>
      <c r="AV4" s="380" t="str">
        <f t="shared" ref="AV4:AV6" si="6">D193</f>
        <v/>
      </c>
      <c r="AW4" s="380" t="str">
        <f t="shared" ref="AW4:AW6" si="7">D224</f>
        <v/>
      </c>
      <c r="AX4" s="380" t="str">
        <f t="shared" ref="AX4:AX6" si="8">D254</f>
        <v/>
      </c>
      <c r="AY4" s="380" t="str">
        <f t="shared" ref="AY4:AY6" si="9">D285</f>
        <v/>
      </c>
      <c r="AZ4" s="380" t="str">
        <f t="shared" ref="AZ4:AZ6" si="10">D316</f>
        <v/>
      </c>
      <c r="BA4" s="380" t="str">
        <f t="shared" ref="BA4:BA6" si="11">D345</f>
        <v/>
      </c>
      <c r="BB4" s="380"/>
      <c r="BC4" s="380"/>
      <c r="BD4" s="380">
        <v>2</v>
      </c>
      <c r="BE4" s="380" t="str">
        <f t="shared" ref="BE4:BE6" si="12">E10</f>
        <v/>
      </c>
      <c r="BF4" s="380" t="str">
        <f t="shared" ref="BF4:BF6" si="13">E40</f>
        <v/>
      </c>
      <c r="BG4" s="380" t="str">
        <f t="shared" ref="BG4:BG6" si="14">E71</f>
        <v/>
      </c>
      <c r="BH4" s="380" t="str">
        <f t="shared" ref="BH4:BH6" si="15">E101</f>
        <v/>
      </c>
      <c r="BI4" s="380" t="str">
        <f t="shared" ref="BI4:BI6" si="16">E132</f>
        <v/>
      </c>
      <c r="BJ4" s="380" t="str">
        <f t="shared" ref="BJ4:BJ6" si="17">E163</f>
        <v/>
      </c>
      <c r="BK4" s="380" t="str">
        <f t="shared" ref="BK4:BK6" si="18">E193</f>
        <v/>
      </c>
      <c r="BL4" s="380" t="str">
        <f t="shared" ref="BL4:BL6" si="19">E224</f>
        <v/>
      </c>
      <c r="BM4" s="380" t="str">
        <f t="shared" ref="BM4:BM6" si="20">E254</f>
        <v/>
      </c>
      <c r="BN4" s="380" t="str">
        <f t="shared" ref="BN4:BN6" si="21">E285</f>
        <v/>
      </c>
      <c r="BO4" s="380" t="str">
        <f t="shared" ref="BO4:BO6" si="22">E316</f>
        <v/>
      </c>
      <c r="BP4" s="380" t="str">
        <f t="shared" ref="BP4:BP6" si="23">E345</f>
        <v/>
      </c>
      <c r="BQ4" s="380"/>
      <c r="BR4" s="380"/>
      <c r="BS4" s="380"/>
      <c r="BT4" s="380"/>
    </row>
    <row r="5" spans="1:72" ht="22.5" customHeight="1" x14ac:dyDescent="0.4">
      <c r="A5" s="399"/>
      <c r="B5" s="399"/>
      <c r="C5" s="399"/>
      <c r="D5" s="399"/>
      <c r="E5" s="399"/>
      <c r="F5" s="808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U5" s="1425" t="str">
        <f>'शाळा माहिती'!D4</f>
        <v>जि.प.प्रा.शा.बोरजाई वस्ती</v>
      </c>
      <c r="V5" s="1426"/>
      <c r="W5" s="1426"/>
      <c r="X5" s="1426"/>
      <c r="Y5" s="1426"/>
      <c r="Z5" s="1426"/>
      <c r="AA5" s="1426"/>
      <c r="AB5" s="1426"/>
      <c r="AC5" s="1426"/>
      <c r="AD5" s="1427"/>
      <c r="AM5" s="380"/>
      <c r="AN5" s="380"/>
      <c r="AO5" s="380">
        <v>3</v>
      </c>
      <c r="AP5" s="380" t="str">
        <f t="shared" si="0"/>
        <v/>
      </c>
      <c r="AQ5" s="380" t="str">
        <f t="shared" si="1"/>
        <v/>
      </c>
      <c r="AR5" s="380" t="str">
        <f t="shared" si="2"/>
        <v/>
      </c>
      <c r="AS5" s="380" t="str">
        <f t="shared" si="3"/>
        <v/>
      </c>
      <c r="AT5" s="380" t="str">
        <f t="shared" si="4"/>
        <v/>
      </c>
      <c r="AU5" s="380" t="str">
        <f t="shared" si="5"/>
        <v/>
      </c>
      <c r="AV5" s="380" t="str">
        <f t="shared" si="6"/>
        <v/>
      </c>
      <c r="AW5" s="380" t="str">
        <f t="shared" si="7"/>
        <v/>
      </c>
      <c r="AX5" s="380" t="str">
        <f t="shared" si="8"/>
        <v/>
      </c>
      <c r="AY5" s="380" t="str">
        <f t="shared" si="9"/>
        <v/>
      </c>
      <c r="AZ5" s="380" t="str">
        <f t="shared" si="10"/>
        <v/>
      </c>
      <c r="BA5" s="380" t="str">
        <f t="shared" si="11"/>
        <v/>
      </c>
      <c r="BB5" s="380"/>
      <c r="BC5" s="380"/>
      <c r="BD5" s="380">
        <v>3</v>
      </c>
      <c r="BE5" s="380" t="str">
        <f t="shared" si="12"/>
        <v/>
      </c>
      <c r="BF5" s="380" t="str">
        <f t="shared" si="13"/>
        <v/>
      </c>
      <c r="BG5" s="380" t="str">
        <f t="shared" si="14"/>
        <v/>
      </c>
      <c r="BH5" s="380" t="str">
        <f t="shared" si="15"/>
        <v/>
      </c>
      <c r="BI5" s="380" t="str">
        <f t="shared" si="16"/>
        <v/>
      </c>
      <c r="BJ5" s="380" t="str">
        <f t="shared" si="17"/>
        <v/>
      </c>
      <c r="BK5" s="380" t="str">
        <f t="shared" si="18"/>
        <v/>
      </c>
      <c r="BL5" s="380" t="str">
        <f t="shared" si="19"/>
        <v/>
      </c>
      <c r="BM5" s="380" t="str">
        <f t="shared" si="20"/>
        <v/>
      </c>
      <c r="BN5" s="380" t="str">
        <f t="shared" si="21"/>
        <v/>
      </c>
      <c r="BO5" s="380" t="str">
        <f t="shared" si="22"/>
        <v/>
      </c>
      <c r="BP5" s="380" t="str">
        <f t="shared" si="23"/>
        <v/>
      </c>
      <c r="BQ5" s="380"/>
      <c r="BR5" s="380"/>
      <c r="BS5" s="380"/>
      <c r="BT5" s="380"/>
    </row>
    <row r="6" spans="1:72" ht="22.5" customHeight="1" x14ac:dyDescent="0.45">
      <c r="A6" s="399"/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U6" s="1428" t="s">
        <v>183</v>
      </c>
      <c r="V6" s="1429"/>
      <c r="W6" s="809">
        <v>1</v>
      </c>
      <c r="X6" s="1446" t="s">
        <v>649</v>
      </c>
      <c r="Y6" s="1447"/>
      <c r="Z6" s="267">
        <f>IFERROR(HOME!E2,"")</f>
        <v>2022</v>
      </c>
      <c r="AA6" s="145">
        <f>IFERROR(HOME!F2,"")</f>
        <v>2023</v>
      </c>
      <c r="AB6" s="810" t="s">
        <v>17</v>
      </c>
      <c r="AC6" s="1450" t="str">
        <f>_xlfn.IFNA(VLOOKUP(W6,'बँक जमा खर्च पासबुक'!AR8:AY111,5,0),"")</f>
        <v/>
      </c>
      <c r="AD6" s="1451"/>
      <c r="AH6" s="232" t="str">
        <f>D134</f>
        <v/>
      </c>
      <c r="AI6" s="232" t="str">
        <f>D165</f>
        <v/>
      </c>
      <c r="AJ6" s="232" t="str">
        <f>D195</f>
        <v/>
      </c>
      <c r="AK6" s="232" t="str">
        <f>D226</f>
        <v/>
      </c>
      <c r="AL6" s="232" t="str">
        <f>D256</f>
        <v/>
      </c>
      <c r="AM6" s="260" t="str">
        <f>D287</f>
        <v/>
      </c>
      <c r="AN6" s="260" t="str">
        <f>D318</f>
        <v/>
      </c>
      <c r="AO6" s="260">
        <v>4</v>
      </c>
      <c r="AP6" s="380" t="str">
        <f t="shared" si="0"/>
        <v/>
      </c>
      <c r="AQ6" s="380" t="str">
        <f t="shared" si="1"/>
        <v/>
      </c>
      <c r="AR6" s="380" t="str">
        <f t="shared" si="2"/>
        <v/>
      </c>
      <c r="AS6" s="380" t="str">
        <f t="shared" si="3"/>
        <v/>
      </c>
      <c r="AT6" s="380" t="str">
        <f t="shared" si="4"/>
        <v/>
      </c>
      <c r="AU6" s="380" t="str">
        <f t="shared" si="5"/>
        <v/>
      </c>
      <c r="AV6" s="380" t="str">
        <f t="shared" si="6"/>
        <v/>
      </c>
      <c r="AW6" s="380" t="str">
        <f t="shared" si="7"/>
        <v/>
      </c>
      <c r="AX6" s="380" t="str">
        <f t="shared" si="8"/>
        <v/>
      </c>
      <c r="AY6" s="380" t="str">
        <f t="shared" si="9"/>
        <v/>
      </c>
      <c r="AZ6" s="380" t="str">
        <f t="shared" si="10"/>
        <v/>
      </c>
      <c r="BA6" s="380" t="str">
        <f t="shared" si="11"/>
        <v/>
      </c>
      <c r="BB6" s="260" t="str">
        <f>E287</f>
        <v/>
      </c>
      <c r="BC6" s="260" t="str">
        <f>E318</f>
        <v/>
      </c>
      <c r="BD6" s="260">
        <v>4</v>
      </c>
      <c r="BE6" s="380" t="str">
        <f t="shared" si="12"/>
        <v/>
      </c>
      <c r="BF6" s="380" t="str">
        <f t="shared" si="13"/>
        <v/>
      </c>
      <c r="BG6" s="380" t="str">
        <f t="shared" si="14"/>
        <v/>
      </c>
      <c r="BH6" s="380" t="str">
        <f t="shared" si="15"/>
        <v/>
      </c>
      <c r="BI6" s="380" t="str">
        <f t="shared" si="16"/>
        <v/>
      </c>
      <c r="BJ6" s="380" t="str">
        <f t="shared" si="17"/>
        <v/>
      </c>
      <c r="BK6" s="380" t="str">
        <f t="shared" si="18"/>
        <v/>
      </c>
      <c r="BL6" s="380" t="str">
        <f t="shared" si="19"/>
        <v/>
      </c>
      <c r="BM6" s="380" t="str">
        <f t="shared" si="20"/>
        <v/>
      </c>
      <c r="BN6" s="380" t="str">
        <f t="shared" si="21"/>
        <v/>
      </c>
      <c r="BO6" s="380" t="str">
        <f t="shared" si="22"/>
        <v/>
      </c>
      <c r="BP6" s="380" t="str">
        <f t="shared" si="23"/>
        <v/>
      </c>
      <c r="BQ6" s="380"/>
      <c r="BR6" s="380"/>
      <c r="BS6" s="380"/>
      <c r="BT6" s="380"/>
    </row>
    <row r="7" spans="1:72" ht="22.5" customHeight="1" x14ac:dyDescent="0.4">
      <c r="A7" s="399"/>
      <c r="B7" s="1363" t="s">
        <v>86</v>
      </c>
      <c r="C7" s="1363" t="s">
        <v>17</v>
      </c>
      <c r="D7" s="1363" t="s">
        <v>553</v>
      </c>
      <c r="E7" s="1363"/>
      <c r="F7" s="1363"/>
      <c r="G7" s="707"/>
      <c r="H7" s="707"/>
      <c r="I7" s="707" t="s">
        <v>554</v>
      </c>
      <c r="J7" s="1363" t="s">
        <v>573</v>
      </c>
      <c r="K7" s="1363"/>
      <c r="L7" s="1363" t="s">
        <v>574</v>
      </c>
      <c r="M7" s="1363"/>
      <c r="N7" s="1363" t="s">
        <v>575</v>
      </c>
      <c r="O7" s="1363"/>
      <c r="P7" s="1363" t="s">
        <v>576</v>
      </c>
      <c r="Q7" s="399" t="s">
        <v>598</v>
      </c>
      <c r="U7" s="1430"/>
      <c r="V7" s="1431"/>
      <c r="W7" s="1431"/>
      <c r="X7" s="1431"/>
      <c r="Y7" s="1431"/>
      <c r="Z7" s="1431"/>
      <c r="AA7" s="1432"/>
      <c r="AB7" s="474" t="s">
        <v>18</v>
      </c>
      <c r="AC7" s="1452" t="str">
        <f>IF(AC6="","",INDEX({"रविवार";"सोमवार";"मंगळवार";"बुधवार";"गुरूवार";"शुक्रवार";"शनिवार"},WEEKDAY(AC6)))</f>
        <v/>
      </c>
      <c r="AD7" s="1453"/>
      <c r="AM7" s="380"/>
      <c r="AN7" s="380"/>
      <c r="AO7" s="380">
        <v>5</v>
      </c>
      <c r="AP7" s="380" t="str">
        <f t="shared" si="0"/>
        <v/>
      </c>
      <c r="AQ7" s="380" t="str">
        <f t="shared" si="1"/>
        <v/>
      </c>
      <c r="AR7" s="260" t="str">
        <f t="shared" ref="AR7:AR13" si="24">D74</f>
        <v/>
      </c>
      <c r="AS7" s="260" t="str">
        <f t="shared" ref="AS7:AS13" si="25">D104</f>
        <v/>
      </c>
      <c r="AT7" s="260" t="str">
        <f t="shared" ref="AT7:AT13" si="26">D135</f>
        <v/>
      </c>
      <c r="AU7" s="260" t="str">
        <f t="shared" ref="AU7:AU13" si="27">D166</f>
        <v/>
      </c>
      <c r="AV7" s="260" t="str">
        <f t="shared" ref="AV7:AV13" si="28">D196</f>
        <v/>
      </c>
      <c r="AW7" s="260" t="str">
        <f t="shared" ref="AW7:AW13" si="29">D227</f>
        <v/>
      </c>
      <c r="AX7" s="260" t="str">
        <f t="shared" ref="AX7:AX13" si="30">D257</f>
        <v/>
      </c>
      <c r="AY7" s="260" t="str">
        <f t="shared" ref="AY7:AY13" si="31">D288</f>
        <v/>
      </c>
      <c r="AZ7" s="260" t="str">
        <f t="shared" ref="AZ7:AZ13" si="32">D319</f>
        <v/>
      </c>
      <c r="BA7" s="260" t="str">
        <f t="shared" ref="BA7:BA13" si="33">D348</f>
        <v/>
      </c>
      <c r="BB7" s="380"/>
      <c r="BC7" s="380"/>
      <c r="BD7" s="380">
        <v>5</v>
      </c>
      <c r="BE7" s="260" t="str">
        <f>E13</f>
        <v/>
      </c>
      <c r="BF7" s="260" t="str">
        <f t="shared" ref="BF7:BF13" si="34">E43</f>
        <v/>
      </c>
      <c r="BG7" s="260" t="str">
        <f t="shared" ref="BG7:BG13" si="35">E74</f>
        <v/>
      </c>
      <c r="BH7" s="260" t="str">
        <f t="shared" ref="BH7:BH13" si="36">E104</f>
        <v/>
      </c>
      <c r="BI7" s="260" t="str">
        <f t="shared" ref="BI7:BI13" si="37">E135</f>
        <v/>
      </c>
      <c r="BJ7" s="260" t="str">
        <f t="shared" ref="BJ7:BJ13" si="38">E166</f>
        <v/>
      </c>
      <c r="BK7" s="260" t="str">
        <f t="shared" ref="BK7:BK13" si="39">E196</f>
        <v/>
      </c>
      <c r="BL7" s="260" t="str">
        <f t="shared" ref="BL7:BL13" si="40">E227</f>
        <v/>
      </c>
      <c r="BM7" s="260" t="str">
        <f t="shared" ref="BM7:BM13" si="41">E257</f>
        <v/>
      </c>
      <c r="BN7" s="260" t="str">
        <f t="shared" ref="BN7:BN13" si="42">E288</f>
        <v/>
      </c>
      <c r="BO7" s="260" t="str">
        <f t="shared" ref="BO7:BO13" si="43">E319</f>
        <v/>
      </c>
      <c r="BP7" s="260" t="str">
        <f t="shared" ref="BP7:BP13" si="44">E348</f>
        <v/>
      </c>
      <c r="BQ7" s="380"/>
      <c r="BR7" s="380"/>
      <c r="BS7" s="380"/>
      <c r="BT7" s="380"/>
    </row>
    <row r="8" spans="1:72" ht="22.5" customHeight="1" x14ac:dyDescent="0.4">
      <c r="A8" s="399"/>
      <c r="B8" s="1363"/>
      <c r="C8" s="1363"/>
      <c r="D8" s="1363" t="s">
        <v>106</v>
      </c>
      <c r="E8" s="1363"/>
      <c r="F8" s="376" t="s">
        <v>580</v>
      </c>
      <c r="G8" s="1363" t="s">
        <v>106</v>
      </c>
      <c r="H8" s="1363"/>
      <c r="I8" s="376" t="s">
        <v>541</v>
      </c>
      <c r="J8" s="376" t="s">
        <v>586</v>
      </c>
      <c r="K8" s="707" t="s">
        <v>587</v>
      </c>
      <c r="L8" s="707" t="s">
        <v>586</v>
      </c>
      <c r="M8" s="707" t="s">
        <v>587</v>
      </c>
      <c r="N8" s="707" t="s">
        <v>586</v>
      </c>
      <c r="O8" s="707" t="s">
        <v>587</v>
      </c>
      <c r="P8" s="1363"/>
      <c r="Q8" s="225">
        <f>'बँक जमा खर्च पासबुक'!J8</f>
        <v>3000</v>
      </c>
      <c r="U8" s="1433" t="s">
        <v>650</v>
      </c>
      <c r="V8" s="1434"/>
      <c r="W8" s="1435"/>
      <c r="X8" s="1454" t="str">
        <f>IFERROR(VLOOKUP(W6,'बँक जमा खर्च पासबुक'!AR8:AY111,3,0),"")</f>
        <v/>
      </c>
      <c r="Y8" s="1454"/>
      <c r="Z8" s="1454"/>
      <c r="AA8" s="1454"/>
      <c r="AB8" s="474" t="s">
        <v>654</v>
      </c>
      <c r="AC8" s="1448" t="str">
        <f>IFERROR(VLOOKUP(W6,'बँक जमा खर्च पासबुक'!AR8:AY111,2,0),"")</f>
        <v/>
      </c>
      <c r="AD8" s="1449"/>
      <c r="AM8" s="380"/>
      <c r="AN8" s="380"/>
      <c r="AO8" s="380">
        <v>6</v>
      </c>
      <c r="AP8" s="260" t="str">
        <f t="shared" ref="AP8:AP13" si="45">D14</f>
        <v/>
      </c>
      <c r="AQ8" s="260" t="str">
        <f t="shared" ref="AQ8:AQ13" si="46">D44</f>
        <v/>
      </c>
      <c r="AR8" s="260" t="str">
        <f t="shared" si="24"/>
        <v/>
      </c>
      <c r="AS8" s="260" t="str">
        <f t="shared" si="25"/>
        <v/>
      </c>
      <c r="AT8" s="260" t="str">
        <f t="shared" si="26"/>
        <v/>
      </c>
      <c r="AU8" s="260" t="str">
        <f t="shared" si="27"/>
        <v/>
      </c>
      <c r="AV8" s="260" t="str">
        <f t="shared" si="28"/>
        <v/>
      </c>
      <c r="AW8" s="260" t="str">
        <f t="shared" si="29"/>
        <v/>
      </c>
      <c r="AX8" s="260" t="str">
        <f t="shared" si="30"/>
        <v/>
      </c>
      <c r="AY8" s="260" t="str">
        <f t="shared" si="31"/>
        <v/>
      </c>
      <c r="AZ8" s="260" t="str">
        <f t="shared" si="32"/>
        <v/>
      </c>
      <c r="BA8" s="260" t="str">
        <f t="shared" si="33"/>
        <v/>
      </c>
      <c r="BB8" s="380"/>
      <c r="BC8" s="380"/>
      <c r="BD8" s="380">
        <v>6</v>
      </c>
      <c r="BE8" s="260" t="str">
        <f t="shared" ref="BE8:BE13" si="47">E14</f>
        <v/>
      </c>
      <c r="BF8" s="260" t="str">
        <f t="shared" si="34"/>
        <v/>
      </c>
      <c r="BG8" s="260" t="str">
        <f t="shared" si="35"/>
        <v/>
      </c>
      <c r="BH8" s="260" t="str">
        <f t="shared" si="36"/>
        <v/>
      </c>
      <c r="BI8" s="260" t="str">
        <f t="shared" si="37"/>
        <v/>
      </c>
      <c r="BJ8" s="260" t="str">
        <f t="shared" si="38"/>
        <v/>
      </c>
      <c r="BK8" s="260" t="str">
        <f t="shared" si="39"/>
        <v/>
      </c>
      <c r="BL8" s="260" t="str">
        <f t="shared" si="40"/>
        <v/>
      </c>
      <c r="BM8" s="260" t="str">
        <f t="shared" si="41"/>
        <v/>
      </c>
      <c r="BN8" s="260" t="str">
        <f t="shared" si="42"/>
        <v/>
      </c>
      <c r="BO8" s="260" t="str">
        <f t="shared" si="43"/>
        <v/>
      </c>
      <c r="BP8" s="260" t="str">
        <f t="shared" si="44"/>
        <v/>
      </c>
      <c r="BQ8" s="380"/>
      <c r="BR8" s="380"/>
      <c r="BS8" s="380"/>
      <c r="BT8" s="380"/>
    </row>
    <row r="9" spans="1:72" ht="22.5" customHeight="1" x14ac:dyDescent="0.4">
      <c r="A9" s="376" t="s">
        <v>42</v>
      </c>
      <c r="B9" s="376">
        <v>1</v>
      </c>
      <c r="C9" s="310">
        <v>43922</v>
      </c>
      <c r="D9" s="229" t="str">
        <f>IFERROR(VLOOKUP(C9,'बँक जमा खर्च पासबुक'!$C$9:$R$111,2,0),"")</f>
        <v/>
      </c>
      <c r="E9" s="229" t="str">
        <f>IFERROR(VLOOKUP(C9,'बँक जमा खर्च पासबुक'!$C$9:$R$111,3,0),"")</f>
        <v/>
      </c>
      <c r="F9" s="229" t="str">
        <f>IFERROR(VLOOKUP(C9,'बँक जमा खर्च पासबुक'!$C$9:$R$111,4,0),"")</f>
        <v/>
      </c>
      <c r="G9" s="229" t="str">
        <f>IFERROR(VLOOKUP(C9,'बँक जमा खर्च पासबुक'!$C$9:$R$111,5,0),"")</f>
        <v/>
      </c>
      <c r="H9" s="229" t="str">
        <f>IFERROR(VLOOKUP(C9,'बँक जमा खर्च पासबुक'!$C$9:$R$111,6,0),"")</f>
        <v/>
      </c>
      <c r="I9" s="229" t="str">
        <f>IFERROR(VLOOKUP(C9,'बँक जमा खर्च पासबुक'!$C$9:$R$111,7,0),"")</f>
        <v/>
      </c>
      <c r="J9" s="233">
        <f>SUMIF('बँक जमा खर्च पासबुक'!$C$9:$C$111,'बँक खर्च व्हाउचर पावती'!C9,'बँक जमा खर्च पासबुक'!$J$9:$J$111)</f>
        <v>0</v>
      </c>
      <c r="K9" s="233">
        <f>SUMIF('बँक जमा खर्च पासबुक'!$C$9:$C$111,'बँक खर्च व्हाउचर पावती'!C9,'बँक जमा खर्च पासबुक'!$K$9:$K$111)</f>
        <v>0</v>
      </c>
      <c r="L9" s="233">
        <f ca="1">SUMIF('बँक जमा खर्च पासबुक'!$C$9:$C$111,'बँक खर्च व्हाउचर पावती'!C9,'बँक जमा खर्च पासबुक'!$L$9:$L$110)</f>
        <v>0</v>
      </c>
      <c r="M9" s="228">
        <f>SUMIF('बँक जमा खर्च पासबुक'!$C$9:$C$111,'बँक खर्च व्हाउचर पावती'!C9,'बँक जमा खर्च पासबुक'!$M$9:$M$111)</f>
        <v>0</v>
      </c>
      <c r="N9" s="233">
        <f ca="1">Q8+J9-L9</f>
        <v>3000</v>
      </c>
      <c r="O9" s="228">
        <f>Q10+K9-M9</f>
        <v>3000</v>
      </c>
      <c r="P9" s="228">
        <f t="shared" ref="P9:P72" ca="1" si="48">N9+O9</f>
        <v>6000</v>
      </c>
      <c r="Q9" s="399" t="s">
        <v>599</v>
      </c>
      <c r="U9" s="1416" t="s">
        <v>1</v>
      </c>
      <c r="V9" s="1417"/>
      <c r="W9" s="1436" t="str">
        <f>IFERROR('शाळा माहिती'!D5,"")</f>
        <v>जामगाव</v>
      </c>
      <c r="X9" s="1436"/>
      <c r="Y9" s="810" t="s">
        <v>186</v>
      </c>
      <c r="Z9" s="1436" t="str">
        <f>IFERROR('शाळा माहिती'!D7,"")</f>
        <v>गंगापूर</v>
      </c>
      <c r="AA9" s="1436"/>
      <c r="AB9" s="811" t="s">
        <v>121</v>
      </c>
      <c r="AC9" s="1437" t="str">
        <f>IFERROR('शाळा माहिती'!D8,"")</f>
        <v>औरंगाबाद</v>
      </c>
      <c r="AD9" s="1438"/>
      <c r="AM9" s="380"/>
      <c r="AN9" s="380"/>
      <c r="AO9" s="380">
        <v>7</v>
      </c>
      <c r="AP9" s="260" t="str">
        <f t="shared" si="45"/>
        <v/>
      </c>
      <c r="AQ9" s="260" t="str">
        <f t="shared" si="46"/>
        <v/>
      </c>
      <c r="AR9" s="260" t="str">
        <f t="shared" si="24"/>
        <v/>
      </c>
      <c r="AS9" s="260" t="str">
        <f t="shared" si="25"/>
        <v/>
      </c>
      <c r="AT9" s="260" t="str">
        <f t="shared" si="26"/>
        <v/>
      </c>
      <c r="AU9" s="260" t="str">
        <f t="shared" si="27"/>
        <v/>
      </c>
      <c r="AV9" s="260" t="str">
        <f t="shared" si="28"/>
        <v/>
      </c>
      <c r="AW9" s="260" t="str">
        <f t="shared" si="29"/>
        <v/>
      </c>
      <c r="AX9" s="260" t="str">
        <f t="shared" si="30"/>
        <v/>
      </c>
      <c r="AY9" s="260" t="str">
        <f t="shared" si="31"/>
        <v/>
      </c>
      <c r="AZ9" s="260" t="str">
        <f t="shared" si="32"/>
        <v/>
      </c>
      <c r="BA9" s="260" t="str">
        <f t="shared" si="33"/>
        <v/>
      </c>
      <c r="BB9" s="380"/>
      <c r="BC9" s="380"/>
      <c r="BD9" s="380">
        <v>7</v>
      </c>
      <c r="BE9" s="260" t="str">
        <f t="shared" si="47"/>
        <v/>
      </c>
      <c r="BF9" s="260" t="str">
        <f t="shared" si="34"/>
        <v/>
      </c>
      <c r="BG9" s="260" t="str">
        <f t="shared" si="35"/>
        <v/>
      </c>
      <c r="BH9" s="260" t="str">
        <f t="shared" si="36"/>
        <v/>
      </c>
      <c r="BI9" s="260" t="str">
        <f t="shared" si="37"/>
        <v/>
      </c>
      <c r="BJ9" s="260" t="str">
        <f t="shared" si="38"/>
        <v/>
      </c>
      <c r="BK9" s="260" t="str">
        <f t="shared" si="39"/>
        <v/>
      </c>
      <c r="BL9" s="260" t="str">
        <f t="shared" si="40"/>
        <v/>
      </c>
      <c r="BM9" s="260" t="str">
        <f t="shared" si="41"/>
        <v/>
      </c>
      <c r="BN9" s="260" t="str">
        <f t="shared" si="42"/>
        <v/>
      </c>
      <c r="BO9" s="260" t="str">
        <f t="shared" si="43"/>
        <v/>
      </c>
      <c r="BP9" s="260" t="str">
        <f t="shared" si="44"/>
        <v/>
      </c>
      <c r="BQ9" s="380"/>
      <c r="BR9" s="380"/>
      <c r="BS9" s="380"/>
      <c r="BT9" s="380"/>
    </row>
    <row r="10" spans="1:72" ht="22.5" customHeight="1" x14ac:dyDescent="0.4">
      <c r="A10" s="399"/>
      <c r="B10" s="376">
        <v>2</v>
      </c>
      <c r="C10" s="310">
        <v>43923</v>
      </c>
      <c r="D10" s="229" t="str">
        <f>IFERROR(VLOOKUP(C10,'बँक जमा खर्च पासबुक'!$C$9:$R$111,2,0),"")</f>
        <v/>
      </c>
      <c r="E10" s="229" t="str">
        <f>IFERROR(VLOOKUP(C10,'बँक जमा खर्च पासबुक'!$C$9:$R$111,3,0),"")</f>
        <v/>
      </c>
      <c r="F10" s="229" t="str">
        <f>IFERROR(VLOOKUP(C10,'बँक जमा खर्च पासबुक'!$C$9:$R$111,4,0),"")</f>
        <v/>
      </c>
      <c r="G10" s="229" t="str">
        <f>IFERROR(VLOOKUP(C10,'बँक जमा खर्च पासबुक'!$C$9:$R$111,5,0),"")</f>
        <v/>
      </c>
      <c r="H10" s="229" t="str">
        <f>IFERROR(VLOOKUP(C10,'बँक जमा खर्च पासबुक'!$C$9:$R$111,6,0),"")</f>
        <v/>
      </c>
      <c r="I10" s="229" t="str">
        <f>IFERROR(VLOOKUP(C10,'बँक जमा खर्च पासबुक'!$C$9:$R$111,7,0),"")</f>
        <v/>
      </c>
      <c r="J10" s="233">
        <f>SUMIF('बँक जमा खर्च पासबुक'!$C$9:$C$111,'बँक खर्च व्हाउचर पावती'!C10,'बँक जमा खर्च पासबुक'!$J$9:$J$111)</f>
        <v>0</v>
      </c>
      <c r="K10" s="233">
        <f>SUMIF('बँक जमा खर्च पासबुक'!$C$9:$C$111,'बँक खर्च व्हाउचर पावती'!C10,'बँक जमा खर्च पासबुक'!$K$9:$K$111)</f>
        <v>0</v>
      </c>
      <c r="L10" s="233">
        <f ca="1">SUMIF('बँक जमा खर्च पासबुक'!$C$9:$C$111,'बँक खर्च व्हाउचर पावती'!C10,'बँक जमा खर्च पासबुक'!$L$9:$L$110)</f>
        <v>0</v>
      </c>
      <c r="M10" s="228">
        <f>SUMIF('बँक जमा खर्च पासबुक'!$C$9:$C$111,'बँक खर्च व्हाउचर पावती'!C10,'बँक जमा खर्च पासबुक'!$M$9:$M$111)</f>
        <v>0</v>
      </c>
      <c r="N10" s="233">
        <f t="shared" ref="N10:N73" ca="1" si="49">N9+J10-L10</f>
        <v>3000</v>
      </c>
      <c r="O10" s="228">
        <f t="shared" ref="O10:O73" si="50">O9+K10-M10</f>
        <v>3000</v>
      </c>
      <c r="P10" s="228">
        <f t="shared" ca="1" si="48"/>
        <v>6000</v>
      </c>
      <c r="Q10" s="225">
        <f>'बँक जमा खर्च पासबुक'!K8</f>
        <v>3000</v>
      </c>
      <c r="U10" s="812"/>
      <c r="V10" s="813"/>
      <c r="Y10" s="465"/>
      <c r="AB10" s="465"/>
      <c r="AD10" s="533"/>
      <c r="AM10" s="380"/>
      <c r="AN10" s="380"/>
      <c r="AO10" s="380">
        <v>8</v>
      </c>
      <c r="AP10" s="260" t="str">
        <f t="shared" si="45"/>
        <v/>
      </c>
      <c r="AQ10" s="260" t="str">
        <f t="shared" si="46"/>
        <v/>
      </c>
      <c r="AR10" s="260" t="str">
        <f t="shared" si="24"/>
        <v/>
      </c>
      <c r="AS10" s="260" t="str">
        <f t="shared" si="25"/>
        <v/>
      </c>
      <c r="AT10" s="260" t="str">
        <f t="shared" si="26"/>
        <v/>
      </c>
      <c r="AU10" s="260" t="str">
        <f t="shared" si="27"/>
        <v/>
      </c>
      <c r="AV10" s="260" t="str">
        <f t="shared" si="28"/>
        <v/>
      </c>
      <c r="AW10" s="260" t="str">
        <f t="shared" si="29"/>
        <v/>
      </c>
      <c r="AX10" s="260" t="str">
        <f t="shared" si="30"/>
        <v/>
      </c>
      <c r="AY10" s="260" t="str">
        <f t="shared" si="31"/>
        <v/>
      </c>
      <c r="AZ10" s="260" t="str">
        <f t="shared" si="32"/>
        <v/>
      </c>
      <c r="BA10" s="260" t="str">
        <f t="shared" si="33"/>
        <v/>
      </c>
      <c r="BB10" s="380"/>
      <c r="BC10" s="380"/>
      <c r="BD10" s="380">
        <v>8</v>
      </c>
      <c r="BE10" s="260" t="str">
        <f t="shared" si="47"/>
        <v/>
      </c>
      <c r="BF10" s="260" t="str">
        <f t="shared" si="34"/>
        <v/>
      </c>
      <c r="BG10" s="260" t="str">
        <f t="shared" si="35"/>
        <v/>
      </c>
      <c r="BH10" s="260" t="str">
        <f t="shared" si="36"/>
        <v/>
      </c>
      <c r="BI10" s="260" t="str">
        <f t="shared" si="37"/>
        <v/>
      </c>
      <c r="BJ10" s="260" t="str">
        <f t="shared" si="38"/>
        <v/>
      </c>
      <c r="BK10" s="260" t="str">
        <f t="shared" si="39"/>
        <v/>
      </c>
      <c r="BL10" s="260" t="str">
        <f t="shared" si="40"/>
        <v/>
      </c>
      <c r="BM10" s="260" t="str">
        <f t="shared" si="41"/>
        <v/>
      </c>
      <c r="BN10" s="260" t="str">
        <f t="shared" si="42"/>
        <v/>
      </c>
      <c r="BO10" s="260" t="str">
        <f t="shared" si="43"/>
        <v/>
      </c>
      <c r="BP10" s="260" t="str">
        <f t="shared" si="44"/>
        <v/>
      </c>
      <c r="BQ10" s="380"/>
      <c r="BR10" s="380"/>
      <c r="BS10" s="380"/>
      <c r="BT10" s="380"/>
    </row>
    <row r="11" spans="1:72" ht="22.5" customHeight="1" x14ac:dyDescent="0.4">
      <c r="A11" s="399"/>
      <c r="B11" s="376">
        <v>3</v>
      </c>
      <c r="C11" s="310">
        <v>43924</v>
      </c>
      <c r="D11" s="229" t="str">
        <f>IFERROR(VLOOKUP(C11,'बँक जमा खर्च पासबुक'!$C$9:$R$111,2,0),"")</f>
        <v/>
      </c>
      <c r="E11" s="229" t="str">
        <f>IFERROR(VLOOKUP(C11,'बँक जमा खर्च पासबुक'!$C$9:$R$111,3,0),"")</f>
        <v/>
      </c>
      <c r="F11" s="229" t="str">
        <f>IFERROR(VLOOKUP(C11,'बँक जमा खर्च पासबुक'!$C$9:$R$111,4,0),"")</f>
        <v/>
      </c>
      <c r="G11" s="229" t="str">
        <f>IFERROR(VLOOKUP(C11,'बँक जमा खर्च पासबुक'!$C$9:$R$111,5,0),"")</f>
        <v/>
      </c>
      <c r="H11" s="229" t="str">
        <f>IFERROR(VLOOKUP(C11,'बँक जमा खर्च पासबुक'!$C$9:$R$111,6,0),"")</f>
        <v/>
      </c>
      <c r="I11" s="229" t="str">
        <f>IFERROR(VLOOKUP(C11,'बँक जमा खर्च पासबुक'!$C$9:$R$111,7,0),"")</f>
        <v/>
      </c>
      <c r="J11" s="233">
        <f>SUMIF('बँक जमा खर्च पासबुक'!$C$9:$C$111,'बँक खर्च व्हाउचर पावती'!C11,'बँक जमा खर्च पासबुक'!$J$9:$J$111)</f>
        <v>0</v>
      </c>
      <c r="K11" s="233">
        <f>SUMIF('बँक जमा खर्च पासबुक'!$C$9:$C$111,'बँक खर्च व्हाउचर पावती'!C11,'बँक जमा खर्च पासबुक'!$K$9:$K$111)</f>
        <v>0</v>
      </c>
      <c r="L11" s="233">
        <f ca="1">SUMIF('बँक जमा खर्च पासबुक'!$C$9:$C$111,'बँक खर्च व्हाउचर पावती'!C11,'बँक जमा खर्च पासबुक'!$L$9:$L$110)</f>
        <v>0</v>
      </c>
      <c r="M11" s="228">
        <f>SUMIF('बँक जमा खर्च पासबुक'!$C$9:$C$111,'बँक खर्च व्हाउचर पावती'!C11,'बँक जमा खर्च पासबुक'!$M$9:$M$111)</f>
        <v>0</v>
      </c>
      <c r="N11" s="233">
        <f t="shared" ca="1" si="49"/>
        <v>3000</v>
      </c>
      <c r="O11" s="228">
        <f t="shared" si="50"/>
        <v>3000</v>
      </c>
      <c r="P11" s="228">
        <f t="shared" ca="1" si="48"/>
        <v>6000</v>
      </c>
      <c r="Q11" s="399"/>
      <c r="U11" s="1416" t="s">
        <v>659</v>
      </c>
      <c r="V11" s="1417"/>
      <c r="W11" s="1417"/>
      <c r="X11" s="1417"/>
      <c r="Y11" s="1417"/>
      <c r="Z11" s="1417"/>
      <c r="AA11" s="1417"/>
      <c r="AB11" s="1417"/>
      <c r="AC11" s="1417"/>
      <c r="AD11" s="1418"/>
      <c r="AM11" s="380"/>
      <c r="AN11" s="380"/>
      <c r="AO11" s="380">
        <v>9</v>
      </c>
      <c r="AP11" s="260" t="str">
        <f t="shared" si="45"/>
        <v/>
      </c>
      <c r="AQ11" s="260" t="str">
        <f t="shared" si="46"/>
        <v/>
      </c>
      <c r="AR11" s="260" t="str">
        <f t="shared" si="24"/>
        <v/>
      </c>
      <c r="AS11" s="260" t="str">
        <f t="shared" si="25"/>
        <v/>
      </c>
      <c r="AT11" s="260" t="str">
        <f t="shared" si="26"/>
        <v/>
      </c>
      <c r="AU11" s="260" t="str">
        <f t="shared" si="27"/>
        <v/>
      </c>
      <c r="AV11" s="260" t="str">
        <f t="shared" si="28"/>
        <v/>
      </c>
      <c r="AW11" s="260" t="str">
        <f t="shared" si="29"/>
        <v/>
      </c>
      <c r="AX11" s="260" t="str">
        <f t="shared" si="30"/>
        <v/>
      </c>
      <c r="AY11" s="260" t="str">
        <f t="shared" si="31"/>
        <v/>
      </c>
      <c r="AZ11" s="260" t="str">
        <f t="shared" si="32"/>
        <v/>
      </c>
      <c r="BA11" s="260" t="str">
        <f t="shared" si="33"/>
        <v/>
      </c>
      <c r="BB11" s="380"/>
      <c r="BC11" s="380"/>
      <c r="BD11" s="380">
        <v>9</v>
      </c>
      <c r="BE11" s="260" t="str">
        <f t="shared" si="47"/>
        <v/>
      </c>
      <c r="BF11" s="260" t="str">
        <f t="shared" si="34"/>
        <v/>
      </c>
      <c r="BG11" s="260" t="str">
        <f t="shared" si="35"/>
        <v/>
      </c>
      <c r="BH11" s="260" t="str">
        <f t="shared" si="36"/>
        <v/>
      </c>
      <c r="BI11" s="260" t="str">
        <f t="shared" si="37"/>
        <v/>
      </c>
      <c r="BJ11" s="260" t="str">
        <f t="shared" si="38"/>
        <v/>
      </c>
      <c r="BK11" s="260" t="str">
        <f t="shared" si="39"/>
        <v/>
      </c>
      <c r="BL11" s="260" t="str">
        <f t="shared" si="40"/>
        <v/>
      </c>
      <c r="BM11" s="260" t="str">
        <f t="shared" si="41"/>
        <v/>
      </c>
      <c r="BN11" s="260" t="str">
        <f t="shared" si="42"/>
        <v/>
      </c>
      <c r="BO11" s="260" t="str">
        <f t="shared" si="43"/>
        <v/>
      </c>
      <c r="BP11" s="260" t="str">
        <f t="shared" si="44"/>
        <v/>
      </c>
      <c r="BQ11" s="380"/>
      <c r="BR11" s="380"/>
      <c r="BS11" s="380"/>
      <c r="BT11" s="380"/>
    </row>
    <row r="12" spans="1:72" ht="22.5" customHeight="1" thickBot="1" x14ac:dyDescent="0.45">
      <c r="A12" s="399"/>
      <c r="B12" s="376">
        <v>4</v>
      </c>
      <c r="C12" s="310">
        <v>43925</v>
      </c>
      <c r="D12" s="229" t="str">
        <f>IFERROR(VLOOKUP(C12,'बँक जमा खर्च पासबुक'!$C$9:$R$111,2,0),"")</f>
        <v/>
      </c>
      <c r="E12" s="229" t="str">
        <f>IFERROR(VLOOKUP(C12,'बँक जमा खर्च पासबुक'!$C$9:$R$111,3,0),"")</f>
        <v/>
      </c>
      <c r="F12" s="229" t="str">
        <f>IFERROR(VLOOKUP(C12,'बँक जमा खर्च पासबुक'!$C$9:$R$111,4,0),"")</f>
        <v/>
      </c>
      <c r="G12" s="229" t="str">
        <f>IFERROR(VLOOKUP(C12,'बँक जमा खर्च पासबुक'!$C$9:$R$111,5,0),"")</f>
        <v/>
      </c>
      <c r="H12" s="229" t="str">
        <f>IFERROR(VLOOKUP(C12,'बँक जमा खर्च पासबुक'!$C$9:$R$111,6,0),"")</f>
        <v/>
      </c>
      <c r="I12" s="229" t="str">
        <f>IFERROR(VLOOKUP(C12,'बँक जमा खर्च पासबुक'!$C$9:$R$111,7,0),"")</f>
        <v/>
      </c>
      <c r="J12" s="233">
        <f>SUMIF('बँक जमा खर्च पासबुक'!$C$9:$C$111,'बँक खर्च व्हाउचर पावती'!C12,'बँक जमा खर्च पासबुक'!$J$9:$J$111)</f>
        <v>0</v>
      </c>
      <c r="K12" s="233">
        <f>SUMIF('बँक जमा खर्च पासबुक'!$C$9:$C$111,'बँक खर्च व्हाउचर पावती'!C12,'बँक जमा खर्च पासबुक'!$K$9:$K$111)</f>
        <v>0</v>
      </c>
      <c r="L12" s="233">
        <f ca="1">SUMIF('बँक जमा खर्च पासबुक'!$C$9:$C$111,'बँक खर्च व्हाउचर पावती'!C12,'बँक जमा खर्च पासबुक'!$L$9:$L$110)</f>
        <v>0</v>
      </c>
      <c r="M12" s="228">
        <f>SUMIF('बँक जमा खर्च पासबुक'!$C$9:$C$111,'बँक खर्च व्हाउचर पावती'!C12,'बँक जमा खर्च पासबुक'!$M$9:$M$111)</f>
        <v>0</v>
      </c>
      <c r="N12" s="233">
        <f t="shared" ca="1" si="49"/>
        <v>3000</v>
      </c>
      <c r="O12" s="228">
        <f t="shared" si="50"/>
        <v>3000</v>
      </c>
      <c r="P12" s="228">
        <f t="shared" ca="1" si="48"/>
        <v>6000</v>
      </c>
      <c r="Q12" s="399"/>
      <c r="U12" s="534"/>
      <c r="AD12" s="533"/>
      <c r="AM12" s="380"/>
      <c r="AN12" s="380"/>
      <c r="AO12" s="380">
        <v>10</v>
      </c>
      <c r="AP12" s="260" t="str">
        <f t="shared" si="45"/>
        <v/>
      </c>
      <c r="AQ12" s="260" t="str">
        <f t="shared" si="46"/>
        <v/>
      </c>
      <c r="AR12" s="260" t="str">
        <f t="shared" si="24"/>
        <v/>
      </c>
      <c r="AS12" s="260" t="str">
        <f t="shared" si="25"/>
        <v/>
      </c>
      <c r="AT12" s="260" t="str">
        <f t="shared" si="26"/>
        <v/>
      </c>
      <c r="AU12" s="260" t="str">
        <f t="shared" si="27"/>
        <v/>
      </c>
      <c r="AV12" s="260" t="str">
        <f t="shared" si="28"/>
        <v/>
      </c>
      <c r="AW12" s="260" t="str">
        <f t="shared" si="29"/>
        <v/>
      </c>
      <c r="AX12" s="260" t="str">
        <f t="shared" si="30"/>
        <v/>
      </c>
      <c r="AY12" s="260" t="str">
        <f t="shared" si="31"/>
        <v/>
      </c>
      <c r="AZ12" s="260" t="str">
        <f t="shared" si="32"/>
        <v/>
      </c>
      <c r="BA12" s="260" t="str">
        <f t="shared" si="33"/>
        <v/>
      </c>
      <c r="BB12" s="380"/>
      <c r="BC12" s="380"/>
      <c r="BD12" s="380">
        <v>10</v>
      </c>
      <c r="BE12" s="260" t="str">
        <f t="shared" si="47"/>
        <v/>
      </c>
      <c r="BF12" s="260" t="str">
        <f t="shared" si="34"/>
        <v/>
      </c>
      <c r="BG12" s="260" t="str">
        <f t="shared" si="35"/>
        <v/>
      </c>
      <c r="BH12" s="260" t="str">
        <f t="shared" si="36"/>
        <v/>
      </c>
      <c r="BI12" s="260" t="str">
        <f t="shared" si="37"/>
        <v/>
      </c>
      <c r="BJ12" s="260" t="str">
        <f t="shared" si="38"/>
        <v/>
      </c>
      <c r="BK12" s="260" t="str">
        <f t="shared" si="39"/>
        <v/>
      </c>
      <c r="BL12" s="260" t="str">
        <f t="shared" si="40"/>
        <v/>
      </c>
      <c r="BM12" s="260" t="str">
        <f t="shared" si="41"/>
        <v/>
      </c>
      <c r="BN12" s="260" t="str">
        <f t="shared" si="42"/>
        <v/>
      </c>
      <c r="BO12" s="260" t="str">
        <f t="shared" si="43"/>
        <v/>
      </c>
      <c r="BP12" s="260" t="str">
        <f t="shared" si="44"/>
        <v/>
      </c>
      <c r="BQ12" s="380"/>
      <c r="BR12" s="380"/>
      <c r="BS12" s="380"/>
      <c r="BT12" s="380"/>
    </row>
    <row r="13" spans="1:72" ht="22.5" customHeight="1" thickBot="1" x14ac:dyDescent="0.5">
      <c r="A13" s="399"/>
      <c r="B13" s="376">
        <v>5</v>
      </c>
      <c r="C13" s="310">
        <v>43926</v>
      </c>
      <c r="D13" s="229" t="str">
        <f>IFERROR(VLOOKUP(C13,'बँक जमा खर्च पासबुक'!$C$9:$R$111,2,0),"")</f>
        <v/>
      </c>
      <c r="E13" s="229" t="str">
        <f>IFERROR(VLOOKUP(C13,'बँक जमा खर्च पासबुक'!$C$9:$R$111,3,0),"")</f>
        <v/>
      </c>
      <c r="F13" s="229" t="str">
        <f>IFERROR(VLOOKUP(C13,'बँक जमा खर्च पासबुक'!$C$9:$R$111,4,0),"")</f>
        <v/>
      </c>
      <c r="G13" s="229" t="str">
        <f>IFERROR(VLOOKUP(C13,'बँक जमा खर्च पासबुक'!$C$9:$R$111,5,0),"")</f>
        <v/>
      </c>
      <c r="H13" s="229" t="str">
        <f>IFERROR(VLOOKUP(C13,'बँक जमा खर्च पासबुक'!$C$9:$R$111,6,0),"")</f>
        <v/>
      </c>
      <c r="I13" s="229" t="str">
        <f>IFERROR(VLOOKUP(C13,'बँक जमा खर्च पासबुक'!$C$9:$R$111,7,0),"")</f>
        <v/>
      </c>
      <c r="J13" s="233">
        <f>SUMIF('बँक जमा खर्च पासबुक'!$C$9:$C$111,'बँक खर्च व्हाउचर पावती'!C13,'बँक जमा खर्च पासबुक'!$J$9:$J$111)</f>
        <v>0</v>
      </c>
      <c r="K13" s="233">
        <f>SUMIF('बँक जमा खर्च पासबुक'!$C$9:$C$111,'बँक खर्च व्हाउचर पावती'!C13,'बँक जमा खर्च पासबुक'!$K$9:$K$111)</f>
        <v>0</v>
      </c>
      <c r="L13" s="233">
        <f ca="1">SUMIF('बँक जमा खर्च पासबुक'!$C$9:$C$111,'बँक खर्च व्हाउचर पावती'!C13,'बँक जमा खर्च पासबुक'!$L$9:$L$110)</f>
        <v>0</v>
      </c>
      <c r="M13" s="228">
        <f>SUMIF('बँक जमा खर्च पासबुक'!$C$9:$C$111,'बँक खर्च व्हाउचर पावती'!C13,'बँक जमा खर्च पासबुक'!$M$9:$M$111)</f>
        <v>0</v>
      </c>
      <c r="N13" s="233">
        <f t="shared" ca="1" si="49"/>
        <v>3000</v>
      </c>
      <c r="O13" s="228">
        <f t="shared" si="50"/>
        <v>3000</v>
      </c>
      <c r="P13" s="228">
        <f t="shared" ca="1" si="48"/>
        <v>6000</v>
      </c>
      <c r="Q13" s="399"/>
      <c r="U13" s="814" t="s">
        <v>86</v>
      </c>
      <c r="V13" s="1439" t="s">
        <v>656</v>
      </c>
      <c r="W13" s="1440"/>
      <c r="X13" s="1441" t="s">
        <v>655</v>
      </c>
      <c r="Y13" s="1441"/>
      <c r="Z13" s="1442"/>
      <c r="AA13" s="1439" t="s">
        <v>188</v>
      </c>
      <c r="AB13" s="1442"/>
      <c r="AC13" s="1439" t="s">
        <v>162</v>
      </c>
      <c r="AD13" s="1440"/>
      <c r="AM13" s="380"/>
      <c r="AN13" s="380"/>
      <c r="AO13" s="380">
        <v>11</v>
      </c>
      <c r="AP13" s="260" t="str">
        <f t="shared" si="45"/>
        <v/>
      </c>
      <c r="AQ13" s="260" t="str">
        <f t="shared" si="46"/>
        <v/>
      </c>
      <c r="AR13" s="260" t="str">
        <f t="shared" si="24"/>
        <v/>
      </c>
      <c r="AS13" s="260" t="str">
        <f t="shared" si="25"/>
        <v/>
      </c>
      <c r="AT13" s="260" t="str">
        <f t="shared" si="26"/>
        <v/>
      </c>
      <c r="AU13" s="260" t="str">
        <f t="shared" si="27"/>
        <v/>
      </c>
      <c r="AV13" s="260" t="str">
        <f t="shared" si="28"/>
        <v/>
      </c>
      <c r="AW13" s="260" t="str">
        <f t="shared" si="29"/>
        <v/>
      </c>
      <c r="AX13" s="260" t="str">
        <f t="shared" si="30"/>
        <v/>
      </c>
      <c r="AY13" s="260" t="str">
        <f t="shared" si="31"/>
        <v/>
      </c>
      <c r="AZ13" s="260" t="str">
        <f t="shared" si="32"/>
        <v/>
      </c>
      <c r="BA13" s="260" t="str">
        <f t="shared" si="33"/>
        <v/>
      </c>
      <c r="BB13" s="380"/>
      <c r="BC13" s="380"/>
      <c r="BD13" s="380">
        <v>11</v>
      </c>
      <c r="BE13" s="260" t="str">
        <f t="shared" si="47"/>
        <v/>
      </c>
      <c r="BF13" s="260" t="str">
        <f t="shared" si="34"/>
        <v/>
      </c>
      <c r="BG13" s="260" t="str">
        <f t="shared" si="35"/>
        <v/>
      </c>
      <c r="BH13" s="260" t="str">
        <f t="shared" si="36"/>
        <v/>
      </c>
      <c r="BI13" s="260" t="str">
        <f t="shared" si="37"/>
        <v/>
      </c>
      <c r="BJ13" s="260" t="str">
        <f t="shared" si="38"/>
        <v/>
      </c>
      <c r="BK13" s="260" t="str">
        <f t="shared" si="39"/>
        <v/>
      </c>
      <c r="BL13" s="260" t="str">
        <f t="shared" si="40"/>
        <v/>
      </c>
      <c r="BM13" s="260" t="str">
        <f t="shared" si="41"/>
        <v/>
      </c>
      <c r="BN13" s="260" t="str">
        <f t="shared" si="42"/>
        <v/>
      </c>
      <c r="BO13" s="260" t="str">
        <f t="shared" si="43"/>
        <v/>
      </c>
      <c r="BP13" s="260" t="str">
        <f t="shared" si="44"/>
        <v/>
      </c>
      <c r="BQ13" s="380"/>
      <c r="BR13" s="380"/>
      <c r="BS13" s="380"/>
      <c r="BT13" s="380"/>
    </row>
    <row r="14" spans="1:72" ht="22.5" customHeight="1" x14ac:dyDescent="0.45">
      <c r="A14" s="399"/>
      <c r="B14" s="376">
        <v>6</v>
      </c>
      <c r="C14" s="310">
        <v>43927</v>
      </c>
      <c r="D14" s="229" t="str">
        <f>IFERROR(VLOOKUP(C14,'बँक जमा खर्च पासबुक'!$C$9:$R$111,2,0),"")</f>
        <v/>
      </c>
      <c r="E14" s="229" t="str">
        <f>IFERROR(VLOOKUP(C14,'बँक जमा खर्च पासबुक'!$C$9:$R$111,3,0),"")</f>
        <v/>
      </c>
      <c r="F14" s="229" t="str">
        <f>IFERROR(VLOOKUP(C14,'बँक जमा खर्च पासबुक'!$C$9:$R$111,4,0),"")</f>
        <v/>
      </c>
      <c r="G14" s="229" t="str">
        <f>IFERROR(VLOOKUP(C14,'बँक जमा खर्च पासबुक'!$C$9:$R$111,5,0),"")</f>
        <v/>
      </c>
      <c r="H14" s="229" t="str">
        <f>IFERROR(VLOOKUP(C14,'बँक जमा खर्च पासबुक'!$C$9:$R$111,6,0),"")</f>
        <v/>
      </c>
      <c r="I14" s="229" t="str">
        <f>IFERROR(VLOOKUP(C14,'बँक जमा खर्च पासबुक'!$C$9:$R$111,7,0),"")</f>
        <v/>
      </c>
      <c r="J14" s="233">
        <f>SUMIF('बँक जमा खर्च पासबुक'!$C$9:$C$111,'बँक खर्च व्हाउचर पावती'!C14,'बँक जमा खर्च पासबुक'!$J$9:$J$111)</f>
        <v>0</v>
      </c>
      <c r="K14" s="233">
        <f>SUMIF('बँक जमा खर्च पासबुक'!$C$9:$C$111,'बँक खर्च व्हाउचर पावती'!C14,'बँक जमा खर्च पासबुक'!$K$9:$K$111)</f>
        <v>0</v>
      </c>
      <c r="L14" s="233">
        <f ca="1">SUMIF('बँक जमा खर्च पासबुक'!$C$9:$C$111,'बँक खर्च व्हाउचर पावती'!C14,'बँक जमा खर्च पासबुक'!$L$9:$L$110)</f>
        <v>0</v>
      </c>
      <c r="M14" s="228">
        <f>SUMIF('बँक जमा खर्च पासबुक'!$C$9:$C$111,'बँक खर्च व्हाउचर पावती'!C14,'बँक जमा खर्च पासबुक'!$M$9:$M$111)</f>
        <v>0</v>
      </c>
      <c r="N14" s="233">
        <f ca="1">N13+J14-L14</f>
        <v>3000</v>
      </c>
      <c r="O14" s="228">
        <f>O13+K14-M14</f>
        <v>3000</v>
      </c>
      <c r="P14" s="228">
        <f t="shared" ca="1" si="48"/>
        <v>6000</v>
      </c>
      <c r="Q14" s="399"/>
      <c r="U14" s="815">
        <v>1</v>
      </c>
      <c r="V14" s="803" t="str">
        <f>IFERROR(VLOOKUP(W6,'बँक जमा खर्च पासबुक'!AR8:AY111,6,0),"")</f>
        <v/>
      </c>
      <c r="W14" s="804" t="str">
        <f>IFERROR(VLOOKUP(W6,'बँक जमा खर्च पासबुक'!AR8:AY111,7,0),"")</f>
        <v/>
      </c>
      <c r="X14" s="1443" t="str">
        <f>IFERROR(VLOOKUP(W6,'बँक जमा खर्च पासबुक'!AR8:AY111,8,0),"")</f>
        <v/>
      </c>
      <c r="Y14" s="1444"/>
      <c r="Z14" s="1445"/>
      <c r="AA14" s="1456" t="str">
        <f>IFERROR(VLOOKUP(W6,'बँक जमा खर्च पासबुक'!AR8:AY111,4,0),"")</f>
        <v/>
      </c>
      <c r="AB14" s="1457"/>
      <c r="AC14" s="1458"/>
      <c r="AD14" s="1459"/>
      <c r="AM14" s="380"/>
      <c r="AN14" s="380"/>
      <c r="AO14" s="380">
        <v>12</v>
      </c>
      <c r="AP14" s="260" t="str">
        <f t="shared" ref="AP14:AP32" si="51">D20</f>
        <v/>
      </c>
      <c r="AQ14" s="260" t="str">
        <f t="shared" ref="AQ14:AQ33" si="52">D50</f>
        <v/>
      </c>
      <c r="AR14" s="260" t="str">
        <f t="shared" ref="AR14:AR32" si="53">D81</f>
        <v/>
      </c>
      <c r="AS14" s="260" t="str">
        <f t="shared" ref="AS14:AS33" si="54">D111</f>
        <v/>
      </c>
      <c r="AT14" s="260" t="str">
        <f t="shared" ref="AT14:AT33" si="55">D142</f>
        <v/>
      </c>
      <c r="AU14" s="260" t="str">
        <f t="shared" ref="AU14:AU32" si="56">D173</f>
        <v/>
      </c>
      <c r="AV14" s="260" t="str">
        <f t="shared" ref="AV14:AV33" si="57">D203</f>
        <v/>
      </c>
      <c r="AW14" s="260" t="str">
        <f t="shared" ref="AW14:AW32" si="58">D234</f>
        <v/>
      </c>
      <c r="AX14" s="260" t="str">
        <f t="shared" ref="AX14:AX33" si="59">D264</f>
        <v/>
      </c>
      <c r="AY14" s="260" t="str">
        <f t="shared" ref="AY14:AY33" si="60">D295</f>
        <v/>
      </c>
      <c r="AZ14" s="260" t="str">
        <f t="shared" ref="AZ14:AZ31" si="61">D326</f>
        <v/>
      </c>
      <c r="BA14" s="260" t="str">
        <f t="shared" ref="BA14:BA33" si="62">D355</f>
        <v/>
      </c>
      <c r="BB14" s="380"/>
      <c r="BC14" s="380"/>
      <c r="BD14" s="380">
        <v>12</v>
      </c>
      <c r="BE14" s="260" t="str">
        <f t="shared" ref="BE14:BE32" si="63">E20</f>
        <v/>
      </c>
      <c r="BF14" s="260" t="str">
        <f t="shared" ref="BF14:BF33" si="64">E50</f>
        <v/>
      </c>
      <c r="BG14" s="260" t="str">
        <f t="shared" ref="BG14:BG32" si="65">E81</f>
        <v/>
      </c>
      <c r="BH14" s="260" t="str">
        <f t="shared" ref="BH14:BH33" si="66">E111</f>
        <v/>
      </c>
      <c r="BI14" s="260" t="str">
        <f t="shared" ref="BI14:BI33" si="67">E142</f>
        <v/>
      </c>
      <c r="BJ14" s="260" t="str">
        <f t="shared" ref="BJ14:BJ32" si="68">E173</f>
        <v/>
      </c>
      <c r="BK14" s="260" t="str">
        <f t="shared" ref="BK14:BK33" si="69">E203</f>
        <v/>
      </c>
      <c r="BL14" s="260" t="str">
        <f t="shared" ref="BL14:BL32" si="70">E234</f>
        <v/>
      </c>
      <c r="BM14" s="260" t="str">
        <f t="shared" ref="BM14:BM33" si="71">E264</f>
        <v/>
      </c>
      <c r="BN14" s="260" t="str">
        <f t="shared" ref="BN14:BN33" si="72">E295</f>
        <v/>
      </c>
      <c r="BO14" s="260" t="str">
        <f t="shared" ref="BO14:BO31" si="73">E326</f>
        <v/>
      </c>
      <c r="BP14" s="260" t="str">
        <f t="shared" ref="BP14:BP33" si="74">E355</f>
        <v/>
      </c>
      <c r="BQ14" s="380"/>
      <c r="BR14" s="380"/>
      <c r="BS14" s="380"/>
      <c r="BT14" s="380"/>
    </row>
    <row r="15" spans="1:72" ht="22.5" customHeight="1" x14ac:dyDescent="0.45">
      <c r="A15" s="399"/>
      <c r="B15" s="376">
        <v>7</v>
      </c>
      <c r="C15" s="310">
        <v>43928</v>
      </c>
      <c r="D15" s="229" t="str">
        <f>IFERROR(VLOOKUP(C15,'बँक जमा खर्च पासबुक'!$C$9:$R$111,2,0),"")</f>
        <v/>
      </c>
      <c r="E15" s="229" t="str">
        <f>IFERROR(VLOOKUP(C15,'बँक जमा खर्च पासबुक'!$C$9:$R$111,3,0),"")</f>
        <v/>
      </c>
      <c r="F15" s="229" t="str">
        <f>IFERROR(VLOOKUP(C15,'बँक जमा खर्च पासबुक'!$C$9:$R$111,4,0),"")</f>
        <v/>
      </c>
      <c r="G15" s="229" t="str">
        <f>IFERROR(VLOOKUP(C15,'बँक जमा खर्च पासबुक'!$C$9:$R$111,5,0),"")</f>
        <v/>
      </c>
      <c r="H15" s="229" t="str">
        <f>IFERROR(VLOOKUP(C15,'बँक जमा खर्च पासबुक'!$C$9:$R$111,6,0),"")</f>
        <v/>
      </c>
      <c r="I15" s="229" t="str">
        <f>IFERROR(VLOOKUP(C15,'बँक जमा खर्च पासबुक'!$C$9:$R$111,7,0),"")</f>
        <v/>
      </c>
      <c r="J15" s="233">
        <f>SUMIF('बँक जमा खर्च पासबुक'!$C$9:$C$111,'बँक खर्च व्हाउचर पावती'!C15,'बँक जमा खर्च पासबुक'!$J$9:$J$111)</f>
        <v>0</v>
      </c>
      <c r="K15" s="233">
        <f>SUMIF('बँक जमा खर्च पासबुक'!$C$9:$C$111,'बँक खर्च व्हाउचर पावती'!C15,'बँक जमा खर्च पासबुक'!$K$9:$K$111)</f>
        <v>0</v>
      </c>
      <c r="L15" s="233">
        <f ca="1">SUMIF('बँक जमा खर्च पासबुक'!$C$9:$C$111,'बँक खर्च व्हाउचर पावती'!C15,'बँक जमा खर्च पासबुक'!$L$9:$L$110)</f>
        <v>0</v>
      </c>
      <c r="M15" s="228">
        <f>SUMIF('बँक जमा खर्च पासबुक'!$C$9:$C$111,'बँक खर्च व्हाउचर पावती'!C15,'बँक जमा खर्च पासबुक'!$M$9:$M$111)</f>
        <v>0</v>
      </c>
      <c r="N15" s="233">
        <f t="shared" ca="1" si="49"/>
        <v>3000</v>
      </c>
      <c r="O15" s="228">
        <f t="shared" si="50"/>
        <v>3000</v>
      </c>
      <c r="P15" s="228">
        <f t="shared" ca="1" si="48"/>
        <v>6000</v>
      </c>
      <c r="Q15" s="399"/>
      <c r="U15" s="816"/>
      <c r="V15" s="422"/>
      <c r="W15" s="817"/>
      <c r="X15" s="1458"/>
      <c r="Y15" s="1460"/>
      <c r="Z15" s="1461"/>
      <c r="AA15" s="1460"/>
      <c r="AB15" s="1460"/>
      <c r="AC15" s="1458"/>
      <c r="AD15" s="1459"/>
      <c r="AM15" s="380"/>
      <c r="AN15" s="380"/>
      <c r="AO15" s="380">
        <v>13</v>
      </c>
      <c r="AP15" s="260" t="str">
        <f t="shared" si="51"/>
        <v/>
      </c>
      <c r="AQ15" s="260" t="str">
        <f t="shared" si="52"/>
        <v/>
      </c>
      <c r="AR15" s="260" t="str">
        <f t="shared" si="53"/>
        <v/>
      </c>
      <c r="AS15" s="260" t="str">
        <f t="shared" si="54"/>
        <v/>
      </c>
      <c r="AT15" s="260" t="str">
        <f t="shared" si="55"/>
        <v/>
      </c>
      <c r="AU15" s="260" t="str">
        <f t="shared" si="56"/>
        <v/>
      </c>
      <c r="AV15" s="260" t="str">
        <f t="shared" si="57"/>
        <v/>
      </c>
      <c r="AW15" s="260" t="str">
        <f t="shared" si="58"/>
        <v/>
      </c>
      <c r="AX15" s="260" t="str">
        <f t="shared" si="59"/>
        <v/>
      </c>
      <c r="AY15" s="260" t="str">
        <f t="shared" si="60"/>
        <v/>
      </c>
      <c r="AZ15" s="260" t="str">
        <f t="shared" si="61"/>
        <v/>
      </c>
      <c r="BA15" s="260" t="str">
        <f t="shared" si="62"/>
        <v/>
      </c>
      <c r="BB15" s="380"/>
      <c r="BC15" s="380"/>
      <c r="BD15" s="380">
        <v>13</v>
      </c>
      <c r="BE15" s="260" t="str">
        <f t="shared" si="63"/>
        <v/>
      </c>
      <c r="BF15" s="260" t="str">
        <f t="shared" si="64"/>
        <v/>
      </c>
      <c r="BG15" s="260" t="str">
        <f t="shared" si="65"/>
        <v/>
      </c>
      <c r="BH15" s="260" t="str">
        <f t="shared" si="66"/>
        <v/>
      </c>
      <c r="BI15" s="260" t="str">
        <f t="shared" si="67"/>
        <v/>
      </c>
      <c r="BJ15" s="260" t="str">
        <f t="shared" si="68"/>
        <v/>
      </c>
      <c r="BK15" s="260" t="str">
        <f t="shared" si="69"/>
        <v/>
      </c>
      <c r="BL15" s="260" t="str">
        <f t="shared" si="70"/>
        <v/>
      </c>
      <c r="BM15" s="260" t="str">
        <f t="shared" si="71"/>
        <v/>
      </c>
      <c r="BN15" s="260" t="str">
        <f t="shared" si="72"/>
        <v/>
      </c>
      <c r="BO15" s="260" t="str">
        <f t="shared" si="73"/>
        <v/>
      </c>
      <c r="BP15" s="260" t="str">
        <f t="shared" si="74"/>
        <v/>
      </c>
      <c r="BQ15" s="380"/>
      <c r="BR15" s="380"/>
      <c r="BS15" s="380"/>
      <c r="BT15" s="380"/>
    </row>
    <row r="16" spans="1:72" ht="22.5" customHeight="1" x14ac:dyDescent="0.45">
      <c r="A16" s="399"/>
      <c r="B16" s="376">
        <v>8</v>
      </c>
      <c r="C16" s="310">
        <v>43929</v>
      </c>
      <c r="D16" s="229" t="str">
        <f>IFERROR(VLOOKUP(C16,'बँक जमा खर्च पासबुक'!$C$9:$R$111,2,0),"")</f>
        <v/>
      </c>
      <c r="E16" s="229" t="str">
        <f>IFERROR(VLOOKUP(C16,'बँक जमा खर्च पासबुक'!$C$9:$R$111,3,0),"")</f>
        <v/>
      </c>
      <c r="F16" s="229" t="str">
        <f>IFERROR(VLOOKUP(C16,'बँक जमा खर्च पासबुक'!$C$9:$R$111,4,0),"")</f>
        <v/>
      </c>
      <c r="G16" s="229" t="str">
        <f>IFERROR(VLOOKUP(C16,'बँक जमा खर्च पासबुक'!$C$9:$R$111,5,0),"")</f>
        <v/>
      </c>
      <c r="H16" s="229" t="str">
        <f>IFERROR(VLOOKUP(C16,'बँक जमा खर्च पासबुक'!$C$9:$R$111,6,0),"")</f>
        <v/>
      </c>
      <c r="I16" s="229" t="str">
        <f>IFERROR(VLOOKUP(C16,'बँक जमा खर्च पासबुक'!$C$9:$R$111,7,0),"")</f>
        <v/>
      </c>
      <c r="J16" s="233">
        <f>SUMIF('बँक जमा खर्च पासबुक'!$C$9:$C$111,'बँक खर्च व्हाउचर पावती'!C16,'बँक जमा खर्च पासबुक'!$J$9:$J$111)</f>
        <v>0</v>
      </c>
      <c r="K16" s="233">
        <f>SUMIF('बँक जमा खर्च पासबुक'!$C$9:$C$111,'बँक खर्च व्हाउचर पावती'!C16,'बँक जमा खर्च पासबुक'!$K$9:$K$111)</f>
        <v>0</v>
      </c>
      <c r="L16" s="233">
        <f ca="1">SUMIF('बँक जमा खर्च पासबुक'!$C$9:$C$111,'बँक खर्च व्हाउचर पावती'!C16,'बँक जमा खर्च पासबुक'!$L$9:$L$110)</f>
        <v>0</v>
      </c>
      <c r="M16" s="228">
        <f>SUMIF('बँक जमा खर्च पासबुक'!$C$9:$C$111,'बँक खर्च व्हाउचर पावती'!C16,'बँक जमा खर्च पासबुक'!$M$9:$M$111)</f>
        <v>0</v>
      </c>
      <c r="N16" s="233">
        <f t="shared" ca="1" si="49"/>
        <v>3000</v>
      </c>
      <c r="O16" s="228">
        <f t="shared" si="50"/>
        <v>3000</v>
      </c>
      <c r="P16" s="228">
        <f t="shared" ca="1" si="48"/>
        <v>6000</v>
      </c>
      <c r="Q16" s="399"/>
      <c r="U16" s="816"/>
      <c r="V16" s="805"/>
      <c r="W16" s="806"/>
      <c r="X16" s="1458"/>
      <c r="Y16" s="1460"/>
      <c r="Z16" s="1461"/>
      <c r="AA16" s="1460"/>
      <c r="AB16" s="1460"/>
      <c r="AC16" s="1458"/>
      <c r="AD16" s="1459"/>
      <c r="AM16" s="380"/>
      <c r="AN16" s="380"/>
      <c r="AO16" s="380">
        <v>14</v>
      </c>
      <c r="AP16" s="260" t="str">
        <f t="shared" si="51"/>
        <v/>
      </c>
      <c r="AQ16" s="260" t="str">
        <f t="shared" si="52"/>
        <v/>
      </c>
      <c r="AR16" s="260" t="str">
        <f t="shared" si="53"/>
        <v/>
      </c>
      <c r="AS16" s="260" t="str">
        <f t="shared" si="54"/>
        <v/>
      </c>
      <c r="AT16" s="260" t="str">
        <f t="shared" si="55"/>
        <v/>
      </c>
      <c r="AU16" s="260" t="str">
        <f t="shared" si="56"/>
        <v/>
      </c>
      <c r="AV16" s="260" t="str">
        <f t="shared" si="57"/>
        <v/>
      </c>
      <c r="AW16" s="260" t="str">
        <f t="shared" si="58"/>
        <v/>
      </c>
      <c r="AX16" s="260" t="str">
        <f t="shared" si="59"/>
        <v/>
      </c>
      <c r="AY16" s="260" t="str">
        <f t="shared" si="60"/>
        <v/>
      </c>
      <c r="AZ16" s="260" t="str">
        <f t="shared" si="61"/>
        <v/>
      </c>
      <c r="BA16" s="260" t="str">
        <f t="shared" si="62"/>
        <v/>
      </c>
      <c r="BB16" s="380"/>
      <c r="BC16" s="380"/>
      <c r="BD16" s="380">
        <v>14</v>
      </c>
      <c r="BE16" s="260" t="str">
        <f t="shared" si="63"/>
        <v/>
      </c>
      <c r="BF16" s="260" t="str">
        <f t="shared" si="64"/>
        <v/>
      </c>
      <c r="BG16" s="260" t="str">
        <f t="shared" si="65"/>
        <v/>
      </c>
      <c r="BH16" s="260" t="str">
        <f t="shared" si="66"/>
        <v/>
      </c>
      <c r="BI16" s="260" t="str">
        <f t="shared" si="67"/>
        <v/>
      </c>
      <c r="BJ16" s="260" t="str">
        <f t="shared" si="68"/>
        <v/>
      </c>
      <c r="BK16" s="260" t="str">
        <f t="shared" si="69"/>
        <v/>
      </c>
      <c r="BL16" s="260" t="str">
        <f t="shared" si="70"/>
        <v/>
      </c>
      <c r="BM16" s="260" t="str">
        <f t="shared" si="71"/>
        <v/>
      </c>
      <c r="BN16" s="260" t="str">
        <f t="shared" si="72"/>
        <v/>
      </c>
      <c r="BO16" s="260" t="str">
        <f t="shared" si="73"/>
        <v/>
      </c>
      <c r="BP16" s="260" t="str">
        <f t="shared" si="74"/>
        <v/>
      </c>
      <c r="BQ16" s="380"/>
      <c r="BR16" s="380"/>
      <c r="BS16" s="380"/>
      <c r="BT16" s="380"/>
    </row>
    <row r="17" spans="1:72" ht="22.5" customHeight="1" x14ac:dyDescent="0.45">
      <c r="A17" s="399"/>
      <c r="B17" s="376">
        <v>9</v>
      </c>
      <c r="C17" s="310">
        <v>43930</v>
      </c>
      <c r="D17" s="229" t="str">
        <f>IFERROR(VLOOKUP(C17,'बँक जमा खर्च पासबुक'!$C$9:$R$111,2,0),"")</f>
        <v/>
      </c>
      <c r="E17" s="229" t="str">
        <f>IFERROR(VLOOKUP(C17,'बँक जमा खर्च पासबुक'!$C$9:$R$111,3,0),"")</f>
        <v/>
      </c>
      <c r="F17" s="229" t="str">
        <f>IFERROR(VLOOKUP(C17,'बँक जमा खर्च पासबुक'!$C$9:$R$111,4,0),"")</f>
        <v/>
      </c>
      <c r="G17" s="229" t="str">
        <f>IFERROR(VLOOKUP(C17,'बँक जमा खर्च पासबुक'!$C$9:$R$111,5,0),"")</f>
        <v/>
      </c>
      <c r="H17" s="229" t="str">
        <f>IFERROR(VLOOKUP(C17,'बँक जमा खर्च पासबुक'!$C$9:$R$111,6,0),"")</f>
        <v/>
      </c>
      <c r="I17" s="229" t="str">
        <f>IFERROR(VLOOKUP(C17,'बँक जमा खर्च पासबुक'!$C$9:$R$111,7,0),"")</f>
        <v/>
      </c>
      <c r="J17" s="233">
        <f>SUMIF('बँक जमा खर्च पासबुक'!$C$9:$C$111,'बँक खर्च व्हाउचर पावती'!C17,'बँक जमा खर्च पासबुक'!$J$9:$J$111)</f>
        <v>0</v>
      </c>
      <c r="K17" s="233">
        <f>SUMIF('बँक जमा खर्च पासबुक'!$C$9:$C$111,'बँक खर्च व्हाउचर पावती'!C17,'बँक जमा खर्च पासबुक'!$K$9:$K$111)</f>
        <v>0</v>
      </c>
      <c r="L17" s="233">
        <f ca="1">SUMIF('बँक जमा खर्च पासबुक'!$C$9:$C$111,'बँक खर्च व्हाउचर पावती'!C17,'बँक जमा खर्च पासबुक'!$L$9:$L$110)</f>
        <v>0</v>
      </c>
      <c r="M17" s="228">
        <f>SUMIF('बँक जमा खर्च पासबुक'!$C$9:$C$111,'बँक खर्च व्हाउचर पावती'!C17,'बँक जमा खर्च पासबुक'!$M$9:$M$111)</f>
        <v>0</v>
      </c>
      <c r="N17" s="233">
        <f t="shared" ca="1" si="49"/>
        <v>3000</v>
      </c>
      <c r="O17" s="228">
        <f t="shared" si="50"/>
        <v>3000</v>
      </c>
      <c r="P17" s="228">
        <f t="shared" ca="1" si="48"/>
        <v>6000</v>
      </c>
      <c r="Q17" s="399"/>
      <c r="U17" s="816"/>
      <c r="V17" s="422"/>
      <c r="W17" s="817"/>
      <c r="X17" s="1458"/>
      <c r="Y17" s="1460"/>
      <c r="Z17" s="1461"/>
      <c r="AA17" s="1460"/>
      <c r="AB17" s="1460"/>
      <c r="AC17" s="1458"/>
      <c r="AD17" s="1459"/>
      <c r="AM17" s="380"/>
      <c r="AN17" s="380"/>
      <c r="AO17" s="380">
        <v>15</v>
      </c>
      <c r="AP17" s="260" t="str">
        <f t="shared" si="51"/>
        <v/>
      </c>
      <c r="AQ17" s="260" t="str">
        <f t="shared" si="52"/>
        <v/>
      </c>
      <c r="AR17" s="260" t="str">
        <f t="shared" si="53"/>
        <v/>
      </c>
      <c r="AS17" s="260" t="str">
        <f t="shared" si="54"/>
        <v/>
      </c>
      <c r="AT17" s="260" t="str">
        <f t="shared" si="55"/>
        <v/>
      </c>
      <c r="AU17" s="260" t="str">
        <f t="shared" si="56"/>
        <v/>
      </c>
      <c r="AV17" s="260" t="str">
        <f t="shared" si="57"/>
        <v/>
      </c>
      <c r="AW17" s="260" t="str">
        <f t="shared" si="58"/>
        <v/>
      </c>
      <c r="AX17" s="260" t="str">
        <f t="shared" si="59"/>
        <v/>
      </c>
      <c r="AY17" s="260" t="str">
        <f t="shared" si="60"/>
        <v/>
      </c>
      <c r="AZ17" s="260" t="str">
        <f t="shared" si="61"/>
        <v/>
      </c>
      <c r="BA17" s="260" t="str">
        <f t="shared" si="62"/>
        <v/>
      </c>
      <c r="BB17" s="380"/>
      <c r="BC17" s="380"/>
      <c r="BD17" s="380">
        <v>15</v>
      </c>
      <c r="BE17" s="260" t="str">
        <f t="shared" si="63"/>
        <v/>
      </c>
      <c r="BF17" s="260" t="str">
        <f t="shared" si="64"/>
        <v/>
      </c>
      <c r="BG17" s="260" t="str">
        <f t="shared" si="65"/>
        <v/>
      </c>
      <c r="BH17" s="260" t="str">
        <f t="shared" si="66"/>
        <v/>
      </c>
      <c r="BI17" s="260" t="str">
        <f t="shared" si="67"/>
        <v/>
      </c>
      <c r="BJ17" s="260" t="str">
        <f t="shared" si="68"/>
        <v/>
      </c>
      <c r="BK17" s="260" t="str">
        <f t="shared" si="69"/>
        <v/>
      </c>
      <c r="BL17" s="260" t="str">
        <f t="shared" si="70"/>
        <v/>
      </c>
      <c r="BM17" s="260" t="str">
        <f t="shared" si="71"/>
        <v/>
      </c>
      <c r="BN17" s="260" t="str">
        <f t="shared" si="72"/>
        <v/>
      </c>
      <c r="BO17" s="260" t="str">
        <f t="shared" si="73"/>
        <v/>
      </c>
      <c r="BP17" s="260" t="str">
        <f t="shared" si="74"/>
        <v/>
      </c>
      <c r="BQ17" s="380"/>
      <c r="BR17" s="380"/>
      <c r="BS17" s="380"/>
      <c r="BT17" s="380"/>
    </row>
    <row r="18" spans="1:72" ht="22.5" customHeight="1" x14ac:dyDescent="0.45">
      <c r="A18" s="399"/>
      <c r="B18" s="376">
        <v>10</v>
      </c>
      <c r="C18" s="310">
        <v>43931</v>
      </c>
      <c r="D18" s="229" t="str">
        <f>IFERROR(VLOOKUP(C18,'बँक जमा खर्च पासबुक'!$C$9:$R$111,2,0),"")</f>
        <v/>
      </c>
      <c r="E18" s="229" t="str">
        <f>IFERROR(VLOOKUP(C18,'बँक जमा खर्च पासबुक'!$C$9:$R$111,3,0),"")</f>
        <v/>
      </c>
      <c r="F18" s="229" t="str">
        <f>IFERROR(VLOOKUP(C18,'बँक जमा खर्च पासबुक'!$C$9:$R$111,4,0),"")</f>
        <v/>
      </c>
      <c r="G18" s="229" t="str">
        <f>IFERROR(VLOOKUP(C18,'बँक जमा खर्च पासबुक'!$C$9:$R$111,5,0),"")</f>
        <v/>
      </c>
      <c r="H18" s="229" t="str">
        <f>IFERROR(VLOOKUP(C18,'बँक जमा खर्च पासबुक'!$C$9:$R$111,6,0),"")</f>
        <v/>
      </c>
      <c r="I18" s="229" t="str">
        <f>IFERROR(VLOOKUP(C18,'बँक जमा खर्च पासबुक'!$C$9:$R$111,7,0),"")</f>
        <v/>
      </c>
      <c r="J18" s="233">
        <f>SUMIF('बँक जमा खर्च पासबुक'!$C$9:$C$111,'बँक खर्च व्हाउचर पावती'!C18,'बँक जमा खर्च पासबुक'!$J$9:$J$111)</f>
        <v>0</v>
      </c>
      <c r="K18" s="233">
        <f>SUMIF('बँक जमा खर्च पासबुक'!$C$9:$C$111,'बँक खर्च व्हाउचर पावती'!C18,'बँक जमा खर्च पासबुक'!$K$9:$K$111)</f>
        <v>0</v>
      </c>
      <c r="L18" s="233">
        <f ca="1">SUMIF('बँक जमा खर्च पासबुक'!$C$9:$C$111,'बँक खर्च व्हाउचर पावती'!C18,'बँक जमा खर्च पासबुक'!$L$9:$L$110)</f>
        <v>0</v>
      </c>
      <c r="M18" s="228">
        <f>SUMIF('बँक जमा खर्च पासबुक'!$C$9:$C$111,'बँक खर्च व्हाउचर पावती'!C18,'बँक जमा खर्च पासबुक'!$M$9:$M$111)</f>
        <v>0</v>
      </c>
      <c r="N18" s="233">
        <f t="shared" ca="1" si="49"/>
        <v>3000</v>
      </c>
      <c r="O18" s="228">
        <f t="shared" si="50"/>
        <v>3000</v>
      </c>
      <c r="P18" s="228">
        <f t="shared" ca="1" si="48"/>
        <v>6000</v>
      </c>
      <c r="Q18" s="399"/>
      <c r="U18" s="816"/>
      <c r="V18" s="422"/>
      <c r="W18" s="817"/>
      <c r="X18" s="1458"/>
      <c r="Y18" s="1460"/>
      <c r="Z18" s="1461"/>
      <c r="AA18" s="1460"/>
      <c r="AB18" s="1460"/>
      <c r="AC18" s="1458"/>
      <c r="AD18" s="1459"/>
      <c r="AM18" s="380"/>
      <c r="AN18" s="380"/>
      <c r="AO18" s="380">
        <v>16</v>
      </c>
      <c r="AP18" s="260" t="str">
        <f t="shared" si="51"/>
        <v/>
      </c>
      <c r="AQ18" s="260" t="str">
        <f t="shared" si="52"/>
        <v/>
      </c>
      <c r="AR18" s="260" t="str">
        <f t="shared" si="53"/>
        <v/>
      </c>
      <c r="AS18" s="260" t="str">
        <f t="shared" si="54"/>
        <v/>
      </c>
      <c r="AT18" s="260" t="str">
        <f t="shared" si="55"/>
        <v/>
      </c>
      <c r="AU18" s="260" t="str">
        <f t="shared" si="56"/>
        <v/>
      </c>
      <c r="AV18" s="260" t="str">
        <f t="shared" si="57"/>
        <v/>
      </c>
      <c r="AW18" s="260" t="str">
        <f t="shared" si="58"/>
        <v/>
      </c>
      <c r="AX18" s="260" t="str">
        <f t="shared" si="59"/>
        <v/>
      </c>
      <c r="AY18" s="260" t="str">
        <f t="shared" si="60"/>
        <v/>
      </c>
      <c r="AZ18" s="260" t="str">
        <f t="shared" si="61"/>
        <v/>
      </c>
      <c r="BA18" s="260" t="str">
        <f t="shared" si="62"/>
        <v/>
      </c>
      <c r="BB18" s="380"/>
      <c r="BC18" s="380"/>
      <c r="BD18" s="380">
        <v>16</v>
      </c>
      <c r="BE18" s="260" t="str">
        <f t="shared" si="63"/>
        <v/>
      </c>
      <c r="BF18" s="260" t="str">
        <f t="shared" si="64"/>
        <v/>
      </c>
      <c r="BG18" s="260" t="str">
        <f t="shared" si="65"/>
        <v/>
      </c>
      <c r="BH18" s="260" t="str">
        <f t="shared" si="66"/>
        <v/>
      </c>
      <c r="BI18" s="260" t="str">
        <f t="shared" si="67"/>
        <v/>
      </c>
      <c r="BJ18" s="260" t="str">
        <f t="shared" si="68"/>
        <v/>
      </c>
      <c r="BK18" s="260" t="str">
        <f t="shared" si="69"/>
        <v/>
      </c>
      <c r="BL18" s="260" t="str">
        <f t="shared" si="70"/>
        <v/>
      </c>
      <c r="BM18" s="260" t="str">
        <f t="shared" si="71"/>
        <v/>
      </c>
      <c r="BN18" s="260" t="str">
        <f t="shared" si="72"/>
        <v/>
      </c>
      <c r="BO18" s="260" t="str">
        <f t="shared" si="73"/>
        <v/>
      </c>
      <c r="BP18" s="260" t="str">
        <f t="shared" si="74"/>
        <v/>
      </c>
      <c r="BQ18" s="380"/>
      <c r="BR18" s="380"/>
      <c r="BS18" s="380"/>
      <c r="BT18" s="380"/>
    </row>
    <row r="19" spans="1:72" ht="22.5" customHeight="1" x14ac:dyDescent="0.45">
      <c r="A19" s="399"/>
      <c r="B19" s="376">
        <v>11</v>
      </c>
      <c r="C19" s="310">
        <v>43932</v>
      </c>
      <c r="D19" s="229" t="str">
        <f>IFERROR(VLOOKUP(C19,'बँक जमा खर्च पासबुक'!$C$9:$R$111,2,0),"")</f>
        <v/>
      </c>
      <c r="E19" s="229" t="str">
        <f>IFERROR(VLOOKUP(C19,'बँक जमा खर्च पासबुक'!$C$9:$R$111,3,0),"")</f>
        <v/>
      </c>
      <c r="F19" s="229" t="str">
        <f>IFERROR(VLOOKUP(C19,'बँक जमा खर्च पासबुक'!$C$9:$R$111,4,0),"")</f>
        <v/>
      </c>
      <c r="G19" s="229" t="str">
        <f>IFERROR(VLOOKUP(C19,'बँक जमा खर्च पासबुक'!$C$9:$R$111,5,0),"")</f>
        <v/>
      </c>
      <c r="H19" s="229" t="str">
        <f>IFERROR(VLOOKUP(C19,'बँक जमा खर्च पासबुक'!$C$9:$R$111,6,0),"")</f>
        <v/>
      </c>
      <c r="I19" s="229" t="str">
        <f>IFERROR(VLOOKUP(C19,'बँक जमा खर्च पासबुक'!$C$9:$R$111,7,0),"")</f>
        <v/>
      </c>
      <c r="J19" s="233">
        <f>SUMIF('बँक जमा खर्च पासबुक'!$C$9:$C$111,'बँक खर्च व्हाउचर पावती'!C19,'बँक जमा खर्च पासबुक'!$J$9:$J$111)</f>
        <v>0</v>
      </c>
      <c r="K19" s="233">
        <f>SUMIF('बँक जमा खर्च पासबुक'!$C$9:$C$111,'बँक खर्च व्हाउचर पावती'!C19,'बँक जमा खर्च पासबुक'!$K$9:$K$111)</f>
        <v>0</v>
      </c>
      <c r="L19" s="233">
        <f ca="1">SUMIF('बँक जमा खर्च पासबुक'!$C$9:$C$111,'बँक खर्च व्हाउचर पावती'!C19,'बँक जमा खर्च पासबुक'!$L$9:$L$110)</f>
        <v>0</v>
      </c>
      <c r="M19" s="228">
        <f>SUMIF('बँक जमा खर्च पासबुक'!$C$9:$C$111,'बँक खर्च व्हाउचर पावती'!C19,'बँक जमा खर्च पासबुक'!$M$9:$M$111)</f>
        <v>0</v>
      </c>
      <c r="N19" s="233">
        <f t="shared" ca="1" si="49"/>
        <v>3000</v>
      </c>
      <c r="O19" s="228">
        <f t="shared" si="50"/>
        <v>3000</v>
      </c>
      <c r="P19" s="228">
        <f t="shared" ca="1" si="48"/>
        <v>6000</v>
      </c>
      <c r="Q19" s="399"/>
      <c r="U19" s="816"/>
      <c r="V19" s="422"/>
      <c r="W19" s="817"/>
      <c r="X19" s="1458"/>
      <c r="Y19" s="1460"/>
      <c r="Z19" s="1461"/>
      <c r="AA19" s="1460"/>
      <c r="AB19" s="1460"/>
      <c r="AC19" s="1458"/>
      <c r="AD19" s="1459"/>
      <c r="AM19" s="380"/>
      <c r="AN19" s="380"/>
      <c r="AO19" s="380">
        <v>17</v>
      </c>
      <c r="AP19" s="260" t="str">
        <f t="shared" si="51"/>
        <v/>
      </c>
      <c r="AQ19" s="260" t="str">
        <f t="shared" si="52"/>
        <v/>
      </c>
      <c r="AR19" s="260" t="str">
        <f t="shared" si="53"/>
        <v/>
      </c>
      <c r="AS19" s="260" t="str">
        <f t="shared" si="54"/>
        <v/>
      </c>
      <c r="AT19" s="260" t="str">
        <f t="shared" si="55"/>
        <v/>
      </c>
      <c r="AU19" s="260" t="str">
        <f t="shared" si="56"/>
        <v/>
      </c>
      <c r="AV19" s="260" t="str">
        <f t="shared" si="57"/>
        <v/>
      </c>
      <c r="AW19" s="260" t="str">
        <f t="shared" si="58"/>
        <v/>
      </c>
      <c r="AX19" s="260" t="str">
        <f t="shared" si="59"/>
        <v/>
      </c>
      <c r="AY19" s="260" t="str">
        <f t="shared" si="60"/>
        <v/>
      </c>
      <c r="AZ19" s="260" t="str">
        <f t="shared" si="61"/>
        <v/>
      </c>
      <c r="BA19" s="260" t="str">
        <f t="shared" si="62"/>
        <v/>
      </c>
      <c r="BB19" s="380"/>
      <c r="BC19" s="380"/>
      <c r="BD19" s="380">
        <v>17</v>
      </c>
      <c r="BE19" s="260" t="str">
        <f t="shared" si="63"/>
        <v/>
      </c>
      <c r="BF19" s="260" t="str">
        <f t="shared" si="64"/>
        <v/>
      </c>
      <c r="BG19" s="260" t="str">
        <f t="shared" si="65"/>
        <v/>
      </c>
      <c r="BH19" s="260" t="str">
        <f t="shared" si="66"/>
        <v/>
      </c>
      <c r="BI19" s="260" t="str">
        <f t="shared" si="67"/>
        <v/>
      </c>
      <c r="BJ19" s="260" t="str">
        <f t="shared" si="68"/>
        <v/>
      </c>
      <c r="BK19" s="260" t="str">
        <f t="shared" si="69"/>
        <v/>
      </c>
      <c r="BL19" s="260" t="str">
        <f t="shared" si="70"/>
        <v/>
      </c>
      <c r="BM19" s="260" t="str">
        <f t="shared" si="71"/>
        <v/>
      </c>
      <c r="BN19" s="260" t="str">
        <f t="shared" si="72"/>
        <v/>
      </c>
      <c r="BO19" s="260" t="str">
        <f t="shared" si="73"/>
        <v/>
      </c>
      <c r="BP19" s="260" t="str">
        <f t="shared" si="74"/>
        <v/>
      </c>
      <c r="BQ19" s="380"/>
      <c r="BR19" s="380"/>
      <c r="BS19" s="380"/>
      <c r="BT19" s="380"/>
    </row>
    <row r="20" spans="1:72" ht="22.5" customHeight="1" x14ac:dyDescent="0.45">
      <c r="A20" s="399"/>
      <c r="B20" s="376">
        <v>12</v>
      </c>
      <c r="C20" s="310">
        <v>43933</v>
      </c>
      <c r="D20" s="229" t="str">
        <f>IFERROR(VLOOKUP(C20,'बँक जमा खर्च पासबुक'!$C$9:$R$111,2,0),"")</f>
        <v/>
      </c>
      <c r="E20" s="229" t="str">
        <f>IFERROR(VLOOKUP(C20,'बँक जमा खर्च पासबुक'!$C$9:$R$111,3,0),"")</f>
        <v/>
      </c>
      <c r="F20" s="229" t="str">
        <f>IFERROR(VLOOKUP(C20,'बँक जमा खर्च पासबुक'!$C$9:$R$111,4,0),"")</f>
        <v/>
      </c>
      <c r="G20" s="229" t="str">
        <f>IFERROR(VLOOKUP(C20,'बँक जमा खर्च पासबुक'!$C$9:$R$111,5,0),"")</f>
        <v/>
      </c>
      <c r="H20" s="229" t="str">
        <f>IFERROR(VLOOKUP(C20,'बँक जमा खर्च पासबुक'!$C$9:$R$111,6,0),"")</f>
        <v/>
      </c>
      <c r="I20" s="229" t="str">
        <f>IFERROR(VLOOKUP(C20,'बँक जमा खर्च पासबुक'!$C$9:$R$111,7,0),"")</f>
        <v/>
      </c>
      <c r="J20" s="233">
        <f>SUMIF('बँक जमा खर्च पासबुक'!$C$9:$C$111,'बँक खर्च व्हाउचर पावती'!C20,'बँक जमा खर्च पासबुक'!$J$9:$J$111)</f>
        <v>0</v>
      </c>
      <c r="K20" s="233">
        <f>SUMIF('बँक जमा खर्च पासबुक'!$C$9:$C$111,'बँक खर्च व्हाउचर पावती'!C20,'बँक जमा खर्च पासबुक'!$K$9:$K$111)</f>
        <v>0</v>
      </c>
      <c r="L20" s="233">
        <f ca="1">SUMIF('बँक जमा खर्च पासबुक'!$C$9:$C$111,'बँक खर्च व्हाउचर पावती'!C20,'बँक जमा खर्च पासबुक'!$L$9:$L$110)</f>
        <v>0</v>
      </c>
      <c r="M20" s="228">
        <f>SUMIF('बँक जमा खर्च पासबुक'!$C$9:$C$111,'बँक खर्च व्हाउचर पावती'!C20,'बँक जमा खर्च पासबुक'!$M$9:$M$111)</f>
        <v>0</v>
      </c>
      <c r="N20" s="233">
        <f t="shared" ca="1" si="49"/>
        <v>3000</v>
      </c>
      <c r="O20" s="228">
        <f t="shared" si="50"/>
        <v>3000</v>
      </c>
      <c r="P20" s="228">
        <f t="shared" ca="1" si="48"/>
        <v>6000</v>
      </c>
      <c r="Q20" s="399"/>
      <c r="U20" s="816"/>
      <c r="V20" s="422"/>
      <c r="W20" s="817"/>
      <c r="X20" s="1458"/>
      <c r="Y20" s="1460"/>
      <c r="Z20" s="1461"/>
      <c r="AA20" s="1460"/>
      <c r="AB20" s="1460"/>
      <c r="AC20" s="1458"/>
      <c r="AD20" s="1459"/>
      <c r="AM20" s="380"/>
      <c r="AN20" s="380"/>
      <c r="AO20" s="380">
        <v>18</v>
      </c>
      <c r="AP20" s="260" t="str">
        <f t="shared" si="51"/>
        <v/>
      </c>
      <c r="AQ20" s="260" t="str">
        <f t="shared" si="52"/>
        <v/>
      </c>
      <c r="AR20" s="260" t="str">
        <f t="shared" si="53"/>
        <v/>
      </c>
      <c r="AS20" s="260" t="str">
        <f t="shared" si="54"/>
        <v/>
      </c>
      <c r="AT20" s="260" t="str">
        <f t="shared" si="55"/>
        <v/>
      </c>
      <c r="AU20" s="260" t="str">
        <f t="shared" si="56"/>
        <v/>
      </c>
      <c r="AV20" s="260" t="str">
        <f t="shared" si="57"/>
        <v/>
      </c>
      <c r="AW20" s="260" t="str">
        <f t="shared" si="58"/>
        <v/>
      </c>
      <c r="AX20" s="260" t="str">
        <f t="shared" si="59"/>
        <v/>
      </c>
      <c r="AY20" s="260" t="str">
        <f t="shared" si="60"/>
        <v/>
      </c>
      <c r="AZ20" s="260" t="str">
        <f t="shared" si="61"/>
        <v/>
      </c>
      <c r="BA20" s="260" t="str">
        <f t="shared" si="62"/>
        <v/>
      </c>
      <c r="BB20" s="380"/>
      <c r="BC20" s="380"/>
      <c r="BD20" s="380">
        <v>18</v>
      </c>
      <c r="BE20" s="260" t="str">
        <f t="shared" si="63"/>
        <v/>
      </c>
      <c r="BF20" s="260" t="str">
        <f t="shared" si="64"/>
        <v/>
      </c>
      <c r="BG20" s="260" t="str">
        <f t="shared" si="65"/>
        <v/>
      </c>
      <c r="BH20" s="260" t="str">
        <f t="shared" si="66"/>
        <v/>
      </c>
      <c r="BI20" s="260" t="str">
        <f t="shared" si="67"/>
        <v/>
      </c>
      <c r="BJ20" s="260" t="str">
        <f t="shared" si="68"/>
        <v/>
      </c>
      <c r="BK20" s="260" t="str">
        <f t="shared" si="69"/>
        <v/>
      </c>
      <c r="BL20" s="260" t="str">
        <f t="shared" si="70"/>
        <v/>
      </c>
      <c r="BM20" s="260" t="str">
        <f t="shared" si="71"/>
        <v/>
      </c>
      <c r="BN20" s="260" t="str">
        <f t="shared" si="72"/>
        <v/>
      </c>
      <c r="BO20" s="260" t="str">
        <f t="shared" si="73"/>
        <v/>
      </c>
      <c r="BP20" s="260" t="str">
        <f t="shared" si="74"/>
        <v/>
      </c>
      <c r="BQ20" s="380"/>
      <c r="BR20" s="380"/>
      <c r="BS20" s="380"/>
      <c r="BT20" s="380"/>
    </row>
    <row r="21" spans="1:72" ht="22.5" customHeight="1" x14ac:dyDescent="0.45">
      <c r="A21" s="399"/>
      <c r="B21" s="376">
        <v>13</v>
      </c>
      <c r="C21" s="310">
        <v>43934</v>
      </c>
      <c r="D21" s="229" t="str">
        <f>IFERROR(VLOOKUP(C21,'बँक जमा खर्च पासबुक'!$C$9:$R$111,2,0),"")</f>
        <v/>
      </c>
      <c r="E21" s="229" t="str">
        <f>IFERROR(VLOOKUP(C21,'बँक जमा खर्च पासबुक'!$C$9:$R$111,3,0),"")</f>
        <v/>
      </c>
      <c r="F21" s="229" t="str">
        <f>IFERROR(VLOOKUP(C21,'बँक जमा खर्च पासबुक'!$C$9:$R$111,4,0),"")</f>
        <v/>
      </c>
      <c r="G21" s="229" t="str">
        <f>IFERROR(VLOOKUP(C21,'बँक जमा खर्च पासबुक'!$C$9:$R$111,5,0),"")</f>
        <v/>
      </c>
      <c r="H21" s="229" t="str">
        <f>IFERROR(VLOOKUP(C21,'बँक जमा खर्च पासबुक'!$C$9:$R$111,6,0),"")</f>
        <v/>
      </c>
      <c r="I21" s="229" t="str">
        <f>IFERROR(VLOOKUP(C21,'बँक जमा खर्च पासबुक'!$C$9:$R$111,7,0),"")</f>
        <v/>
      </c>
      <c r="J21" s="233">
        <f>SUMIF('बँक जमा खर्च पासबुक'!$C$9:$C$111,'बँक खर्च व्हाउचर पावती'!C21,'बँक जमा खर्च पासबुक'!$J$9:$J$111)</f>
        <v>0</v>
      </c>
      <c r="K21" s="233">
        <f>SUMIF('बँक जमा खर्च पासबुक'!$C$9:$C$111,'बँक खर्च व्हाउचर पावती'!C21,'बँक जमा खर्च पासबुक'!$K$9:$K$111)</f>
        <v>0</v>
      </c>
      <c r="L21" s="233">
        <f ca="1">SUMIF('बँक जमा खर्च पासबुक'!$C$9:$C$111,'बँक खर्च व्हाउचर पावती'!C21,'बँक जमा खर्च पासबुक'!$L$9:$L$110)</f>
        <v>0</v>
      </c>
      <c r="M21" s="228">
        <f>SUMIF('बँक जमा खर्च पासबुक'!$C$9:$C$111,'बँक खर्च व्हाउचर पावती'!C21,'बँक जमा खर्च पासबुक'!$M$9:$M$111)</f>
        <v>0</v>
      </c>
      <c r="N21" s="233">
        <f t="shared" ca="1" si="49"/>
        <v>3000</v>
      </c>
      <c r="O21" s="228">
        <f t="shared" si="50"/>
        <v>3000</v>
      </c>
      <c r="P21" s="228">
        <f t="shared" ca="1" si="48"/>
        <v>6000</v>
      </c>
      <c r="Q21" s="399"/>
      <c r="U21" s="816"/>
      <c r="V21" s="422"/>
      <c r="W21" s="817"/>
      <c r="X21" s="1458"/>
      <c r="Y21" s="1460"/>
      <c r="Z21" s="1461"/>
      <c r="AA21" s="1460"/>
      <c r="AB21" s="1460"/>
      <c r="AC21" s="1458"/>
      <c r="AD21" s="1459"/>
      <c r="AM21" s="380"/>
      <c r="AN21" s="380"/>
      <c r="AO21" s="380">
        <v>19</v>
      </c>
      <c r="AP21" s="260" t="str">
        <f t="shared" si="51"/>
        <v/>
      </c>
      <c r="AQ21" s="260" t="str">
        <f t="shared" si="52"/>
        <v/>
      </c>
      <c r="AR21" s="260" t="str">
        <f t="shared" si="53"/>
        <v/>
      </c>
      <c r="AS21" s="260" t="str">
        <f t="shared" si="54"/>
        <v/>
      </c>
      <c r="AT21" s="260" t="str">
        <f t="shared" si="55"/>
        <v/>
      </c>
      <c r="AU21" s="260" t="str">
        <f t="shared" si="56"/>
        <v/>
      </c>
      <c r="AV21" s="260" t="str">
        <f t="shared" si="57"/>
        <v/>
      </c>
      <c r="AW21" s="260" t="str">
        <f t="shared" si="58"/>
        <v/>
      </c>
      <c r="AX21" s="260" t="str">
        <f t="shared" si="59"/>
        <v/>
      </c>
      <c r="AY21" s="260" t="str">
        <f t="shared" si="60"/>
        <v/>
      </c>
      <c r="AZ21" s="260" t="str">
        <f t="shared" si="61"/>
        <v/>
      </c>
      <c r="BA21" s="260" t="str">
        <f t="shared" si="62"/>
        <v/>
      </c>
      <c r="BB21" s="380"/>
      <c r="BC21" s="380"/>
      <c r="BD21" s="380">
        <v>19</v>
      </c>
      <c r="BE21" s="260" t="str">
        <f t="shared" si="63"/>
        <v/>
      </c>
      <c r="BF21" s="260" t="str">
        <f t="shared" si="64"/>
        <v/>
      </c>
      <c r="BG21" s="260" t="str">
        <f t="shared" si="65"/>
        <v/>
      </c>
      <c r="BH21" s="260" t="str">
        <f t="shared" si="66"/>
        <v/>
      </c>
      <c r="BI21" s="260" t="str">
        <f t="shared" si="67"/>
        <v/>
      </c>
      <c r="BJ21" s="260" t="str">
        <f t="shared" si="68"/>
        <v/>
      </c>
      <c r="BK21" s="260" t="str">
        <f t="shared" si="69"/>
        <v/>
      </c>
      <c r="BL21" s="260" t="str">
        <f t="shared" si="70"/>
        <v/>
      </c>
      <c r="BM21" s="260" t="str">
        <f t="shared" si="71"/>
        <v/>
      </c>
      <c r="BN21" s="260" t="str">
        <f t="shared" si="72"/>
        <v/>
      </c>
      <c r="BO21" s="260" t="str">
        <f t="shared" si="73"/>
        <v/>
      </c>
      <c r="BP21" s="260" t="str">
        <f t="shared" si="74"/>
        <v/>
      </c>
      <c r="BQ21" s="380"/>
      <c r="BR21" s="380"/>
      <c r="BS21" s="380"/>
      <c r="BT21" s="380"/>
    </row>
    <row r="22" spans="1:72" ht="22.5" customHeight="1" x14ac:dyDescent="0.45">
      <c r="A22" s="399"/>
      <c r="B22" s="376">
        <v>14</v>
      </c>
      <c r="C22" s="310">
        <v>43935</v>
      </c>
      <c r="D22" s="229" t="str">
        <f>IFERROR(VLOOKUP(C22,'बँक जमा खर्च पासबुक'!$C$9:$R$111,2,0),"")</f>
        <v/>
      </c>
      <c r="E22" s="229" t="str">
        <f>IFERROR(VLOOKUP(C22,'बँक जमा खर्च पासबुक'!$C$9:$R$111,3,0),"")</f>
        <v/>
      </c>
      <c r="F22" s="229" t="str">
        <f>IFERROR(VLOOKUP(C22,'बँक जमा खर्च पासबुक'!$C$9:$R$111,4,0),"")</f>
        <v/>
      </c>
      <c r="G22" s="229" t="str">
        <f>IFERROR(VLOOKUP(C22,'बँक जमा खर्च पासबुक'!$C$9:$R$111,5,0),"")</f>
        <v/>
      </c>
      <c r="H22" s="229" t="str">
        <f>IFERROR(VLOOKUP(C22,'बँक जमा खर्च पासबुक'!$C$9:$R$111,6,0),"")</f>
        <v/>
      </c>
      <c r="I22" s="229" t="str">
        <f>IFERROR(VLOOKUP(C22,'बँक जमा खर्च पासबुक'!$C$9:$R$111,7,0),"")</f>
        <v/>
      </c>
      <c r="J22" s="233">
        <f>SUMIF('बँक जमा खर्च पासबुक'!$C$9:$C$111,'बँक खर्च व्हाउचर पावती'!C22,'बँक जमा खर्च पासबुक'!$J$9:$J$111)</f>
        <v>0</v>
      </c>
      <c r="K22" s="233">
        <f>SUMIF('बँक जमा खर्च पासबुक'!$C$9:$C$111,'बँक खर्च व्हाउचर पावती'!C22,'बँक जमा खर्च पासबुक'!$K$9:$K$111)</f>
        <v>0</v>
      </c>
      <c r="L22" s="233">
        <f ca="1">SUMIF('बँक जमा खर्च पासबुक'!$C$9:$C$111,'बँक खर्च व्हाउचर पावती'!C22,'बँक जमा खर्च पासबुक'!$L$9:$L$110)</f>
        <v>0</v>
      </c>
      <c r="M22" s="228">
        <f>SUMIF('बँक जमा खर्च पासबुक'!$C$9:$C$111,'बँक खर्च व्हाउचर पावती'!C22,'बँक जमा खर्च पासबुक'!$M$9:$M$111)</f>
        <v>0</v>
      </c>
      <c r="N22" s="233">
        <f t="shared" ca="1" si="49"/>
        <v>3000</v>
      </c>
      <c r="O22" s="228">
        <f t="shared" si="50"/>
        <v>3000</v>
      </c>
      <c r="P22" s="228">
        <f t="shared" ca="1" si="48"/>
        <v>6000</v>
      </c>
      <c r="Q22" s="399"/>
      <c r="U22" s="816"/>
      <c r="V22" s="422"/>
      <c r="W22" s="817"/>
      <c r="X22" s="1458"/>
      <c r="Y22" s="1460"/>
      <c r="Z22" s="1461"/>
      <c r="AA22" s="1460"/>
      <c r="AB22" s="1460"/>
      <c r="AC22" s="1458"/>
      <c r="AD22" s="1459"/>
      <c r="AM22" s="380"/>
      <c r="AN22" s="380"/>
      <c r="AO22" s="380">
        <v>20</v>
      </c>
      <c r="AP22" s="260" t="str">
        <f t="shared" si="51"/>
        <v/>
      </c>
      <c r="AQ22" s="260" t="str">
        <f t="shared" si="52"/>
        <v/>
      </c>
      <c r="AR22" s="260" t="str">
        <f t="shared" si="53"/>
        <v/>
      </c>
      <c r="AS22" s="260" t="str">
        <f t="shared" si="54"/>
        <v/>
      </c>
      <c r="AT22" s="260" t="str">
        <f t="shared" si="55"/>
        <v/>
      </c>
      <c r="AU22" s="260" t="str">
        <f t="shared" si="56"/>
        <v/>
      </c>
      <c r="AV22" s="260" t="str">
        <f t="shared" si="57"/>
        <v/>
      </c>
      <c r="AW22" s="260" t="str">
        <f t="shared" si="58"/>
        <v/>
      </c>
      <c r="AX22" s="260" t="str">
        <f t="shared" si="59"/>
        <v/>
      </c>
      <c r="AY22" s="260" t="str">
        <f t="shared" si="60"/>
        <v/>
      </c>
      <c r="AZ22" s="260" t="str">
        <f t="shared" si="61"/>
        <v/>
      </c>
      <c r="BA22" s="260" t="str">
        <f t="shared" si="62"/>
        <v/>
      </c>
      <c r="BB22" s="380"/>
      <c r="BC22" s="380"/>
      <c r="BD22" s="380">
        <v>20</v>
      </c>
      <c r="BE22" s="260" t="str">
        <f t="shared" si="63"/>
        <v/>
      </c>
      <c r="BF22" s="260" t="str">
        <f t="shared" si="64"/>
        <v/>
      </c>
      <c r="BG22" s="260" t="str">
        <f t="shared" si="65"/>
        <v/>
      </c>
      <c r="BH22" s="260" t="str">
        <f t="shared" si="66"/>
        <v/>
      </c>
      <c r="BI22" s="260" t="str">
        <f t="shared" si="67"/>
        <v/>
      </c>
      <c r="BJ22" s="260" t="str">
        <f t="shared" si="68"/>
        <v/>
      </c>
      <c r="BK22" s="260" t="str">
        <f t="shared" si="69"/>
        <v/>
      </c>
      <c r="BL22" s="260" t="str">
        <f t="shared" si="70"/>
        <v/>
      </c>
      <c r="BM22" s="260" t="str">
        <f t="shared" si="71"/>
        <v/>
      </c>
      <c r="BN22" s="260" t="str">
        <f t="shared" si="72"/>
        <v/>
      </c>
      <c r="BO22" s="260" t="str">
        <f t="shared" si="73"/>
        <v/>
      </c>
      <c r="BP22" s="260" t="str">
        <f t="shared" si="74"/>
        <v/>
      </c>
      <c r="BQ22" s="380"/>
      <c r="BR22" s="380"/>
      <c r="BS22" s="380"/>
      <c r="BT22" s="380"/>
    </row>
    <row r="23" spans="1:72" ht="22.5" customHeight="1" x14ac:dyDescent="0.45">
      <c r="A23" s="399"/>
      <c r="B23" s="376">
        <v>15</v>
      </c>
      <c r="C23" s="310">
        <v>43936</v>
      </c>
      <c r="D23" s="229" t="str">
        <f>IFERROR(VLOOKUP(C23,'बँक जमा खर्च पासबुक'!$C$9:$R$111,2,0),"")</f>
        <v/>
      </c>
      <c r="E23" s="229" t="str">
        <f>IFERROR(VLOOKUP(C23,'बँक जमा खर्च पासबुक'!$C$9:$R$111,3,0),"")</f>
        <v/>
      </c>
      <c r="F23" s="229" t="str">
        <f>IFERROR(VLOOKUP(C23,'बँक जमा खर्च पासबुक'!$C$9:$R$111,4,0),"")</f>
        <v/>
      </c>
      <c r="G23" s="229" t="str">
        <f>IFERROR(VLOOKUP(C23,'बँक जमा खर्च पासबुक'!$C$9:$R$111,5,0),"")</f>
        <v/>
      </c>
      <c r="H23" s="229" t="str">
        <f>IFERROR(VLOOKUP(C23,'बँक जमा खर्च पासबुक'!$C$9:$R$111,6,0),"")</f>
        <v/>
      </c>
      <c r="I23" s="229" t="str">
        <f>IFERROR(VLOOKUP(C23,'बँक जमा खर्च पासबुक'!$C$9:$R$111,7,0),"")</f>
        <v/>
      </c>
      <c r="J23" s="233">
        <f>SUMIF('बँक जमा खर्च पासबुक'!$C$9:$C$111,'बँक खर्च व्हाउचर पावती'!C23,'बँक जमा खर्च पासबुक'!$J$9:$J$111)</f>
        <v>0</v>
      </c>
      <c r="K23" s="233">
        <f>SUMIF('बँक जमा खर्च पासबुक'!$C$9:$C$111,'बँक खर्च व्हाउचर पावती'!C23,'बँक जमा खर्च पासबुक'!$K$9:$K$111)</f>
        <v>0</v>
      </c>
      <c r="L23" s="233">
        <f ca="1">SUMIF('बँक जमा खर्च पासबुक'!$C$9:$C$111,'बँक खर्च व्हाउचर पावती'!C23,'बँक जमा खर्च पासबुक'!$L$9:$L$110)</f>
        <v>0</v>
      </c>
      <c r="M23" s="228">
        <f>SUMIF('बँक जमा खर्च पासबुक'!$C$9:$C$111,'बँक खर्च व्हाउचर पावती'!C23,'बँक जमा खर्च पासबुक'!$M$9:$M$111)</f>
        <v>0</v>
      </c>
      <c r="N23" s="233">
        <f t="shared" ca="1" si="49"/>
        <v>3000</v>
      </c>
      <c r="O23" s="228">
        <f t="shared" si="50"/>
        <v>3000</v>
      </c>
      <c r="P23" s="228">
        <f t="shared" ca="1" si="48"/>
        <v>6000</v>
      </c>
      <c r="Q23" s="399"/>
      <c r="U23" s="816"/>
      <c r="V23" s="422"/>
      <c r="W23" s="817"/>
      <c r="X23" s="1458"/>
      <c r="Y23" s="1460"/>
      <c r="Z23" s="1461"/>
      <c r="AA23" s="1460"/>
      <c r="AB23" s="1460"/>
      <c r="AC23" s="1462"/>
      <c r="AD23" s="1463"/>
      <c r="AM23" s="380"/>
      <c r="AN23" s="380"/>
      <c r="AO23" s="380">
        <v>21</v>
      </c>
      <c r="AP23" s="260" t="str">
        <f t="shared" si="51"/>
        <v/>
      </c>
      <c r="AQ23" s="260" t="str">
        <f t="shared" si="52"/>
        <v/>
      </c>
      <c r="AR23" s="260" t="str">
        <f t="shared" si="53"/>
        <v/>
      </c>
      <c r="AS23" s="260" t="str">
        <f t="shared" si="54"/>
        <v/>
      </c>
      <c r="AT23" s="260" t="str">
        <f t="shared" si="55"/>
        <v/>
      </c>
      <c r="AU23" s="260" t="str">
        <f t="shared" si="56"/>
        <v/>
      </c>
      <c r="AV23" s="260" t="str">
        <f t="shared" si="57"/>
        <v/>
      </c>
      <c r="AW23" s="260" t="str">
        <f t="shared" si="58"/>
        <v/>
      </c>
      <c r="AX23" s="260" t="str">
        <f t="shared" si="59"/>
        <v/>
      </c>
      <c r="AY23" s="260" t="str">
        <f t="shared" si="60"/>
        <v/>
      </c>
      <c r="AZ23" s="260" t="str">
        <f t="shared" si="61"/>
        <v/>
      </c>
      <c r="BA23" s="260" t="str">
        <f t="shared" si="62"/>
        <v/>
      </c>
      <c r="BB23" s="380"/>
      <c r="BC23" s="380"/>
      <c r="BD23" s="380">
        <v>21</v>
      </c>
      <c r="BE23" s="260" t="str">
        <f t="shared" si="63"/>
        <v/>
      </c>
      <c r="BF23" s="260" t="str">
        <f t="shared" si="64"/>
        <v/>
      </c>
      <c r="BG23" s="260" t="str">
        <f t="shared" si="65"/>
        <v/>
      </c>
      <c r="BH23" s="260" t="str">
        <f t="shared" si="66"/>
        <v/>
      </c>
      <c r="BI23" s="260" t="str">
        <f t="shared" si="67"/>
        <v/>
      </c>
      <c r="BJ23" s="260" t="str">
        <f t="shared" si="68"/>
        <v/>
      </c>
      <c r="BK23" s="260" t="str">
        <f t="shared" si="69"/>
        <v/>
      </c>
      <c r="BL23" s="260" t="str">
        <f t="shared" si="70"/>
        <v/>
      </c>
      <c r="BM23" s="260" t="str">
        <f t="shared" si="71"/>
        <v/>
      </c>
      <c r="BN23" s="260" t="str">
        <f t="shared" si="72"/>
        <v/>
      </c>
      <c r="BO23" s="260" t="str">
        <f t="shared" si="73"/>
        <v/>
      </c>
      <c r="BP23" s="260" t="str">
        <f t="shared" si="74"/>
        <v/>
      </c>
      <c r="BQ23" s="380"/>
      <c r="BR23" s="380"/>
      <c r="BS23" s="380"/>
      <c r="BT23" s="380"/>
    </row>
    <row r="24" spans="1:72" ht="22.5" customHeight="1" x14ac:dyDescent="0.4">
      <c r="A24" s="399"/>
      <c r="B24" s="376">
        <v>16</v>
      </c>
      <c r="C24" s="310">
        <v>43937</v>
      </c>
      <c r="D24" s="229" t="str">
        <f>IFERROR(VLOOKUP(C24,'बँक जमा खर्च पासबुक'!$C$9:$R$111,2,0),"")</f>
        <v/>
      </c>
      <c r="E24" s="229" t="str">
        <f>IFERROR(VLOOKUP(C24,'बँक जमा खर्च पासबुक'!$C$9:$R$111,3,0),"")</f>
        <v/>
      </c>
      <c r="F24" s="229" t="str">
        <f>IFERROR(VLOOKUP(C24,'बँक जमा खर्च पासबुक'!$C$9:$R$111,4,0),"")</f>
        <v/>
      </c>
      <c r="G24" s="229" t="str">
        <f>IFERROR(VLOOKUP(C24,'बँक जमा खर्च पासबुक'!$C$9:$R$111,5,0),"")</f>
        <v/>
      </c>
      <c r="H24" s="229" t="str">
        <f>IFERROR(VLOOKUP(C24,'बँक जमा खर्च पासबुक'!$C$9:$R$111,6,0),"")</f>
        <v/>
      </c>
      <c r="I24" s="229" t="str">
        <f>IFERROR(VLOOKUP(C24,'बँक जमा खर्च पासबुक'!$C$9:$R$111,7,0),"")</f>
        <v/>
      </c>
      <c r="J24" s="233">
        <f>SUMIF('बँक जमा खर्च पासबुक'!$C$9:$C$111,'बँक खर्च व्हाउचर पावती'!C24,'बँक जमा खर्च पासबुक'!$J$9:$J$111)</f>
        <v>0</v>
      </c>
      <c r="K24" s="233">
        <f>SUMIF('बँक जमा खर्च पासबुक'!$C$9:$C$111,'बँक खर्च व्हाउचर पावती'!C24,'बँक जमा खर्च पासबुक'!$K$9:$K$111)</f>
        <v>0</v>
      </c>
      <c r="L24" s="233">
        <f ca="1">SUMIF('बँक जमा खर्च पासबुक'!$C$9:$C$111,'बँक खर्च व्हाउचर पावती'!C24,'बँक जमा खर्च पासबुक'!$L$9:$L$110)</f>
        <v>0</v>
      </c>
      <c r="M24" s="228">
        <f>SUMIF('बँक जमा खर्च पासबुक'!$C$9:$C$111,'बँक खर्च व्हाउचर पावती'!C24,'बँक जमा खर्च पासबुक'!$M$9:$M$111)</f>
        <v>0</v>
      </c>
      <c r="N24" s="233">
        <f t="shared" ca="1" si="49"/>
        <v>3000</v>
      </c>
      <c r="O24" s="228">
        <f t="shared" si="50"/>
        <v>3000</v>
      </c>
      <c r="P24" s="228">
        <f t="shared" ca="1" si="48"/>
        <v>6000</v>
      </c>
      <c r="Q24" s="399"/>
      <c r="U24" s="1419" t="s">
        <v>29</v>
      </c>
      <c r="V24" s="1420"/>
      <c r="W24" s="1420"/>
      <c r="X24" s="1420"/>
      <c r="Y24" s="1420"/>
      <c r="Z24" s="1421"/>
      <c r="AA24" s="1468">
        <f>SUM(AA14:AA23)</f>
        <v>0</v>
      </c>
      <c r="AB24" s="1469"/>
      <c r="AC24" s="1470">
        <f>ROUND(AA24,0)</f>
        <v>0</v>
      </c>
      <c r="AD24" s="1471"/>
      <c r="AM24" s="380"/>
      <c r="AN24" s="380"/>
      <c r="AO24" s="380">
        <v>22</v>
      </c>
      <c r="AP24" s="260" t="str">
        <f t="shared" si="51"/>
        <v/>
      </c>
      <c r="AQ24" s="260" t="str">
        <f t="shared" si="52"/>
        <v/>
      </c>
      <c r="AR24" s="260" t="str">
        <f t="shared" si="53"/>
        <v/>
      </c>
      <c r="AS24" s="260" t="str">
        <f t="shared" si="54"/>
        <v/>
      </c>
      <c r="AT24" s="260" t="str">
        <f t="shared" si="55"/>
        <v/>
      </c>
      <c r="AU24" s="260" t="str">
        <f t="shared" si="56"/>
        <v/>
      </c>
      <c r="AV24" s="260" t="str">
        <f t="shared" si="57"/>
        <v/>
      </c>
      <c r="AW24" s="260" t="str">
        <f t="shared" si="58"/>
        <v/>
      </c>
      <c r="AX24" s="260" t="str">
        <f t="shared" si="59"/>
        <v/>
      </c>
      <c r="AY24" s="260" t="str">
        <f t="shared" si="60"/>
        <v/>
      </c>
      <c r="AZ24" s="260" t="str">
        <f t="shared" si="61"/>
        <v/>
      </c>
      <c r="BA24" s="260" t="str">
        <f t="shared" si="62"/>
        <v/>
      </c>
      <c r="BB24" s="380"/>
      <c r="BC24" s="380"/>
      <c r="BD24" s="380">
        <v>22</v>
      </c>
      <c r="BE24" s="260" t="str">
        <f t="shared" si="63"/>
        <v/>
      </c>
      <c r="BF24" s="260" t="str">
        <f t="shared" si="64"/>
        <v/>
      </c>
      <c r="BG24" s="260" t="str">
        <f t="shared" si="65"/>
        <v/>
      </c>
      <c r="BH24" s="260" t="str">
        <f t="shared" si="66"/>
        <v/>
      </c>
      <c r="BI24" s="260" t="str">
        <f t="shared" si="67"/>
        <v/>
      </c>
      <c r="BJ24" s="260" t="str">
        <f t="shared" si="68"/>
        <v/>
      </c>
      <c r="BK24" s="260" t="str">
        <f t="shared" si="69"/>
        <v/>
      </c>
      <c r="BL24" s="260" t="str">
        <f t="shared" si="70"/>
        <v/>
      </c>
      <c r="BM24" s="260" t="str">
        <f t="shared" si="71"/>
        <v/>
      </c>
      <c r="BN24" s="260" t="str">
        <f t="shared" si="72"/>
        <v/>
      </c>
      <c r="BO24" s="260" t="str">
        <f t="shared" si="73"/>
        <v/>
      </c>
      <c r="BP24" s="260" t="str">
        <f t="shared" si="74"/>
        <v/>
      </c>
      <c r="BQ24" s="380"/>
      <c r="BR24" s="380"/>
      <c r="BS24" s="380"/>
      <c r="BT24" s="380"/>
    </row>
    <row r="25" spans="1:72" ht="22.5" customHeight="1" x14ac:dyDescent="0.45">
      <c r="A25" s="399"/>
      <c r="B25" s="376">
        <v>17</v>
      </c>
      <c r="C25" s="310">
        <v>43938</v>
      </c>
      <c r="D25" s="229" t="str">
        <f>IFERROR(VLOOKUP(C25,'बँक जमा खर्च पासबुक'!$C$9:$R$111,2,0),"")</f>
        <v/>
      </c>
      <c r="E25" s="229" t="str">
        <f>IFERROR(VLOOKUP(C25,'बँक जमा खर्च पासबुक'!$C$9:$R$111,3,0),"")</f>
        <v/>
      </c>
      <c r="F25" s="229" t="str">
        <f>IFERROR(VLOOKUP(C25,'बँक जमा खर्च पासबुक'!$C$9:$R$111,4,0),"")</f>
        <v/>
      </c>
      <c r="G25" s="229" t="str">
        <f>IFERROR(VLOOKUP(C25,'बँक जमा खर्च पासबुक'!$C$9:$R$111,5,0),"")</f>
        <v/>
      </c>
      <c r="H25" s="229" t="str">
        <f>IFERROR(VLOOKUP(C25,'बँक जमा खर्च पासबुक'!$C$9:$R$111,6,0),"")</f>
        <v/>
      </c>
      <c r="I25" s="229" t="str">
        <f>IFERROR(VLOOKUP(C25,'बँक जमा खर्च पासबुक'!$C$9:$R$111,7,0),"")</f>
        <v/>
      </c>
      <c r="J25" s="233">
        <f>SUMIF('बँक जमा खर्च पासबुक'!$C$9:$C$111,'बँक खर्च व्हाउचर पावती'!C25,'बँक जमा खर्च पासबुक'!$J$9:$J$111)</f>
        <v>0</v>
      </c>
      <c r="K25" s="233">
        <f>SUMIF('बँक जमा खर्च पासबुक'!$C$9:$C$111,'बँक खर्च व्हाउचर पावती'!C25,'बँक जमा खर्च पासबुक'!$K$9:$K$111)</f>
        <v>0</v>
      </c>
      <c r="L25" s="233">
        <f ca="1">SUMIF('बँक जमा खर्च पासबुक'!$C$9:$C$111,'बँक खर्च व्हाउचर पावती'!C25,'बँक जमा खर्च पासबुक'!$L$9:$L$110)</f>
        <v>0</v>
      </c>
      <c r="M25" s="228">
        <f>SUMIF('बँक जमा खर्च पासबुक'!$C$9:$C$111,'बँक खर्च व्हाउचर पावती'!C25,'बँक जमा खर्च पासबुक'!$M$9:$M$111)</f>
        <v>0</v>
      </c>
      <c r="N25" s="233">
        <f t="shared" ca="1" si="49"/>
        <v>3000</v>
      </c>
      <c r="O25" s="228">
        <f t="shared" si="50"/>
        <v>3000</v>
      </c>
      <c r="P25" s="228">
        <f t="shared" ca="1" si="48"/>
        <v>6000</v>
      </c>
      <c r="Q25" s="399"/>
      <c r="U25" s="818"/>
      <c r="V25" s="1472" t="s">
        <v>189</v>
      </c>
      <c r="W25" s="1472"/>
      <c r="X25" s="1473" t="str">
        <f>IFERROR(IF(AC24=0,"शून्य",IF(VALUE(RIGHT(INT(AC24/10^3),3))=0,"",INDEX(MA_Sankhya,RIGHT(INT(AC24/10^3),3))&amp;" हजार ")&amp;IF(RIGHT(AC24,2)="100","शंभर",IF(VALUE(RIGHT(INT(AC24/10^2),1))=0,"",INDEX(MA_Sankhya,RIGHT(INT(AC24/10^2),1))&amp;"शे "))&amp;IF(VALUE(RIGHT(AC24,2))=0,"",INDEX(MA_Sankhya,RIGHT(AC24,2))))," ")&amp;" रुपये"&amp;" फक्त/-"</f>
        <v>शून्य रुपये फक्त/-</v>
      </c>
      <c r="Y25" s="1473"/>
      <c r="Z25" s="1473"/>
      <c r="AA25" s="1473"/>
      <c r="AB25" s="575" t="s">
        <v>652</v>
      </c>
      <c r="AC25" s="422"/>
      <c r="AD25" s="643"/>
      <c r="AM25" s="380"/>
      <c r="AN25" s="380"/>
      <c r="AO25" s="380">
        <v>23</v>
      </c>
      <c r="AP25" s="260" t="str">
        <f t="shared" si="51"/>
        <v/>
      </c>
      <c r="AQ25" s="260" t="str">
        <f t="shared" si="52"/>
        <v/>
      </c>
      <c r="AR25" s="260" t="str">
        <f t="shared" si="53"/>
        <v/>
      </c>
      <c r="AS25" s="260" t="str">
        <f t="shared" si="54"/>
        <v/>
      </c>
      <c r="AT25" s="260" t="str">
        <f t="shared" si="55"/>
        <v/>
      </c>
      <c r="AU25" s="260" t="str">
        <f t="shared" si="56"/>
        <v/>
      </c>
      <c r="AV25" s="260" t="str">
        <f t="shared" si="57"/>
        <v/>
      </c>
      <c r="AW25" s="260" t="str">
        <f t="shared" si="58"/>
        <v/>
      </c>
      <c r="AX25" s="260" t="str">
        <f t="shared" si="59"/>
        <v/>
      </c>
      <c r="AY25" s="260" t="str">
        <f t="shared" si="60"/>
        <v/>
      </c>
      <c r="AZ25" s="260" t="str">
        <f t="shared" si="61"/>
        <v/>
      </c>
      <c r="BA25" s="260" t="str">
        <f t="shared" si="62"/>
        <v/>
      </c>
      <c r="BB25" s="380"/>
      <c r="BC25" s="380"/>
      <c r="BD25" s="380">
        <v>23</v>
      </c>
      <c r="BE25" s="260" t="str">
        <f t="shared" si="63"/>
        <v/>
      </c>
      <c r="BF25" s="260" t="str">
        <f t="shared" si="64"/>
        <v/>
      </c>
      <c r="BG25" s="260" t="str">
        <f t="shared" si="65"/>
        <v/>
      </c>
      <c r="BH25" s="260" t="str">
        <f t="shared" si="66"/>
        <v/>
      </c>
      <c r="BI25" s="260" t="str">
        <f t="shared" si="67"/>
        <v/>
      </c>
      <c r="BJ25" s="260" t="str">
        <f t="shared" si="68"/>
        <v/>
      </c>
      <c r="BK25" s="260" t="str">
        <f t="shared" si="69"/>
        <v/>
      </c>
      <c r="BL25" s="260" t="str">
        <f t="shared" si="70"/>
        <v/>
      </c>
      <c r="BM25" s="260" t="str">
        <f t="shared" si="71"/>
        <v/>
      </c>
      <c r="BN25" s="260" t="str">
        <f t="shared" si="72"/>
        <v/>
      </c>
      <c r="BO25" s="260" t="str">
        <f t="shared" si="73"/>
        <v/>
      </c>
      <c r="BP25" s="260" t="str">
        <f t="shared" si="74"/>
        <v/>
      </c>
      <c r="BQ25" s="380"/>
      <c r="BR25" s="380"/>
      <c r="BS25" s="380"/>
      <c r="BT25" s="380"/>
    </row>
    <row r="26" spans="1:72" ht="22.5" customHeight="1" x14ac:dyDescent="0.45">
      <c r="A26" s="399"/>
      <c r="B26" s="376">
        <v>18</v>
      </c>
      <c r="C26" s="310">
        <v>43939</v>
      </c>
      <c r="D26" s="229" t="str">
        <f>IFERROR(VLOOKUP(C26,'बँक जमा खर्च पासबुक'!$C$9:$R$111,2,0),"")</f>
        <v/>
      </c>
      <c r="E26" s="229" t="str">
        <f>IFERROR(VLOOKUP(C26,'बँक जमा खर्च पासबुक'!$C$9:$R$111,3,0),"")</f>
        <v/>
      </c>
      <c r="F26" s="229" t="str">
        <f>IFERROR(VLOOKUP(C26,'बँक जमा खर्च पासबुक'!$C$9:$R$111,4,0),"")</f>
        <v/>
      </c>
      <c r="G26" s="229" t="str">
        <f>IFERROR(VLOOKUP(C26,'बँक जमा खर्च पासबुक'!$C$9:$R$111,5,0),"")</f>
        <v/>
      </c>
      <c r="H26" s="229" t="str">
        <f>IFERROR(VLOOKUP(C26,'बँक जमा खर्च पासबुक'!$C$9:$R$111,6,0),"")</f>
        <v/>
      </c>
      <c r="I26" s="229" t="str">
        <f>IFERROR(VLOOKUP(C26,'बँक जमा खर्च पासबुक'!$C$9:$R$111,7,0),"")</f>
        <v/>
      </c>
      <c r="J26" s="233">
        <f>SUMIF('बँक जमा खर्च पासबुक'!$C$9:$C$111,'बँक खर्च व्हाउचर पावती'!C26,'बँक जमा खर्च पासबुक'!$J$9:$J$111)</f>
        <v>0</v>
      </c>
      <c r="K26" s="233">
        <f>SUMIF('बँक जमा खर्च पासबुक'!$C$9:$C$111,'बँक खर्च व्हाउचर पावती'!C26,'बँक जमा खर्च पासबुक'!$K$9:$K$111)</f>
        <v>0</v>
      </c>
      <c r="L26" s="233">
        <f ca="1">SUMIF('बँक जमा खर्च पासबुक'!$C$9:$C$111,'बँक खर्च व्हाउचर पावती'!C26,'बँक जमा खर्च पासबुक'!$L$9:$L$110)</f>
        <v>0</v>
      </c>
      <c r="M26" s="228">
        <f>SUMIF('बँक जमा खर्च पासबुक'!$C$9:$C$111,'बँक खर्च व्हाउचर पावती'!C26,'बँक जमा खर्च पासबुक'!$M$9:$M$111)</f>
        <v>0</v>
      </c>
      <c r="N26" s="233">
        <f t="shared" ca="1" si="49"/>
        <v>3000</v>
      </c>
      <c r="O26" s="228">
        <f t="shared" si="50"/>
        <v>3000</v>
      </c>
      <c r="P26" s="228">
        <f t="shared" ca="1" si="48"/>
        <v>6000</v>
      </c>
      <c r="Q26" s="399"/>
      <c r="U26" s="648"/>
      <c r="V26" s="575" t="s">
        <v>191</v>
      </c>
      <c r="W26" s="422"/>
      <c r="X26" s="422"/>
      <c r="Y26" s="422"/>
      <c r="Z26" s="395" t="s">
        <v>653</v>
      </c>
      <c r="AA26" s="1475" t="str">
        <f>IFERROR(VLOOKUP(W6,'बँक जमा खर्च पासबुक'!AR8:AY111,2,0),"")</f>
        <v/>
      </c>
      <c r="AB26" s="1475"/>
      <c r="AC26" s="1475"/>
      <c r="AD26" s="1476"/>
      <c r="AM26" s="380"/>
      <c r="AN26" s="380"/>
      <c r="AO26" s="380">
        <v>24</v>
      </c>
      <c r="AP26" s="260" t="str">
        <f t="shared" si="51"/>
        <v/>
      </c>
      <c r="AQ26" s="260" t="str">
        <f t="shared" si="52"/>
        <v/>
      </c>
      <c r="AR26" s="260" t="str">
        <f t="shared" si="53"/>
        <v/>
      </c>
      <c r="AS26" s="260" t="str">
        <f t="shared" si="54"/>
        <v/>
      </c>
      <c r="AT26" s="260" t="str">
        <f t="shared" si="55"/>
        <v/>
      </c>
      <c r="AU26" s="260" t="str">
        <f t="shared" si="56"/>
        <v/>
      </c>
      <c r="AV26" s="260" t="str">
        <f t="shared" si="57"/>
        <v/>
      </c>
      <c r="AW26" s="260" t="str">
        <f t="shared" si="58"/>
        <v/>
      </c>
      <c r="AX26" s="260" t="str">
        <f t="shared" si="59"/>
        <v/>
      </c>
      <c r="AY26" s="260" t="str">
        <f t="shared" si="60"/>
        <v/>
      </c>
      <c r="AZ26" s="260" t="str">
        <f t="shared" si="61"/>
        <v/>
      </c>
      <c r="BA26" s="260" t="str">
        <f t="shared" si="62"/>
        <v/>
      </c>
      <c r="BB26" s="380"/>
      <c r="BC26" s="380"/>
      <c r="BD26" s="380">
        <v>24</v>
      </c>
      <c r="BE26" s="260" t="str">
        <f t="shared" si="63"/>
        <v/>
      </c>
      <c r="BF26" s="260" t="str">
        <f t="shared" si="64"/>
        <v/>
      </c>
      <c r="BG26" s="260" t="str">
        <f t="shared" si="65"/>
        <v/>
      </c>
      <c r="BH26" s="260" t="str">
        <f t="shared" si="66"/>
        <v/>
      </c>
      <c r="BI26" s="260" t="str">
        <f t="shared" si="67"/>
        <v/>
      </c>
      <c r="BJ26" s="260" t="str">
        <f t="shared" si="68"/>
        <v/>
      </c>
      <c r="BK26" s="260" t="str">
        <f t="shared" si="69"/>
        <v/>
      </c>
      <c r="BL26" s="260" t="str">
        <f t="shared" si="70"/>
        <v/>
      </c>
      <c r="BM26" s="260" t="str">
        <f t="shared" si="71"/>
        <v/>
      </c>
      <c r="BN26" s="260" t="str">
        <f t="shared" si="72"/>
        <v/>
      </c>
      <c r="BO26" s="260" t="str">
        <f t="shared" si="73"/>
        <v/>
      </c>
      <c r="BP26" s="260" t="str">
        <f t="shared" si="74"/>
        <v/>
      </c>
      <c r="BQ26" s="380"/>
      <c r="BR26" s="380"/>
      <c r="BS26" s="380"/>
      <c r="BT26" s="380"/>
    </row>
    <row r="27" spans="1:72" ht="22.5" customHeight="1" x14ac:dyDescent="0.45">
      <c r="A27" s="399"/>
      <c r="B27" s="376">
        <v>19</v>
      </c>
      <c r="C27" s="310">
        <v>43940</v>
      </c>
      <c r="D27" s="229" t="str">
        <f>IFERROR(VLOOKUP(C27,'बँक जमा खर्च पासबुक'!$C$9:$R$111,2,0),"")</f>
        <v/>
      </c>
      <c r="E27" s="229" t="str">
        <f>IFERROR(VLOOKUP(C27,'बँक जमा खर्च पासबुक'!$C$9:$R$111,3,0),"")</f>
        <v/>
      </c>
      <c r="F27" s="229" t="str">
        <f>IFERROR(VLOOKUP(C27,'बँक जमा खर्च पासबुक'!$C$9:$R$111,4,0),"")</f>
        <v/>
      </c>
      <c r="G27" s="229" t="str">
        <f>IFERROR(VLOOKUP(C27,'बँक जमा खर्च पासबुक'!$C$9:$R$111,5,0),"")</f>
        <v/>
      </c>
      <c r="H27" s="229" t="str">
        <f>IFERROR(VLOOKUP(C27,'बँक जमा खर्च पासबुक'!$C$9:$R$111,6,0),"")</f>
        <v/>
      </c>
      <c r="I27" s="229" t="str">
        <f>IFERROR(VLOOKUP(C27,'बँक जमा खर्च पासबुक'!$C$9:$R$111,7,0),"")</f>
        <v/>
      </c>
      <c r="J27" s="233">
        <f>SUMIF('बँक जमा खर्च पासबुक'!$C$9:$C$111,'बँक खर्च व्हाउचर पावती'!C27,'बँक जमा खर्च पासबुक'!$J$9:$J$111)</f>
        <v>0</v>
      </c>
      <c r="K27" s="233">
        <f>SUMIF('बँक जमा खर्च पासबुक'!$C$9:$C$111,'बँक खर्च व्हाउचर पावती'!C27,'बँक जमा खर्च पासबुक'!$K$9:$K$111)</f>
        <v>0</v>
      </c>
      <c r="L27" s="233">
        <f ca="1">SUMIF('बँक जमा खर्च पासबुक'!$C$9:$C$111,'बँक खर्च व्हाउचर पावती'!C27,'बँक जमा खर्च पासबुक'!$L$9:$L$110)</f>
        <v>0</v>
      </c>
      <c r="M27" s="228">
        <f>SUMIF('बँक जमा खर्च पासबुक'!$C$9:$C$111,'बँक खर्च व्हाउचर पावती'!C27,'बँक जमा खर्च पासबुक'!$M$9:$M$111)</f>
        <v>0</v>
      </c>
      <c r="N27" s="233">
        <f t="shared" ca="1" si="49"/>
        <v>3000</v>
      </c>
      <c r="O27" s="228">
        <f t="shared" si="50"/>
        <v>3000</v>
      </c>
      <c r="P27" s="228">
        <f t="shared" ca="1" si="48"/>
        <v>6000</v>
      </c>
      <c r="Q27" s="399"/>
      <c r="U27" s="648"/>
      <c r="V27" s="422"/>
      <c r="W27" s="422"/>
      <c r="X27" s="422"/>
      <c r="Y27" s="422"/>
      <c r="Z27" s="422"/>
      <c r="AA27" s="422"/>
      <c r="AB27" s="422"/>
      <c r="AC27" s="422"/>
      <c r="AD27" s="643"/>
      <c r="AM27" s="380"/>
      <c r="AN27" s="380"/>
      <c r="AO27" s="380">
        <v>25</v>
      </c>
      <c r="AP27" s="260" t="str">
        <f t="shared" si="51"/>
        <v/>
      </c>
      <c r="AQ27" s="260" t="str">
        <f t="shared" si="52"/>
        <v/>
      </c>
      <c r="AR27" s="260" t="str">
        <f t="shared" si="53"/>
        <v/>
      </c>
      <c r="AS27" s="260" t="str">
        <f t="shared" si="54"/>
        <v/>
      </c>
      <c r="AT27" s="260" t="str">
        <f t="shared" si="55"/>
        <v/>
      </c>
      <c r="AU27" s="260" t="str">
        <f t="shared" si="56"/>
        <v/>
      </c>
      <c r="AV27" s="260" t="str">
        <f t="shared" si="57"/>
        <v/>
      </c>
      <c r="AW27" s="260" t="str">
        <f t="shared" si="58"/>
        <v/>
      </c>
      <c r="AX27" s="260" t="str">
        <f t="shared" si="59"/>
        <v/>
      </c>
      <c r="AY27" s="260" t="str">
        <f t="shared" si="60"/>
        <v/>
      </c>
      <c r="AZ27" s="260" t="str">
        <f t="shared" si="61"/>
        <v/>
      </c>
      <c r="BA27" s="260" t="str">
        <f t="shared" si="62"/>
        <v/>
      </c>
      <c r="BB27" s="380"/>
      <c r="BC27" s="380"/>
      <c r="BD27" s="380">
        <v>25</v>
      </c>
      <c r="BE27" s="260" t="str">
        <f t="shared" si="63"/>
        <v/>
      </c>
      <c r="BF27" s="260" t="str">
        <f t="shared" si="64"/>
        <v/>
      </c>
      <c r="BG27" s="260" t="str">
        <f t="shared" si="65"/>
        <v/>
      </c>
      <c r="BH27" s="260" t="str">
        <f t="shared" si="66"/>
        <v/>
      </c>
      <c r="BI27" s="260" t="str">
        <f t="shared" si="67"/>
        <v/>
      </c>
      <c r="BJ27" s="260" t="str">
        <f t="shared" si="68"/>
        <v/>
      </c>
      <c r="BK27" s="260" t="str">
        <f t="shared" si="69"/>
        <v/>
      </c>
      <c r="BL27" s="260" t="str">
        <f t="shared" si="70"/>
        <v/>
      </c>
      <c r="BM27" s="260" t="str">
        <f t="shared" si="71"/>
        <v/>
      </c>
      <c r="BN27" s="260" t="str">
        <f t="shared" si="72"/>
        <v/>
      </c>
      <c r="BO27" s="260" t="str">
        <f t="shared" si="73"/>
        <v/>
      </c>
      <c r="BP27" s="260" t="str">
        <f t="shared" si="74"/>
        <v/>
      </c>
      <c r="BQ27" s="380"/>
      <c r="BR27" s="380"/>
      <c r="BS27" s="380"/>
      <c r="BT27" s="380"/>
    </row>
    <row r="28" spans="1:72" ht="22.5" customHeight="1" x14ac:dyDescent="0.45">
      <c r="A28" s="399"/>
      <c r="B28" s="376">
        <v>20</v>
      </c>
      <c r="C28" s="310">
        <v>43941</v>
      </c>
      <c r="D28" s="229" t="str">
        <f>IFERROR(VLOOKUP(C28,'बँक जमा खर्च पासबुक'!$C$9:$R$111,2,0),"")</f>
        <v/>
      </c>
      <c r="E28" s="229" t="str">
        <f>IFERROR(VLOOKUP(C28,'बँक जमा खर्च पासबुक'!$C$9:$R$111,3,0),"")</f>
        <v/>
      </c>
      <c r="F28" s="229" t="str">
        <f>IFERROR(VLOOKUP(C28,'बँक जमा खर्च पासबुक'!$C$9:$R$111,4,0),"")</f>
        <v/>
      </c>
      <c r="G28" s="229" t="str">
        <f>IFERROR(VLOOKUP(C28,'बँक जमा खर्च पासबुक'!$C$9:$R$111,5,0),"")</f>
        <v/>
      </c>
      <c r="H28" s="229" t="str">
        <f>IFERROR(VLOOKUP(C28,'बँक जमा खर्च पासबुक'!$C$9:$R$111,6,0),"")</f>
        <v/>
      </c>
      <c r="I28" s="229" t="str">
        <f>IFERROR(VLOOKUP(C28,'बँक जमा खर्च पासबुक'!$C$9:$R$111,7,0),"")</f>
        <v/>
      </c>
      <c r="J28" s="233">
        <f>SUMIF('बँक जमा खर्च पासबुक'!$C$9:$C$111,'बँक खर्च व्हाउचर पावती'!C28,'बँक जमा खर्च पासबुक'!$J$9:$J$111)</f>
        <v>0</v>
      </c>
      <c r="K28" s="233">
        <f>SUMIF('बँक जमा खर्च पासबुक'!$C$9:$C$111,'बँक खर्च व्हाउचर पावती'!C28,'बँक जमा खर्च पासबुक'!$K$9:$K$111)</f>
        <v>0</v>
      </c>
      <c r="L28" s="233">
        <f ca="1">SUMIF('बँक जमा खर्च पासबुक'!$C$9:$C$111,'बँक खर्च व्हाउचर पावती'!C28,'बँक जमा खर्च पासबुक'!$L$9:$L$110)</f>
        <v>0</v>
      </c>
      <c r="M28" s="228">
        <f>SUMIF('बँक जमा खर्च पासबुक'!$C$9:$C$111,'बँक खर्च व्हाउचर पावती'!C28,'बँक जमा खर्च पासबुक'!$M$9:$M$111)</f>
        <v>0</v>
      </c>
      <c r="N28" s="233">
        <f t="shared" ca="1" si="49"/>
        <v>3000</v>
      </c>
      <c r="O28" s="228">
        <f t="shared" si="50"/>
        <v>3000</v>
      </c>
      <c r="P28" s="228">
        <f t="shared" ca="1" si="48"/>
        <v>6000</v>
      </c>
      <c r="Q28" s="399"/>
      <c r="U28" s="648"/>
      <c r="V28" s="1474" t="s">
        <v>192</v>
      </c>
      <c r="W28" s="1474"/>
      <c r="X28" s="1474"/>
      <c r="Y28" s="1474"/>
      <c r="Z28" s="422"/>
      <c r="AA28" s="422"/>
      <c r="AB28" s="422"/>
      <c r="AC28" s="422"/>
      <c r="AD28" s="643"/>
      <c r="AM28" s="380"/>
      <c r="AN28" s="380"/>
      <c r="AO28" s="380">
        <v>26</v>
      </c>
      <c r="AP28" s="260" t="str">
        <f t="shared" si="51"/>
        <v/>
      </c>
      <c r="AQ28" s="260" t="str">
        <f t="shared" si="52"/>
        <v/>
      </c>
      <c r="AR28" s="260" t="str">
        <f t="shared" si="53"/>
        <v/>
      </c>
      <c r="AS28" s="260" t="str">
        <f t="shared" si="54"/>
        <v/>
      </c>
      <c r="AT28" s="260" t="str">
        <f t="shared" si="55"/>
        <v/>
      </c>
      <c r="AU28" s="260" t="str">
        <f t="shared" si="56"/>
        <v/>
      </c>
      <c r="AV28" s="260" t="str">
        <f t="shared" si="57"/>
        <v/>
      </c>
      <c r="AW28" s="260" t="str">
        <f t="shared" si="58"/>
        <v/>
      </c>
      <c r="AX28" s="260" t="str">
        <f t="shared" si="59"/>
        <v/>
      </c>
      <c r="AY28" s="260" t="str">
        <f t="shared" si="60"/>
        <v/>
      </c>
      <c r="AZ28" s="260" t="str">
        <f t="shared" si="61"/>
        <v/>
      </c>
      <c r="BA28" s="260" t="str">
        <f t="shared" si="62"/>
        <v/>
      </c>
      <c r="BB28" s="380"/>
      <c r="BC28" s="380"/>
      <c r="BD28" s="380">
        <v>26</v>
      </c>
      <c r="BE28" s="260" t="str">
        <f t="shared" si="63"/>
        <v/>
      </c>
      <c r="BF28" s="260" t="str">
        <f t="shared" si="64"/>
        <v/>
      </c>
      <c r="BG28" s="260" t="str">
        <f t="shared" si="65"/>
        <v/>
      </c>
      <c r="BH28" s="260" t="str">
        <f t="shared" si="66"/>
        <v/>
      </c>
      <c r="BI28" s="260" t="str">
        <f t="shared" si="67"/>
        <v/>
      </c>
      <c r="BJ28" s="260" t="str">
        <f t="shared" si="68"/>
        <v/>
      </c>
      <c r="BK28" s="260" t="str">
        <f t="shared" si="69"/>
        <v/>
      </c>
      <c r="BL28" s="260" t="str">
        <f t="shared" si="70"/>
        <v/>
      </c>
      <c r="BM28" s="260" t="str">
        <f t="shared" si="71"/>
        <v/>
      </c>
      <c r="BN28" s="260" t="str">
        <f t="shared" si="72"/>
        <v/>
      </c>
      <c r="BO28" s="260" t="str">
        <f t="shared" si="73"/>
        <v/>
      </c>
      <c r="BP28" s="260" t="str">
        <f t="shared" si="74"/>
        <v/>
      </c>
      <c r="BQ28" s="380"/>
      <c r="BR28" s="380"/>
      <c r="BS28" s="380"/>
      <c r="BT28" s="380"/>
    </row>
    <row r="29" spans="1:72" ht="22.5" customHeight="1" x14ac:dyDescent="0.45">
      <c r="A29" s="399"/>
      <c r="B29" s="376">
        <v>21</v>
      </c>
      <c r="C29" s="310">
        <v>43942</v>
      </c>
      <c r="D29" s="229" t="str">
        <f>IFERROR(VLOOKUP(C29,'बँक जमा खर्च पासबुक'!$C$9:$R$111,2,0),"")</f>
        <v/>
      </c>
      <c r="E29" s="229" t="str">
        <f>IFERROR(VLOOKUP(C29,'बँक जमा खर्च पासबुक'!$C$9:$R$111,3,0),"")</f>
        <v/>
      </c>
      <c r="F29" s="229" t="str">
        <f>IFERROR(VLOOKUP(C29,'बँक जमा खर्च पासबुक'!$C$9:$R$111,4,0),"")</f>
        <v/>
      </c>
      <c r="G29" s="229" t="str">
        <f>IFERROR(VLOOKUP(C29,'बँक जमा खर्च पासबुक'!$C$9:$R$111,5,0),"")</f>
        <v/>
      </c>
      <c r="H29" s="229" t="str">
        <f>IFERROR(VLOOKUP(C29,'बँक जमा खर्च पासबुक'!$C$9:$R$111,6,0),"")</f>
        <v/>
      </c>
      <c r="I29" s="229" t="str">
        <f>IFERROR(VLOOKUP(C29,'बँक जमा खर्च पासबुक'!$C$9:$R$111,7,0),"")</f>
        <v/>
      </c>
      <c r="J29" s="233">
        <f>SUMIF('बँक जमा खर्च पासबुक'!$C$9:$C$111,'बँक खर्च व्हाउचर पावती'!C29,'बँक जमा खर्च पासबुक'!$J$9:$J$111)</f>
        <v>0</v>
      </c>
      <c r="K29" s="233">
        <f>SUMIF('बँक जमा खर्च पासबुक'!$C$9:$C$111,'बँक खर्च व्हाउचर पावती'!C29,'बँक जमा खर्च पासबुक'!$K$9:$K$111)</f>
        <v>0</v>
      </c>
      <c r="L29" s="233">
        <f ca="1">SUMIF('बँक जमा खर्च पासबुक'!$C$9:$C$111,'बँक खर्च व्हाउचर पावती'!C29,'बँक जमा खर्च पासबुक'!$L$9:$L$110)</f>
        <v>0</v>
      </c>
      <c r="M29" s="228">
        <f>SUMIF('बँक जमा खर्च पासबुक'!$C$9:$C$111,'बँक खर्च व्हाउचर पावती'!C29,'बँक जमा खर्च पासबुक'!$M$9:$M$111)</f>
        <v>0</v>
      </c>
      <c r="N29" s="233">
        <f t="shared" ca="1" si="49"/>
        <v>3000</v>
      </c>
      <c r="O29" s="228">
        <f t="shared" si="50"/>
        <v>3000</v>
      </c>
      <c r="P29" s="228">
        <f t="shared" ca="1" si="48"/>
        <v>6000</v>
      </c>
      <c r="Q29" s="399"/>
      <c r="U29" s="648"/>
      <c r="V29" s="422"/>
      <c r="W29" s="422"/>
      <c r="X29" s="422"/>
      <c r="Y29" s="422"/>
      <c r="Z29" s="422"/>
      <c r="AA29" s="422"/>
      <c r="AB29" s="422"/>
      <c r="AC29" s="422"/>
      <c r="AD29" s="643"/>
      <c r="AM29" s="380"/>
      <c r="AN29" s="380"/>
      <c r="AO29" s="380">
        <v>27</v>
      </c>
      <c r="AP29" s="260" t="str">
        <f t="shared" si="51"/>
        <v/>
      </c>
      <c r="AQ29" s="260" t="str">
        <f t="shared" si="52"/>
        <v/>
      </c>
      <c r="AR29" s="260" t="str">
        <f t="shared" si="53"/>
        <v/>
      </c>
      <c r="AS29" s="260" t="str">
        <f t="shared" si="54"/>
        <v/>
      </c>
      <c r="AT29" s="260" t="str">
        <f t="shared" si="55"/>
        <v/>
      </c>
      <c r="AU29" s="260" t="str">
        <f t="shared" si="56"/>
        <v/>
      </c>
      <c r="AV29" s="260" t="str">
        <f t="shared" si="57"/>
        <v/>
      </c>
      <c r="AW29" s="260" t="str">
        <f t="shared" si="58"/>
        <v/>
      </c>
      <c r="AX29" s="260" t="str">
        <f t="shared" si="59"/>
        <v/>
      </c>
      <c r="AY29" s="260" t="str">
        <f t="shared" si="60"/>
        <v/>
      </c>
      <c r="AZ29" s="260" t="str">
        <f t="shared" si="61"/>
        <v/>
      </c>
      <c r="BA29" s="260" t="str">
        <f t="shared" si="62"/>
        <v/>
      </c>
      <c r="BB29" s="380"/>
      <c r="BC29" s="380"/>
      <c r="BD29" s="380">
        <v>27</v>
      </c>
      <c r="BE29" s="260" t="str">
        <f t="shared" si="63"/>
        <v/>
      </c>
      <c r="BF29" s="260" t="str">
        <f t="shared" si="64"/>
        <v/>
      </c>
      <c r="BG29" s="260" t="str">
        <f t="shared" si="65"/>
        <v/>
      </c>
      <c r="BH29" s="260" t="str">
        <f t="shared" si="66"/>
        <v/>
      </c>
      <c r="BI29" s="260" t="str">
        <f t="shared" si="67"/>
        <v/>
      </c>
      <c r="BJ29" s="260" t="str">
        <f t="shared" si="68"/>
        <v/>
      </c>
      <c r="BK29" s="260" t="str">
        <f t="shared" si="69"/>
        <v/>
      </c>
      <c r="BL29" s="260" t="str">
        <f t="shared" si="70"/>
        <v/>
      </c>
      <c r="BM29" s="260" t="str">
        <f t="shared" si="71"/>
        <v/>
      </c>
      <c r="BN29" s="260" t="str">
        <f t="shared" si="72"/>
        <v/>
      </c>
      <c r="BO29" s="260" t="str">
        <f t="shared" si="73"/>
        <v/>
      </c>
      <c r="BP29" s="260" t="str">
        <f t="shared" si="74"/>
        <v/>
      </c>
      <c r="BQ29" s="380"/>
      <c r="BR29" s="380"/>
      <c r="BS29" s="380"/>
      <c r="BT29" s="380"/>
    </row>
    <row r="30" spans="1:72" ht="22.5" customHeight="1" x14ac:dyDescent="0.45">
      <c r="A30" s="399"/>
      <c r="B30" s="376">
        <v>22</v>
      </c>
      <c r="C30" s="310">
        <v>43943</v>
      </c>
      <c r="D30" s="229" t="str">
        <f>IFERROR(VLOOKUP(C30,'बँक जमा खर्च पासबुक'!$C$9:$R$111,2,0),"")</f>
        <v/>
      </c>
      <c r="E30" s="229" t="str">
        <f>IFERROR(VLOOKUP(C30,'बँक जमा खर्च पासबुक'!$C$9:$R$111,3,0),"")</f>
        <v/>
      </c>
      <c r="F30" s="229" t="str">
        <f>IFERROR(VLOOKUP(C30,'बँक जमा खर्च पासबुक'!$C$9:$R$111,4,0),"")</f>
        <v/>
      </c>
      <c r="G30" s="229" t="str">
        <f>IFERROR(VLOOKUP(C30,'बँक जमा खर्च पासबुक'!$C$9:$R$111,5,0),"")</f>
        <v/>
      </c>
      <c r="H30" s="229" t="str">
        <f>IFERROR(VLOOKUP(C30,'बँक जमा खर्च पासबुक'!$C$9:$R$111,6,0),"")</f>
        <v/>
      </c>
      <c r="I30" s="229" t="str">
        <f>IFERROR(VLOOKUP(C30,'बँक जमा खर्च पासबुक'!$C$9:$R$111,7,0),"")</f>
        <v/>
      </c>
      <c r="J30" s="233">
        <f>SUMIF('बँक जमा खर्च पासबुक'!$C$9:$C$111,'बँक खर्च व्हाउचर पावती'!C30,'बँक जमा खर्च पासबुक'!$J$9:$J$111)</f>
        <v>0</v>
      </c>
      <c r="K30" s="233">
        <f>SUMIF('बँक जमा खर्च पासबुक'!$C$9:$C$111,'बँक खर्च व्हाउचर पावती'!C30,'बँक जमा खर्च पासबुक'!$K$9:$K$111)</f>
        <v>0</v>
      </c>
      <c r="L30" s="233">
        <f ca="1">SUMIF('बँक जमा खर्च पासबुक'!$C$9:$C$111,'बँक खर्च व्हाउचर पावती'!C30,'बँक जमा खर्च पासबुक'!$L$9:$L$110)</f>
        <v>0</v>
      </c>
      <c r="M30" s="228">
        <f>SUMIF('बँक जमा खर्च पासबुक'!$C$9:$C$111,'बँक खर्च व्हाउचर पावती'!C30,'बँक जमा खर्च पासबुक'!$M$9:$M$111)</f>
        <v>0</v>
      </c>
      <c r="N30" s="233">
        <f t="shared" ca="1" si="49"/>
        <v>3000</v>
      </c>
      <c r="O30" s="228">
        <f t="shared" si="50"/>
        <v>3000</v>
      </c>
      <c r="P30" s="228">
        <f t="shared" ca="1" si="48"/>
        <v>6000</v>
      </c>
      <c r="Q30" s="399"/>
      <c r="U30" s="648"/>
      <c r="V30" s="470" t="s">
        <v>193</v>
      </c>
      <c r="W30" s="470"/>
      <c r="X30" s="470"/>
      <c r="Y30" s="1464" t="s">
        <v>194</v>
      </c>
      <c r="Z30" s="1464"/>
      <c r="AA30" s="1464" t="s">
        <v>651</v>
      </c>
      <c r="AB30" s="1464"/>
      <c r="AC30" s="1464"/>
      <c r="AD30" s="1465"/>
      <c r="AM30" s="380"/>
      <c r="AN30" s="380"/>
      <c r="AO30" s="380">
        <v>28</v>
      </c>
      <c r="AP30" s="260" t="str">
        <f t="shared" si="51"/>
        <v/>
      </c>
      <c r="AQ30" s="260" t="str">
        <f t="shared" si="52"/>
        <v/>
      </c>
      <c r="AR30" s="260" t="str">
        <f t="shared" si="53"/>
        <v/>
      </c>
      <c r="AS30" s="260" t="str">
        <f t="shared" si="54"/>
        <v/>
      </c>
      <c r="AT30" s="260" t="str">
        <f t="shared" si="55"/>
        <v/>
      </c>
      <c r="AU30" s="260" t="str">
        <f t="shared" si="56"/>
        <v/>
      </c>
      <c r="AV30" s="260" t="str">
        <f t="shared" si="57"/>
        <v/>
      </c>
      <c r="AW30" s="260" t="str">
        <f t="shared" si="58"/>
        <v/>
      </c>
      <c r="AX30" s="260" t="str">
        <f t="shared" si="59"/>
        <v/>
      </c>
      <c r="AY30" s="260" t="str">
        <f t="shared" si="60"/>
        <v/>
      </c>
      <c r="AZ30" s="260" t="str">
        <f t="shared" si="61"/>
        <v/>
      </c>
      <c r="BA30" s="260" t="str">
        <f t="shared" si="62"/>
        <v/>
      </c>
      <c r="BB30" s="380"/>
      <c r="BC30" s="380"/>
      <c r="BD30" s="380">
        <v>28</v>
      </c>
      <c r="BE30" s="260" t="str">
        <f t="shared" si="63"/>
        <v/>
      </c>
      <c r="BF30" s="260" t="str">
        <f t="shared" si="64"/>
        <v/>
      </c>
      <c r="BG30" s="260" t="str">
        <f t="shared" si="65"/>
        <v/>
      </c>
      <c r="BH30" s="260" t="str">
        <f t="shared" si="66"/>
        <v/>
      </c>
      <c r="BI30" s="260" t="str">
        <f t="shared" si="67"/>
        <v/>
      </c>
      <c r="BJ30" s="260" t="str">
        <f t="shared" si="68"/>
        <v/>
      </c>
      <c r="BK30" s="260" t="str">
        <f t="shared" si="69"/>
        <v/>
      </c>
      <c r="BL30" s="260" t="str">
        <f t="shared" si="70"/>
        <v/>
      </c>
      <c r="BM30" s="260" t="str">
        <f t="shared" si="71"/>
        <v/>
      </c>
      <c r="BN30" s="260" t="str">
        <f t="shared" si="72"/>
        <v/>
      </c>
      <c r="BO30" s="260" t="str">
        <f t="shared" si="73"/>
        <v/>
      </c>
      <c r="BP30" s="260" t="str">
        <f t="shared" si="74"/>
        <v/>
      </c>
      <c r="BQ30" s="380"/>
      <c r="BR30" s="380"/>
      <c r="BS30" s="380"/>
      <c r="BT30" s="380"/>
    </row>
    <row r="31" spans="1:72" ht="22.5" customHeight="1" x14ac:dyDescent="0.45">
      <c r="A31" s="399"/>
      <c r="B31" s="376">
        <v>23</v>
      </c>
      <c r="C31" s="310">
        <v>43944</v>
      </c>
      <c r="D31" s="229" t="str">
        <f>IFERROR(VLOOKUP(C31,'बँक जमा खर्च पासबुक'!$C$9:$R$111,2,0),"")</f>
        <v/>
      </c>
      <c r="E31" s="229" t="str">
        <f>IFERROR(VLOOKUP(C31,'बँक जमा खर्च पासबुक'!$C$9:$R$111,3,0),"")</f>
        <v/>
      </c>
      <c r="F31" s="229" t="str">
        <f>IFERROR(VLOOKUP(C31,'बँक जमा खर्च पासबुक'!$C$9:$R$111,4,0),"")</f>
        <v/>
      </c>
      <c r="G31" s="229" t="str">
        <f>IFERROR(VLOOKUP(C31,'बँक जमा खर्च पासबुक'!$C$9:$R$111,5,0),"")</f>
        <v/>
      </c>
      <c r="H31" s="229" t="str">
        <f>IFERROR(VLOOKUP(C31,'बँक जमा खर्च पासबुक'!$C$9:$R$111,6,0),"")</f>
        <v/>
      </c>
      <c r="I31" s="229" t="str">
        <f>IFERROR(VLOOKUP(C31,'बँक जमा खर्च पासबुक'!$C$9:$R$111,7,0),"")</f>
        <v/>
      </c>
      <c r="J31" s="233">
        <f>SUMIF('बँक जमा खर्च पासबुक'!$C$9:$C$111,'बँक खर्च व्हाउचर पावती'!C31,'बँक जमा खर्च पासबुक'!$J$9:$J$111)</f>
        <v>0</v>
      </c>
      <c r="K31" s="233">
        <f>SUMIF('बँक जमा खर्च पासबुक'!$C$9:$C$111,'बँक खर्च व्हाउचर पावती'!C31,'बँक जमा खर्च पासबुक'!$K$9:$K$111)</f>
        <v>0</v>
      </c>
      <c r="L31" s="233">
        <f ca="1">SUMIF('बँक जमा खर्च पासबुक'!$C$9:$C$111,'बँक खर्च व्हाउचर पावती'!C31,'बँक जमा खर्च पासबुक'!$L$9:$L$110)</f>
        <v>0</v>
      </c>
      <c r="M31" s="228">
        <f>SUMIF('बँक जमा खर्च पासबुक'!$C$9:$C$111,'बँक खर्च व्हाउचर पावती'!C31,'बँक जमा खर्च पासबुक'!$M$9:$M$111)</f>
        <v>0</v>
      </c>
      <c r="N31" s="233">
        <f t="shared" ca="1" si="49"/>
        <v>3000</v>
      </c>
      <c r="O31" s="228">
        <f t="shared" si="50"/>
        <v>3000</v>
      </c>
      <c r="P31" s="228">
        <f t="shared" ca="1" si="48"/>
        <v>6000</v>
      </c>
      <c r="Q31" s="399"/>
      <c r="U31" s="648"/>
      <c r="V31" s="1417" t="s">
        <v>196</v>
      </c>
      <c r="W31" s="1417"/>
      <c r="X31" s="1417"/>
      <c r="Y31" s="1417"/>
      <c r="Z31" s="1417"/>
      <c r="AA31" s="1466" t="str">
        <f>IFERROR(VLOOKUP(W6,'बँक जमा खर्च पासबुक'!AR8:AY111,3,0),"")</f>
        <v/>
      </c>
      <c r="AB31" s="1466"/>
      <c r="AC31" s="1466"/>
      <c r="AD31" s="1467"/>
      <c r="AM31" s="380"/>
      <c r="AN31" s="380"/>
      <c r="AO31" s="380">
        <v>29</v>
      </c>
      <c r="AP31" s="260" t="str">
        <f t="shared" si="51"/>
        <v/>
      </c>
      <c r="AQ31" s="260" t="str">
        <f t="shared" si="52"/>
        <v/>
      </c>
      <c r="AR31" s="260" t="str">
        <f t="shared" si="53"/>
        <v/>
      </c>
      <c r="AS31" s="260" t="str">
        <f t="shared" si="54"/>
        <v/>
      </c>
      <c r="AT31" s="260" t="str">
        <f t="shared" si="55"/>
        <v/>
      </c>
      <c r="AU31" s="260" t="str">
        <f t="shared" si="56"/>
        <v/>
      </c>
      <c r="AV31" s="260" t="str">
        <f t="shared" si="57"/>
        <v/>
      </c>
      <c r="AW31" s="260" t="str">
        <f t="shared" si="58"/>
        <v/>
      </c>
      <c r="AX31" s="260" t="str">
        <f t="shared" si="59"/>
        <v/>
      </c>
      <c r="AY31" s="260" t="str">
        <f t="shared" si="60"/>
        <v/>
      </c>
      <c r="AZ31" s="260">
        <f t="shared" si="61"/>
        <v>0</v>
      </c>
      <c r="BA31" s="260" t="str">
        <f t="shared" si="62"/>
        <v/>
      </c>
      <c r="BB31" s="380"/>
      <c r="BC31" s="380"/>
      <c r="BD31" s="380">
        <v>29</v>
      </c>
      <c r="BE31" s="260" t="str">
        <f t="shared" si="63"/>
        <v/>
      </c>
      <c r="BF31" s="260" t="str">
        <f t="shared" si="64"/>
        <v/>
      </c>
      <c r="BG31" s="260" t="str">
        <f t="shared" si="65"/>
        <v/>
      </c>
      <c r="BH31" s="260" t="str">
        <f t="shared" si="66"/>
        <v/>
      </c>
      <c r="BI31" s="260" t="str">
        <f t="shared" si="67"/>
        <v/>
      </c>
      <c r="BJ31" s="260" t="str">
        <f t="shared" si="68"/>
        <v/>
      </c>
      <c r="BK31" s="260" t="str">
        <f t="shared" si="69"/>
        <v/>
      </c>
      <c r="BL31" s="260" t="str">
        <f t="shared" si="70"/>
        <v/>
      </c>
      <c r="BM31" s="260" t="str">
        <f t="shared" si="71"/>
        <v/>
      </c>
      <c r="BN31" s="260" t="str">
        <f t="shared" si="72"/>
        <v/>
      </c>
      <c r="BO31" s="260" t="str">
        <f t="shared" si="73"/>
        <v/>
      </c>
      <c r="BP31" s="260" t="str">
        <f t="shared" si="74"/>
        <v/>
      </c>
      <c r="BQ31" s="380"/>
      <c r="BR31" s="380"/>
      <c r="BS31" s="380"/>
      <c r="BT31" s="380"/>
    </row>
    <row r="32" spans="1:72" ht="22.5" customHeight="1" thickBot="1" x14ac:dyDescent="0.5">
      <c r="A32" s="399"/>
      <c r="B32" s="376">
        <v>24</v>
      </c>
      <c r="C32" s="310">
        <v>43945</v>
      </c>
      <c r="D32" s="229" t="str">
        <f>IFERROR(VLOOKUP(C32,'बँक जमा खर्च पासबुक'!$C$9:$R$111,2,0),"")</f>
        <v/>
      </c>
      <c r="E32" s="229" t="str">
        <f>IFERROR(VLOOKUP(C32,'बँक जमा खर्च पासबुक'!$C$9:$R$111,3,0),"")</f>
        <v/>
      </c>
      <c r="F32" s="229" t="str">
        <f>IFERROR(VLOOKUP(C32,'बँक जमा खर्च पासबुक'!$C$9:$R$111,4,0),"")</f>
        <v/>
      </c>
      <c r="G32" s="229" t="str">
        <f>IFERROR(VLOOKUP(C32,'बँक जमा खर्च पासबुक'!$C$9:$R$111,5,0),"")</f>
        <v/>
      </c>
      <c r="H32" s="229" t="str">
        <f>IFERROR(VLOOKUP(C32,'बँक जमा खर्च पासबुक'!$C$9:$R$111,6,0),"")</f>
        <v/>
      </c>
      <c r="I32" s="229" t="str">
        <f>IFERROR(VLOOKUP(C32,'बँक जमा खर्च पासबुक'!$C$9:$R$111,7,0),"")</f>
        <v/>
      </c>
      <c r="J32" s="233">
        <f>SUMIF('बँक जमा खर्च पासबुक'!$C$9:$C$111,'बँक खर्च व्हाउचर पावती'!C32,'बँक जमा खर्च पासबुक'!$J$9:$J$111)</f>
        <v>0</v>
      </c>
      <c r="K32" s="233">
        <f>SUMIF('बँक जमा खर्च पासबुक'!$C$9:$C$111,'बँक खर्च व्हाउचर पावती'!C32,'बँक जमा खर्च पासबुक'!$K$9:$K$111)</f>
        <v>0</v>
      </c>
      <c r="L32" s="233">
        <f ca="1">SUMIF('बँक जमा खर्च पासबुक'!$C$9:$C$111,'बँक खर्च व्हाउचर पावती'!C32,'बँक जमा खर्च पासबुक'!$L$9:$L$110)</f>
        <v>0</v>
      </c>
      <c r="M32" s="228">
        <f>SUMIF('बँक जमा खर्च पासबुक'!$C$9:$C$111,'बँक खर्च व्हाउचर पावती'!C32,'बँक जमा खर्च पासबुक'!$M$9:$M$111)</f>
        <v>0</v>
      </c>
      <c r="N32" s="233">
        <f t="shared" ca="1" si="49"/>
        <v>3000</v>
      </c>
      <c r="O32" s="228">
        <f t="shared" si="50"/>
        <v>3000</v>
      </c>
      <c r="P32" s="228">
        <f t="shared" ca="1" si="48"/>
        <v>6000</v>
      </c>
      <c r="Q32" s="399"/>
      <c r="U32" s="648"/>
      <c r="V32" s="819" t="s">
        <v>197</v>
      </c>
      <c r="W32" s="807" t="str">
        <f>IFERROR(VLOOKUP(W6,'बँक जमा खर्च पासबुक'!AR8:AY111,5,0),"")</f>
        <v/>
      </c>
      <c r="X32" s="820"/>
      <c r="Y32" s="820"/>
      <c r="Z32" s="820"/>
      <c r="AA32" s="820"/>
      <c r="AB32" s="820"/>
      <c r="AC32" s="820"/>
      <c r="AD32" s="821"/>
      <c r="AM32" s="380"/>
      <c r="AN32" s="380"/>
      <c r="AO32" s="380">
        <v>30</v>
      </c>
      <c r="AP32" s="260" t="str">
        <f t="shared" si="51"/>
        <v/>
      </c>
      <c r="AQ32" s="260" t="str">
        <f t="shared" si="52"/>
        <v/>
      </c>
      <c r="AR32" s="260" t="str">
        <f t="shared" si="53"/>
        <v/>
      </c>
      <c r="AS32" s="260" t="str">
        <f t="shared" si="54"/>
        <v/>
      </c>
      <c r="AT32" s="260" t="str">
        <f t="shared" si="55"/>
        <v/>
      </c>
      <c r="AU32" s="260" t="str">
        <f t="shared" si="56"/>
        <v/>
      </c>
      <c r="AV32" s="260" t="str">
        <f t="shared" si="57"/>
        <v/>
      </c>
      <c r="AW32" s="260" t="str">
        <f t="shared" si="58"/>
        <v/>
      </c>
      <c r="AX32" s="260" t="str">
        <f t="shared" si="59"/>
        <v/>
      </c>
      <c r="AY32" s="260" t="str">
        <f t="shared" si="60"/>
        <v/>
      </c>
      <c r="AZ32" s="380"/>
      <c r="BA32" s="260" t="str">
        <f t="shared" si="62"/>
        <v/>
      </c>
      <c r="BB32" s="380"/>
      <c r="BC32" s="380"/>
      <c r="BD32" s="380">
        <v>30</v>
      </c>
      <c r="BE32" s="260" t="str">
        <f t="shared" si="63"/>
        <v/>
      </c>
      <c r="BF32" s="260" t="str">
        <f t="shared" si="64"/>
        <v/>
      </c>
      <c r="BG32" s="260" t="str">
        <f t="shared" si="65"/>
        <v/>
      </c>
      <c r="BH32" s="260" t="str">
        <f t="shared" si="66"/>
        <v/>
      </c>
      <c r="BI32" s="260" t="str">
        <f t="shared" si="67"/>
        <v/>
      </c>
      <c r="BJ32" s="260" t="str">
        <f t="shared" si="68"/>
        <v/>
      </c>
      <c r="BK32" s="260" t="str">
        <f t="shared" si="69"/>
        <v/>
      </c>
      <c r="BL32" s="260" t="str">
        <f t="shared" si="70"/>
        <v/>
      </c>
      <c r="BM32" s="260" t="str">
        <f t="shared" si="71"/>
        <v/>
      </c>
      <c r="BN32" s="260" t="str">
        <f t="shared" si="72"/>
        <v/>
      </c>
      <c r="BO32" s="380"/>
      <c r="BP32" s="260" t="str">
        <f t="shared" si="74"/>
        <v/>
      </c>
      <c r="BQ32" s="380"/>
      <c r="BR32" s="380"/>
      <c r="BS32" s="380"/>
      <c r="BT32" s="380"/>
    </row>
    <row r="33" spans="1:72" ht="22.5" customHeight="1" thickBot="1" x14ac:dyDescent="0.5">
      <c r="A33" s="399"/>
      <c r="B33" s="376">
        <v>25</v>
      </c>
      <c r="C33" s="310">
        <v>43946</v>
      </c>
      <c r="D33" s="229" t="str">
        <f>IFERROR(VLOOKUP(C33,'बँक जमा खर्च पासबुक'!$C$9:$R$111,2,0),"")</f>
        <v/>
      </c>
      <c r="E33" s="229" t="str">
        <f>IFERROR(VLOOKUP(C33,'बँक जमा खर्च पासबुक'!$C$9:$R$111,3,0),"")</f>
        <v/>
      </c>
      <c r="F33" s="229" t="str">
        <f>IFERROR(VLOOKUP(C33,'बँक जमा खर्च पासबुक'!$C$9:$R$111,4,0),"")</f>
        <v/>
      </c>
      <c r="G33" s="229" t="str">
        <f>IFERROR(VLOOKUP(C33,'बँक जमा खर्च पासबुक'!$C$9:$R$111,5,0),"")</f>
        <v/>
      </c>
      <c r="H33" s="229" t="str">
        <f>IFERROR(VLOOKUP(C33,'बँक जमा खर्च पासबुक'!$C$9:$R$111,6,0),"")</f>
        <v/>
      </c>
      <c r="I33" s="229" t="str">
        <f>IFERROR(VLOOKUP(C33,'बँक जमा खर्च पासबुक'!$C$9:$R$111,7,0),"")</f>
        <v/>
      </c>
      <c r="J33" s="233">
        <f>SUMIF('बँक जमा खर्च पासबुक'!$C$9:$C$111,'बँक खर्च व्हाउचर पावती'!C33,'बँक जमा खर्च पासबुक'!$J$9:$J$111)</f>
        <v>0</v>
      </c>
      <c r="K33" s="233">
        <f>SUMIF('बँक जमा खर्च पासबुक'!$C$9:$C$111,'बँक खर्च व्हाउचर पावती'!C33,'बँक जमा खर्च पासबुक'!$K$9:$K$111)</f>
        <v>0</v>
      </c>
      <c r="L33" s="233">
        <f ca="1">SUMIF('बँक जमा खर्च पासबुक'!$C$9:$C$111,'बँक खर्च व्हाउचर पावती'!C33,'बँक जमा खर्च पासबुक'!$L$9:$L$110)</f>
        <v>0</v>
      </c>
      <c r="M33" s="228">
        <f>SUMIF('बँक जमा खर्च पासबुक'!$C$9:$C$111,'बँक खर्च व्हाउचर पावती'!C33,'बँक जमा खर्च पासबुक'!$M$9:$M$111)</f>
        <v>0</v>
      </c>
      <c r="N33" s="233">
        <f t="shared" ca="1" si="49"/>
        <v>3000</v>
      </c>
      <c r="O33" s="228">
        <f t="shared" si="50"/>
        <v>3000</v>
      </c>
      <c r="P33" s="228">
        <f t="shared" ca="1" si="48"/>
        <v>6000</v>
      </c>
      <c r="Q33" s="399"/>
      <c r="U33" s="822"/>
      <c r="V33" s="823"/>
      <c r="W33" s="824"/>
      <c r="X33" s="824"/>
      <c r="Y33" s="824"/>
      <c r="Z33" s="824"/>
      <c r="AA33" s="824"/>
      <c r="AB33" s="824"/>
      <c r="AC33" s="824"/>
      <c r="AD33" s="825"/>
      <c r="AM33" s="380"/>
      <c r="AN33" s="380"/>
      <c r="AO33" s="380">
        <v>31</v>
      </c>
      <c r="AP33" s="380"/>
      <c r="AQ33" s="260" t="str">
        <f t="shared" si="52"/>
        <v/>
      </c>
      <c r="AR33" s="380"/>
      <c r="AS33" s="260" t="str">
        <f t="shared" si="54"/>
        <v/>
      </c>
      <c r="AT33" s="260" t="str">
        <f t="shared" si="55"/>
        <v/>
      </c>
      <c r="AU33" s="380"/>
      <c r="AV33" s="260" t="str">
        <f t="shared" si="57"/>
        <v/>
      </c>
      <c r="AW33" s="380"/>
      <c r="AX33" s="260" t="str">
        <f t="shared" si="59"/>
        <v/>
      </c>
      <c r="AY33" s="260" t="str">
        <f t="shared" si="60"/>
        <v/>
      </c>
      <c r="AZ33" s="380"/>
      <c r="BA33" s="260" t="str">
        <f t="shared" si="62"/>
        <v/>
      </c>
      <c r="BB33" s="380"/>
      <c r="BC33" s="380"/>
      <c r="BD33" s="380">
        <v>31</v>
      </c>
      <c r="BE33" s="380"/>
      <c r="BF33" s="260" t="str">
        <f t="shared" si="64"/>
        <v/>
      </c>
      <c r="BG33" s="380"/>
      <c r="BH33" s="260" t="str">
        <f t="shared" si="66"/>
        <v/>
      </c>
      <c r="BI33" s="260" t="str">
        <f t="shared" si="67"/>
        <v/>
      </c>
      <c r="BJ33" s="380"/>
      <c r="BK33" s="260" t="str">
        <f t="shared" si="69"/>
        <v/>
      </c>
      <c r="BL33" s="380"/>
      <c r="BM33" s="260" t="str">
        <f t="shared" si="71"/>
        <v/>
      </c>
      <c r="BN33" s="260" t="str">
        <f t="shared" si="72"/>
        <v/>
      </c>
      <c r="BO33" s="380"/>
      <c r="BP33" s="260" t="str">
        <f t="shared" si="74"/>
        <v/>
      </c>
      <c r="BQ33" s="380"/>
      <c r="BR33" s="380"/>
      <c r="BS33" s="380"/>
      <c r="BT33" s="380"/>
    </row>
    <row r="34" spans="1:72" ht="22.5" customHeight="1" x14ac:dyDescent="0.4">
      <c r="A34" s="399"/>
      <c r="B34" s="376">
        <v>26</v>
      </c>
      <c r="C34" s="310">
        <v>43947</v>
      </c>
      <c r="D34" s="229" t="str">
        <f>IFERROR(VLOOKUP(C34,'बँक जमा खर्च पासबुक'!$C$9:$R$111,2,0),"")</f>
        <v/>
      </c>
      <c r="E34" s="229" t="str">
        <f>IFERROR(VLOOKUP(C34,'बँक जमा खर्च पासबुक'!$C$9:$R$111,3,0),"")</f>
        <v/>
      </c>
      <c r="F34" s="229" t="str">
        <f>IFERROR(VLOOKUP(C34,'बँक जमा खर्च पासबुक'!$C$9:$R$111,4,0),"")</f>
        <v/>
      </c>
      <c r="G34" s="229" t="str">
        <f>IFERROR(VLOOKUP(C34,'बँक जमा खर्च पासबुक'!$C$9:$R$111,5,0),"")</f>
        <v/>
      </c>
      <c r="H34" s="229" t="str">
        <f>IFERROR(VLOOKUP(C34,'बँक जमा खर्च पासबुक'!$C$9:$R$111,6,0),"")</f>
        <v/>
      </c>
      <c r="I34" s="229" t="str">
        <f>IFERROR(VLOOKUP(C34,'बँक जमा खर्च पासबुक'!$C$9:$R$111,7,0),"")</f>
        <v/>
      </c>
      <c r="J34" s="233">
        <f>SUMIF('बँक जमा खर्च पासबुक'!$C$9:$C$111,'बँक खर्च व्हाउचर पावती'!C34,'बँक जमा खर्च पासबुक'!$J$9:$J$111)</f>
        <v>0</v>
      </c>
      <c r="K34" s="233">
        <f>SUMIF('बँक जमा खर्च पासबुक'!$C$9:$C$111,'बँक खर्च व्हाउचर पावती'!C34,'बँक जमा खर्च पासबुक'!$K$9:$K$111)</f>
        <v>0</v>
      </c>
      <c r="L34" s="233">
        <f ca="1">SUMIF('बँक जमा खर्च पासबुक'!$C$9:$C$111,'बँक खर्च व्हाउचर पावती'!C34,'बँक जमा खर्च पासबुक'!$L$9:$L$110)</f>
        <v>0</v>
      </c>
      <c r="M34" s="228">
        <f>SUMIF('बँक जमा खर्च पासबुक'!$C$9:$C$111,'बँक खर्च व्हाउचर पावती'!C34,'बँक जमा खर्च पासबुक'!$M$9:$M$111)</f>
        <v>0</v>
      </c>
      <c r="N34" s="233">
        <f t="shared" ca="1" si="49"/>
        <v>3000</v>
      </c>
      <c r="O34" s="228">
        <f t="shared" si="50"/>
        <v>3000</v>
      </c>
      <c r="P34" s="228">
        <f t="shared" ca="1" si="48"/>
        <v>6000</v>
      </c>
      <c r="Q34" s="399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380"/>
      <c r="AX34" s="380"/>
      <c r="AY34" s="380"/>
      <c r="AZ34" s="380"/>
      <c r="BA34" s="380"/>
      <c r="BB34" s="380"/>
      <c r="BC34" s="380"/>
      <c r="BD34" s="380"/>
      <c r="BE34" s="380"/>
      <c r="BF34" s="380"/>
      <c r="BG34" s="380"/>
      <c r="BH34" s="380"/>
      <c r="BI34" s="380"/>
      <c r="BJ34" s="380"/>
      <c r="BK34" s="380"/>
      <c r="BL34" s="380"/>
      <c r="BM34" s="380"/>
      <c r="BN34" s="380"/>
      <c r="BO34" s="380"/>
      <c r="BP34" s="380"/>
      <c r="BQ34" s="380"/>
      <c r="BR34" s="380"/>
      <c r="BS34" s="380"/>
      <c r="BT34" s="380"/>
    </row>
    <row r="35" spans="1:72" ht="22.5" customHeight="1" x14ac:dyDescent="0.4">
      <c r="A35" s="399"/>
      <c r="B35" s="376">
        <v>27</v>
      </c>
      <c r="C35" s="310">
        <v>43948</v>
      </c>
      <c r="D35" s="229" t="str">
        <f>IFERROR(VLOOKUP(C35,'बँक जमा खर्च पासबुक'!$C$9:$R$111,2,0),"")</f>
        <v/>
      </c>
      <c r="E35" s="229" t="str">
        <f>IFERROR(VLOOKUP(C35,'बँक जमा खर्च पासबुक'!$C$9:$R$111,3,0),"")</f>
        <v/>
      </c>
      <c r="F35" s="229" t="str">
        <f>IFERROR(VLOOKUP(C35,'बँक जमा खर्च पासबुक'!$C$9:$R$111,4,0),"")</f>
        <v/>
      </c>
      <c r="G35" s="229" t="str">
        <f>IFERROR(VLOOKUP(C35,'बँक जमा खर्च पासबुक'!$C$9:$R$111,5,0),"")</f>
        <v/>
      </c>
      <c r="H35" s="229" t="str">
        <f>IFERROR(VLOOKUP(C35,'बँक जमा खर्च पासबुक'!$C$9:$R$111,6,0),"")</f>
        <v/>
      </c>
      <c r="I35" s="229" t="str">
        <f>IFERROR(VLOOKUP(C35,'बँक जमा खर्च पासबुक'!$C$9:$R$111,7,0),"")</f>
        <v/>
      </c>
      <c r="J35" s="233">
        <f>SUMIF('बँक जमा खर्च पासबुक'!$C$9:$C$111,'बँक खर्च व्हाउचर पावती'!C35,'बँक जमा खर्च पासबुक'!$J$9:$J$111)</f>
        <v>0</v>
      </c>
      <c r="K35" s="233">
        <f>SUMIF('बँक जमा खर्च पासबुक'!$C$9:$C$111,'बँक खर्च व्हाउचर पावती'!C35,'बँक जमा खर्च पासबुक'!$K$9:$K$111)</f>
        <v>0</v>
      </c>
      <c r="L35" s="233">
        <f ca="1">SUMIF('बँक जमा खर्च पासबुक'!$C$9:$C$111,'बँक खर्च व्हाउचर पावती'!C35,'बँक जमा खर्च पासबुक'!$L$9:$L$110)</f>
        <v>0</v>
      </c>
      <c r="M35" s="228">
        <f>SUMIF('बँक जमा खर्च पासबुक'!$C$9:$C$111,'बँक खर्च व्हाउचर पावती'!C35,'बँक जमा खर्च पासबुक'!$M$9:$M$111)</f>
        <v>0</v>
      </c>
      <c r="N35" s="233">
        <f t="shared" ca="1" si="49"/>
        <v>3000</v>
      </c>
      <c r="O35" s="228">
        <f t="shared" si="50"/>
        <v>3000</v>
      </c>
      <c r="P35" s="228">
        <f t="shared" ca="1" si="48"/>
        <v>6000</v>
      </c>
      <c r="Q35" s="399"/>
      <c r="AM35" s="380"/>
      <c r="AN35" s="380"/>
      <c r="AO35" s="380"/>
      <c r="AP35" s="380"/>
      <c r="AQ35" s="380"/>
      <c r="AR35" s="380"/>
      <c r="AS35" s="380"/>
      <c r="AT35" s="380"/>
      <c r="AU35" s="380" t="s">
        <v>583</v>
      </c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</row>
    <row r="36" spans="1:72" ht="22.5" customHeight="1" x14ac:dyDescent="0.4">
      <c r="A36" s="399"/>
      <c r="B36" s="376">
        <v>28</v>
      </c>
      <c r="C36" s="310">
        <v>43949</v>
      </c>
      <c r="D36" s="229" t="str">
        <f>IFERROR(VLOOKUP(C36,'बँक जमा खर्च पासबुक'!$C$9:$R$111,2,0),"")</f>
        <v/>
      </c>
      <c r="E36" s="229" t="str">
        <f>IFERROR(VLOOKUP(C36,'बँक जमा खर्च पासबुक'!$C$9:$R$111,3,0),"")</f>
        <v/>
      </c>
      <c r="F36" s="229" t="str">
        <f>IFERROR(VLOOKUP(C36,'बँक जमा खर्च पासबुक'!$C$9:$R$111,4,0),"")</f>
        <v/>
      </c>
      <c r="G36" s="229" t="str">
        <f>IFERROR(VLOOKUP(C36,'बँक जमा खर्च पासबुक'!$C$9:$R$111,5,0),"")</f>
        <v/>
      </c>
      <c r="H36" s="229" t="str">
        <f>IFERROR(VLOOKUP(C36,'बँक जमा खर्च पासबुक'!$C$9:$R$111,6,0),"")</f>
        <v/>
      </c>
      <c r="I36" s="229" t="str">
        <f>IFERROR(VLOOKUP(C36,'बँक जमा खर्च पासबुक'!$C$9:$R$111,7,0),"")</f>
        <v/>
      </c>
      <c r="J36" s="233">
        <f>SUMIF('बँक जमा खर्च पासबुक'!$C$9:$C$111,'बँक खर्च व्हाउचर पावती'!C36,'बँक जमा खर्च पासबुक'!$J$9:$J$111)</f>
        <v>0</v>
      </c>
      <c r="K36" s="233">
        <f>SUMIF('बँक जमा खर्च पासबुक'!$C$9:$C$111,'बँक खर्च व्हाउचर पावती'!C36,'बँक जमा खर्च पासबुक'!$K$9:$K$111)</f>
        <v>0</v>
      </c>
      <c r="L36" s="233">
        <f ca="1">SUMIF('बँक जमा खर्च पासबुक'!$C$9:$C$111,'बँक खर्च व्हाउचर पावती'!C36,'बँक जमा खर्च पासबुक'!$L$9:$L$110)</f>
        <v>0</v>
      </c>
      <c r="M36" s="228">
        <f>SUMIF('बँक जमा खर्च पासबुक'!$C$9:$C$111,'बँक खर्च व्हाउचर पावती'!C36,'बँक जमा खर्च पासबुक'!$M$9:$M$111)</f>
        <v>0</v>
      </c>
      <c r="N36" s="233">
        <f t="shared" ca="1" si="49"/>
        <v>3000</v>
      </c>
      <c r="O36" s="228">
        <f t="shared" si="50"/>
        <v>3000</v>
      </c>
      <c r="P36" s="228">
        <f t="shared" ca="1" si="48"/>
        <v>6000</v>
      </c>
      <c r="Q36" s="399"/>
      <c r="AM36" s="380"/>
      <c r="AN36" s="380"/>
      <c r="AO36" s="380"/>
      <c r="AP36" s="380" t="s">
        <v>42</v>
      </c>
      <c r="AQ36" s="380" t="s">
        <v>44</v>
      </c>
      <c r="AR36" s="380" t="s">
        <v>94</v>
      </c>
      <c r="AS36" s="380" t="s">
        <v>46</v>
      </c>
      <c r="AT36" s="380" t="s">
        <v>34</v>
      </c>
      <c r="AU36" s="380" t="s">
        <v>37</v>
      </c>
      <c r="AV36" s="380" t="s">
        <v>47</v>
      </c>
      <c r="AW36" s="380" t="s">
        <v>38</v>
      </c>
      <c r="AX36" s="380" t="s">
        <v>39</v>
      </c>
      <c r="AY36" s="380" t="s">
        <v>33</v>
      </c>
      <c r="AZ36" s="380" t="s">
        <v>40</v>
      </c>
      <c r="BA36" s="380" t="s">
        <v>41</v>
      </c>
      <c r="BB36" s="380"/>
      <c r="BC36" s="380"/>
      <c r="BD36" s="380"/>
      <c r="BE36" s="380"/>
      <c r="BF36" s="380"/>
      <c r="BG36" s="380"/>
      <c r="BH36" s="380"/>
      <c r="BI36" s="380"/>
      <c r="BJ36" s="380"/>
      <c r="BK36" s="380" t="s">
        <v>626</v>
      </c>
      <c r="BL36" s="380"/>
      <c r="BM36" s="380"/>
      <c r="BN36" s="380"/>
      <c r="BO36" s="380"/>
      <c r="BP36" s="380"/>
      <c r="BQ36" s="380"/>
      <c r="BR36" s="380"/>
      <c r="BS36" s="380"/>
      <c r="BT36" s="380"/>
    </row>
    <row r="37" spans="1:72" ht="22.5" customHeight="1" x14ac:dyDescent="0.4">
      <c r="A37" s="399"/>
      <c r="B37" s="376">
        <v>29</v>
      </c>
      <c r="C37" s="310">
        <v>43950</v>
      </c>
      <c r="D37" s="229" t="str">
        <f>IFERROR(VLOOKUP(C37,'बँक जमा खर्च पासबुक'!$C$9:$R$111,2,0),"")</f>
        <v/>
      </c>
      <c r="E37" s="229" t="str">
        <f>IFERROR(VLOOKUP(C37,'बँक जमा खर्च पासबुक'!$C$9:$R$111,3,0),"")</f>
        <v/>
      </c>
      <c r="F37" s="229" t="str">
        <f>IFERROR(VLOOKUP(C37,'बँक जमा खर्च पासबुक'!$C$9:$R$111,4,0),"")</f>
        <v/>
      </c>
      <c r="G37" s="229" t="str">
        <f>IFERROR(VLOOKUP(C37,'बँक जमा खर्च पासबुक'!$C$9:$R$111,5,0),"")</f>
        <v/>
      </c>
      <c r="H37" s="229" t="str">
        <f>IFERROR(VLOOKUP(C37,'बँक जमा खर्च पासबुक'!$C$9:$R$111,6,0),"")</f>
        <v/>
      </c>
      <c r="I37" s="229" t="str">
        <f>IFERROR(VLOOKUP(C37,'बँक जमा खर्च पासबुक'!$C$9:$R$111,7,0),"")</f>
        <v/>
      </c>
      <c r="J37" s="233">
        <f>SUMIF('बँक जमा खर्च पासबुक'!$C$9:$C$111,'बँक खर्च व्हाउचर पावती'!C37,'बँक जमा खर्च पासबुक'!$J$9:$J$111)</f>
        <v>0</v>
      </c>
      <c r="K37" s="233">
        <f>SUMIF('बँक जमा खर्च पासबुक'!$C$9:$C$111,'बँक खर्च व्हाउचर पावती'!C37,'बँक जमा खर्च पासबुक'!$K$9:$K$111)</f>
        <v>0</v>
      </c>
      <c r="L37" s="233">
        <f ca="1">SUMIF('बँक जमा खर्च पासबुक'!$C$9:$C$111,'बँक खर्च व्हाउचर पावती'!C37,'बँक जमा खर्च पासबुक'!$L$9:$L$110)</f>
        <v>0</v>
      </c>
      <c r="M37" s="228">
        <f>SUMIF('बँक जमा खर्च पासबुक'!$C$9:$C$111,'बँक खर्च व्हाउचर पावती'!C37,'बँक जमा खर्च पासबुक'!$M$9:$M$111)</f>
        <v>0</v>
      </c>
      <c r="N37" s="233">
        <f t="shared" ca="1" si="49"/>
        <v>3000</v>
      </c>
      <c r="O37" s="228">
        <f t="shared" si="50"/>
        <v>3000</v>
      </c>
      <c r="P37" s="228">
        <f t="shared" ca="1" si="48"/>
        <v>6000</v>
      </c>
      <c r="Q37" s="399"/>
      <c r="AM37" s="380"/>
      <c r="AN37" s="380"/>
      <c r="AO37" s="380">
        <v>1</v>
      </c>
      <c r="AP37" s="260" t="str">
        <f>F9</f>
        <v/>
      </c>
      <c r="AQ37" s="260" t="str">
        <f t="shared" ref="AQ37:AQ67" si="75">F39</f>
        <v/>
      </c>
      <c r="AR37" s="260" t="str">
        <f t="shared" ref="AR37:AR66" si="76">F70</f>
        <v/>
      </c>
      <c r="AS37" s="260" t="str">
        <f t="shared" ref="AS37:AS67" si="77">F100</f>
        <v/>
      </c>
      <c r="AT37" s="260" t="str">
        <f t="shared" ref="AT37:AT67" si="78">F131</f>
        <v/>
      </c>
      <c r="AU37" s="260" t="str">
        <f t="shared" ref="AU37:AU66" si="79">F162</f>
        <v/>
      </c>
      <c r="AV37" s="260" t="str">
        <f t="shared" ref="AV37:AV67" si="80">F192</f>
        <v/>
      </c>
      <c r="AW37" s="260" t="str">
        <f t="shared" ref="AW37:AW66" si="81">F223</f>
        <v/>
      </c>
      <c r="AX37" s="260" t="str">
        <f t="shared" ref="AX37:AX67" si="82">F253</f>
        <v/>
      </c>
      <c r="AY37" s="260" t="str">
        <f t="shared" ref="AY37:AY67" si="83">F284</f>
        <v/>
      </c>
      <c r="AZ37" s="260" t="str">
        <f t="shared" ref="AZ37:AZ65" si="84">F315</f>
        <v/>
      </c>
      <c r="BA37" s="260" t="str">
        <f t="shared" ref="BA37:BA67" si="85">F344</f>
        <v/>
      </c>
      <c r="BB37" s="380"/>
      <c r="BC37" s="380"/>
      <c r="BD37" s="380"/>
      <c r="BE37" s="380" t="s">
        <v>42</v>
      </c>
      <c r="BF37" s="380" t="s">
        <v>44</v>
      </c>
      <c r="BG37" s="380" t="s">
        <v>94</v>
      </c>
      <c r="BH37" s="380" t="s">
        <v>46</v>
      </c>
      <c r="BI37" s="380" t="s">
        <v>34</v>
      </c>
      <c r="BJ37" s="380" t="s">
        <v>37</v>
      </c>
      <c r="BK37" s="380" t="s">
        <v>47</v>
      </c>
      <c r="BL37" s="380" t="s">
        <v>38</v>
      </c>
      <c r="BM37" s="380" t="s">
        <v>39</v>
      </c>
      <c r="BN37" s="380" t="s">
        <v>33</v>
      </c>
      <c r="BO37" s="380" t="s">
        <v>40</v>
      </c>
      <c r="BP37" s="380" t="s">
        <v>41</v>
      </c>
      <c r="BQ37" s="380"/>
      <c r="BR37" s="380"/>
      <c r="BS37" s="380"/>
      <c r="BT37" s="380"/>
    </row>
    <row r="38" spans="1:72" ht="22.5" customHeight="1" x14ac:dyDescent="0.4">
      <c r="A38" s="399"/>
      <c r="B38" s="376">
        <v>30</v>
      </c>
      <c r="C38" s="310">
        <v>43951</v>
      </c>
      <c r="D38" s="229" t="str">
        <f>IFERROR(VLOOKUP(C38,'बँक जमा खर्च पासबुक'!$C$9:$R$111,2,0),"")</f>
        <v/>
      </c>
      <c r="E38" s="229" t="str">
        <f>IFERROR(VLOOKUP(C38,'बँक जमा खर्च पासबुक'!$C$9:$R$111,3,0),"")</f>
        <v/>
      </c>
      <c r="F38" s="229" t="str">
        <f>IFERROR(VLOOKUP(C38,'बँक जमा खर्च पासबुक'!$C$9:$R$111,4,0),"")</f>
        <v/>
      </c>
      <c r="G38" s="229" t="str">
        <f>IFERROR(VLOOKUP(C38,'बँक जमा खर्च पासबुक'!$C$9:$R$111,5,0),"")</f>
        <v/>
      </c>
      <c r="H38" s="229" t="str">
        <f>IFERROR(VLOOKUP(C38,'बँक जमा खर्च पासबुक'!$C$9:$R$111,6,0),"")</f>
        <v/>
      </c>
      <c r="I38" s="229" t="str">
        <f>IFERROR(VLOOKUP(C38,'बँक जमा खर्च पासबुक'!$C$9:$R$111,7,0),"")</f>
        <v/>
      </c>
      <c r="J38" s="233">
        <f>SUMIF('बँक जमा खर्च पासबुक'!$C$9:$C$111,'बँक खर्च व्हाउचर पावती'!C38,'बँक जमा खर्च पासबुक'!$J$9:$J$111)</f>
        <v>0</v>
      </c>
      <c r="K38" s="233">
        <f>SUMIF('बँक जमा खर्च पासबुक'!$C$9:$C$111,'बँक खर्च व्हाउचर पावती'!C38,'बँक जमा खर्च पासबुक'!$K$9:$K$111)</f>
        <v>0</v>
      </c>
      <c r="L38" s="233">
        <f ca="1">SUMIF('बँक जमा खर्च पासबुक'!$C$9:$C$111,'बँक खर्च व्हाउचर पावती'!C38,'बँक जमा खर्च पासबुक'!$L$9:$L$110)</f>
        <v>0</v>
      </c>
      <c r="M38" s="228">
        <f>SUMIF('बँक जमा खर्च पासबुक'!$C$9:$C$111,'बँक खर्च व्हाउचर पावती'!C38,'बँक जमा खर्च पासबुक'!$M$9:$M$111)</f>
        <v>0</v>
      </c>
      <c r="N38" s="233">
        <f t="shared" ca="1" si="49"/>
        <v>3000</v>
      </c>
      <c r="O38" s="228">
        <f t="shared" si="50"/>
        <v>3000</v>
      </c>
      <c r="P38" s="228">
        <f t="shared" ca="1" si="48"/>
        <v>6000</v>
      </c>
      <c r="Q38" s="399"/>
      <c r="AM38" s="380"/>
      <c r="AN38" s="380"/>
      <c r="AO38" s="380">
        <v>2</v>
      </c>
      <c r="AP38" s="260" t="str">
        <f>F10</f>
        <v/>
      </c>
      <c r="AQ38" s="260" t="str">
        <f t="shared" si="75"/>
        <v/>
      </c>
      <c r="AR38" s="260" t="str">
        <f t="shared" si="76"/>
        <v/>
      </c>
      <c r="AS38" s="260" t="str">
        <f t="shared" si="77"/>
        <v/>
      </c>
      <c r="AT38" s="260" t="str">
        <f t="shared" si="78"/>
        <v/>
      </c>
      <c r="AU38" s="260" t="str">
        <f t="shared" si="79"/>
        <v/>
      </c>
      <c r="AV38" s="260" t="str">
        <f t="shared" si="80"/>
        <v/>
      </c>
      <c r="AW38" s="260" t="str">
        <f t="shared" si="81"/>
        <v/>
      </c>
      <c r="AX38" s="260" t="str">
        <f t="shared" si="82"/>
        <v/>
      </c>
      <c r="AY38" s="260" t="str">
        <f t="shared" si="83"/>
        <v/>
      </c>
      <c r="AZ38" s="260" t="str">
        <f t="shared" si="84"/>
        <v/>
      </c>
      <c r="BA38" s="260" t="str">
        <f t="shared" si="85"/>
        <v/>
      </c>
      <c r="BB38" s="380"/>
      <c r="BC38" s="380"/>
      <c r="BD38" s="380">
        <v>1</v>
      </c>
      <c r="BE38" s="260" t="str">
        <f>H9</f>
        <v/>
      </c>
      <c r="BF38" s="260" t="str">
        <f t="shared" ref="BF38:BF68" si="86">H39</f>
        <v/>
      </c>
      <c r="BG38" s="260" t="str">
        <f t="shared" ref="BG38:BG67" si="87">H70</f>
        <v/>
      </c>
      <c r="BH38" s="260" t="str">
        <f t="shared" ref="BH38:BH68" si="88">H100</f>
        <v/>
      </c>
      <c r="BI38" s="260" t="str">
        <f t="shared" ref="BI38:BI68" si="89">H131</f>
        <v/>
      </c>
      <c r="BJ38" s="260" t="str">
        <f t="shared" ref="BJ38:BJ67" si="90">H162</f>
        <v/>
      </c>
      <c r="BK38" s="260" t="str">
        <f t="shared" ref="BK38:BK68" si="91">H192</f>
        <v/>
      </c>
      <c r="BL38" s="260" t="str">
        <f t="shared" ref="BL38:BL67" si="92">H223</f>
        <v/>
      </c>
      <c r="BM38" s="260" t="str">
        <f t="shared" ref="BM38:BM68" si="93">H253</f>
        <v/>
      </c>
      <c r="BN38" s="260" t="str">
        <f t="shared" ref="BN38:BN68" si="94">H284</f>
        <v/>
      </c>
      <c r="BO38" s="260" t="str">
        <f t="shared" ref="BO38:BO66" si="95">H315</f>
        <v/>
      </c>
      <c r="BP38" s="260" t="str">
        <f t="shared" ref="BP38:BP68" si="96">H344</f>
        <v/>
      </c>
      <c r="BQ38" s="380"/>
      <c r="BR38" s="380"/>
      <c r="BS38" s="380"/>
      <c r="BT38" s="380"/>
    </row>
    <row r="39" spans="1:72" ht="22.5" customHeight="1" x14ac:dyDescent="0.4">
      <c r="A39" s="399" t="s">
        <v>44</v>
      </c>
      <c r="B39" s="376">
        <v>31</v>
      </c>
      <c r="C39" s="310">
        <v>43952</v>
      </c>
      <c r="D39" s="229" t="str">
        <f>IFERROR(VLOOKUP(C39,'बँक जमा खर्च पासबुक'!$C$9:$R$111,2,0),"")</f>
        <v/>
      </c>
      <c r="E39" s="229" t="str">
        <f>IFERROR(VLOOKUP(C39,'बँक जमा खर्च पासबुक'!$C$9:$R$111,3,0),"")</f>
        <v/>
      </c>
      <c r="F39" s="229" t="str">
        <f>IFERROR(VLOOKUP(C39,'बँक जमा खर्च पासबुक'!$C$9:$R$111,4,0),"")</f>
        <v/>
      </c>
      <c r="G39" s="229" t="str">
        <f>IFERROR(VLOOKUP(C39,'बँक जमा खर्च पासबुक'!$C$9:$R$111,5,0),"")</f>
        <v/>
      </c>
      <c r="H39" s="229" t="str">
        <f>IFERROR(VLOOKUP(C39,'बँक जमा खर्च पासबुक'!$C$9:$R$111,6,0),"")</f>
        <v/>
      </c>
      <c r="I39" s="229" t="str">
        <f>IFERROR(VLOOKUP(C39,'बँक जमा खर्च पासबुक'!$C$9:$R$111,7,0),"")</f>
        <v/>
      </c>
      <c r="J39" s="233">
        <f>SUMIF('बँक जमा खर्च पासबुक'!$C$9:$C$111,'बँक खर्च व्हाउचर पावती'!C39,'बँक जमा खर्च पासबुक'!$J$9:$J$111)</f>
        <v>0</v>
      </c>
      <c r="K39" s="233">
        <f>SUMIF('बँक जमा खर्च पासबुक'!$C$9:$C$111,'बँक खर्च व्हाउचर पावती'!C39,'बँक जमा खर्च पासबुक'!$K$9:$K$111)</f>
        <v>0</v>
      </c>
      <c r="L39" s="233">
        <f ca="1">SUMIF('बँक जमा खर्च पासबुक'!$C$9:$C$111,'बँक खर्च व्हाउचर पावती'!C39,'बँक जमा खर्च पासबुक'!$L$9:$L$110)</f>
        <v>0</v>
      </c>
      <c r="M39" s="228">
        <f>SUMIF('बँक जमा खर्च पासबुक'!$C$9:$C$111,'बँक खर्च व्हाउचर पावती'!C39,'बँक जमा खर्च पासबुक'!$M$9:$M$111)</f>
        <v>0</v>
      </c>
      <c r="N39" s="233">
        <f t="shared" ca="1" si="49"/>
        <v>3000</v>
      </c>
      <c r="O39" s="228">
        <f t="shared" si="50"/>
        <v>3000</v>
      </c>
      <c r="P39" s="228">
        <f t="shared" ca="1" si="48"/>
        <v>6000</v>
      </c>
      <c r="Q39" s="399"/>
      <c r="AM39" s="380"/>
      <c r="AN39" s="380"/>
      <c r="AO39" s="380">
        <v>3</v>
      </c>
      <c r="AP39" s="260" t="str">
        <f>F11</f>
        <v/>
      </c>
      <c r="AQ39" s="260" t="str">
        <f t="shared" si="75"/>
        <v/>
      </c>
      <c r="AR39" s="260" t="str">
        <f t="shared" si="76"/>
        <v/>
      </c>
      <c r="AS39" s="260" t="str">
        <f t="shared" si="77"/>
        <v/>
      </c>
      <c r="AT39" s="260" t="str">
        <f t="shared" si="78"/>
        <v/>
      </c>
      <c r="AU39" s="260" t="str">
        <f t="shared" si="79"/>
        <v/>
      </c>
      <c r="AV39" s="260" t="str">
        <f t="shared" si="80"/>
        <v/>
      </c>
      <c r="AW39" s="260" t="str">
        <f t="shared" si="81"/>
        <v/>
      </c>
      <c r="AX39" s="260" t="str">
        <f t="shared" si="82"/>
        <v/>
      </c>
      <c r="AY39" s="260" t="str">
        <f t="shared" si="83"/>
        <v/>
      </c>
      <c r="AZ39" s="260" t="str">
        <f t="shared" si="84"/>
        <v/>
      </c>
      <c r="BA39" s="260" t="str">
        <f t="shared" si="85"/>
        <v/>
      </c>
      <c r="BB39" s="380"/>
      <c r="BC39" s="380"/>
      <c r="BD39" s="380">
        <v>2</v>
      </c>
      <c r="BE39" s="260" t="str">
        <f>H10</f>
        <v/>
      </c>
      <c r="BF39" s="260" t="str">
        <f t="shared" si="86"/>
        <v/>
      </c>
      <c r="BG39" s="260" t="str">
        <f t="shared" si="87"/>
        <v/>
      </c>
      <c r="BH39" s="260" t="str">
        <f t="shared" si="88"/>
        <v/>
      </c>
      <c r="BI39" s="260" t="str">
        <f t="shared" si="89"/>
        <v/>
      </c>
      <c r="BJ39" s="260" t="str">
        <f t="shared" si="90"/>
        <v/>
      </c>
      <c r="BK39" s="260" t="str">
        <f t="shared" si="91"/>
        <v/>
      </c>
      <c r="BL39" s="260" t="str">
        <f t="shared" si="92"/>
        <v/>
      </c>
      <c r="BM39" s="260" t="str">
        <f t="shared" si="93"/>
        <v/>
      </c>
      <c r="BN39" s="260" t="str">
        <f t="shared" si="94"/>
        <v/>
      </c>
      <c r="BO39" s="260" t="str">
        <f t="shared" si="95"/>
        <v/>
      </c>
      <c r="BP39" s="260" t="str">
        <f t="shared" si="96"/>
        <v/>
      </c>
      <c r="BQ39" s="380"/>
      <c r="BR39" s="380"/>
      <c r="BS39" s="380"/>
      <c r="BT39" s="380"/>
    </row>
    <row r="40" spans="1:72" ht="22.5" customHeight="1" x14ac:dyDescent="0.4">
      <c r="A40" s="399"/>
      <c r="B40" s="376">
        <v>32</v>
      </c>
      <c r="C40" s="310">
        <v>43953</v>
      </c>
      <c r="D40" s="229" t="str">
        <f>IFERROR(VLOOKUP(C40,'बँक जमा खर्च पासबुक'!$C$9:$R$111,2,0),"")</f>
        <v/>
      </c>
      <c r="E40" s="229" t="str">
        <f>IFERROR(VLOOKUP(C40,'बँक जमा खर्च पासबुक'!$C$9:$R$111,3,0),"")</f>
        <v/>
      </c>
      <c r="F40" s="229" t="str">
        <f>IFERROR(VLOOKUP(C40,'बँक जमा खर्च पासबुक'!$C$9:$R$111,4,0),"")</f>
        <v/>
      </c>
      <c r="G40" s="229" t="str">
        <f>IFERROR(VLOOKUP(C40,'बँक जमा खर्च पासबुक'!$C$9:$R$111,5,0),"")</f>
        <v/>
      </c>
      <c r="H40" s="229" t="str">
        <f>IFERROR(VLOOKUP(C40,'बँक जमा खर्च पासबुक'!$C$9:$R$111,6,0),"")</f>
        <v/>
      </c>
      <c r="I40" s="229" t="str">
        <f>IFERROR(VLOOKUP(C40,'बँक जमा खर्च पासबुक'!$C$9:$R$111,7,0),"")</f>
        <v/>
      </c>
      <c r="J40" s="233">
        <f>SUMIF('बँक जमा खर्च पासबुक'!$C$9:$C$111,'बँक खर्च व्हाउचर पावती'!C40,'बँक जमा खर्च पासबुक'!$J$9:$J$111)</f>
        <v>0</v>
      </c>
      <c r="K40" s="233">
        <f>SUMIF('बँक जमा खर्च पासबुक'!$C$9:$C$111,'बँक खर्च व्हाउचर पावती'!C40,'बँक जमा खर्च पासबुक'!$K$9:$K$111)</f>
        <v>0</v>
      </c>
      <c r="L40" s="233">
        <f ca="1">SUMIF('बँक जमा खर्च पासबुक'!$C$9:$C$111,'बँक खर्च व्हाउचर पावती'!C40,'बँक जमा खर्च पासबुक'!$L$9:$L$110)</f>
        <v>0</v>
      </c>
      <c r="M40" s="228">
        <f>SUMIF('बँक जमा खर्च पासबुक'!$C$9:$C$111,'बँक खर्च व्हाउचर पावती'!C40,'बँक जमा खर्च पासबुक'!$M$9:$M$111)</f>
        <v>0</v>
      </c>
      <c r="N40" s="233">
        <f t="shared" ca="1" si="49"/>
        <v>3000</v>
      </c>
      <c r="O40" s="228">
        <f t="shared" si="50"/>
        <v>3000</v>
      </c>
      <c r="P40" s="228">
        <f t="shared" ca="1" si="48"/>
        <v>6000</v>
      </c>
      <c r="Q40" s="399"/>
      <c r="AM40" s="380"/>
      <c r="AN40" s="380"/>
      <c r="AO40" s="380">
        <v>4</v>
      </c>
      <c r="AP40" s="260" t="str">
        <f>F12</f>
        <v/>
      </c>
      <c r="AQ40" s="260" t="str">
        <f t="shared" si="75"/>
        <v/>
      </c>
      <c r="AR40" s="260" t="str">
        <f t="shared" si="76"/>
        <v/>
      </c>
      <c r="AS40" s="260" t="str">
        <f t="shared" si="77"/>
        <v/>
      </c>
      <c r="AT40" s="260" t="str">
        <f t="shared" si="78"/>
        <v/>
      </c>
      <c r="AU40" s="260" t="str">
        <f t="shared" si="79"/>
        <v/>
      </c>
      <c r="AV40" s="260" t="str">
        <f t="shared" si="80"/>
        <v/>
      </c>
      <c r="AW40" s="260" t="str">
        <f t="shared" si="81"/>
        <v/>
      </c>
      <c r="AX40" s="260" t="str">
        <f t="shared" si="82"/>
        <v/>
      </c>
      <c r="AY40" s="260" t="str">
        <f t="shared" si="83"/>
        <v/>
      </c>
      <c r="AZ40" s="260" t="str">
        <f t="shared" si="84"/>
        <v/>
      </c>
      <c r="BA40" s="260" t="str">
        <f t="shared" si="85"/>
        <v/>
      </c>
      <c r="BB40" s="380"/>
      <c r="BC40" s="380"/>
      <c r="BD40" s="380">
        <v>3</v>
      </c>
      <c r="BE40" s="260" t="str">
        <f>H11</f>
        <v/>
      </c>
      <c r="BF40" s="260" t="str">
        <f t="shared" si="86"/>
        <v/>
      </c>
      <c r="BG40" s="260" t="str">
        <f t="shared" si="87"/>
        <v/>
      </c>
      <c r="BH40" s="260" t="str">
        <f t="shared" si="88"/>
        <v/>
      </c>
      <c r="BI40" s="260" t="str">
        <f t="shared" si="89"/>
        <v/>
      </c>
      <c r="BJ40" s="260" t="str">
        <f t="shared" si="90"/>
        <v/>
      </c>
      <c r="BK40" s="260" t="str">
        <f t="shared" si="91"/>
        <v/>
      </c>
      <c r="BL40" s="260" t="str">
        <f t="shared" si="92"/>
        <v/>
      </c>
      <c r="BM40" s="260" t="str">
        <f t="shared" si="93"/>
        <v/>
      </c>
      <c r="BN40" s="260" t="str">
        <f t="shared" si="94"/>
        <v/>
      </c>
      <c r="BO40" s="260" t="str">
        <f t="shared" si="95"/>
        <v/>
      </c>
      <c r="BP40" s="260" t="str">
        <f t="shared" si="96"/>
        <v/>
      </c>
      <c r="BQ40" s="380"/>
      <c r="BR40" s="380"/>
      <c r="BS40" s="380"/>
      <c r="BT40" s="380"/>
    </row>
    <row r="41" spans="1:72" ht="22.5" customHeight="1" x14ac:dyDescent="0.4">
      <c r="A41" s="399"/>
      <c r="B41" s="376">
        <v>33</v>
      </c>
      <c r="C41" s="310">
        <v>43954</v>
      </c>
      <c r="D41" s="229" t="str">
        <f>IFERROR(VLOOKUP(C41,'बँक जमा खर्च पासबुक'!$C$9:$R$111,2,0),"")</f>
        <v/>
      </c>
      <c r="E41" s="229" t="str">
        <f>IFERROR(VLOOKUP(C41,'बँक जमा खर्च पासबुक'!$C$9:$R$111,3,0),"")</f>
        <v/>
      </c>
      <c r="F41" s="229" t="str">
        <f>IFERROR(VLOOKUP(C41,'बँक जमा खर्च पासबुक'!$C$9:$R$111,4,0),"")</f>
        <v/>
      </c>
      <c r="G41" s="229" t="str">
        <f>IFERROR(VLOOKUP(C41,'बँक जमा खर्च पासबुक'!$C$9:$R$111,5,0),"")</f>
        <v/>
      </c>
      <c r="H41" s="229" t="str">
        <f>IFERROR(VLOOKUP(C41,'बँक जमा खर्च पासबुक'!$C$9:$R$111,6,0),"")</f>
        <v/>
      </c>
      <c r="I41" s="229" t="str">
        <f>IFERROR(VLOOKUP(C41,'बँक जमा खर्च पासबुक'!$C$9:$R$111,7,0),"")</f>
        <v/>
      </c>
      <c r="J41" s="233">
        <f>SUMIF('बँक जमा खर्च पासबुक'!$C$9:$C$111,'बँक खर्च व्हाउचर पावती'!C41,'बँक जमा खर्च पासबुक'!$J$9:$J$111)</f>
        <v>0</v>
      </c>
      <c r="K41" s="233">
        <f>SUMIF('बँक जमा खर्च पासबुक'!$C$9:$C$111,'बँक खर्च व्हाउचर पावती'!C41,'बँक जमा खर्च पासबुक'!$K$9:$K$111)</f>
        <v>0</v>
      </c>
      <c r="L41" s="233">
        <f ca="1">SUMIF('बँक जमा खर्च पासबुक'!$C$9:$C$111,'बँक खर्च व्हाउचर पावती'!C41,'बँक जमा खर्च पासबुक'!$L$9:$L$110)</f>
        <v>0</v>
      </c>
      <c r="M41" s="228">
        <f>SUMIF('बँक जमा खर्च पासबुक'!$C$9:$C$111,'बँक खर्च व्हाउचर पावती'!C41,'बँक जमा खर्च पासबुक'!$M$9:$M$111)</f>
        <v>0</v>
      </c>
      <c r="N41" s="233">
        <f t="shared" ca="1" si="49"/>
        <v>3000</v>
      </c>
      <c r="O41" s="228">
        <f t="shared" si="50"/>
        <v>3000</v>
      </c>
      <c r="P41" s="228">
        <f t="shared" ca="1" si="48"/>
        <v>6000</v>
      </c>
      <c r="Q41" s="399"/>
      <c r="AM41" s="380"/>
      <c r="AN41" s="380"/>
      <c r="AO41" s="380">
        <v>5</v>
      </c>
      <c r="AP41" s="260" t="str">
        <f>F13</f>
        <v/>
      </c>
      <c r="AQ41" s="260" t="str">
        <f t="shared" si="75"/>
        <v/>
      </c>
      <c r="AR41" s="260" t="str">
        <f t="shared" si="76"/>
        <v/>
      </c>
      <c r="AS41" s="260" t="str">
        <f t="shared" si="77"/>
        <v/>
      </c>
      <c r="AT41" s="260" t="str">
        <f t="shared" si="78"/>
        <v/>
      </c>
      <c r="AU41" s="260" t="str">
        <f t="shared" si="79"/>
        <v/>
      </c>
      <c r="AV41" s="260" t="str">
        <f t="shared" si="80"/>
        <v/>
      </c>
      <c r="AW41" s="260" t="str">
        <f t="shared" si="81"/>
        <v/>
      </c>
      <c r="AX41" s="260" t="str">
        <f t="shared" si="82"/>
        <v/>
      </c>
      <c r="AY41" s="260" t="str">
        <f t="shared" si="83"/>
        <v/>
      </c>
      <c r="AZ41" s="260" t="str">
        <f t="shared" si="84"/>
        <v/>
      </c>
      <c r="BA41" s="260" t="str">
        <f t="shared" si="85"/>
        <v/>
      </c>
      <c r="BB41" s="380"/>
      <c r="BC41" s="380"/>
      <c r="BD41" s="380">
        <v>4</v>
      </c>
      <c r="BE41" s="260" t="str">
        <f>H12</f>
        <v/>
      </c>
      <c r="BF41" s="260" t="str">
        <f t="shared" si="86"/>
        <v/>
      </c>
      <c r="BG41" s="260" t="str">
        <f t="shared" si="87"/>
        <v/>
      </c>
      <c r="BH41" s="260" t="str">
        <f t="shared" si="88"/>
        <v/>
      </c>
      <c r="BI41" s="260" t="str">
        <f t="shared" si="89"/>
        <v/>
      </c>
      <c r="BJ41" s="260" t="str">
        <f t="shared" si="90"/>
        <v/>
      </c>
      <c r="BK41" s="260" t="str">
        <f t="shared" si="91"/>
        <v/>
      </c>
      <c r="BL41" s="260" t="str">
        <f t="shared" si="92"/>
        <v/>
      </c>
      <c r="BM41" s="260" t="str">
        <f t="shared" si="93"/>
        <v/>
      </c>
      <c r="BN41" s="260" t="str">
        <f t="shared" si="94"/>
        <v/>
      </c>
      <c r="BO41" s="260" t="str">
        <f t="shared" si="95"/>
        <v/>
      </c>
      <c r="BP41" s="260" t="str">
        <f t="shared" si="96"/>
        <v/>
      </c>
      <c r="BQ41" s="380"/>
      <c r="BR41" s="380"/>
      <c r="BS41" s="380"/>
      <c r="BT41" s="380"/>
    </row>
    <row r="42" spans="1:72" ht="22.5" customHeight="1" x14ac:dyDescent="0.4">
      <c r="A42" s="399"/>
      <c r="B42" s="376">
        <v>34</v>
      </c>
      <c r="C42" s="310">
        <v>43955</v>
      </c>
      <c r="D42" s="229" t="str">
        <f>IFERROR(VLOOKUP(C42,'बँक जमा खर्च पासबुक'!$C$9:$R$111,2,0),"")</f>
        <v/>
      </c>
      <c r="E42" s="229" t="str">
        <f>IFERROR(VLOOKUP(C42,'बँक जमा खर्च पासबुक'!$C$9:$R$111,3,0),"")</f>
        <v/>
      </c>
      <c r="F42" s="229" t="str">
        <f>IFERROR(VLOOKUP(C42,'बँक जमा खर्च पासबुक'!$C$9:$R$111,4,0),"")</f>
        <v/>
      </c>
      <c r="G42" s="229" t="str">
        <f>IFERROR(VLOOKUP(C42,'बँक जमा खर्च पासबुक'!$C$9:$R$111,5,0),"")</f>
        <v/>
      </c>
      <c r="H42" s="229" t="str">
        <f>IFERROR(VLOOKUP(C42,'बँक जमा खर्च पासबुक'!$C$9:$R$111,6,0),"")</f>
        <v/>
      </c>
      <c r="I42" s="229" t="str">
        <f>IFERROR(VLOOKUP(C42,'बँक जमा खर्च पासबुक'!$C$9:$R$111,7,0),"")</f>
        <v/>
      </c>
      <c r="J42" s="233">
        <f>SUMIF('बँक जमा खर्च पासबुक'!$C$9:$C$111,'बँक खर्च व्हाउचर पावती'!C42,'बँक जमा खर्च पासबुक'!$J$9:$J$111)</f>
        <v>0</v>
      </c>
      <c r="K42" s="233">
        <f>SUMIF('बँक जमा खर्च पासबुक'!$C$9:$C$111,'बँक खर्च व्हाउचर पावती'!C42,'बँक जमा खर्च पासबुक'!$K$9:$K$111)</f>
        <v>0</v>
      </c>
      <c r="L42" s="233">
        <f ca="1">SUMIF('बँक जमा खर्च पासबुक'!$C$9:$C$111,'बँक खर्च व्हाउचर पावती'!C42,'बँक जमा खर्च पासबुक'!$L$9:$L$110)</f>
        <v>0</v>
      </c>
      <c r="M42" s="228">
        <f>SUMIF('बँक जमा खर्च पासबुक'!$C$9:$C$111,'बँक खर्च व्हाउचर पावती'!C42,'बँक जमा खर्च पासबुक'!$M$9:$M$111)</f>
        <v>0</v>
      </c>
      <c r="N42" s="233">
        <f t="shared" ca="1" si="49"/>
        <v>3000</v>
      </c>
      <c r="O42" s="228">
        <f t="shared" si="50"/>
        <v>3000</v>
      </c>
      <c r="P42" s="228">
        <f t="shared" ca="1" si="48"/>
        <v>6000</v>
      </c>
      <c r="Q42" s="399"/>
      <c r="AM42" s="380"/>
      <c r="AN42" s="380"/>
      <c r="AO42" s="380">
        <v>6</v>
      </c>
      <c r="AP42" s="260" t="str">
        <f t="shared" ref="AP42:AP66" si="97">F14</f>
        <v/>
      </c>
      <c r="AQ42" s="260" t="str">
        <f t="shared" si="75"/>
        <v/>
      </c>
      <c r="AR42" s="260" t="str">
        <f t="shared" si="76"/>
        <v/>
      </c>
      <c r="AS42" s="260" t="str">
        <f t="shared" si="77"/>
        <v/>
      </c>
      <c r="AT42" s="260" t="str">
        <f t="shared" si="78"/>
        <v/>
      </c>
      <c r="AU42" s="260" t="str">
        <f t="shared" si="79"/>
        <v/>
      </c>
      <c r="AV42" s="260" t="str">
        <f t="shared" si="80"/>
        <v/>
      </c>
      <c r="AW42" s="260" t="str">
        <f t="shared" si="81"/>
        <v/>
      </c>
      <c r="AX42" s="260" t="str">
        <f t="shared" si="82"/>
        <v/>
      </c>
      <c r="AY42" s="260" t="str">
        <f t="shared" si="83"/>
        <v/>
      </c>
      <c r="AZ42" s="260" t="str">
        <f t="shared" si="84"/>
        <v/>
      </c>
      <c r="BA42" s="260" t="str">
        <f t="shared" si="85"/>
        <v/>
      </c>
      <c r="BB42" s="380"/>
      <c r="BC42" s="380"/>
      <c r="BD42" s="380">
        <v>5</v>
      </c>
      <c r="BE42" s="260" t="str">
        <f>H13</f>
        <v/>
      </c>
      <c r="BF42" s="260" t="str">
        <f t="shared" si="86"/>
        <v/>
      </c>
      <c r="BG42" s="260" t="str">
        <f t="shared" si="87"/>
        <v/>
      </c>
      <c r="BH42" s="260" t="str">
        <f t="shared" si="88"/>
        <v/>
      </c>
      <c r="BI42" s="260" t="str">
        <f t="shared" si="89"/>
        <v/>
      </c>
      <c r="BJ42" s="260" t="str">
        <f t="shared" si="90"/>
        <v/>
      </c>
      <c r="BK42" s="260" t="str">
        <f t="shared" si="91"/>
        <v/>
      </c>
      <c r="BL42" s="260" t="str">
        <f t="shared" si="92"/>
        <v/>
      </c>
      <c r="BM42" s="260" t="str">
        <f t="shared" si="93"/>
        <v/>
      </c>
      <c r="BN42" s="260" t="str">
        <f t="shared" si="94"/>
        <v/>
      </c>
      <c r="BO42" s="260" t="str">
        <f t="shared" si="95"/>
        <v/>
      </c>
      <c r="BP42" s="260" t="str">
        <f t="shared" si="96"/>
        <v/>
      </c>
      <c r="BQ42" s="380"/>
      <c r="BR42" s="380"/>
      <c r="BS42" s="380"/>
      <c r="BT42" s="380"/>
    </row>
    <row r="43" spans="1:72" ht="22.5" customHeight="1" x14ac:dyDescent="0.4">
      <c r="A43" s="399"/>
      <c r="B43" s="376">
        <v>35</v>
      </c>
      <c r="C43" s="310">
        <v>43956</v>
      </c>
      <c r="D43" s="229" t="str">
        <f>IFERROR(VLOOKUP(C43,'बँक जमा खर्च पासबुक'!$C$9:$R$111,2,0),"")</f>
        <v/>
      </c>
      <c r="E43" s="229" t="str">
        <f>IFERROR(VLOOKUP(C43,'बँक जमा खर्च पासबुक'!$C$9:$R$111,3,0),"")</f>
        <v/>
      </c>
      <c r="F43" s="229" t="str">
        <f>IFERROR(VLOOKUP(C43,'बँक जमा खर्च पासबुक'!$C$9:$R$111,4,0),"")</f>
        <v/>
      </c>
      <c r="G43" s="229" t="str">
        <f>IFERROR(VLOOKUP(C43,'बँक जमा खर्च पासबुक'!$C$9:$R$111,5,0),"")</f>
        <v/>
      </c>
      <c r="H43" s="229" t="str">
        <f>IFERROR(VLOOKUP(C43,'बँक जमा खर्च पासबुक'!$C$9:$R$111,6,0),"")</f>
        <v/>
      </c>
      <c r="I43" s="229" t="str">
        <f>IFERROR(VLOOKUP(C43,'बँक जमा खर्च पासबुक'!$C$9:$R$111,7,0),"")</f>
        <v/>
      </c>
      <c r="J43" s="233">
        <f>SUMIF('बँक जमा खर्च पासबुक'!$C$9:$C$111,'बँक खर्च व्हाउचर पावती'!C43,'बँक जमा खर्च पासबुक'!$J$9:$J$111)</f>
        <v>0</v>
      </c>
      <c r="K43" s="233">
        <f>SUMIF('बँक जमा खर्च पासबुक'!$C$9:$C$111,'बँक खर्च व्हाउचर पावती'!C43,'बँक जमा खर्च पासबुक'!$K$9:$K$111)</f>
        <v>0</v>
      </c>
      <c r="L43" s="233">
        <f ca="1">SUMIF('बँक जमा खर्च पासबुक'!$C$9:$C$111,'बँक खर्च व्हाउचर पावती'!C43,'बँक जमा खर्च पासबुक'!$L$9:$L$110)</f>
        <v>0</v>
      </c>
      <c r="M43" s="228">
        <f>SUMIF('बँक जमा खर्च पासबुक'!$C$9:$C$111,'बँक खर्च व्हाउचर पावती'!C43,'बँक जमा खर्च पासबुक'!$M$9:$M$111)</f>
        <v>0</v>
      </c>
      <c r="N43" s="233">
        <f t="shared" ca="1" si="49"/>
        <v>3000</v>
      </c>
      <c r="O43" s="228">
        <f t="shared" si="50"/>
        <v>3000</v>
      </c>
      <c r="P43" s="228">
        <f t="shared" ca="1" si="48"/>
        <v>6000</v>
      </c>
      <c r="Q43" s="399"/>
      <c r="AM43" s="380"/>
      <c r="AN43" s="380"/>
      <c r="AO43" s="380">
        <v>7</v>
      </c>
      <c r="AP43" s="260" t="str">
        <f t="shared" si="97"/>
        <v/>
      </c>
      <c r="AQ43" s="260" t="str">
        <f t="shared" si="75"/>
        <v/>
      </c>
      <c r="AR43" s="260" t="str">
        <f t="shared" si="76"/>
        <v/>
      </c>
      <c r="AS43" s="260" t="str">
        <f t="shared" si="77"/>
        <v/>
      </c>
      <c r="AT43" s="260" t="str">
        <f t="shared" si="78"/>
        <v/>
      </c>
      <c r="AU43" s="260" t="str">
        <f t="shared" si="79"/>
        <v/>
      </c>
      <c r="AV43" s="260" t="str">
        <f t="shared" si="80"/>
        <v/>
      </c>
      <c r="AW43" s="260" t="str">
        <f t="shared" si="81"/>
        <v/>
      </c>
      <c r="AX43" s="260" t="str">
        <f t="shared" si="82"/>
        <v/>
      </c>
      <c r="AY43" s="260" t="str">
        <f t="shared" si="83"/>
        <v/>
      </c>
      <c r="AZ43" s="260" t="str">
        <f t="shared" si="84"/>
        <v/>
      </c>
      <c r="BA43" s="260" t="str">
        <f t="shared" si="85"/>
        <v/>
      </c>
      <c r="BB43" s="380"/>
      <c r="BC43" s="380"/>
      <c r="BD43" s="380">
        <v>6</v>
      </c>
      <c r="BE43" s="260" t="str">
        <f t="shared" ref="BE43:BE67" si="98">H14</f>
        <v/>
      </c>
      <c r="BF43" s="260" t="str">
        <f t="shared" si="86"/>
        <v/>
      </c>
      <c r="BG43" s="260" t="str">
        <f t="shared" si="87"/>
        <v/>
      </c>
      <c r="BH43" s="260" t="str">
        <f t="shared" si="88"/>
        <v/>
      </c>
      <c r="BI43" s="260" t="str">
        <f t="shared" si="89"/>
        <v/>
      </c>
      <c r="BJ43" s="260" t="str">
        <f t="shared" si="90"/>
        <v/>
      </c>
      <c r="BK43" s="260" t="str">
        <f t="shared" si="91"/>
        <v/>
      </c>
      <c r="BL43" s="260" t="str">
        <f t="shared" si="92"/>
        <v/>
      </c>
      <c r="BM43" s="260" t="str">
        <f t="shared" si="93"/>
        <v/>
      </c>
      <c r="BN43" s="260" t="str">
        <f t="shared" si="94"/>
        <v/>
      </c>
      <c r="BO43" s="260" t="str">
        <f t="shared" si="95"/>
        <v/>
      </c>
      <c r="BP43" s="260" t="str">
        <f t="shared" si="96"/>
        <v/>
      </c>
      <c r="BQ43" s="380"/>
      <c r="BR43" s="380"/>
      <c r="BS43" s="380"/>
      <c r="BT43" s="380"/>
    </row>
    <row r="44" spans="1:72" ht="22.5" customHeight="1" x14ac:dyDescent="0.4">
      <c r="A44" s="399"/>
      <c r="B44" s="376">
        <v>36</v>
      </c>
      <c r="C44" s="310">
        <v>43957</v>
      </c>
      <c r="D44" s="229" t="str">
        <f>IFERROR(VLOOKUP(C44,'बँक जमा खर्च पासबुक'!$C$9:$R$111,2,0),"")</f>
        <v/>
      </c>
      <c r="E44" s="229" t="str">
        <f>IFERROR(VLOOKUP(C44,'बँक जमा खर्च पासबुक'!$C$9:$R$111,3,0),"")</f>
        <v/>
      </c>
      <c r="F44" s="229" t="str">
        <f>IFERROR(VLOOKUP(C44,'बँक जमा खर्च पासबुक'!$C$9:$R$111,4,0),"")</f>
        <v/>
      </c>
      <c r="G44" s="229" t="str">
        <f>IFERROR(VLOOKUP(C44,'बँक जमा खर्च पासबुक'!$C$9:$R$111,5,0),"")</f>
        <v/>
      </c>
      <c r="H44" s="229" t="str">
        <f>IFERROR(VLOOKUP(C44,'बँक जमा खर्च पासबुक'!$C$9:$R$111,6,0),"")</f>
        <v/>
      </c>
      <c r="I44" s="229" t="str">
        <f>IFERROR(VLOOKUP(C44,'बँक जमा खर्च पासबुक'!$C$9:$R$111,7,0),"")</f>
        <v/>
      </c>
      <c r="J44" s="233">
        <f>SUMIF('बँक जमा खर्च पासबुक'!$C$9:$C$111,'बँक खर्च व्हाउचर पावती'!C44,'बँक जमा खर्च पासबुक'!$J$9:$J$111)</f>
        <v>0</v>
      </c>
      <c r="K44" s="233">
        <f>SUMIF('बँक जमा खर्च पासबुक'!$C$9:$C$111,'बँक खर्च व्हाउचर पावती'!C44,'बँक जमा खर्च पासबुक'!$K$9:$K$111)</f>
        <v>0</v>
      </c>
      <c r="L44" s="233">
        <f ca="1">SUMIF('बँक जमा खर्च पासबुक'!$C$9:$C$111,'बँक खर्च व्हाउचर पावती'!C44,'बँक जमा खर्च पासबुक'!$L$9:$L$110)</f>
        <v>0</v>
      </c>
      <c r="M44" s="228">
        <f>SUMIF('बँक जमा खर्च पासबुक'!$C$9:$C$111,'बँक खर्च व्हाउचर पावती'!C44,'बँक जमा खर्च पासबुक'!$M$9:$M$111)</f>
        <v>0</v>
      </c>
      <c r="N44" s="233">
        <f t="shared" ca="1" si="49"/>
        <v>3000</v>
      </c>
      <c r="O44" s="228">
        <f t="shared" si="50"/>
        <v>3000</v>
      </c>
      <c r="P44" s="228">
        <f t="shared" ca="1" si="48"/>
        <v>6000</v>
      </c>
      <c r="Q44" s="399"/>
      <c r="AM44" s="380"/>
      <c r="AN44" s="380"/>
      <c r="AO44" s="380">
        <v>8</v>
      </c>
      <c r="AP44" s="260" t="str">
        <f t="shared" si="97"/>
        <v/>
      </c>
      <c r="AQ44" s="260" t="str">
        <f t="shared" si="75"/>
        <v/>
      </c>
      <c r="AR44" s="260" t="str">
        <f t="shared" si="76"/>
        <v/>
      </c>
      <c r="AS44" s="260" t="str">
        <f t="shared" si="77"/>
        <v/>
      </c>
      <c r="AT44" s="260" t="str">
        <f t="shared" si="78"/>
        <v/>
      </c>
      <c r="AU44" s="260" t="str">
        <f t="shared" si="79"/>
        <v/>
      </c>
      <c r="AV44" s="260" t="str">
        <f t="shared" si="80"/>
        <v/>
      </c>
      <c r="AW44" s="260" t="str">
        <f t="shared" si="81"/>
        <v/>
      </c>
      <c r="AX44" s="260" t="str">
        <f t="shared" si="82"/>
        <v/>
      </c>
      <c r="AY44" s="260" t="str">
        <f t="shared" si="83"/>
        <v/>
      </c>
      <c r="AZ44" s="260" t="str">
        <f t="shared" si="84"/>
        <v/>
      </c>
      <c r="BA44" s="260" t="str">
        <f t="shared" si="85"/>
        <v/>
      </c>
      <c r="BB44" s="380"/>
      <c r="BC44" s="380"/>
      <c r="BD44" s="380">
        <v>7</v>
      </c>
      <c r="BE44" s="260" t="str">
        <f t="shared" si="98"/>
        <v/>
      </c>
      <c r="BF44" s="260" t="str">
        <f t="shared" si="86"/>
        <v/>
      </c>
      <c r="BG44" s="260" t="str">
        <f t="shared" si="87"/>
        <v/>
      </c>
      <c r="BH44" s="260" t="str">
        <f t="shared" si="88"/>
        <v/>
      </c>
      <c r="BI44" s="260" t="str">
        <f t="shared" si="89"/>
        <v/>
      </c>
      <c r="BJ44" s="260" t="str">
        <f t="shared" si="90"/>
        <v/>
      </c>
      <c r="BK44" s="260" t="str">
        <f t="shared" si="91"/>
        <v/>
      </c>
      <c r="BL44" s="260" t="str">
        <f t="shared" si="92"/>
        <v/>
      </c>
      <c r="BM44" s="260" t="str">
        <f t="shared" si="93"/>
        <v/>
      </c>
      <c r="BN44" s="260" t="str">
        <f t="shared" si="94"/>
        <v/>
      </c>
      <c r="BO44" s="260" t="str">
        <f t="shared" si="95"/>
        <v/>
      </c>
      <c r="BP44" s="260" t="str">
        <f t="shared" si="96"/>
        <v/>
      </c>
      <c r="BQ44" s="380"/>
      <c r="BR44" s="380"/>
      <c r="BS44" s="380"/>
      <c r="BT44" s="380"/>
    </row>
    <row r="45" spans="1:72" ht="22.5" customHeight="1" x14ac:dyDescent="0.4">
      <c r="A45" s="399"/>
      <c r="B45" s="376">
        <v>37</v>
      </c>
      <c r="C45" s="310">
        <v>43958</v>
      </c>
      <c r="D45" s="229" t="str">
        <f>IFERROR(VLOOKUP(C45,'बँक जमा खर्च पासबुक'!$C$9:$R$111,2,0),"")</f>
        <v/>
      </c>
      <c r="E45" s="229" t="str">
        <f>IFERROR(VLOOKUP(C45,'बँक जमा खर्च पासबुक'!$C$9:$R$111,3,0),"")</f>
        <v/>
      </c>
      <c r="F45" s="229" t="str">
        <f>IFERROR(VLOOKUP(C45,'बँक जमा खर्च पासबुक'!$C$9:$R$111,4,0),"")</f>
        <v/>
      </c>
      <c r="G45" s="229" t="str">
        <f>IFERROR(VLOOKUP(C45,'बँक जमा खर्च पासबुक'!$C$9:$R$111,5,0),"")</f>
        <v/>
      </c>
      <c r="H45" s="229" t="str">
        <f>IFERROR(VLOOKUP(C45,'बँक जमा खर्च पासबुक'!$C$9:$R$111,6,0),"")</f>
        <v/>
      </c>
      <c r="I45" s="229" t="str">
        <f>IFERROR(VLOOKUP(C45,'बँक जमा खर्च पासबुक'!$C$9:$R$111,7,0),"")</f>
        <v/>
      </c>
      <c r="J45" s="233">
        <f>SUMIF('बँक जमा खर्च पासबुक'!$C$9:$C$111,'बँक खर्च व्हाउचर पावती'!C45,'बँक जमा खर्च पासबुक'!$J$9:$J$111)</f>
        <v>0</v>
      </c>
      <c r="K45" s="233">
        <f>SUMIF('बँक जमा खर्च पासबुक'!$C$9:$C$111,'बँक खर्च व्हाउचर पावती'!C45,'बँक जमा खर्च पासबुक'!$K$9:$K$111)</f>
        <v>0</v>
      </c>
      <c r="L45" s="233">
        <f ca="1">SUMIF('बँक जमा खर्च पासबुक'!$C$9:$C$111,'बँक खर्च व्हाउचर पावती'!C45,'बँक जमा खर्च पासबुक'!$L$9:$L$110)</f>
        <v>0</v>
      </c>
      <c r="M45" s="228">
        <f>SUMIF('बँक जमा खर्च पासबुक'!$C$9:$C$111,'बँक खर्च व्हाउचर पावती'!C45,'बँक जमा खर्च पासबुक'!$M$9:$M$111)</f>
        <v>0</v>
      </c>
      <c r="N45" s="233">
        <f t="shared" ca="1" si="49"/>
        <v>3000</v>
      </c>
      <c r="O45" s="228">
        <f t="shared" si="50"/>
        <v>3000</v>
      </c>
      <c r="P45" s="228">
        <f t="shared" ca="1" si="48"/>
        <v>6000</v>
      </c>
      <c r="Q45" s="399"/>
      <c r="AM45" s="380"/>
      <c r="AN45" s="380"/>
      <c r="AO45" s="380">
        <v>9</v>
      </c>
      <c r="AP45" s="260" t="str">
        <f t="shared" si="97"/>
        <v/>
      </c>
      <c r="AQ45" s="260" t="str">
        <f t="shared" si="75"/>
        <v/>
      </c>
      <c r="AR45" s="260" t="str">
        <f t="shared" si="76"/>
        <v/>
      </c>
      <c r="AS45" s="260" t="str">
        <f t="shared" si="77"/>
        <v/>
      </c>
      <c r="AT45" s="260" t="str">
        <f t="shared" si="78"/>
        <v/>
      </c>
      <c r="AU45" s="260" t="str">
        <f t="shared" si="79"/>
        <v/>
      </c>
      <c r="AV45" s="260" t="str">
        <f t="shared" si="80"/>
        <v/>
      </c>
      <c r="AW45" s="260" t="str">
        <f t="shared" si="81"/>
        <v/>
      </c>
      <c r="AX45" s="260" t="str">
        <f t="shared" si="82"/>
        <v/>
      </c>
      <c r="AY45" s="260" t="str">
        <f t="shared" si="83"/>
        <v/>
      </c>
      <c r="AZ45" s="260" t="str">
        <f t="shared" si="84"/>
        <v/>
      </c>
      <c r="BA45" s="260" t="str">
        <f t="shared" si="85"/>
        <v/>
      </c>
      <c r="BB45" s="380"/>
      <c r="BC45" s="380"/>
      <c r="BD45" s="380">
        <v>8</v>
      </c>
      <c r="BE45" s="260" t="str">
        <f t="shared" si="98"/>
        <v/>
      </c>
      <c r="BF45" s="260" t="str">
        <f t="shared" si="86"/>
        <v/>
      </c>
      <c r="BG45" s="260" t="str">
        <f t="shared" si="87"/>
        <v/>
      </c>
      <c r="BH45" s="260" t="str">
        <f t="shared" si="88"/>
        <v/>
      </c>
      <c r="BI45" s="260" t="str">
        <f t="shared" si="89"/>
        <v/>
      </c>
      <c r="BJ45" s="260" t="str">
        <f t="shared" si="90"/>
        <v/>
      </c>
      <c r="BK45" s="260" t="str">
        <f t="shared" si="91"/>
        <v/>
      </c>
      <c r="BL45" s="260" t="str">
        <f t="shared" si="92"/>
        <v/>
      </c>
      <c r="BM45" s="260" t="str">
        <f t="shared" si="93"/>
        <v/>
      </c>
      <c r="BN45" s="260" t="str">
        <f t="shared" si="94"/>
        <v/>
      </c>
      <c r="BO45" s="260" t="str">
        <f t="shared" si="95"/>
        <v/>
      </c>
      <c r="BP45" s="260" t="str">
        <f t="shared" si="96"/>
        <v/>
      </c>
      <c r="BQ45" s="380"/>
      <c r="BR45" s="380"/>
      <c r="BS45" s="380"/>
      <c r="BT45" s="380"/>
    </row>
    <row r="46" spans="1:72" ht="22.5" customHeight="1" x14ac:dyDescent="0.4">
      <c r="A46" s="399"/>
      <c r="B46" s="376">
        <v>38</v>
      </c>
      <c r="C46" s="310">
        <v>43959</v>
      </c>
      <c r="D46" s="229" t="str">
        <f>IFERROR(VLOOKUP(C46,'बँक जमा खर्च पासबुक'!$C$9:$R$111,2,0),"")</f>
        <v/>
      </c>
      <c r="E46" s="229" t="str">
        <f>IFERROR(VLOOKUP(C46,'बँक जमा खर्च पासबुक'!$C$9:$R$111,3,0),"")</f>
        <v/>
      </c>
      <c r="F46" s="229" t="str">
        <f>IFERROR(VLOOKUP(C46,'बँक जमा खर्च पासबुक'!$C$9:$R$111,4,0),"")</f>
        <v/>
      </c>
      <c r="G46" s="229" t="str">
        <f>IFERROR(VLOOKUP(C46,'बँक जमा खर्च पासबुक'!$C$9:$R$111,5,0),"")</f>
        <v/>
      </c>
      <c r="H46" s="229" t="str">
        <f>IFERROR(VLOOKUP(C46,'बँक जमा खर्च पासबुक'!$C$9:$R$111,6,0),"")</f>
        <v/>
      </c>
      <c r="I46" s="229" t="str">
        <f>IFERROR(VLOOKUP(C46,'बँक जमा खर्च पासबुक'!$C$9:$R$111,7,0),"")</f>
        <v/>
      </c>
      <c r="J46" s="233">
        <f>SUMIF('बँक जमा खर्च पासबुक'!$C$9:$C$111,'बँक खर्च व्हाउचर पावती'!C46,'बँक जमा खर्च पासबुक'!$J$9:$J$111)</f>
        <v>0</v>
      </c>
      <c r="K46" s="233">
        <f>SUMIF('बँक जमा खर्च पासबुक'!$C$9:$C$111,'बँक खर्च व्हाउचर पावती'!C46,'बँक जमा खर्च पासबुक'!$K$9:$K$111)</f>
        <v>0</v>
      </c>
      <c r="L46" s="233">
        <f ca="1">SUMIF('बँक जमा खर्च पासबुक'!$C$9:$C$111,'बँक खर्च व्हाउचर पावती'!C46,'बँक जमा खर्च पासबुक'!$L$9:$L$110)</f>
        <v>0</v>
      </c>
      <c r="M46" s="228">
        <f>SUMIF('बँक जमा खर्च पासबुक'!$C$9:$C$111,'बँक खर्च व्हाउचर पावती'!C46,'बँक जमा खर्च पासबुक'!$M$9:$M$111)</f>
        <v>0</v>
      </c>
      <c r="N46" s="233">
        <f t="shared" ca="1" si="49"/>
        <v>3000</v>
      </c>
      <c r="O46" s="228">
        <f t="shared" si="50"/>
        <v>3000</v>
      </c>
      <c r="P46" s="228">
        <f t="shared" ca="1" si="48"/>
        <v>6000</v>
      </c>
      <c r="Q46" s="399"/>
      <c r="AM46" s="380"/>
      <c r="AN46" s="380"/>
      <c r="AO46" s="380">
        <v>10</v>
      </c>
      <c r="AP46" s="260" t="str">
        <f t="shared" si="97"/>
        <v/>
      </c>
      <c r="AQ46" s="260" t="str">
        <f t="shared" si="75"/>
        <v/>
      </c>
      <c r="AR46" s="260" t="str">
        <f t="shared" si="76"/>
        <v/>
      </c>
      <c r="AS46" s="260" t="str">
        <f t="shared" si="77"/>
        <v/>
      </c>
      <c r="AT46" s="260" t="str">
        <f t="shared" si="78"/>
        <v/>
      </c>
      <c r="AU46" s="260" t="str">
        <f t="shared" si="79"/>
        <v/>
      </c>
      <c r="AV46" s="260" t="str">
        <f t="shared" si="80"/>
        <v/>
      </c>
      <c r="AW46" s="260" t="str">
        <f t="shared" si="81"/>
        <v/>
      </c>
      <c r="AX46" s="260" t="str">
        <f t="shared" si="82"/>
        <v/>
      </c>
      <c r="AY46" s="260" t="str">
        <f t="shared" si="83"/>
        <v/>
      </c>
      <c r="AZ46" s="260" t="str">
        <f t="shared" si="84"/>
        <v/>
      </c>
      <c r="BA46" s="260" t="str">
        <f t="shared" si="85"/>
        <v/>
      </c>
      <c r="BB46" s="380"/>
      <c r="BC46" s="380"/>
      <c r="BD46" s="380">
        <v>9</v>
      </c>
      <c r="BE46" s="260" t="str">
        <f t="shared" si="98"/>
        <v/>
      </c>
      <c r="BF46" s="260" t="str">
        <f t="shared" si="86"/>
        <v/>
      </c>
      <c r="BG46" s="260" t="str">
        <f t="shared" si="87"/>
        <v/>
      </c>
      <c r="BH46" s="260" t="str">
        <f t="shared" si="88"/>
        <v/>
      </c>
      <c r="BI46" s="260" t="str">
        <f t="shared" si="89"/>
        <v/>
      </c>
      <c r="BJ46" s="260" t="str">
        <f t="shared" si="90"/>
        <v/>
      </c>
      <c r="BK46" s="260" t="str">
        <f t="shared" si="91"/>
        <v/>
      </c>
      <c r="BL46" s="260" t="str">
        <f t="shared" si="92"/>
        <v/>
      </c>
      <c r="BM46" s="260" t="str">
        <f t="shared" si="93"/>
        <v/>
      </c>
      <c r="BN46" s="260" t="str">
        <f t="shared" si="94"/>
        <v/>
      </c>
      <c r="BO46" s="260" t="str">
        <f t="shared" si="95"/>
        <v/>
      </c>
      <c r="BP46" s="260" t="str">
        <f t="shared" si="96"/>
        <v/>
      </c>
      <c r="BQ46" s="380"/>
      <c r="BR46" s="380"/>
      <c r="BS46" s="380"/>
      <c r="BT46" s="380"/>
    </row>
    <row r="47" spans="1:72" ht="22.5" customHeight="1" x14ac:dyDescent="0.4">
      <c r="A47" s="399"/>
      <c r="B47" s="376">
        <v>39</v>
      </c>
      <c r="C47" s="310">
        <v>43960</v>
      </c>
      <c r="D47" s="229" t="str">
        <f>IFERROR(VLOOKUP(C47,'बँक जमा खर्च पासबुक'!$C$9:$R$111,2,0),"")</f>
        <v/>
      </c>
      <c r="E47" s="229" t="str">
        <f>IFERROR(VLOOKUP(C47,'बँक जमा खर्च पासबुक'!$C$9:$R$111,3,0),"")</f>
        <v/>
      </c>
      <c r="F47" s="229" t="str">
        <f>IFERROR(VLOOKUP(C47,'बँक जमा खर्च पासबुक'!$C$9:$R$111,4,0),"")</f>
        <v/>
      </c>
      <c r="G47" s="229" t="str">
        <f>IFERROR(VLOOKUP(C47,'बँक जमा खर्च पासबुक'!$C$9:$R$111,5,0),"")</f>
        <v/>
      </c>
      <c r="H47" s="229" t="str">
        <f>IFERROR(VLOOKUP(C47,'बँक जमा खर्च पासबुक'!$C$9:$R$111,6,0),"")</f>
        <v/>
      </c>
      <c r="I47" s="229" t="str">
        <f>IFERROR(VLOOKUP(C47,'बँक जमा खर्च पासबुक'!$C$9:$R$111,7,0),"")</f>
        <v/>
      </c>
      <c r="J47" s="233">
        <f>SUMIF('बँक जमा खर्च पासबुक'!$C$9:$C$111,'बँक खर्च व्हाउचर पावती'!C47,'बँक जमा खर्च पासबुक'!$J$9:$J$111)</f>
        <v>0</v>
      </c>
      <c r="K47" s="233">
        <f>SUMIF('बँक जमा खर्च पासबुक'!$C$9:$C$111,'बँक खर्च व्हाउचर पावती'!C47,'बँक जमा खर्च पासबुक'!$K$9:$K$111)</f>
        <v>0</v>
      </c>
      <c r="L47" s="233">
        <f ca="1">SUMIF('बँक जमा खर्च पासबुक'!$C$9:$C$111,'बँक खर्च व्हाउचर पावती'!C47,'बँक जमा खर्च पासबुक'!$L$9:$L$110)</f>
        <v>0</v>
      </c>
      <c r="M47" s="228">
        <f>SUMIF('बँक जमा खर्च पासबुक'!$C$9:$C$111,'बँक खर्च व्हाउचर पावती'!C47,'बँक जमा खर्च पासबुक'!$M$9:$M$111)</f>
        <v>0</v>
      </c>
      <c r="N47" s="233">
        <f t="shared" ca="1" si="49"/>
        <v>3000</v>
      </c>
      <c r="O47" s="228">
        <f t="shared" si="50"/>
        <v>3000</v>
      </c>
      <c r="P47" s="228">
        <f t="shared" ca="1" si="48"/>
        <v>6000</v>
      </c>
      <c r="Q47" s="399"/>
      <c r="AM47" s="380"/>
      <c r="AN47" s="380"/>
      <c r="AO47" s="380">
        <v>11</v>
      </c>
      <c r="AP47" s="260" t="str">
        <f t="shared" si="97"/>
        <v/>
      </c>
      <c r="AQ47" s="260" t="str">
        <f t="shared" si="75"/>
        <v/>
      </c>
      <c r="AR47" s="260" t="str">
        <f t="shared" si="76"/>
        <v/>
      </c>
      <c r="AS47" s="260" t="str">
        <f t="shared" si="77"/>
        <v/>
      </c>
      <c r="AT47" s="260" t="str">
        <f t="shared" si="78"/>
        <v/>
      </c>
      <c r="AU47" s="260" t="str">
        <f t="shared" si="79"/>
        <v/>
      </c>
      <c r="AV47" s="260" t="str">
        <f t="shared" si="80"/>
        <v/>
      </c>
      <c r="AW47" s="260" t="str">
        <f t="shared" si="81"/>
        <v/>
      </c>
      <c r="AX47" s="260" t="str">
        <f t="shared" si="82"/>
        <v/>
      </c>
      <c r="AY47" s="260" t="str">
        <f t="shared" si="83"/>
        <v/>
      </c>
      <c r="AZ47" s="260" t="str">
        <f t="shared" si="84"/>
        <v/>
      </c>
      <c r="BA47" s="260" t="str">
        <f t="shared" si="85"/>
        <v/>
      </c>
      <c r="BB47" s="380"/>
      <c r="BC47" s="380"/>
      <c r="BD47" s="380">
        <v>10</v>
      </c>
      <c r="BE47" s="260" t="str">
        <f t="shared" si="98"/>
        <v/>
      </c>
      <c r="BF47" s="260" t="str">
        <f t="shared" si="86"/>
        <v/>
      </c>
      <c r="BG47" s="260" t="str">
        <f t="shared" si="87"/>
        <v/>
      </c>
      <c r="BH47" s="260" t="str">
        <f t="shared" si="88"/>
        <v/>
      </c>
      <c r="BI47" s="260" t="str">
        <f t="shared" si="89"/>
        <v/>
      </c>
      <c r="BJ47" s="260" t="str">
        <f t="shared" si="90"/>
        <v/>
      </c>
      <c r="BK47" s="260" t="str">
        <f t="shared" si="91"/>
        <v/>
      </c>
      <c r="BL47" s="260" t="str">
        <f t="shared" si="92"/>
        <v/>
      </c>
      <c r="BM47" s="260" t="str">
        <f t="shared" si="93"/>
        <v/>
      </c>
      <c r="BN47" s="260" t="str">
        <f t="shared" si="94"/>
        <v/>
      </c>
      <c r="BO47" s="260" t="str">
        <f t="shared" si="95"/>
        <v/>
      </c>
      <c r="BP47" s="260" t="str">
        <f t="shared" si="96"/>
        <v/>
      </c>
      <c r="BQ47" s="380"/>
      <c r="BR47" s="380"/>
      <c r="BS47" s="380"/>
      <c r="BT47" s="380"/>
    </row>
    <row r="48" spans="1:72" ht="22.5" customHeight="1" x14ac:dyDescent="0.4">
      <c r="A48" s="399"/>
      <c r="B48" s="376">
        <v>40</v>
      </c>
      <c r="C48" s="310">
        <v>43961</v>
      </c>
      <c r="D48" s="229" t="str">
        <f>IFERROR(VLOOKUP(C48,'बँक जमा खर्च पासबुक'!$C$9:$R$111,2,0),"")</f>
        <v/>
      </c>
      <c r="E48" s="229" t="str">
        <f>IFERROR(VLOOKUP(C48,'बँक जमा खर्च पासबुक'!$C$9:$R$111,3,0),"")</f>
        <v/>
      </c>
      <c r="F48" s="229" t="str">
        <f>IFERROR(VLOOKUP(C48,'बँक जमा खर्च पासबुक'!$C$9:$R$111,4,0),"")</f>
        <v/>
      </c>
      <c r="G48" s="229" t="str">
        <f>IFERROR(VLOOKUP(C48,'बँक जमा खर्च पासबुक'!$C$9:$R$111,5,0),"")</f>
        <v/>
      </c>
      <c r="H48" s="229" t="str">
        <f>IFERROR(VLOOKUP(C48,'बँक जमा खर्च पासबुक'!$C$9:$R$111,6,0),"")</f>
        <v/>
      </c>
      <c r="I48" s="229" t="str">
        <f>IFERROR(VLOOKUP(C48,'बँक जमा खर्च पासबुक'!$C$9:$R$111,7,0),"")</f>
        <v/>
      </c>
      <c r="J48" s="233">
        <f>SUMIF('बँक जमा खर्च पासबुक'!$C$9:$C$111,'बँक खर्च व्हाउचर पावती'!C48,'बँक जमा खर्च पासबुक'!$J$9:$J$111)</f>
        <v>0</v>
      </c>
      <c r="K48" s="233">
        <f>SUMIF('बँक जमा खर्च पासबुक'!$C$9:$C$111,'बँक खर्च व्हाउचर पावती'!C48,'बँक जमा खर्च पासबुक'!$K$9:$K$111)</f>
        <v>0</v>
      </c>
      <c r="L48" s="233">
        <f ca="1">SUMIF('बँक जमा खर्च पासबुक'!$C$9:$C$111,'बँक खर्च व्हाउचर पावती'!C48,'बँक जमा खर्च पासबुक'!$L$9:$L$110)</f>
        <v>0</v>
      </c>
      <c r="M48" s="228">
        <f>SUMIF('बँक जमा खर्च पासबुक'!$C$9:$C$111,'बँक खर्च व्हाउचर पावती'!C48,'बँक जमा खर्च पासबुक'!$M$9:$M$111)</f>
        <v>0</v>
      </c>
      <c r="N48" s="233">
        <f t="shared" ca="1" si="49"/>
        <v>3000</v>
      </c>
      <c r="O48" s="228">
        <f t="shared" si="50"/>
        <v>3000</v>
      </c>
      <c r="P48" s="228">
        <f t="shared" ca="1" si="48"/>
        <v>6000</v>
      </c>
      <c r="Q48" s="399"/>
      <c r="AM48" s="380"/>
      <c r="AN48" s="380"/>
      <c r="AO48" s="380">
        <v>12</v>
      </c>
      <c r="AP48" s="260" t="str">
        <f t="shared" si="97"/>
        <v/>
      </c>
      <c r="AQ48" s="260" t="str">
        <f t="shared" si="75"/>
        <v/>
      </c>
      <c r="AR48" s="260" t="str">
        <f t="shared" si="76"/>
        <v/>
      </c>
      <c r="AS48" s="260" t="str">
        <f t="shared" si="77"/>
        <v/>
      </c>
      <c r="AT48" s="260" t="str">
        <f t="shared" si="78"/>
        <v/>
      </c>
      <c r="AU48" s="260" t="str">
        <f t="shared" si="79"/>
        <v/>
      </c>
      <c r="AV48" s="260" t="str">
        <f t="shared" si="80"/>
        <v/>
      </c>
      <c r="AW48" s="260" t="str">
        <f t="shared" si="81"/>
        <v/>
      </c>
      <c r="AX48" s="260" t="str">
        <f t="shared" si="82"/>
        <v/>
      </c>
      <c r="AY48" s="260" t="str">
        <f t="shared" si="83"/>
        <v/>
      </c>
      <c r="AZ48" s="260" t="str">
        <f t="shared" si="84"/>
        <v/>
      </c>
      <c r="BA48" s="260" t="str">
        <f t="shared" si="85"/>
        <v/>
      </c>
      <c r="BB48" s="380"/>
      <c r="BC48" s="380"/>
      <c r="BD48" s="380">
        <v>11</v>
      </c>
      <c r="BE48" s="260" t="str">
        <f t="shared" si="98"/>
        <v/>
      </c>
      <c r="BF48" s="260" t="str">
        <f t="shared" si="86"/>
        <v/>
      </c>
      <c r="BG48" s="260" t="str">
        <f t="shared" si="87"/>
        <v/>
      </c>
      <c r="BH48" s="260" t="str">
        <f t="shared" si="88"/>
        <v/>
      </c>
      <c r="BI48" s="260" t="str">
        <f t="shared" si="89"/>
        <v/>
      </c>
      <c r="BJ48" s="260" t="str">
        <f t="shared" si="90"/>
        <v/>
      </c>
      <c r="BK48" s="260" t="str">
        <f t="shared" si="91"/>
        <v/>
      </c>
      <c r="BL48" s="260" t="str">
        <f t="shared" si="92"/>
        <v/>
      </c>
      <c r="BM48" s="260" t="str">
        <f t="shared" si="93"/>
        <v/>
      </c>
      <c r="BN48" s="260" t="str">
        <f t="shared" si="94"/>
        <v/>
      </c>
      <c r="BO48" s="260" t="str">
        <f t="shared" si="95"/>
        <v/>
      </c>
      <c r="BP48" s="260" t="str">
        <f t="shared" si="96"/>
        <v/>
      </c>
      <c r="BQ48" s="380"/>
      <c r="BR48" s="380"/>
      <c r="BS48" s="380"/>
      <c r="BT48" s="380"/>
    </row>
    <row r="49" spans="1:72" ht="22.5" customHeight="1" x14ac:dyDescent="0.4">
      <c r="A49" s="399"/>
      <c r="B49" s="376">
        <v>41</v>
      </c>
      <c r="C49" s="310">
        <v>43962</v>
      </c>
      <c r="D49" s="229" t="str">
        <f>IFERROR(VLOOKUP(C49,'बँक जमा खर्च पासबुक'!$C$9:$R$111,2,0),"")</f>
        <v/>
      </c>
      <c r="E49" s="229" t="str">
        <f>IFERROR(VLOOKUP(C49,'बँक जमा खर्च पासबुक'!$C$9:$R$111,3,0),"")</f>
        <v/>
      </c>
      <c r="F49" s="229" t="str">
        <f>IFERROR(VLOOKUP(C49,'बँक जमा खर्च पासबुक'!$C$9:$R$111,4,0),"")</f>
        <v/>
      </c>
      <c r="G49" s="229" t="str">
        <f>IFERROR(VLOOKUP(C49,'बँक जमा खर्च पासबुक'!$C$9:$R$111,5,0),"")</f>
        <v/>
      </c>
      <c r="H49" s="229" t="str">
        <f>IFERROR(VLOOKUP(C49,'बँक जमा खर्च पासबुक'!$C$9:$R$111,6,0),"")</f>
        <v/>
      </c>
      <c r="I49" s="229" t="str">
        <f>IFERROR(VLOOKUP(C49,'बँक जमा खर्च पासबुक'!$C$9:$R$111,7,0),"")</f>
        <v/>
      </c>
      <c r="J49" s="233">
        <f>SUMIF('बँक जमा खर्च पासबुक'!$C$9:$C$111,'बँक खर्च व्हाउचर पावती'!C49,'बँक जमा खर्च पासबुक'!$J$9:$J$111)</f>
        <v>0</v>
      </c>
      <c r="K49" s="233">
        <f>SUMIF('बँक जमा खर्च पासबुक'!$C$9:$C$111,'बँक खर्च व्हाउचर पावती'!C49,'बँक जमा खर्च पासबुक'!$K$9:$K$111)</f>
        <v>0</v>
      </c>
      <c r="L49" s="233">
        <f ca="1">SUMIF('बँक जमा खर्च पासबुक'!$C$9:$C$111,'बँक खर्च व्हाउचर पावती'!C49,'बँक जमा खर्च पासबुक'!$L$9:$L$110)</f>
        <v>0</v>
      </c>
      <c r="M49" s="228">
        <f>SUMIF('बँक जमा खर्च पासबुक'!$C$9:$C$111,'बँक खर्च व्हाउचर पावती'!C49,'बँक जमा खर्च पासबुक'!$M$9:$M$111)</f>
        <v>0</v>
      </c>
      <c r="N49" s="233">
        <f t="shared" ca="1" si="49"/>
        <v>3000</v>
      </c>
      <c r="O49" s="228">
        <f t="shared" si="50"/>
        <v>3000</v>
      </c>
      <c r="P49" s="228">
        <f t="shared" ca="1" si="48"/>
        <v>6000</v>
      </c>
      <c r="Q49" s="399"/>
      <c r="AM49" s="380"/>
      <c r="AN49" s="380"/>
      <c r="AO49" s="380">
        <v>13</v>
      </c>
      <c r="AP49" s="260" t="str">
        <f t="shared" si="97"/>
        <v/>
      </c>
      <c r="AQ49" s="260" t="str">
        <f t="shared" si="75"/>
        <v/>
      </c>
      <c r="AR49" s="260" t="str">
        <f t="shared" si="76"/>
        <v/>
      </c>
      <c r="AS49" s="260" t="str">
        <f t="shared" si="77"/>
        <v/>
      </c>
      <c r="AT49" s="260" t="str">
        <f t="shared" si="78"/>
        <v/>
      </c>
      <c r="AU49" s="260" t="str">
        <f t="shared" si="79"/>
        <v/>
      </c>
      <c r="AV49" s="260" t="str">
        <f t="shared" si="80"/>
        <v/>
      </c>
      <c r="AW49" s="260" t="str">
        <f t="shared" si="81"/>
        <v/>
      </c>
      <c r="AX49" s="260" t="str">
        <f t="shared" si="82"/>
        <v/>
      </c>
      <c r="AY49" s="260" t="str">
        <f t="shared" si="83"/>
        <v/>
      </c>
      <c r="AZ49" s="260" t="str">
        <f t="shared" si="84"/>
        <v/>
      </c>
      <c r="BA49" s="260" t="str">
        <f t="shared" si="85"/>
        <v/>
      </c>
      <c r="BB49" s="380"/>
      <c r="BC49" s="380"/>
      <c r="BD49" s="380">
        <v>12</v>
      </c>
      <c r="BE49" s="260" t="str">
        <f t="shared" si="98"/>
        <v/>
      </c>
      <c r="BF49" s="260" t="str">
        <f t="shared" si="86"/>
        <v/>
      </c>
      <c r="BG49" s="260" t="str">
        <f t="shared" si="87"/>
        <v/>
      </c>
      <c r="BH49" s="260" t="str">
        <f t="shared" si="88"/>
        <v/>
      </c>
      <c r="BI49" s="260" t="str">
        <f t="shared" si="89"/>
        <v/>
      </c>
      <c r="BJ49" s="260" t="str">
        <f t="shared" si="90"/>
        <v/>
      </c>
      <c r="BK49" s="260" t="str">
        <f t="shared" si="91"/>
        <v/>
      </c>
      <c r="BL49" s="260" t="str">
        <f t="shared" si="92"/>
        <v/>
      </c>
      <c r="BM49" s="260" t="str">
        <f t="shared" si="93"/>
        <v/>
      </c>
      <c r="BN49" s="260" t="str">
        <f t="shared" si="94"/>
        <v/>
      </c>
      <c r="BO49" s="260" t="str">
        <f t="shared" si="95"/>
        <v/>
      </c>
      <c r="BP49" s="260" t="str">
        <f t="shared" si="96"/>
        <v/>
      </c>
      <c r="BQ49" s="380"/>
      <c r="BR49" s="380"/>
      <c r="BS49" s="380"/>
      <c r="BT49" s="380"/>
    </row>
    <row r="50" spans="1:72" ht="22.5" customHeight="1" x14ac:dyDescent="0.4">
      <c r="A50" s="399"/>
      <c r="B50" s="376">
        <v>42</v>
      </c>
      <c r="C50" s="310">
        <v>43963</v>
      </c>
      <c r="D50" s="229" t="str">
        <f>IFERROR(VLOOKUP(C50,'बँक जमा खर्च पासबुक'!$C$9:$R$111,2,0),"")</f>
        <v/>
      </c>
      <c r="E50" s="229" t="str">
        <f>IFERROR(VLOOKUP(C50,'बँक जमा खर्च पासबुक'!$C$9:$R$111,3,0),"")</f>
        <v/>
      </c>
      <c r="F50" s="229" t="str">
        <f>IFERROR(VLOOKUP(C50,'बँक जमा खर्च पासबुक'!$C$9:$R$111,4,0),"")</f>
        <v/>
      </c>
      <c r="G50" s="229" t="str">
        <f>IFERROR(VLOOKUP(C50,'बँक जमा खर्च पासबुक'!$C$9:$R$111,5,0),"")</f>
        <v/>
      </c>
      <c r="H50" s="229" t="str">
        <f>IFERROR(VLOOKUP(C50,'बँक जमा खर्च पासबुक'!$C$9:$R$111,6,0),"")</f>
        <v/>
      </c>
      <c r="I50" s="229" t="str">
        <f>IFERROR(VLOOKUP(C50,'बँक जमा खर्च पासबुक'!$C$9:$R$111,7,0),"")</f>
        <v/>
      </c>
      <c r="J50" s="233">
        <f>SUMIF('बँक जमा खर्च पासबुक'!$C$9:$C$111,'बँक खर्च व्हाउचर पावती'!C50,'बँक जमा खर्च पासबुक'!$J$9:$J$111)</f>
        <v>0</v>
      </c>
      <c r="K50" s="233">
        <f>SUMIF('बँक जमा खर्च पासबुक'!$C$9:$C$111,'बँक खर्च व्हाउचर पावती'!C50,'बँक जमा खर्च पासबुक'!$K$9:$K$111)</f>
        <v>0</v>
      </c>
      <c r="L50" s="233">
        <f ca="1">SUMIF('बँक जमा खर्च पासबुक'!$C$9:$C$111,'बँक खर्च व्हाउचर पावती'!C50,'बँक जमा खर्च पासबुक'!$L$9:$L$110)</f>
        <v>0</v>
      </c>
      <c r="M50" s="228">
        <f>SUMIF('बँक जमा खर्च पासबुक'!$C$9:$C$111,'बँक खर्च व्हाउचर पावती'!C50,'बँक जमा खर्च पासबुक'!$M$9:$M$111)</f>
        <v>0</v>
      </c>
      <c r="N50" s="233">
        <f t="shared" ca="1" si="49"/>
        <v>3000</v>
      </c>
      <c r="O50" s="228">
        <f t="shared" si="50"/>
        <v>3000</v>
      </c>
      <c r="P50" s="228">
        <f t="shared" ca="1" si="48"/>
        <v>6000</v>
      </c>
      <c r="Q50" s="399"/>
      <c r="AM50" s="380"/>
      <c r="AN50" s="380"/>
      <c r="AO50" s="380">
        <v>14</v>
      </c>
      <c r="AP50" s="260" t="str">
        <f t="shared" si="97"/>
        <v/>
      </c>
      <c r="AQ50" s="260" t="str">
        <f t="shared" si="75"/>
        <v/>
      </c>
      <c r="AR50" s="260" t="str">
        <f t="shared" si="76"/>
        <v/>
      </c>
      <c r="AS50" s="260" t="str">
        <f t="shared" si="77"/>
        <v/>
      </c>
      <c r="AT50" s="260" t="str">
        <f t="shared" si="78"/>
        <v/>
      </c>
      <c r="AU50" s="260" t="str">
        <f t="shared" si="79"/>
        <v/>
      </c>
      <c r="AV50" s="260" t="str">
        <f t="shared" si="80"/>
        <v/>
      </c>
      <c r="AW50" s="260" t="str">
        <f t="shared" si="81"/>
        <v/>
      </c>
      <c r="AX50" s="260" t="str">
        <f t="shared" si="82"/>
        <v/>
      </c>
      <c r="AY50" s="260" t="str">
        <f t="shared" si="83"/>
        <v/>
      </c>
      <c r="AZ50" s="260" t="str">
        <f t="shared" si="84"/>
        <v/>
      </c>
      <c r="BA50" s="260" t="str">
        <f t="shared" si="85"/>
        <v/>
      </c>
      <c r="BB50" s="380"/>
      <c r="BC50" s="380"/>
      <c r="BD50" s="380">
        <v>13</v>
      </c>
      <c r="BE50" s="260" t="str">
        <f t="shared" si="98"/>
        <v/>
      </c>
      <c r="BF50" s="260" t="str">
        <f t="shared" si="86"/>
        <v/>
      </c>
      <c r="BG50" s="260" t="str">
        <f t="shared" si="87"/>
        <v/>
      </c>
      <c r="BH50" s="260" t="str">
        <f t="shared" si="88"/>
        <v/>
      </c>
      <c r="BI50" s="260" t="str">
        <f t="shared" si="89"/>
        <v/>
      </c>
      <c r="BJ50" s="260" t="str">
        <f t="shared" si="90"/>
        <v/>
      </c>
      <c r="BK50" s="260" t="str">
        <f t="shared" si="91"/>
        <v/>
      </c>
      <c r="BL50" s="260" t="str">
        <f t="shared" si="92"/>
        <v/>
      </c>
      <c r="BM50" s="260" t="str">
        <f t="shared" si="93"/>
        <v/>
      </c>
      <c r="BN50" s="260" t="str">
        <f t="shared" si="94"/>
        <v/>
      </c>
      <c r="BO50" s="260" t="str">
        <f t="shared" si="95"/>
        <v/>
      </c>
      <c r="BP50" s="260" t="str">
        <f t="shared" si="96"/>
        <v/>
      </c>
      <c r="BQ50" s="380"/>
      <c r="BR50" s="380"/>
      <c r="BS50" s="380"/>
      <c r="BT50" s="380"/>
    </row>
    <row r="51" spans="1:72" ht="22.5" customHeight="1" x14ac:dyDescent="0.4">
      <c r="A51" s="399"/>
      <c r="B51" s="376">
        <v>43</v>
      </c>
      <c r="C51" s="310">
        <v>43964</v>
      </c>
      <c r="D51" s="229" t="str">
        <f>IFERROR(VLOOKUP(C51,'बँक जमा खर्च पासबुक'!$C$9:$R$111,2,0),"")</f>
        <v/>
      </c>
      <c r="E51" s="229" t="str">
        <f>IFERROR(VLOOKUP(C51,'बँक जमा खर्च पासबुक'!$C$9:$R$111,3,0),"")</f>
        <v/>
      </c>
      <c r="F51" s="229" t="str">
        <f>IFERROR(VLOOKUP(C51,'बँक जमा खर्च पासबुक'!$C$9:$R$111,4,0),"")</f>
        <v/>
      </c>
      <c r="G51" s="229" t="str">
        <f>IFERROR(VLOOKUP(C51,'बँक जमा खर्च पासबुक'!$C$9:$R$111,5,0),"")</f>
        <v/>
      </c>
      <c r="H51" s="229" t="str">
        <f>IFERROR(VLOOKUP(C51,'बँक जमा खर्च पासबुक'!$C$9:$R$111,6,0),"")</f>
        <v/>
      </c>
      <c r="I51" s="229" t="str">
        <f>IFERROR(VLOOKUP(C51,'बँक जमा खर्च पासबुक'!$C$9:$R$111,7,0),"")</f>
        <v/>
      </c>
      <c r="J51" s="233">
        <f>SUMIF('बँक जमा खर्च पासबुक'!$C$9:$C$111,'बँक खर्च व्हाउचर पावती'!C51,'बँक जमा खर्च पासबुक'!$J$9:$J$111)</f>
        <v>0</v>
      </c>
      <c r="K51" s="233">
        <f>SUMIF('बँक जमा खर्च पासबुक'!$C$9:$C$111,'बँक खर्च व्हाउचर पावती'!C51,'बँक जमा खर्च पासबुक'!$K$9:$K$111)</f>
        <v>0</v>
      </c>
      <c r="L51" s="233">
        <f ca="1">SUMIF('बँक जमा खर्च पासबुक'!$C$9:$C$111,'बँक खर्च व्हाउचर पावती'!C51,'बँक जमा खर्च पासबुक'!$L$9:$L$110)</f>
        <v>0</v>
      </c>
      <c r="M51" s="228">
        <f>SUMIF('बँक जमा खर्च पासबुक'!$C$9:$C$111,'बँक खर्च व्हाउचर पावती'!C51,'बँक जमा खर्च पासबुक'!$M$9:$M$111)</f>
        <v>0</v>
      </c>
      <c r="N51" s="233">
        <f t="shared" ca="1" si="49"/>
        <v>3000</v>
      </c>
      <c r="O51" s="228">
        <f t="shared" si="50"/>
        <v>3000</v>
      </c>
      <c r="P51" s="228">
        <f t="shared" ca="1" si="48"/>
        <v>6000</v>
      </c>
      <c r="Q51" s="399"/>
      <c r="AM51" s="380"/>
      <c r="AN51" s="380"/>
      <c r="AO51" s="380">
        <v>15</v>
      </c>
      <c r="AP51" s="260" t="str">
        <f t="shared" si="97"/>
        <v/>
      </c>
      <c r="AQ51" s="260" t="str">
        <f t="shared" si="75"/>
        <v/>
      </c>
      <c r="AR51" s="260" t="str">
        <f t="shared" si="76"/>
        <v/>
      </c>
      <c r="AS51" s="260" t="str">
        <f t="shared" si="77"/>
        <v/>
      </c>
      <c r="AT51" s="260" t="str">
        <f t="shared" si="78"/>
        <v/>
      </c>
      <c r="AU51" s="260" t="str">
        <f t="shared" si="79"/>
        <v/>
      </c>
      <c r="AV51" s="260" t="str">
        <f t="shared" si="80"/>
        <v/>
      </c>
      <c r="AW51" s="260" t="str">
        <f t="shared" si="81"/>
        <v/>
      </c>
      <c r="AX51" s="260" t="str">
        <f t="shared" si="82"/>
        <v/>
      </c>
      <c r="AY51" s="260" t="str">
        <f t="shared" si="83"/>
        <v/>
      </c>
      <c r="AZ51" s="260" t="str">
        <f t="shared" si="84"/>
        <v/>
      </c>
      <c r="BA51" s="260" t="str">
        <f t="shared" si="85"/>
        <v/>
      </c>
      <c r="BB51" s="380"/>
      <c r="BC51" s="380"/>
      <c r="BD51" s="380">
        <v>14</v>
      </c>
      <c r="BE51" s="260" t="str">
        <f t="shared" si="98"/>
        <v/>
      </c>
      <c r="BF51" s="260" t="str">
        <f t="shared" si="86"/>
        <v/>
      </c>
      <c r="BG51" s="260" t="str">
        <f t="shared" si="87"/>
        <v/>
      </c>
      <c r="BH51" s="260" t="str">
        <f t="shared" si="88"/>
        <v/>
      </c>
      <c r="BI51" s="260" t="str">
        <f t="shared" si="89"/>
        <v/>
      </c>
      <c r="BJ51" s="260" t="str">
        <f t="shared" si="90"/>
        <v/>
      </c>
      <c r="BK51" s="260" t="str">
        <f t="shared" si="91"/>
        <v/>
      </c>
      <c r="BL51" s="260" t="str">
        <f t="shared" si="92"/>
        <v/>
      </c>
      <c r="BM51" s="260" t="str">
        <f t="shared" si="93"/>
        <v/>
      </c>
      <c r="BN51" s="260" t="str">
        <f t="shared" si="94"/>
        <v/>
      </c>
      <c r="BO51" s="260" t="str">
        <f t="shared" si="95"/>
        <v/>
      </c>
      <c r="BP51" s="260" t="str">
        <f t="shared" si="96"/>
        <v/>
      </c>
      <c r="BQ51" s="380"/>
      <c r="BR51" s="380"/>
      <c r="BS51" s="380"/>
      <c r="BT51" s="380"/>
    </row>
    <row r="52" spans="1:72" ht="22.5" customHeight="1" x14ac:dyDescent="0.4">
      <c r="A52" s="399"/>
      <c r="B52" s="376">
        <v>44</v>
      </c>
      <c r="C52" s="310">
        <v>43965</v>
      </c>
      <c r="D52" s="229" t="str">
        <f>IFERROR(VLOOKUP(C52,'बँक जमा खर्च पासबुक'!$C$9:$R$111,2,0),"")</f>
        <v/>
      </c>
      <c r="E52" s="229" t="str">
        <f>IFERROR(VLOOKUP(C52,'बँक जमा खर्च पासबुक'!$C$9:$R$111,3,0),"")</f>
        <v/>
      </c>
      <c r="F52" s="229" t="str">
        <f>IFERROR(VLOOKUP(C52,'बँक जमा खर्च पासबुक'!$C$9:$R$111,4,0),"")</f>
        <v/>
      </c>
      <c r="G52" s="229" t="str">
        <f>IFERROR(VLOOKUP(C52,'बँक जमा खर्च पासबुक'!$C$9:$R$111,5,0),"")</f>
        <v/>
      </c>
      <c r="H52" s="229" t="str">
        <f>IFERROR(VLOOKUP(C52,'बँक जमा खर्च पासबुक'!$C$9:$R$111,6,0),"")</f>
        <v/>
      </c>
      <c r="I52" s="229" t="str">
        <f>IFERROR(VLOOKUP(C52,'बँक जमा खर्च पासबुक'!$C$9:$R$111,7,0),"")</f>
        <v/>
      </c>
      <c r="J52" s="233">
        <f>SUMIF('बँक जमा खर्च पासबुक'!$C$9:$C$111,'बँक खर्च व्हाउचर पावती'!C52,'बँक जमा खर्च पासबुक'!$J$9:$J$111)</f>
        <v>0</v>
      </c>
      <c r="K52" s="233">
        <f>SUMIF('बँक जमा खर्च पासबुक'!$C$9:$C$111,'बँक खर्च व्हाउचर पावती'!C52,'बँक जमा खर्च पासबुक'!$K$9:$K$111)</f>
        <v>0</v>
      </c>
      <c r="L52" s="233">
        <f ca="1">SUMIF('बँक जमा खर्च पासबुक'!$C$9:$C$111,'बँक खर्च व्हाउचर पावती'!C52,'बँक जमा खर्च पासबुक'!$L$9:$L$110)</f>
        <v>0</v>
      </c>
      <c r="M52" s="228">
        <f>SUMIF('बँक जमा खर्च पासबुक'!$C$9:$C$111,'बँक खर्च व्हाउचर पावती'!C52,'बँक जमा खर्च पासबुक'!$M$9:$M$111)</f>
        <v>0</v>
      </c>
      <c r="N52" s="233">
        <f t="shared" ca="1" si="49"/>
        <v>3000</v>
      </c>
      <c r="O52" s="228">
        <f t="shared" si="50"/>
        <v>3000</v>
      </c>
      <c r="P52" s="228">
        <f t="shared" ca="1" si="48"/>
        <v>6000</v>
      </c>
      <c r="Q52" s="399"/>
      <c r="AM52" s="380"/>
      <c r="AN52" s="380"/>
      <c r="AO52" s="380">
        <v>16</v>
      </c>
      <c r="AP52" s="260" t="str">
        <f t="shared" si="97"/>
        <v/>
      </c>
      <c r="AQ52" s="260" t="str">
        <f t="shared" si="75"/>
        <v/>
      </c>
      <c r="AR52" s="260" t="str">
        <f t="shared" si="76"/>
        <v/>
      </c>
      <c r="AS52" s="260" t="str">
        <f t="shared" si="77"/>
        <v/>
      </c>
      <c r="AT52" s="260" t="str">
        <f t="shared" si="78"/>
        <v/>
      </c>
      <c r="AU52" s="260" t="str">
        <f t="shared" si="79"/>
        <v/>
      </c>
      <c r="AV52" s="260" t="str">
        <f t="shared" si="80"/>
        <v/>
      </c>
      <c r="AW52" s="260" t="str">
        <f t="shared" si="81"/>
        <v/>
      </c>
      <c r="AX52" s="260" t="str">
        <f t="shared" si="82"/>
        <v/>
      </c>
      <c r="AY52" s="260" t="str">
        <f t="shared" si="83"/>
        <v/>
      </c>
      <c r="AZ52" s="260" t="str">
        <f t="shared" si="84"/>
        <v/>
      </c>
      <c r="BA52" s="260" t="str">
        <f t="shared" si="85"/>
        <v/>
      </c>
      <c r="BB52" s="380"/>
      <c r="BC52" s="380"/>
      <c r="BD52" s="380">
        <v>15</v>
      </c>
      <c r="BE52" s="260" t="str">
        <f t="shared" si="98"/>
        <v/>
      </c>
      <c r="BF52" s="260" t="str">
        <f t="shared" si="86"/>
        <v/>
      </c>
      <c r="BG52" s="260" t="str">
        <f t="shared" si="87"/>
        <v/>
      </c>
      <c r="BH52" s="260" t="str">
        <f t="shared" si="88"/>
        <v/>
      </c>
      <c r="BI52" s="260" t="str">
        <f t="shared" si="89"/>
        <v/>
      </c>
      <c r="BJ52" s="260" t="str">
        <f t="shared" si="90"/>
        <v/>
      </c>
      <c r="BK52" s="260" t="str">
        <f t="shared" si="91"/>
        <v/>
      </c>
      <c r="BL52" s="260" t="str">
        <f t="shared" si="92"/>
        <v/>
      </c>
      <c r="BM52" s="260" t="str">
        <f t="shared" si="93"/>
        <v/>
      </c>
      <c r="BN52" s="260" t="str">
        <f t="shared" si="94"/>
        <v/>
      </c>
      <c r="BO52" s="260" t="str">
        <f t="shared" si="95"/>
        <v/>
      </c>
      <c r="BP52" s="260" t="str">
        <f t="shared" si="96"/>
        <v/>
      </c>
      <c r="BQ52" s="380"/>
      <c r="BR52" s="380"/>
      <c r="BS52" s="380"/>
      <c r="BT52" s="380"/>
    </row>
    <row r="53" spans="1:72" ht="22.5" customHeight="1" x14ac:dyDescent="0.4">
      <c r="A53" s="399"/>
      <c r="B53" s="376">
        <v>45</v>
      </c>
      <c r="C53" s="310">
        <v>43966</v>
      </c>
      <c r="D53" s="229" t="str">
        <f>IFERROR(VLOOKUP(C53,'बँक जमा खर्च पासबुक'!$C$9:$R$111,2,0),"")</f>
        <v/>
      </c>
      <c r="E53" s="229" t="str">
        <f>IFERROR(VLOOKUP(C53,'बँक जमा खर्च पासबुक'!$C$9:$R$111,3,0),"")</f>
        <v/>
      </c>
      <c r="F53" s="229" t="str">
        <f>IFERROR(VLOOKUP(C53,'बँक जमा खर्च पासबुक'!$C$9:$R$111,4,0),"")</f>
        <v/>
      </c>
      <c r="G53" s="229" t="str">
        <f>IFERROR(VLOOKUP(C53,'बँक जमा खर्च पासबुक'!$C$9:$R$111,5,0),"")</f>
        <v/>
      </c>
      <c r="H53" s="229" t="str">
        <f>IFERROR(VLOOKUP(C53,'बँक जमा खर्च पासबुक'!$C$9:$R$111,6,0),"")</f>
        <v/>
      </c>
      <c r="I53" s="229" t="str">
        <f>IFERROR(VLOOKUP(C53,'बँक जमा खर्च पासबुक'!$C$9:$R$111,7,0),"")</f>
        <v/>
      </c>
      <c r="J53" s="233">
        <f>SUMIF('बँक जमा खर्च पासबुक'!$C$9:$C$111,'बँक खर्च व्हाउचर पावती'!C53,'बँक जमा खर्च पासबुक'!$J$9:$J$111)</f>
        <v>0</v>
      </c>
      <c r="K53" s="233">
        <f>SUMIF('बँक जमा खर्च पासबुक'!$C$9:$C$111,'बँक खर्च व्हाउचर पावती'!C53,'बँक जमा खर्च पासबुक'!$K$9:$K$111)</f>
        <v>0</v>
      </c>
      <c r="L53" s="233">
        <f ca="1">SUMIF('बँक जमा खर्च पासबुक'!$C$9:$C$111,'बँक खर्च व्हाउचर पावती'!C53,'बँक जमा खर्च पासबुक'!$L$9:$L$110)</f>
        <v>0</v>
      </c>
      <c r="M53" s="228">
        <f>SUMIF('बँक जमा खर्च पासबुक'!$C$9:$C$111,'बँक खर्च व्हाउचर पावती'!C53,'बँक जमा खर्च पासबुक'!$M$9:$M$111)</f>
        <v>0</v>
      </c>
      <c r="N53" s="233">
        <f t="shared" ca="1" si="49"/>
        <v>3000</v>
      </c>
      <c r="O53" s="228">
        <f t="shared" si="50"/>
        <v>3000</v>
      </c>
      <c r="P53" s="228">
        <f t="shared" ca="1" si="48"/>
        <v>6000</v>
      </c>
      <c r="Q53" s="399"/>
      <c r="AM53" s="380"/>
      <c r="AN53" s="380"/>
      <c r="AO53" s="380">
        <v>17</v>
      </c>
      <c r="AP53" s="260" t="str">
        <f t="shared" si="97"/>
        <v/>
      </c>
      <c r="AQ53" s="260" t="str">
        <f t="shared" si="75"/>
        <v/>
      </c>
      <c r="AR53" s="260" t="str">
        <f t="shared" si="76"/>
        <v/>
      </c>
      <c r="AS53" s="260" t="str">
        <f t="shared" si="77"/>
        <v/>
      </c>
      <c r="AT53" s="260" t="str">
        <f t="shared" si="78"/>
        <v/>
      </c>
      <c r="AU53" s="260" t="str">
        <f t="shared" si="79"/>
        <v/>
      </c>
      <c r="AV53" s="260" t="str">
        <f t="shared" si="80"/>
        <v/>
      </c>
      <c r="AW53" s="260" t="str">
        <f t="shared" si="81"/>
        <v/>
      </c>
      <c r="AX53" s="260" t="str">
        <f t="shared" si="82"/>
        <v/>
      </c>
      <c r="AY53" s="260" t="str">
        <f t="shared" si="83"/>
        <v/>
      </c>
      <c r="AZ53" s="260" t="str">
        <f t="shared" si="84"/>
        <v/>
      </c>
      <c r="BA53" s="260" t="str">
        <f t="shared" si="85"/>
        <v/>
      </c>
      <c r="BB53" s="380"/>
      <c r="BC53" s="380"/>
      <c r="BD53" s="380">
        <v>16</v>
      </c>
      <c r="BE53" s="260" t="str">
        <f t="shared" si="98"/>
        <v/>
      </c>
      <c r="BF53" s="260" t="str">
        <f t="shared" si="86"/>
        <v/>
      </c>
      <c r="BG53" s="260" t="str">
        <f t="shared" si="87"/>
        <v/>
      </c>
      <c r="BH53" s="260" t="str">
        <f t="shared" si="88"/>
        <v/>
      </c>
      <c r="BI53" s="260" t="str">
        <f t="shared" si="89"/>
        <v/>
      </c>
      <c r="BJ53" s="260" t="str">
        <f t="shared" si="90"/>
        <v/>
      </c>
      <c r="BK53" s="260" t="str">
        <f t="shared" si="91"/>
        <v/>
      </c>
      <c r="BL53" s="260" t="str">
        <f t="shared" si="92"/>
        <v/>
      </c>
      <c r="BM53" s="260" t="str">
        <f t="shared" si="93"/>
        <v/>
      </c>
      <c r="BN53" s="260" t="str">
        <f t="shared" si="94"/>
        <v/>
      </c>
      <c r="BO53" s="260" t="str">
        <f t="shared" si="95"/>
        <v/>
      </c>
      <c r="BP53" s="260" t="str">
        <f t="shared" si="96"/>
        <v/>
      </c>
      <c r="BQ53" s="380"/>
      <c r="BR53" s="380"/>
      <c r="BS53" s="380"/>
      <c r="BT53" s="380"/>
    </row>
    <row r="54" spans="1:72" ht="22.5" customHeight="1" x14ac:dyDescent="0.4">
      <c r="A54" s="399"/>
      <c r="B54" s="376">
        <v>46</v>
      </c>
      <c r="C54" s="310">
        <v>43967</v>
      </c>
      <c r="D54" s="229" t="str">
        <f>IFERROR(VLOOKUP(C54,'बँक जमा खर्च पासबुक'!$C$9:$R$111,2,0),"")</f>
        <v/>
      </c>
      <c r="E54" s="229" t="str">
        <f>IFERROR(VLOOKUP(C54,'बँक जमा खर्च पासबुक'!$C$9:$R$111,3,0),"")</f>
        <v/>
      </c>
      <c r="F54" s="229" t="str">
        <f>IFERROR(VLOOKUP(C54,'बँक जमा खर्च पासबुक'!$C$9:$R$111,4,0),"")</f>
        <v/>
      </c>
      <c r="G54" s="229" t="str">
        <f>IFERROR(VLOOKUP(C54,'बँक जमा खर्च पासबुक'!$C$9:$R$111,5,0),"")</f>
        <v/>
      </c>
      <c r="H54" s="229" t="str">
        <f>IFERROR(VLOOKUP(C54,'बँक जमा खर्च पासबुक'!$C$9:$R$111,6,0),"")</f>
        <v/>
      </c>
      <c r="I54" s="229" t="str">
        <f>IFERROR(VLOOKUP(C54,'बँक जमा खर्च पासबुक'!$C$9:$R$111,7,0),"")</f>
        <v/>
      </c>
      <c r="J54" s="233">
        <f>SUMIF('बँक जमा खर्च पासबुक'!$C$9:$C$111,'बँक खर्च व्हाउचर पावती'!C54,'बँक जमा खर्च पासबुक'!$J$9:$J$111)</f>
        <v>0</v>
      </c>
      <c r="K54" s="233">
        <f>SUMIF('बँक जमा खर्च पासबुक'!$C$9:$C$111,'बँक खर्च व्हाउचर पावती'!C54,'बँक जमा खर्च पासबुक'!$K$9:$K$111)</f>
        <v>0</v>
      </c>
      <c r="L54" s="233">
        <f ca="1">SUMIF('बँक जमा खर्च पासबुक'!$C$9:$C$111,'बँक खर्च व्हाउचर पावती'!C54,'बँक जमा खर्च पासबुक'!$L$9:$L$110)</f>
        <v>0</v>
      </c>
      <c r="M54" s="228">
        <f>SUMIF('बँक जमा खर्च पासबुक'!$C$9:$C$111,'बँक खर्च व्हाउचर पावती'!C54,'बँक जमा खर्च पासबुक'!$M$9:$M$111)</f>
        <v>0</v>
      </c>
      <c r="N54" s="233">
        <f t="shared" ca="1" si="49"/>
        <v>3000</v>
      </c>
      <c r="O54" s="228">
        <f t="shared" si="50"/>
        <v>3000</v>
      </c>
      <c r="P54" s="228">
        <f t="shared" ca="1" si="48"/>
        <v>6000</v>
      </c>
      <c r="Q54" s="399"/>
      <c r="AM54" s="380"/>
      <c r="AN54" s="380"/>
      <c r="AO54" s="380">
        <v>18</v>
      </c>
      <c r="AP54" s="260" t="str">
        <f t="shared" si="97"/>
        <v/>
      </c>
      <c r="AQ54" s="260" t="str">
        <f t="shared" si="75"/>
        <v/>
      </c>
      <c r="AR54" s="260" t="str">
        <f t="shared" si="76"/>
        <v/>
      </c>
      <c r="AS54" s="260" t="str">
        <f t="shared" si="77"/>
        <v/>
      </c>
      <c r="AT54" s="260" t="str">
        <f t="shared" si="78"/>
        <v/>
      </c>
      <c r="AU54" s="260" t="str">
        <f t="shared" si="79"/>
        <v/>
      </c>
      <c r="AV54" s="260" t="str">
        <f t="shared" si="80"/>
        <v/>
      </c>
      <c r="AW54" s="260" t="str">
        <f t="shared" si="81"/>
        <v/>
      </c>
      <c r="AX54" s="260" t="str">
        <f t="shared" si="82"/>
        <v/>
      </c>
      <c r="AY54" s="260" t="str">
        <f t="shared" si="83"/>
        <v/>
      </c>
      <c r="AZ54" s="260" t="str">
        <f t="shared" si="84"/>
        <v/>
      </c>
      <c r="BA54" s="260" t="str">
        <f t="shared" si="85"/>
        <v/>
      </c>
      <c r="BB54" s="380"/>
      <c r="BC54" s="380"/>
      <c r="BD54" s="380">
        <v>17</v>
      </c>
      <c r="BE54" s="260" t="str">
        <f t="shared" si="98"/>
        <v/>
      </c>
      <c r="BF54" s="260" t="str">
        <f t="shared" si="86"/>
        <v/>
      </c>
      <c r="BG54" s="260" t="str">
        <f t="shared" si="87"/>
        <v/>
      </c>
      <c r="BH54" s="260" t="str">
        <f t="shared" si="88"/>
        <v/>
      </c>
      <c r="BI54" s="260" t="str">
        <f t="shared" si="89"/>
        <v/>
      </c>
      <c r="BJ54" s="260" t="str">
        <f t="shared" si="90"/>
        <v/>
      </c>
      <c r="BK54" s="260" t="str">
        <f t="shared" si="91"/>
        <v/>
      </c>
      <c r="BL54" s="260" t="str">
        <f t="shared" si="92"/>
        <v/>
      </c>
      <c r="BM54" s="260" t="str">
        <f t="shared" si="93"/>
        <v/>
      </c>
      <c r="BN54" s="260" t="str">
        <f t="shared" si="94"/>
        <v/>
      </c>
      <c r="BO54" s="260" t="str">
        <f t="shared" si="95"/>
        <v/>
      </c>
      <c r="BP54" s="260" t="str">
        <f t="shared" si="96"/>
        <v/>
      </c>
      <c r="BQ54" s="380"/>
      <c r="BR54" s="380"/>
      <c r="BS54" s="380"/>
      <c r="BT54" s="380"/>
    </row>
    <row r="55" spans="1:72" ht="22.5" customHeight="1" x14ac:dyDescent="0.4">
      <c r="A55" s="399"/>
      <c r="B55" s="376">
        <v>47</v>
      </c>
      <c r="C55" s="310">
        <v>43968</v>
      </c>
      <c r="D55" s="229" t="str">
        <f>IFERROR(VLOOKUP(C55,'बँक जमा खर्च पासबुक'!$C$9:$R$111,2,0),"")</f>
        <v/>
      </c>
      <c r="E55" s="229" t="str">
        <f>IFERROR(VLOOKUP(C55,'बँक जमा खर्च पासबुक'!$C$9:$R$111,3,0),"")</f>
        <v/>
      </c>
      <c r="F55" s="229" t="str">
        <f>IFERROR(VLOOKUP(C55,'बँक जमा खर्च पासबुक'!$C$9:$R$111,4,0),"")</f>
        <v/>
      </c>
      <c r="G55" s="229" t="str">
        <f>IFERROR(VLOOKUP(C55,'बँक जमा खर्च पासबुक'!$C$9:$R$111,5,0),"")</f>
        <v/>
      </c>
      <c r="H55" s="229" t="str">
        <f>IFERROR(VLOOKUP(C55,'बँक जमा खर्च पासबुक'!$C$9:$R$111,6,0),"")</f>
        <v/>
      </c>
      <c r="I55" s="229" t="str">
        <f>IFERROR(VLOOKUP(C55,'बँक जमा खर्च पासबुक'!$C$9:$R$111,7,0),"")</f>
        <v/>
      </c>
      <c r="J55" s="233">
        <f>SUMIF('बँक जमा खर्च पासबुक'!$C$9:$C$111,'बँक खर्च व्हाउचर पावती'!C55,'बँक जमा खर्च पासबुक'!$J$9:$J$111)</f>
        <v>0</v>
      </c>
      <c r="K55" s="233">
        <f>SUMIF('बँक जमा खर्च पासबुक'!$C$9:$C$111,'बँक खर्च व्हाउचर पावती'!C55,'बँक जमा खर्च पासबुक'!$K$9:$K$111)</f>
        <v>0</v>
      </c>
      <c r="L55" s="233">
        <f ca="1">SUMIF('बँक जमा खर्च पासबुक'!$C$9:$C$111,'बँक खर्च व्हाउचर पावती'!C55,'बँक जमा खर्च पासबुक'!$L$9:$L$110)</f>
        <v>0</v>
      </c>
      <c r="M55" s="228">
        <f>SUMIF('बँक जमा खर्च पासबुक'!$C$9:$C$111,'बँक खर्च व्हाउचर पावती'!C55,'बँक जमा खर्च पासबुक'!$M$9:$M$111)</f>
        <v>0</v>
      </c>
      <c r="N55" s="233">
        <f t="shared" ca="1" si="49"/>
        <v>3000</v>
      </c>
      <c r="O55" s="228">
        <f t="shared" si="50"/>
        <v>3000</v>
      </c>
      <c r="P55" s="228">
        <f t="shared" ca="1" si="48"/>
        <v>6000</v>
      </c>
      <c r="Q55" s="399"/>
      <c r="AM55" s="380"/>
      <c r="AN55" s="380"/>
      <c r="AO55" s="380">
        <v>19</v>
      </c>
      <c r="AP55" s="260" t="str">
        <f t="shared" si="97"/>
        <v/>
      </c>
      <c r="AQ55" s="260" t="str">
        <f t="shared" si="75"/>
        <v/>
      </c>
      <c r="AR55" s="260" t="str">
        <f t="shared" si="76"/>
        <v/>
      </c>
      <c r="AS55" s="260" t="str">
        <f t="shared" si="77"/>
        <v/>
      </c>
      <c r="AT55" s="260" t="str">
        <f t="shared" si="78"/>
        <v/>
      </c>
      <c r="AU55" s="260" t="str">
        <f t="shared" si="79"/>
        <v/>
      </c>
      <c r="AV55" s="260" t="str">
        <f t="shared" si="80"/>
        <v/>
      </c>
      <c r="AW55" s="260" t="str">
        <f t="shared" si="81"/>
        <v/>
      </c>
      <c r="AX55" s="260" t="str">
        <f t="shared" si="82"/>
        <v/>
      </c>
      <c r="AY55" s="260" t="str">
        <f t="shared" si="83"/>
        <v/>
      </c>
      <c r="AZ55" s="260" t="str">
        <f t="shared" si="84"/>
        <v/>
      </c>
      <c r="BA55" s="260" t="str">
        <f t="shared" si="85"/>
        <v/>
      </c>
      <c r="BB55" s="380"/>
      <c r="BC55" s="380"/>
      <c r="BD55" s="380">
        <v>18</v>
      </c>
      <c r="BE55" s="260" t="str">
        <f t="shared" si="98"/>
        <v/>
      </c>
      <c r="BF55" s="260" t="str">
        <f t="shared" si="86"/>
        <v/>
      </c>
      <c r="BG55" s="260" t="str">
        <f t="shared" si="87"/>
        <v/>
      </c>
      <c r="BH55" s="260" t="str">
        <f t="shared" si="88"/>
        <v/>
      </c>
      <c r="BI55" s="260" t="str">
        <f t="shared" si="89"/>
        <v/>
      </c>
      <c r="BJ55" s="260" t="str">
        <f t="shared" si="90"/>
        <v/>
      </c>
      <c r="BK55" s="260" t="str">
        <f t="shared" si="91"/>
        <v/>
      </c>
      <c r="BL55" s="260" t="str">
        <f t="shared" si="92"/>
        <v/>
      </c>
      <c r="BM55" s="260" t="str">
        <f t="shared" si="93"/>
        <v/>
      </c>
      <c r="BN55" s="260" t="str">
        <f t="shared" si="94"/>
        <v/>
      </c>
      <c r="BO55" s="260" t="str">
        <f t="shared" si="95"/>
        <v/>
      </c>
      <c r="BP55" s="260" t="str">
        <f t="shared" si="96"/>
        <v/>
      </c>
      <c r="BQ55" s="380"/>
      <c r="BR55" s="380"/>
      <c r="BS55" s="380"/>
      <c r="BT55" s="380"/>
    </row>
    <row r="56" spans="1:72" ht="22.5" customHeight="1" x14ac:dyDescent="0.4">
      <c r="A56" s="399"/>
      <c r="B56" s="376">
        <v>48</v>
      </c>
      <c r="C56" s="310">
        <v>43969</v>
      </c>
      <c r="D56" s="229" t="str">
        <f>IFERROR(VLOOKUP(C56,'बँक जमा खर्च पासबुक'!$C$9:$R$111,2,0),"")</f>
        <v/>
      </c>
      <c r="E56" s="229" t="str">
        <f>IFERROR(VLOOKUP(C56,'बँक जमा खर्च पासबुक'!$C$9:$R$111,3,0),"")</f>
        <v/>
      </c>
      <c r="F56" s="229" t="str">
        <f>IFERROR(VLOOKUP(C56,'बँक जमा खर्च पासबुक'!$C$9:$R$111,4,0),"")</f>
        <v/>
      </c>
      <c r="G56" s="229" t="str">
        <f>IFERROR(VLOOKUP(C56,'बँक जमा खर्च पासबुक'!$C$9:$R$111,5,0),"")</f>
        <v/>
      </c>
      <c r="H56" s="229" t="str">
        <f>IFERROR(VLOOKUP(C56,'बँक जमा खर्च पासबुक'!$C$9:$R$111,6,0),"")</f>
        <v/>
      </c>
      <c r="I56" s="229" t="str">
        <f>IFERROR(VLOOKUP(C56,'बँक जमा खर्च पासबुक'!$C$9:$R$111,7,0),"")</f>
        <v/>
      </c>
      <c r="J56" s="233">
        <f>SUMIF('बँक जमा खर्च पासबुक'!$C$9:$C$111,'बँक खर्च व्हाउचर पावती'!C56,'बँक जमा खर्च पासबुक'!$J$9:$J$111)</f>
        <v>0</v>
      </c>
      <c r="K56" s="233">
        <f>SUMIF('बँक जमा खर्च पासबुक'!$C$9:$C$111,'बँक खर्च व्हाउचर पावती'!C56,'बँक जमा खर्च पासबुक'!$K$9:$K$111)</f>
        <v>0</v>
      </c>
      <c r="L56" s="233">
        <f ca="1">SUMIF('बँक जमा खर्च पासबुक'!$C$9:$C$111,'बँक खर्च व्हाउचर पावती'!C56,'बँक जमा खर्च पासबुक'!$L$9:$L$110)</f>
        <v>0</v>
      </c>
      <c r="M56" s="228">
        <f>SUMIF('बँक जमा खर्च पासबुक'!$C$9:$C$111,'बँक खर्च व्हाउचर पावती'!C56,'बँक जमा खर्च पासबुक'!$M$9:$M$111)</f>
        <v>0</v>
      </c>
      <c r="N56" s="233">
        <f t="shared" ca="1" si="49"/>
        <v>3000</v>
      </c>
      <c r="O56" s="228">
        <f t="shared" si="50"/>
        <v>3000</v>
      </c>
      <c r="P56" s="228">
        <f t="shared" ca="1" si="48"/>
        <v>6000</v>
      </c>
      <c r="Q56" s="399"/>
      <c r="AM56" s="380"/>
      <c r="AN56" s="380"/>
      <c r="AO56" s="380">
        <v>20</v>
      </c>
      <c r="AP56" s="260" t="str">
        <f t="shared" si="97"/>
        <v/>
      </c>
      <c r="AQ56" s="260" t="str">
        <f t="shared" si="75"/>
        <v/>
      </c>
      <c r="AR56" s="260" t="str">
        <f t="shared" si="76"/>
        <v/>
      </c>
      <c r="AS56" s="260" t="str">
        <f t="shared" si="77"/>
        <v/>
      </c>
      <c r="AT56" s="260" t="str">
        <f t="shared" si="78"/>
        <v/>
      </c>
      <c r="AU56" s="260" t="str">
        <f t="shared" si="79"/>
        <v/>
      </c>
      <c r="AV56" s="260" t="str">
        <f t="shared" si="80"/>
        <v/>
      </c>
      <c r="AW56" s="260" t="str">
        <f t="shared" si="81"/>
        <v/>
      </c>
      <c r="AX56" s="260" t="str">
        <f t="shared" si="82"/>
        <v/>
      </c>
      <c r="AY56" s="260" t="str">
        <f t="shared" si="83"/>
        <v/>
      </c>
      <c r="AZ56" s="260" t="str">
        <f t="shared" si="84"/>
        <v/>
      </c>
      <c r="BA56" s="260" t="str">
        <f t="shared" si="85"/>
        <v/>
      </c>
      <c r="BB56" s="380"/>
      <c r="BC56" s="380"/>
      <c r="BD56" s="380">
        <v>19</v>
      </c>
      <c r="BE56" s="260" t="str">
        <f t="shared" si="98"/>
        <v/>
      </c>
      <c r="BF56" s="260" t="str">
        <f t="shared" si="86"/>
        <v/>
      </c>
      <c r="BG56" s="260" t="str">
        <f t="shared" si="87"/>
        <v/>
      </c>
      <c r="BH56" s="260" t="str">
        <f t="shared" si="88"/>
        <v/>
      </c>
      <c r="BI56" s="260" t="str">
        <f t="shared" si="89"/>
        <v/>
      </c>
      <c r="BJ56" s="260" t="str">
        <f t="shared" si="90"/>
        <v/>
      </c>
      <c r="BK56" s="260" t="str">
        <f t="shared" si="91"/>
        <v/>
      </c>
      <c r="BL56" s="260" t="str">
        <f t="shared" si="92"/>
        <v/>
      </c>
      <c r="BM56" s="260" t="str">
        <f t="shared" si="93"/>
        <v/>
      </c>
      <c r="BN56" s="260" t="str">
        <f t="shared" si="94"/>
        <v/>
      </c>
      <c r="BO56" s="260" t="str">
        <f t="shared" si="95"/>
        <v/>
      </c>
      <c r="BP56" s="260" t="str">
        <f t="shared" si="96"/>
        <v/>
      </c>
      <c r="BQ56" s="380"/>
      <c r="BR56" s="380"/>
      <c r="BS56" s="380"/>
      <c r="BT56" s="380"/>
    </row>
    <row r="57" spans="1:72" ht="22.5" customHeight="1" x14ac:dyDescent="0.4">
      <c r="A57" s="399"/>
      <c r="B57" s="376">
        <v>49</v>
      </c>
      <c r="C57" s="310">
        <v>43970</v>
      </c>
      <c r="D57" s="229" t="str">
        <f>IFERROR(VLOOKUP(C57,'बँक जमा खर्च पासबुक'!$C$9:$R$111,2,0),"")</f>
        <v/>
      </c>
      <c r="E57" s="229" t="str">
        <f>IFERROR(VLOOKUP(C57,'बँक जमा खर्च पासबुक'!$C$9:$R$111,3,0),"")</f>
        <v/>
      </c>
      <c r="F57" s="229" t="str">
        <f>IFERROR(VLOOKUP(C57,'बँक जमा खर्च पासबुक'!$C$9:$R$111,4,0),"")</f>
        <v/>
      </c>
      <c r="G57" s="229" t="str">
        <f>IFERROR(VLOOKUP(C57,'बँक जमा खर्च पासबुक'!$C$9:$R$111,5,0),"")</f>
        <v/>
      </c>
      <c r="H57" s="229" t="str">
        <f>IFERROR(VLOOKUP(C57,'बँक जमा खर्च पासबुक'!$C$9:$R$111,6,0),"")</f>
        <v/>
      </c>
      <c r="I57" s="229" t="str">
        <f>IFERROR(VLOOKUP(C57,'बँक जमा खर्च पासबुक'!$C$9:$R$111,7,0),"")</f>
        <v/>
      </c>
      <c r="J57" s="233">
        <f>SUMIF('बँक जमा खर्च पासबुक'!$C$9:$C$111,'बँक खर्च व्हाउचर पावती'!C57,'बँक जमा खर्च पासबुक'!$J$9:$J$111)</f>
        <v>0</v>
      </c>
      <c r="K57" s="233">
        <f>SUMIF('बँक जमा खर्च पासबुक'!$C$9:$C$111,'बँक खर्च व्हाउचर पावती'!C57,'बँक जमा खर्च पासबुक'!$K$9:$K$111)</f>
        <v>0</v>
      </c>
      <c r="L57" s="233">
        <f ca="1">SUMIF('बँक जमा खर्च पासबुक'!$C$9:$C$111,'बँक खर्च व्हाउचर पावती'!C57,'बँक जमा खर्च पासबुक'!$L$9:$L$110)</f>
        <v>0</v>
      </c>
      <c r="M57" s="228">
        <f>SUMIF('बँक जमा खर्च पासबुक'!$C$9:$C$111,'बँक खर्च व्हाउचर पावती'!C57,'बँक जमा खर्च पासबुक'!$M$9:$M$111)</f>
        <v>0</v>
      </c>
      <c r="N57" s="233">
        <f t="shared" ca="1" si="49"/>
        <v>3000</v>
      </c>
      <c r="O57" s="228">
        <f t="shared" si="50"/>
        <v>3000</v>
      </c>
      <c r="P57" s="228">
        <f t="shared" ca="1" si="48"/>
        <v>6000</v>
      </c>
      <c r="Q57" s="399"/>
      <c r="AM57" s="380"/>
      <c r="AN57" s="380"/>
      <c r="AO57" s="380">
        <v>21</v>
      </c>
      <c r="AP57" s="260" t="str">
        <f t="shared" si="97"/>
        <v/>
      </c>
      <c r="AQ57" s="260" t="str">
        <f t="shared" si="75"/>
        <v/>
      </c>
      <c r="AR57" s="260" t="str">
        <f t="shared" si="76"/>
        <v/>
      </c>
      <c r="AS57" s="260" t="str">
        <f t="shared" si="77"/>
        <v/>
      </c>
      <c r="AT57" s="260" t="str">
        <f t="shared" si="78"/>
        <v/>
      </c>
      <c r="AU57" s="260" t="str">
        <f t="shared" si="79"/>
        <v/>
      </c>
      <c r="AV57" s="260" t="str">
        <f t="shared" si="80"/>
        <v/>
      </c>
      <c r="AW57" s="260" t="str">
        <f t="shared" si="81"/>
        <v/>
      </c>
      <c r="AX57" s="260" t="str">
        <f t="shared" si="82"/>
        <v/>
      </c>
      <c r="AY57" s="260" t="str">
        <f t="shared" si="83"/>
        <v/>
      </c>
      <c r="AZ57" s="260" t="str">
        <f t="shared" si="84"/>
        <v/>
      </c>
      <c r="BA57" s="260" t="str">
        <f t="shared" si="85"/>
        <v/>
      </c>
      <c r="BB57" s="380"/>
      <c r="BC57" s="380"/>
      <c r="BD57" s="380">
        <v>20</v>
      </c>
      <c r="BE57" s="260" t="str">
        <f t="shared" si="98"/>
        <v/>
      </c>
      <c r="BF57" s="260" t="str">
        <f t="shared" si="86"/>
        <v/>
      </c>
      <c r="BG57" s="260" t="str">
        <f t="shared" si="87"/>
        <v/>
      </c>
      <c r="BH57" s="260" t="str">
        <f t="shared" si="88"/>
        <v/>
      </c>
      <c r="BI57" s="260" t="str">
        <f t="shared" si="89"/>
        <v/>
      </c>
      <c r="BJ57" s="260" t="str">
        <f t="shared" si="90"/>
        <v/>
      </c>
      <c r="BK57" s="260" t="str">
        <f t="shared" si="91"/>
        <v/>
      </c>
      <c r="BL57" s="260" t="str">
        <f t="shared" si="92"/>
        <v/>
      </c>
      <c r="BM57" s="260" t="str">
        <f t="shared" si="93"/>
        <v/>
      </c>
      <c r="BN57" s="260" t="str">
        <f t="shared" si="94"/>
        <v/>
      </c>
      <c r="BO57" s="260" t="str">
        <f t="shared" si="95"/>
        <v/>
      </c>
      <c r="BP57" s="260" t="str">
        <f t="shared" si="96"/>
        <v/>
      </c>
      <c r="BQ57" s="380"/>
      <c r="BR57" s="380"/>
      <c r="BS57" s="380"/>
      <c r="BT57" s="380"/>
    </row>
    <row r="58" spans="1:72" ht="22.5" customHeight="1" x14ac:dyDescent="0.4">
      <c r="A58" s="399"/>
      <c r="B58" s="376">
        <v>50</v>
      </c>
      <c r="C58" s="310">
        <v>43971</v>
      </c>
      <c r="D58" s="229" t="str">
        <f>IFERROR(VLOOKUP(C58,'बँक जमा खर्च पासबुक'!$C$9:$R$111,2,0),"")</f>
        <v/>
      </c>
      <c r="E58" s="229" t="str">
        <f>IFERROR(VLOOKUP(C58,'बँक जमा खर्च पासबुक'!$C$9:$R$111,3,0),"")</f>
        <v/>
      </c>
      <c r="F58" s="229" t="str">
        <f>IFERROR(VLOOKUP(C58,'बँक जमा खर्च पासबुक'!$C$9:$R$111,4,0),"")</f>
        <v/>
      </c>
      <c r="G58" s="229" t="str">
        <f>IFERROR(VLOOKUP(C58,'बँक जमा खर्च पासबुक'!$C$9:$R$111,5,0),"")</f>
        <v/>
      </c>
      <c r="H58" s="229" t="str">
        <f>IFERROR(VLOOKUP(C58,'बँक जमा खर्च पासबुक'!$C$9:$R$111,6,0),"")</f>
        <v/>
      </c>
      <c r="I58" s="229" t="str">
        <f>IFERROR(VLOOKUP(C58,'बँक जमा खर्च पासबुक'!$C$9:$R$111,7,0),"")</f>
        <v/>
      </c>
      <c r="J58" s="233">
        <f>SUMIF('बँक जमा खर्च पासबुक'!$C$9:$C$111,'बँक खर्च व्हाउचर पावती'!C58,'बँक जमा खर्च पासबुक'!$J$9:$J$111)</f>
        <v>0</v>
      </c>
      <c r="K58" s="233">
        <f>SUMIF('बँक जमा खर्च पासबुक'!$C$9:$C$111,'बँक खर्च व्हाउचर पावती'!C58,'बँक जमा खर्च पासबुक'!$K$9:$K$111)</f>
        <v>0</v>
      </c>
      <c r="L58" s="233">
        <f ca="1">SUMIF('बँक जमा खर्च पासबुक'!$C$9:$C$111,'बँक खर्च व्हाउचर पावती'!C58,'बँक जमा खर्च पासबुक'!$L$9:$L$110)</f>
        <v>0</v>
      </c>
      <c r="M58" s="228">
        <f>SUMIF('बँक जमा खर्च पासबुक'!$C$9:$C$111,'बँक खर्च व्हाउचर पावती'!C58,'बँक जमा खर्च पासबुक'!$M$9:$M$111)</f>
        <v>0</v>
      </c>
      <c r="N58" s="233">
        <f t="shared" ca="1" si="49"/>
        <v>3000</v>
      </c>
      <c r="O58" s="228">
        <f t="shared" si="50"/>
        <v>3000</v>
      </c>
      <c r="P58" s="228">
        <f t="shared" ca="1" si="48"/>
        <v>6000</v>
      </c>
      <c r="Q58" s="399"/>
      <c r="AM58" s="380"/>
      <c r="AN58" s="380"/>
      <c r="AO58" s="380">
        <v>22</v>
      </c>
      <c r="AP58" s="260" t="str">
        <f t="shared" si="97"/>
        <v/>
      </c>
      <c r="AQ58" s="260" t="str">
        <f t="shared" si="75"/>
        <v/>
      </c>
      <c r="AR58" s="260" t="str">
        <f t="shared" si="76"/>
        <v/>
      </c>
      <c r="AS58" s="260" t="str">
        <f t="shared" si="77"/>
        <v/>
      </c>
      <c r="AT58" s="260" t="str">
        <f t="shared" si="78"/>
        <v/>
      </c>
      <c r="AU58" s="260" t="str">
        <f t="shared" si="79"/>
        <v/>
      </c>
      <c r="AV58" s="260" t="str">
        <f t="shared" si="80"/>
        <v/>
      </c>
      <c r="AW58" s="260" t="str">
        <f t="shared" si="81"/>
        <v/>
      </c>
      <c r="AX58" s="260" t="str">
        <f t="shared" si="82"/>
        <v/>
      </c>
      <c r="AY58" s="260" t="str">
        <f t="shared" si="83"/>
        <v/>
      </c>
      <c r="AZ58" s="260" t="str">
        <f t="shared" si="84"/>
        <v/>
      </c>
      <c r="BA58" s="260" t="str">
        <f t="shared" si="85"/>
        <v/>
      </c>
      <c r="BB58" s="380"/>
      <c r="BC58" s="380"/>
      <c r="BD58" s="380">
        <v>21</v>
      </c>
      <c r="BE58" s="260" t="str">
        <f t="shared" si="98"/>
        <v/>
      </c>
      <c r="BF58" s="260" t="str">
        <f t="shared" si="86"/>
        <v/>
      </c>
      <c r="BG58" s="260" t="str">
        <f t="shared" si="87"/>
        <v/>
      </c>
      <c r="BH58" s="260" t="str">
        <f t="shared" si="88"/>
        <v/>
      </c>
      <c r="BI58" s="260" t="str">
        <f t="shared" si="89"/>
        <v/>
      </c>
      <c r="BJ58" s="260" t="str">
        <f t="shared" si="90"/>
        <v/>
      </c>
      <c r="BK58" s="260" t="str">
        <f t="shared" si="91"/>
        <v/>
      </c>
      <c r="BL58" s="260" t="str">
        <f t="shared" si="92"/>
        <v/>
      </c>
      <c r="BM58" s="260" t="str">
        <f t="shared" si="93"/>
        <v/>
      </c>
      <c r="BN58" s="260" t="str">
        <f t="shared" si="94"/>
        <v/>
      </c>
      <c r="BO58" s="260" t="str">
        <f t="shared" si="95"/>
        <v/>
      </c>
      <c r="BP58" s="260" t="str">
        <f t="shared" si="96"/>
        <v/>
      </c>
      <c r="BQ58" s="380"/>
      <c r="BR58" s="380"/>
      <c r="BS58" s="380"/>
      <c r="BT58" s="380"/>
    </row>
    <row r="59" spans="1:72" ht="22.5" customHeight="1" x14ac:dyDescent="0.4">
      <c r="A59" s="399"/>
      <c r="B59" s="376">
        <v>51</v>
      </c>
      <c r="C59" s="310">
        <v>43972</v>
      </c>
      <c r="D59" s="229" t="str">
        <f>IFERROR(VLOOKUP(C59,'बँक जमा खर्च पासबुक'!$C$9:$R$111,2,0),"")</f>
        <v/>
      </c>
      <c r="E59" s="229" t="str">
        <f>IFERROR(VLOOKUP(C59,'बँक जमा खर्च पासबुक'!$C$9:$R$111,3,0),"")</f>
        <v/>
      </c>
      <c r="F59" s="229" t="str">
        <f>IFERROR(VLOOKUP(C59,'बँक जमा खर्च पासबुक'!$C$9:$R$111,4,0),"")</f>
        <v/>
      </c>
      <c r="G59" s="229" t="str">
        <f>IFERROR(VLOOKUP(C59,'बँक जमा खर्च पासबुक'!$C$9:$R$111,5,0),"")</f>
        <v/>
      </c>
      <c r="H59" s="229" t="str">
        <f>IFERROR(VLOOKUP(C59,'बँक जमा खर्च पासबुक'!$C$9:$R$111,6,0),"")</f>
        <v/>
      </c>
      <c r="I59" s="229" t="str">
        <f>IFERROR(VLOOKUP(C59,'बँक जमा खर्च पासबुक'!$C$9:$R$111,7,0),"")</f>
        <v/>
      </c>
      <c r="J59" s="233">
        <f>SUMIF('बँक जमा खर्च पासबुक'!$C$9:$C$111,'बँक खर्च व्हाउचर पावती'!C59,'बँक जमा खर्च पासबुक'!$J$9:$J$111)</f>
        <v>0</v>
      </c>
      <c r="K59" s="233">
        <f>SUMIF('बँक जमा खर्च पासबुक'!$C$9:$C$111,'बँक खर्च व्हाउचर पावती'!C59,'बँक जमा खर्च पासबुक'!$K$9:$K$111)</f>
        <v>0</v>
      </c>
      <c r="L59" s="233">
        <f ca="1">SUMIF('बँक जमा खर्च पासबुक'!$C$9:$C$111,'बँक खर्च व्हाउचर पावती'!C59,'बँक जमा खर्च पासबुक'!$L$9:$L$110)</f>
        <v>0</v>
      </c>
      <c r="M59" s="228">
        <f>SUMIF('बँक जमा खर्च पासबुक'!$C$9:$C$111,'बँक खर्च व्हाउचर पावती'!C59,'बँक जमा खर्च पासबुक'!$M$9:$M$111)</f>
        <v>0</v>
      </c>
      <c r="N59" s="233">
        <f t="shared" ca="1" si="49"/>
        <v>3000</v>
      </c>
      <c r="O59" s="228">
        <f t="shared" si="50"/>
        <v>3000</v>
      </c>
      <c r="P59" s="228">
        <f t="shared" ca="1" si="48"/>
        <v>6000</v>
      </c>
      <c r="Q59" s="399"/>
      <c r="AM59" s="380"/>
      <c r="AN59" s="380"/>
      <c r="AO59" s="380">
        <v>23</v>
      </c>
      <c r="AP59" s="260" t="str">
        <f t="shared" si="97"/>
        <v/>
      </c>
      <c r="AQ59" s="260" t="str">
        <f t="shared" si="75"/>
        <v/>
      </c>
      <c r="AR59" s="260" t="str">
        <f t="shared" si="76"/>
        <v/>
      </c>
      <c r="AS59" s="260" t="str">
        <f t="shared" si="77"/>
        <v/>
      </c>
      <c r="AT59" s="260" t="str">
        <f t="shared" si="78"/>
        <v/>
      </c>
      <c r="AU59" s="260" t="str">
        <f t="shared" si="79"/>
        <v/>
      </c>
      <c r="AV59" s="260" t="str">
        <f t="shared" si="80"/>
        <v/>
      </c>
      <c r="AW59" s="260" t="str">
        <f t="shared" si="81"/>
        <v/>
      </c>
      <c r="AX59" s="260" t="str">
        <f t="shared" si="82"/>
        <v/>
      </c>
      <c r="AY59" s="260" t="str">
        <f t="shared" si="83"/>
        <v/>
      </c>
      <c r="AZ59" s="260" t="str">
        <f t="shared" si="84"/>
        <v/>
      </c>
      <c r="BA59" s="260" t="str">
        <f t="shared" si="85"/>
        <v/>
      </c>
      <c r="BB59" s="380"/>
      <c r="BC59" s="380"/>
      <c r="BD59" s="380">
        <v>22</v>
      </c>
      <c r="BE59" s="260" t="str">
        <f t="shared" si="98"/>
        <v/>
      </c>
      <c r="BF59" s="260" t="str">
        <f t="shared" si="86"/>
        <v/>
      </c>
      <c r="BG59" s="260" t="str">
        <f t="shared" si="87"/>
        <v/>
      </c>
      <c r="BH59" s="260" t="str">
        <f t="shared" si="88"/>
        <v/>
      </c>
      <c r="BI59" s="260" t="str">
        <f t="shared" si="89"/>
        <v/>
      </c>
      <c r="BJ59" s="260" t="str">
        <f t="shared" si="90"/>
        <v/>
      </c>
      <c r="BK59" s="260" t="str">
        <f t="shared" si="91"/>
        <v/>
      </c>
      <c r="BL59" s="260" t="str">
        <f t="shared" si="92"/>
        <v/>
      </c>
      <c r="BM59" s="260" t="str">
        <f t="shared" si="93"/>
        <v/>
      </c>
      <c r="BN59" s="260" t="str">
        <f t="shared" si="94"/>
        <v/>
      </c>
      <c r="BO59" s="260" t="str">
        <f t="shared" si="95"/>
        <v/>
      </c>
      <c r="BP59" s="260" t="str">
        <f t="shared" si="96"/>
        <v/>
      </c>
      <c r="BQ59" s="380"/>
      <c r="BR59" s="380"/>
      <c r="BS59" s="380"/>
      <c r="BT59" s="380"/>
    </row>
    <row r="60" spans="1:72" ht="22.5" customHeight="1" x14ac:dyDescent="0.4">
      <c r="A60" s="399"/>
      <c r="B60" s="376">
        <v>52</v>
      </c>
      <c r="C60" s="310">
        <v>43973</v>
      </c>
      <c r="D60" s="229" t="str">
        <f>IFERROR(VLOOKUP(C60,'बँक जमा खर्च पासबुक'!$C$9:$R$111,2,0),"")</f>
        <v/>
      </c>
      <c r="E60" s="229" t="str">
        <f>IFERROR(VLOOKUP(C60,'बँक जमा खर्च पासबुक'!$C$9:$R$111,3,0),"")</f>
        <v/>
      </c>
      <c r="F60" s="229" t="str">
        <f>IFERROR(VLOOKUP(C60,'बँक जमा खर्च पासबुक'!$C$9:$R$111,4,0),"")</f>
        <v/>
      </c>
      <c r="G60" s="229" t="str">
        <f>IFERROR(VLOOKUP(C60,'बँक जमा खर्च पासबुक'!$C$9:$R$111,5,0),"")</f>
        <v/>
      </c>
      <c r="H60" s="229" t="str">
        <f>IFERROR(VLOOKUP(C60,'बँक जमा खर्च पासबुक'!$C$9:$R$111,6,0),"")</f>
        <v/>
      </c>
      <c r="I60" s="229" t="str">
        <f>IFERROR(VLOOKUP(C60,'बँक जमा खर्च पासबुक'!$C$9:$R$111,7,0),"")</f>
        <v/>
      </c>
      <c r="J60" s="233">
        <f>SUMIF('बँक जमा खर्च पासबुक'!$C$9:$C$111,'बँक खर्च व्हाउचर पावती'!C60,'बँक जमा खर्च पासबुक'!$J$9:$J$111)</f>
        <v>0</v>
      </c>
      <c r="K60" s="233">
        <f>SUMIF('बँक जमा खर्च पासबुक'!$C$9:$C$111,'बँक खर्च व्हाउचर पावती'!C60,'बँक जमा खर्च पासबुक'!$K$9:$K$111)</f>
        <v>0</v>
      </c>
      <c r="L60" s="233">
        <f ca="1">SUMIF('बँक जमा खर्च पासबुक'!$C$9:$C$111,'बँक खर्च व्हाउचर पावती'!C60,'बँक जमा खर्च पासबुक'!$L$9:$L$110)</f>
        <v>0</v>
      </c>
      <c r="M60" s="228">
        <f>SUMIF('बँक जमा खर्च पासबुक'!$C$9:$C$111,'बँक खर्च व्हाउचर पावती'!C60,'बँक जमा खर्च पासबुक'!$M$9:$M$111)</f>
        <v>0</v>
      </c>
      <c r="N60" s="233">
        <f t="shared" ca="1" si="49"/>
        <v>3000</v>
      </c>
      <c r="O60" s="228">
        <f t="shared" si="50"/>
        <v>3000</v>
      </c>
      <c r="P60" s="228">
        <f t="shared" ca="1" si="48"/>
        <v>6000</v>
      </c>
      <c r="Q60" s="399"/>
      <c r="AM60" s="380"/>
      <c r="AN60" s="380"/>
      <c r="AO60" s="380">
        <v>24</v>
      </c>
      <c r="AP60" s="260" t="str">
        <f t="shared" si="97"/>
        <v/>
      </c>
      <c r="AQ60" s="260" t="str">
        <f t="shared" si="75"/>
        <v/>
      </c>
      <c r="AR60" s="260" t="str">
        <f t="shared" si="76"/>
        <v/>
      </c>
      <c r="AS60" s="260" t="str">
        <f t="shared" si="77"/>
        <v/>
      </c>
      <c r="AT60" s="260" t="str">
        <f t="shared" si="78"/>
        <v/>
      </c>
      <c r="AU60" s="260" t="str">
        <f t="shared" si="79"/>
        <v/>
      </c>
      <c r="AV60" s="260" t="str">
        <f t="shared" si="80"/>
        <v/>
      </c>
      <c r="AW60" s="260" t="str">
        <f t="shared" si="81"/>
        <v/>
      </c>
      <c r="AX60" s="260" t="str">
        <f t="shared" si="82"/>
        <v/>
      </c>
      <c r="AY60" s="260" t="str">
        <f t="shared" si="83"/>
        <v/>
      </c>
      <c r="AZ60" s="260" t="str">
        <f t="shared" si="84"/>
        <v/>
      </c>
      <c r="BA60" s="260" t="str">
        <f t="shared" si="85"/>
        <v/>
      </c>
      <c r="BB60" s="380"/>
      <c r="BC60" s="380"/>
      <c r="BD60" s="380">
        <v>23</v>
      </c>
      <c r="BE60" s="260" t="str">
        <f t="shared" si="98"/>
        <v/>
      </c>
      <c r="BF60" s="260" t="str">
        <f t="shared" si="86"/>
        <v/>
      </c>
      <c r="BG60" s="260" t="str">
        <f t="shared" si="87"/>
        <v/>
      </c>
      <c r="BH60" s="260" t="str">
        <f t="shared" si="88"/>
        <v/>
      </c>
      <c r="BI60" s="260" t="str">
        <f t="shared" si="89"/>
        <v/>
      </c>
      <c r="BJ60" s="260" t="str">
        <f t="shared" si="90"/>
        <v/>
      </c>
      <c r="BK60" s="260" t="str">
        <f t="shared" si="91"/>
        <v/>
      </c>
      <c r="BL60" s="260" t="str">
        <f t="shared" si="92"/>
        <v/>
      </c>
      <c r="BM60" s="260" t="str">
        <f t="shared" si="93"/>
        <v/>
      </c>
      <c r="BN60" s="260" t="str">
        <f t="shared" si="94"/>
        <v/>
      </c>
      <c r="BO60" s="260" t="str">
        <f t="shared" si="95"/>
        <v/>
      </c>
      <c r="BP60" s="260" t="str">
        <f t="shared" si="96"/>
        <v/>
      </c>
      <c r="BQ60" s="380"/>
      <c r="BR60" s="380"/>
      <c r="BS60" s="380"/>
      <c r="BT60" s="380"/>
    </row>
    <row r="61" spans="1:72" ht="22.5" customHeight="1" x14ac:dyDescent="0.4">
      <c r="A61" s="399"/>
      <c r="B61" s="376">
        <v>53</v>
      </c>
      <c r="C61" s="310">
        <v>43974</v>
      </c>
      <c r="D61" s="229" t="str">
        <f>IFERROR(VLOOKUP(C61,'बँक जमा खर्च पासबुक'!$C$9:$R$111,2,0),"")</f>
        <v/>
      </c>
      <c r="E61" s="229" t="str">
        <f>IFERROR(VLOOKUP(C61,'बँक जमा खर्च पासबुक'!$C$9:$R$111,3,0),"")</f>
        <v/>
      </c>
      <c r="F61" s="229" t="str">
        <f>IFERROR(VLOOKUP(C61,'बँक जमा खर्च पासबुक'!$C$9:$R$111,4,0),"")</f>
        <v/>
      </c>
      <c r="G61" s="229" t="str">
        <f>IFERROR(VLOOKUP(C61,'बँक जमा खर्च पासबुक'!$C$9:$R$111,5,0),"")</f>
        <v/>
      </c>
      <c r="H61" s="229" t="str">
        <f>IFERROR(VLOOKUP(C61,'बँक जमा खर्च पासबुक'!$C$9:$R$111,6,0),"")</f>
        <v/>
      </c>
      <c r="I61" s="229" t="str">
        <f>IFERROR(VLOOKUP(C61,'बँक जमा खर्च पासबुक'!$C$9:$R$111,7,0),"")</f>
        <v/>
      </c>
      <c r="J61" s="233">
        <f>SUMIF('बँक जमा खर्च पासबुक'!$C$9:$C$111,'बँक खर्च व्हाउचर पावती'!C61,'बँक जमा खर्च पासबुक'!$J$9:$J$111)</f>
        <v>0</v>
      </c>
      <c r="K61" s="233">
        <f>SUMIF('बँक जमा खर्च पासबुक'!$C$9:$C$111,'बँक खर्च व्हाउचर पावती'!C61,'बँक जमा खर्च पासबुक'!$K$9:$K$111)</f>
        <v>0</v>
      </c>
      <c r="L61" s="233">
        <f ca="1">SUMIF('बँक जमा खर्च पासबुक'!$C$9:$C$111,'बँक खर्च व्हाउचर पावती'!C61,'बँक जमा खर्च पासबुक'!$L$9:$L$110)</f>
        <v>0</v>
      </c>
      <c r="M61" s="228">
        <f>SUMIF('बँक जमा खर्च पासबुक'!$C$9:$C$111,'बँक खर्च व्हाउचर पावती'!C61,'बँक जमा खर्च पासबुक'!$M$9:$M$111)</f>
        <v>0</v>
      </c>
      <c r="N61" s="233">
        <f t="shared" ca="1" si="49"/>
        <v>3000</v>
      </c>
      <c r="O61" s="228">
        <f t="shared" si="50"/>
        <v>3000</v>
      </c>
      <c r="P61" s="228">
        <f t="shared" ca="1" si="48"/>
        <v>6000</v>
      </c>
      <c r="Q61" s="399"/>
      <c r="AM61" s="380"/>
      <c r="AN61" s="380"/>
      <c r="AO61" s="380">
        <v>25</v>
      </c>
      <c r="AP61" s="260" t="str">
        <f t="shared" si="97"/>
        <v/>
      </c>
      <c r="AQ61" s="260" t="str">
        <f t="shared" si="75"/>
        <v/>
      </c>
      <c r="AR61" s="260" t="str">
        <f t="shared" si="76"/>
        <v/>
      </c>
      <c r="AS61" s="260" t="str">
        <f t="shared" si="77"/>
        <v/>
      </c>
      <c r="AT61" s="260" t="str">
        <f t="shared" si="78"/>
        <v/>
      </c>
      <c r="AU61" s="260" t="str">
        <f t="shared" si="79"/>
        <v/>
      </c>
      <c r="AV61" s="260" t="str">
        <f t="shared" si="80"/>
        <v/>
      </c>
      <c r="AW61" s="260" t="str">
        <f t="shared" si="81"/>
        <v/>
      </c>
      <c r="AX61" s="260" t="str">
        <f t="shared" si="82"/>
        <v/>
      </c>
      <c r="AY61" s="260" t="str">
        <f t="shared" si="83"/>
        <v/>
      </c>
      <c r="AZ61" s="260" t="str">
        <f t="shared" si="84"/>
        <v/>
      </c>
      <c r="BA61" s="260" t="str">
        <f t="shared" si="85"/>
        <v/>
      </c>
      <c r="BB61" s="380"/>
      <c r="BC61" s="380"/>
      <c r="BD61" s="380">
        <v>24</v>
      </c>
      <c r="BE61" s="260" t="str">
        <f t="shared" si="98"/>
        <v/>
      </c>
      <c r="BF61" s="260" t="str">
        <f t="shared" si="86"/>
        <v/>
      </c>
      <c r="BG61" s="260" t="str">
        <f t="shared" si="87"/>
        <v/>
      </c>
      <c r="BH61" s="260" t="str">
        <f t="shared" si="88"/>
        <v/>
      </c>
      <c r="BI61" s="260" t="str">
        <f t="shared" si="89"/>
        <v/>
      </c>
      <c r="BJ61" s="260" t="str">
        <f t="shared" si="90"/>
        <v/>
      </c>
      <c r="BK61" s="260" t="str">
        <f t="shared" si="91"/>
        <v/>
      </c>
      <c r="BL61" s="260" t="str">
        <f t="shared" si="92"/>
        <v/>
      </c>
      <c r="BM61" s="260" t="str">
        <f t="shared" si="93"/>
        <v/>
      </c>
      <c r="BN61" s="260" t="str">
        <f t="shared" si="94"/>
        <v/>
      </c>
      <c r="BO61" s="260" t="str">
        <f t="shared" si="95"/>
        <v/>
      </c>
      <c r="BP61" s="260" t="str">
        <f t="shared" si="96"/>
        <v/>
      </c>
      <c r="BQ61" s="380"/>
      <c r="BR61" s="380"/>
      <c r="BS61" s="380"/>
      <c r="BT61" s="380"/>
    </row>
    <row r="62" spans="1:72" ht="22.5" customHeight="1" x14ac:dyDescent="0.4">
      <c r="A62" s="399"/>
      <c r="B62" s="376">
        <v>54</v>
      </c>
      <c r="C62" s="310">
        <v>43975</v>
      </c>
      <c r="D62" s="229" t="str">
        <f>IFERROR(VLOOKUP(C62,'बँक जमा खर्च पासबुक'!$C$9:$R$111,2,0),"")</f>
        <v/>
      </c>
      <c r="E62" s="229" t="str">
        <f>IFERROR(VLOOKUP(C62,'बँक जमा खर्च पासबुक'!$C$9:$R$111,3,0),"")</f>
        <v/>
      </c>
      <c r="F62" s="229" t="str">
        <f>IFERROR(VLOOKUP(C62,'बँक जमा खर्च पासबुक'!$C$9:$R$111,4,0),"")</f>
        <v/>
      </c>
      <c r="G62" s="229" t="str">
        <f>IFERROR(VLOOKUP(C62,'बँक जमा खर्च पासबुक'!$C$9:$R$111,5,0),"")</f>
        <v/>
      </c>
      <c r="H62" s="229" t="str">
        <f>IFERROR(VLOOKUP(C62,'बँक जमा खर्च पासबुक'!$C$9:$R$111,6,0),"")</f>
        <v/>
      </c>
      <c r="I62" s="229" t="str">
        <f>IFERROR(VLOOKUP(C62,'बँक जमा खर्च पासबुक'!$C$9:$R$111,7,0),"")</f>
        <v/>
      </c>
      <c r="J62" s="233">
        <f>SUMIF('बँक जमा खर्च पासबुक'!$C$9:$C$111,'बँक खर्च व्हाउचर पावती'!C62,'बँक जमा खर्च पासबुक'!$J$9:$J$111)</f>
        <v>0</v>
      </c>
      <c r="K62" s="233">
        <f>SUMIF('बँक जमा खर्च पासबुक'!$C$9:$C$111,'बँक खर्च व्हाउचर पावती'!C62,'बँक जमा खर्च पासबुक'!$K$9:$K$111)</f>
        <v>0</v>
      </c>
      <c r="L62" s="233">
        <f ca="1">SUMIF('बँक जमा खर्च पासबुक'!$C$9:$C$111,'बँक खर्च व्हाउचर पावती'!C62,'बँक जमा खर्च पासबुक'!$L$9:$L$110)</f>
        <v>0</v>
      </c>
      <c r="M62" s="228">
        <f>SUMIF('बँक जमा खर्च पासबुक'!$C$9:$C$111,'बँक खर्च व्हाउचर पावती'!C62,'बँक जमा खर्च पासबुक'!$M$9:$M$111)</f>
        <v>0</v>
      </c>
      <c r="N62" s="233">
        <f t="shared" ca="1" si="49"/>
        <v>3000</v>
      </c>
      <c r="O62" s="228">
        <f t="shared" si="50"/>
        <v>3000</v>
      </c>
      <c r="P62" s="228">
        <f t="shared" ca="1" si="48"/>
        <v>6000</v>
      </c>
      <c r="Q62" s="399"/>
      <c r="AM62" s="380"/>
      <c r="AN62" s="380"/>
      <c r="AO62" s="380">
        <v>26</v>
      </c>
      <c r="AP62" s="260" t="str">
        <f t="shared" si="97"/>
        <v/>
      </c>
      <c r="AQ62" s="260" t="str">
        <f t="shared" si="75"/>
        <v/>
      </c>
      <c r="AR62" s="260" t="str">
        <f t="shared" si="76"/>
        <v/>
      </c>
      <c r="AS62" s="260" t="str">
        <f t="shared" si="77"/>
        <v/>
      </c>
      <c r="AT62" s="260" t="str">
        <f t="shared" si="78"/>
        <v/>
      </c>
      <c r="AU62" s="260" t="str">
        <f t="shared" si="79"/>
        <v/>
      </c>
      <c r="AV62" s="260" t="str">
        <f t="shared" si="80"/>
        <v/>
      </c>
      <c r="AW62" s="260" t="str">
        <f t="shared" si="81"/>
        <v/>
      </c>
      <c r="AX62" s="260" t="str">
        <f t="shared" si="82"/>
        <v/>
      </c>
      <c r="AY62" s="260" t="str">
        <f t="shared" si="83"/>
        <v/>
      </c>
      <c r="AZ62" s="260" t="str">
        <f t="shared" si="84"/>
        <v/>
      </c>
      <c r="BA62" s="260" t="str">
        <f t="shared" si="85"/>
        <v/>
      </c>
      <c r="BB62" s="380"/>
      <c r="BC62" s="380"/>
      <c r="BD62" s="380">
        <v>25</v>
      </c>
      <c r="BE62" s="260" t="str">
        <f t="shared" si="98"/>
        <v/>
      </c>
      <c r="BF62" s="260" t="str">
        <f t="shared" si="86"/>
        <v/>
      </c>
      <c r="BG62" s="260" t="str">
        <f t="shared" si="87"/>
        <v/>
      </c>
      <c r="BH62" s="260" t="str">
        <f t="shared" si="88"/>
        <v/>
      </c>
      <c r="BI62" s="260" t="str">
        <f t="shared" si="89"/>
        <v/>
      </c>
      <c r="BJ62" s="260" t="str">
        <f t="shared" si="90"/>
        <v/>
      </c>
      <c r="BK62" s="260" t="str">
        <f t="shared" si="91"/>
        <v/>
      </c>
      <c r="BL62" s="260" t="str">
        <f t="shared" si="92"/>
        <v/>
      </c>
      <c r="BM62" s="260" t="str">
        <f t="shared" si="93"/>
        <v/>
      </c>
      <c r="BN62" s="260" t="str">
        <f t="shared" si="94"/>
        <v/>
      </c>
      <c r="BO62" s="260" t="str">
        <f t="shared" si="95"/>
        <v/>
      </c>
      <c r="BP62" s="260" t="str">
        <f t="shared" si="96"/>
        <v/>
      </c>
      <c r="BQ62" s="380"/>
      <c r="BR62" s="380"/>
      <c r="BS62" s="380"/>
      <c r="BT62" s="380"/>
    </row>
    <row r="63" spans="1:72" ht="22.5" customHeight="1" x14ac:dyDescent="0.4">
      <c r="A63" s="399"/>
      <c r="B63" s="376">
        <v>55</v>
      </c>
      <c r="C63" s="310">
        <v>43976</v>
      </c>
      <c r="D63" s="229" t="str">
        <f>IFERROR(VLOOKUP(C63,'बँक जमा खर्च पासबुक'!$C$9:$R$111,2,0),"")</f>
        <v/>
      </c>
      <c r="E63" s="229" t="str">
        <f>IFERROR(VLOOKUP(C63,'बँक जमा खर्च पासबुक'!$C$9:$R$111,3,0),"")</f>
        <v/>
      </c>
      <c r="F63" s="229" t="str">
        <f>IFERROR(VLOOKUP(C63,'बँक जमा खर्च पासबुक'!$C$9:$R$111,4,0),"")</f>
        <v/>
      </c>
      <c r="G63" s="229" t="str">
        <f>IFERROR(VLOOKUP(C63,'बँक जमा खर्च पासबुक'!$C$9:$R$111,5,0),"")</f>
        <v/>
      </c>
      <c r="H63" s="229" t="str">
        <f>IFERROR(VLOOKUP(C63,'बँक जमा खर्च पासबुक'!$C$9:$R$111,6,0),"")</f>
        <v/>
      </c>
      <c r="I63" s="229" t="str">
        <f>IFERROR(VLOOKUP(C63,'बँक जमा खर्च पासबुक'!$C$9:$R$111,7,0),"")</f>
        <v/>
      </c>
      <c r="J63" s="233">
        <f>SUMIF('बँक जमा खर्च पासबुक'!$C$9:$C$111,'बँक खर्च व्हाउचर पावती'!C63,'बँक जमा खर्च पासबुक'!$J$9:$J$111)</f>
        <v>0</v>
      </c>
      <c r="K63" s="233">
        <f>SUMIF('बँक जमा खर्च पासबुक'!$C$9:$C$111,'बँक खर्च व्हाउचर पावती'!C63,'बँक जमा खर्च पासबुक'!$K$9:$K$111)</f>
        <v>0</v>
      </c>
      <c r="L63" s="233">
        <f ca="1">SUMIF('बँक जमा खर्च पासबुक'!$C$9:$C$111,'बँक खर्च व्हाउचर पावती'!C63,'बँक जमा खर्च पासबुक'!$L$9:$L$110)</f>
        <v>0</v>
      </c>
      <c r="M63" s="228">
        <f>SUMIF('बँक जमा खर्च पासबुक'!$C$9:$C$111,'बँक खर्च व्हाउचर पावती'!C63,'बँक जमा खर्च पासबुक'!$M$9:$M$111)</f>
        <v>0</v>
      </c>
      <c r="N63" s="233">
        <f t="shared" ca="1" si="49"/>
        <v>3000</v>
      </c>
      <c r="O63" s="228">
        <f t="shared" si="50"/>
        <v>3000</v>
      </c>
      <c r="P63" s="228">
        <f t="shared" ca="1" si="48"/>
        <v>6000</v>
      </c>
      <c r="Q63" s="399"/>
      <c r="AM63" s="380"/>
      <c r="AN63" s="380"/>
      <c r="AO63" s="380">
        <v>27</v>
      </c>
      <c r="AP63" s="260" t="str">
        <f t="shared" si="97"/>
        <v/>
      </c>
      <c r="AQ63" s="260" t="str">
        <f t="shared" si="75"/>
        <v/>
      </c>
      <c r="AR63" s="260" t="str">
        <f t="shared" si="76"/>
        <v/>
      </c>
      <c r="AS63" s="260" t="str">
        <f t="shared" si="77"/>
        <v/>
      </c>
      <c r="AT63" s="260" t="str">
        <f t="shared" si="78"/>
        <v/>
      </c>
      <c r="AU63" s="260" t="str">
        <f t="shared" si="79"/>
        <v/>
      </c>
      <c r="AV63" s="260" t="str">
        <f t="shared" si="80"/>
        <v/>
      </c>
      <c r="AW63" s="260" t="str">
        <f t="shared" si="81"/>
        <v/>
      </c>
      <c r="AX63" s="260" t="str">
        <f t="shared" si="82"/>
        <v/>
      </c>
      <c r="AY63" s="260" t="str">
        <f t="shared" si="83"/>
        <v/>
      </c>
      <c r="AZ63" s="260" t="str">
        <f t="shared" si="84"/>
        <v/>
      </c>
      <c r="BA63" s="260" t="str">
        <f t="shared" si="85"/>
        <v/>
      </c>
      <c r="BB63" s="380"/>
      <c r="BC63" s="380"/>
      <c r="BD63" s="380">
        <v>26</v>
      </c>
      <c r="BE63" s="260" t="str">
        <f t="shared" si="98"/>
        <v/>
      </c>
      <c r="BF63" s="260" t="str">
        <f t="shared" si="86"/>
        <v/>
      </c>
      <c r="BG63" s="260" t="str">
        <f t="shared" si="87"/>
        <v/>
      </c>
      <c r="BH63" s="260" t="str">
        <f t="shared" si="88"/>
        <v/>
      </c>
      <c r="BI63" s="260" t="str">
        <f t="shared" si="89"/>
        <v/>
      </c>
      <c r="BJ63" s="260" t="str">
        <f t="shared" si="90"/>
        <v/>
      </c>
      <c r="BK63" s="260" t="str">
        <f t="shared" si="91"/>
        <v/>
      </c>
      <c r="BL63" s="260" t="str">
        <f t="shared" si="92"/>
        <v/>
      </c>
      <c r="BM63" s="260" t="str">
        <f t="shared" si="93"/>
        <v/>
      </c>
      <c r="BN63" s="260" t="str">
        <f t="shared" si="94"/>
        <v/>
      </c>
      <c r="BO63" s="260" t="str">
        <f t="shared" si="95"/>
        <v/>
      </c>
      <c r="BP63" s="260" t="str">
        <f t="shared" si="96"/>
        <v/>
      </c>
      <c r="BQ63" s="380"/>
      <c r="BR63" s="380"/>
      <c r="BS63" s="380"/>
      <c r="BT63" s="380"/>
    </row>
    <row r="64" spans="1:72" ht="22.5" customHeight="1" x14ac:dyDescent="0.4">
      <c r="A64" s="399"/>
      <c r="B64" s="376">
        <v>56</v>
      </c>
      <c r="C64" s="310">
        <v>43977</v>
      </c>
      <c r="D64" s="229" t="str">
        <f>IFERROR(VLOOKUP(C64,'बँक जमा खर्च पासबुक'!$C$9:$R$111,2,0),"")</f>
        <v/>
      </c>
      <c r="E64" s="229" t="str">
        <f>IFERROR(VLOOKUP(C64,'बँक जमा खर्च पासबुक'!$C$9:$R$111,3,0),"")</f>
        <v/>
      </c>
      <c r="F64" s="229" t="str">
        <f>IFERROR(VLOOKUP(C64,'बँक जमा खर्च पासबुक'!$C$9:$R$111,4,0),"")</f>
        <v/>
      </c>
      <c r="G64" s="229" t="str">
        <f>IFERROR(VLOOKUP(C64,'बँक जमा खर्च पासबुक'!$C$9:$R$111,5,0),"")</f>
        <v/>
      </c>
      <c r="H64" s="229" t="str">
        <f>IFERROR(VLOOKUP(C64,'बँक जमा खर्च पासबुक'!$C$9:$R$111,6,0),"")</f>
        <v/>
      </c>
      <c r="I64" s="229" t="str">
        <f>IFERROR(VLOOKUP(C64,'बँक जमा खर्च पासबुक'!$C$9:$R$111,7,0),"")</f>
        <v/>
      </c>
      <c r="J64" s="233">
        <f>SUMIF('बँक जमा खर्च पासबुक'!$C$9:$C$111,'बँक खर्च व्हाउचर पावती'!C64,'बँक जमा खर्च पासबुक'!$J$9:$J$111)</f>
        <v>0</v>
      </c>
      <c r="K64" s="233">
        <f>SUMIF('बँक जमा खर्च पासबुक'!$C$9:$C$111,'बँक खर्च व्हाउचर पावती'!C64,'बँक जमा खर्च पासबुक'!$K$9:$K$111)</f>
        <v>0</v>
      </c>
      <c r="L64" s="233">
        <f ca="1">SUMIF('बँक जमा खर्च पासबुक'!$C$9:$C$111,'बँक खर्च व्हाउचर पावती'!C64,'बँक जमा खर्च पासबुक'!$L$9:$L$110)</f>
        <v>0</v>
      </c>
      <c r="M64" s="228">
        <f>SUMIF('बँक जमा खर्च पासबुक'!$C$9:$C$111,'बँक खर्च व्हाउचर पावती'!C64,'बँक जमा खर्च पासबुक'!$M$9:$M$111)</f>
        <v>0</v>
      </c>
      <c r="N64" s="233">
        <f t="shared" ca="1" si="49"/>
        <v>3000</v>
      </c>
      <c r="O64" s="228">
        <f t="shared" si="50"/>
        <v>3000</v>
      </c>
      <c r="P64" s="228">
        <f t="shared" ca="1" si="48"/>
        <v>6000</v>
      </c>
      <c r="Q64" s="399"/>
      <c r="AM64" s="380"/>
      <c r="AN64" s="380"/>
      <c r="AO64" s="380">
        <v>28</v>
      </c>
      <c r="AP64" s="260" t="str">
        <f t="shared" si="97"/>
        <v/>
      </c>
      <c r="AQ64" s="260" t="str">
        <f t="shared" si="75"/>
        <v/>
      </c>
      <c r="AR64" s="260" t="str">
        <f t="shared" si="76"/>
        <v/>
      </c>
      <c r="AS64" s="260" t="str">
        <f t="shared" si="77"/>
        <v/>
      </c>
      <c r="AT64" s="260" t="str">
        <f t="shared" si="78"/>
        <v/>
      </c>
      <c r="AU64" s="260" t="str">
        <f t="shared" si="79"/>
        <v/>
      </c>
      <c r="AV64" s="260" t="str">
        <f t="shared" si="80"/>
        <v/>
      </c>
      <c r="AW64" s="260" t="str">
        <f t="shared" si="81"/>
        <v/>
      </c>
      <c r="AX64" s="260" t="str">
        <f t="shared" si="82"/>
        <v/>
      </c>
      <c r="AY64" s="260" t="str">
        <f t="shared" si="83"/>
        <v/>
      </c>
      <c r="AZ64" s="260" t="str">
        <f t="shared" si="84"/>
        <v/>
      </c>
      <c r="BA64" s="260" t="str">
        <f t="shared" si="85"/>
        <v/>
      </c>
      <c r="BB64" s="380"/>
      <c r="BC64" s="380"/>
      <c r="BD64" s="380">
        <v>27</v>
      </c>
      <c r="BE64" s="260" t="str">
        <f t="shared" si="98"/>
        <v/>
      </c>
      <c r="BF64" s="260" t="str">
        <f t="shared" si="86"/>
        <v/>
      </c>
      <c r="BG64" s="260" t="str">
        <f t="shared" si="87"/>
        <v/>
      </c>
      <c r="BH64" s="260" t="str">
        <f t="shared" si="88"/>
        <v/>
      </c>
      <c r="BI64" s="260" t="str">
        <f t="shared" si="89"/>
        <v/>
      </c>
      <c r="BJ64" s="260" t="str">
        <f t="shared" si="90"/>
        <v/>
      </c>
      <c r="BK64" s="260" t="str">
        <f t="shared" si="91"/>
        <v/>
      </c>
      <c r="BL64" s="260" t="str">
        <f t="shared" si="92"/>
        <v/>
      </c>
      <c r="BM64" s="260" t="str">
        <f t="shared" si="93"/>
        <v/>
      </c>
      <c r="BN64" s="260" t="str">
        <f t="shared" si="94"/>
        <v/>
      </c>
      <c r="BO64" s="260" t="str">
        <f t="shared" si="95"/>
        <v/>
      </c>
      <c r="BP64" s="260" t="str">
        <f t="shared" si="96"/>
        <v/>
      </c>
      <c r="BQ64" s="380"/>
      <c r="BR64" s="380"/>
      <c r="BS64" s="380"/>
      <c r="BT64" s="380"/>
    </row>
    <row r="65" spans="1:72" ht="22.5" customHeight="1" x14ac:dyDescent="0.4">
      <c r="A65" s="399"/>
      <c r="B65" s="376">
        <v>57</v>
      </c>
      <c r="C65" s="310">
        <v>43978</v>
      </c>
      <c r="D65" s="229" t="str">
        <f>IFERROR(VLOOKUP(C65,'बँक जमा खर्च पासबुक'!$C$9:$R$111,2,0),"")</f>
        <v/>
      </c>
      <c r="E65" s="229" t="str">
        <f>IFERROR(VLOOKUP(C65,'बँक जमा खर्च पासबुक'!$C$9:$R$111,3,0),"")</f>
        <v/>
      </c>
      <c r="F65" s="229" t="str">
        <f>IFERROR(VLOOKUP(C65,'बँक जमा खर्च पासबुक'!$C$9:$R$111,4,0),"")</f>
        <v/>
      </c>
      <c r="G65" s="229" t="str">
        <f>IFERROR(VLOOKUP(C65,'बँक जमा खर्च पासबुक'!$C$9:$R$111,5,0),"")</f>
        <v/>
      </c>
      <c r="H65" s="229" t="str">
        <f>IFERROR(VLOOKUP(C65,'बँक जमा खर्च पासबुक'!$C$9:$R$111,6,0),"")</f>
        <v/>
      </c>
      <c r="I65" s="229" t="str">
        <f>IFERROR(VLOOKUP(C65,'बँक जमा खर्च पासबुक'!$C$9:$R$111,7,0),"")</f>
        <v/>
      </c>
      <c r="J65" s="233">
        <f>SUMIF('बँक जमा खर्च पासबुक'!$C$9:$C$111,'बँक खर्च व्हाउचर पावती'!C65,'बँक जमा खर्च पासबुक'!$J$9:$J$111)</f>
        <v>0</v>
      </c>
      <c r="K65" s="233">
        <f>SUMIF('बँक जमा खर्च पासबुक'!$C$9:$C$111,'बँक खर्च व्हाउचर पावती'!C65,'बँक जमा खर्च पासबुक'!$K$9:$K$111)</f>
        <v>0</v>
      </c>
      <c r="L65" s="233">
        <f ca="1">SUMIF('बँक जमा खर्च पासबुक'!$C$9:$C$111,'बँक खर्च व्हाउचर पावती'!C65,'बँक जमा खर्च पासबुक'!$L$9:$L$110)</f>
        <v>0</v>
      </c>
      <c r="M65" s="228">
        <f>SUMIF('बँक जमा खर्च पासबुक'!$C$9:$C$111,'बँक खर्च व्हाउचर पावती'!C65,'बँक जमा खर्च पासबुक'!$M$9:$M$111)</f>
        <v>0</v>
      </c>
      <c r="N65" s="233">
        <f t="shared" ca="1" si="49"/>
        <v>3000</v>
      </c>
      <c r="O65" s="228">
        <f t="shared" si="50"/>
        <v>3000</v>
      </c>
      <c r="P65" s="228">
        <f t="shared" ca="1" si="48"/>
        <v>6000</v>
      </c>
      <c r="Q65" s="399"/>
      <c r="AM65" s="380"/>
      <c r="AN65" s="380"/>
      <c r="AO65" s="380">
        <v>29</v>
      </c>
      <c r="AP65" s="260" t="str">
        <f t="shared" si="97"/>
        <v/>
      </c>
      <c r="AQ65" s="260" t="str">
        <f t="shared" si="75"/>
        <v/>
      </c>
      <c r="AR65" s="260" t="str">
        <f t="shared" si="76"/>
        <v/>
      </c>
      <c r="AS65" s="260" t="str">
        <f t="shared" si="77"/>
        <v/>
      </c>
      <c r="AT65" s="260" t="str">
        <f t="shared" si="78"/>
        <v/>
      </c>
      <c r="AU65" s="260" t="str">
        <f t="shared" si="79"/>
        <v/>
      </c>
      <c r="AV65" s="260" t="str">
        <f t="shared" si="80"/>
        <v/>
      </c>
      <c r="AW65" s="260" t="str">
        <f t="shared" si="81"/>
        <v/>
      </c>
      <c r="AX65" s="260" t="str">
        <f t="shared" si="82"/>
        <v/>
      </c>
      <c r="AY65" s="260" t="str">
        <f t="shared" si="83"/>
        <v/>
      </c>
      <c r="AZ65" s="260" t="str">
        <f t="shared" si="84"/>
        <v/>
      </c>
      <c r="BA65" s="260" t="str">
        <f t="shared" si="85"/>
        <v/>
      </c>
      <c r="BB65" s="380"/>
      <c r="BC65" s="380"/>
      <c r="BD65" s="380">
        <v>28</v>
      </c>
      <c r="BE65" s="260" t="str">
        <f t="shared" si="98"/>
        <v/>
      </c>
      <c r="BF65" s="260" t="str">
        <f t="shared" si="86"/>
        <v/>
      </c>
      <c r="BG65" s="260" t="str">
        <f t="shared" si="87"/>
        <v/>
      </c>
      <c r="BH65" s="260" t="str">
        <f t="shared" si="88"/>
        <v/>
      </c>
      <c r="BI65" s="260" t="str">
        <f t="shared" si="89"/>
        <v/>
      </c>
      <c r="BJ65" s="260" t="str">
        <f t="shared" si="90"/>
        <v/>
      </c>
      <c r="BK65" s="260" t="str">
        <f t="shared" si="91"/>
        <v/>
      </c>
      <c r="BL65" s="260" t="str">
        <f t="shared" si="92"/>
        <v/>
      </c>
      <c r="BM65" s="260" t="str">
        <f t="shared" si="93"/>
        <v/>
      </c>
      <c r="BN65" s="260" t="str">
        <f t="shared" si="94"/>
        <v/>
      </c>
      <c r="BO65" s="260" t="str">
        <f t="shared" si="95"/>
        <v/>
      </c>
      <c r="BP65" s="260" t="str">
        <f t="shared" si="96"/>
        <v/>
      </c>
      <c r="BQ65" s="380"/>
      <c r="BR65" s="380"/>
      <c r="BS65" s="380"/>
      <c r="BT65" s="380"/>
    </row>
    <row r="66" spans="1:72" ht="22.5" customHeight="1" x14ac:dyDescent="0.4">
      <c r="A66" s="399"/>
      <c r="B66" s="376">
        <v>58</v>
      </c>
      <c r="C66" s="310">
        <v>43979</v>
      </c>
      <c r="D66" s="229" t="str">
        <f>IFERROR(VLOOKUP(C66,'बँक जमा खर्च पासबुक'!$C$9:$R$111,2,0),"")</f>
        <v/>
      </c>
      <c r="E66" s="229" t="str">
        <f>IFERROR(VLOOKUP(C66,'बँक जमा खर्च पासबुक'!$C$9:$R$111,3,0),"")</f>
        <v/>
      </c>
      <c r="F66" s="229" t="str">
        <f>IFERROR(VLOOKUP(C66,'बँक जमा खर्च पासबुक'!$C$9:$R$111,4,0),"")</f>
        <v/>
      </c>
      <c r="G66" s="229" t="str">
        <f>IFERROR(VLOOKUP(C66,'बँक जमा खर्च पासबुक'!$C$9:$R$111,5,0),"")</f>
        <v/>
      </c>
      <c r="H66" s="229" t="str">
        <f>IFERROR(VLOOKUP(C66,'बँक जमा खर्च पासबुक'!$C$9:$R$111,6,0),"")</f>
        <v/>
      </c>
      <c r="I66" s="229" t="str">
        <f>IFERROR(VLOOKUP(C66,'बँक जमा खर्च पासबुक'!$C$9:$R$111,7,0),"")</f>
        <v/>
      </c>
      <c r="J66" s="233">
        <f>SUMIF('बँक जमा खर्च पासबुक'!$C$9:$C$111,'बँक खर्च व्हाउचर पावती'!C66,'बँक जमा खर्च पासबुक'!$J$9:$J$111)</f>
        <v>0</v>
      </c>
      <c r="K66" s="233">
        <f>SUMIF('बँक जमा खर्च पासबुक'!$C$9:$C$111,'बँक खर्च व्हाउचर पावती'!C66,'बँक जमा खर्च पासबुक'!$K$9:$K$111)</f>
        <v>0</v>
      </c>
      <c r="L66" s="233">
        <f ca="1">SUMIF('बँक जमा खर्च पासबुक'!$C$9:$C$111,'बँक खर्च व्हाउचर पावती'!C66,'बँक जमा खर्च पासबुक'!$L$9:$L$110)</f>
        <v>0</v>
      </c>
      <c r="M66" s="228">
        <f>SUMIF('बँक जमा खर्च पासबुक'!$C$9:$C$111,'बँक खर्च व्हाउचर पावती'!C66,'बँक जमा खर्च पासबुक'!$M$9:$M$111)</f>
        <v>0</v>
      </c>
      <c r="N66" s="233">
        <f t="shared" ca="1" si="49"/>
        <v>3000</v>
      </c>
      <c r="O66" s="228">
        <f t="shared" si="50"/>
        <v>3000</v>
      </c>
      <c r="P66" s="228">
        <f t="shared" ca="1" si="48"/>
        <v>6000</v>
      </c>
      <c r="Q66" s="399"/>
      <c r="AM66" s="380"/>
      <c r="AN66" s="380"/>
      <c r="AO66" s="380">
        <v>30</v>
      </c>
      <c r="AP66" s="260" t="str">
        <f t="shared" si="97"/>
        <v/>
      </c>
      <c r="AQ66" s="260" t="str">
        <f t="shared" si="75"/>
        <v/>
      </c>
      <c r="AR66" s="260" t="str">
        <f t="shared" si="76"/>
        <v/>
      </c>
      <c r="AS66" s="260" t="str">
        <f t="shared" si="77"/>
        <v/>
      </c>
      <c r="AT66" s="260" t="str">
        <f t="shared" si="78"/>
        <v/>
      </c>
      <c r="AU66" s="260" t="str">
        <f t="shared" si="79"/>
        <v/>
      </c>
      <c r="AV66" s="260" t="str">
        <f t="shared" si="80"/>
        <v/>
      </c>
      <c r="AW66" s="260" t="str">
        <f t="shared" si="81"/>
        <v/>
      </c>
      <c r="AX66" s="260" t="str">
        <f t="shared" si="82"/>
        <v/>
      </c>
      <c r="AY66" s="260" t="str">
        <f t="shared" si="83"/>
        <v/>
      </c>
      <c r="AZ66" s="380"/>
      <c r="BA66" s="260" t="str">
        <f t="shared" si="85"/>
        <v/>
      </c>
      <c r="BB66" s="380"/>
      <c r="BC66" s="380"/>
      <c r="BD66" s="380">
        <v>29</v>
      </c>
      <c r="BE66" s="260" t="str">
        <f t="shared" si="98"/>
        <v/>
      </c>
      <c r="BF66" s="260" t="str">
        <f t="shared" si="86"/>
        <v/>
      </c>
      <c r="BG66" s="260" t="str">
        <f t="shared" si="87"/>
        <v/>
      </c>
      <c r="BH66" s="260" t="str">
        <f t="shared" si="88"/>
        <v/>
      </c>
      <c r="BI66" s="260" t="str">
        <f t="shared" si="89"/>
        <v/>
      </c>
      <c r="BJ66" s="260" t="str">
        <f t="shared" si="90"/>
        <v/>
      </c>
      <c r="BK66" s="260" t="str">
        <f t="shared" si="91"/>
        <v/>
      </c>
      <c r="BL66" s="260" t="str">
        <f t="shared" si="92"/>
        <v/>
      </c>
      <c r="BM66" s="260" t="str">
        <f t="shared" si="93"/>
        <v/>
      </c>
      <c r="BN66" s="260" t="str">
        <f t="shared" si="94"/>
        <v/>
      </c>
      <c r="BO66" s="260" t="str">
        <f t="shared" si="95"/>
        <v/>
      </c>
      <c r="BP66" s="260" t="str">
        <f t="shared" si="96"/>
        <v/>
      </c>
      <c r="BQ66" s="380"/>
      <c r="BR66" s="380"/>
      <c r="BS66" s="380"/>
      <c r="BT66" s="380"/>
    </row>
    <row r="67" spans="1:72" ht="22.5" customHeight="1" x14ac:dyDescent="0.4">
      <c r="A67" s="399"/>
      <c r="B67" s="376">
        <v>59</v>
      </c>
      <c r="C67" s="310">
        <v>43980</v>
      </c>
      <c r="D67" s="229" t="str">
        <f>IFERROR(VLOOKUP(C67,'बँक जमा खर्च पासबुक'!$C$9:$R$111,2,0),"")</f>
        <v/>
      </c>
      <c r="E67" s="229" t="str">
        <f>IFERROR(VLOOKUP(C67,'बँक जमा खर्च पासबुक'!$C$9:$R$111,3,0),"")</f>
        <v/>
      </c>
      <c r="F67" s="229" t="str">
        <f>IFERROR(VLOOKUP(C67,'बँक जमा खर्च पासबुक'!$C$9:$R$111,4,0),"")</f>
        <v/>
      </c>
      <c r="G67" s="229" t="str">
        <f>IFERROR(VLOOKUP(C67,'बँक जमा खर्च पासबुक'!$C$9:$R$111,5,0),"")</f>
        <v/>
      </c>
      <c r="H67" s="229" t="str">
        <f>IFERROR(VLOOKUP(C67,'बँक जमा खर्च पासबुक'!$C$9:$R$111,6,0),"")</f>
        <v/>
      </c>
      <c r="I67" s="229" t="str">
        <f>IFERROR(VLOOKUP(C67,'बँक जमा खर्च पासबुक'!$C$9:$R$111,7,0),"")</f>
        <v/>
      </c>
      <c r="J67" s="233">
        <f>SUMIF('बँक जमा खर्च पासबुक'!$C$9:$C$111,'बँक खर्च व्हाउचर पावती'!C67,'बँक जमा खर्च पासबुक'!$J$9:$J$111)</f>
        <v>0</v>
      </c>
      <c r="K67" s="233">
        <f>SUMIF('बँक जमा खर्च पासबुक'!$C$9:$C$111,'बँक खर्च व्हाउचर पावती'!C67,'बँक जमा खर्च पासबुक'!$K$9:$K$111)</f>
        <v>0</v>
      </c>
      <c r="L67" s="233">
        <f ca="1">SUMIF('बँक जमा खर्च पासबुक'!$C$9:$C$111,'बँक खर्च व्हाउचर पावती'!C67,'बँक जमा खर्च पासबुक'!$L$9:$L$110)</f>
        <v>0</v>
      </c>
      <c r="M67" s="228">
        <f>SUMIF('बँक जमा खर्च पासबुक'!$C$9:$C$111,'बँक खर्च व्हाउचर पावती'!C67,'बँक जमा खर्च पासबुक'!$M$9:$M$111)</f>
        <v>0</v>
      </c>
      <c r="N67" s="233">
        <f t="shared" ca="1" si="49"/>
        <v>3000</v>
      </c>
      <c r="O67" s="228">
        <f t="shared" si="50"/>
        <v>3000</v>
      </c>
      <c r="P67" s="228">
        <f t="shared" ca="1" si="48"/>
        <v>6000</v>
      </c>
      <c r="Q67" s="399"/>
      <c r="AM67" s="380"/>
      <c r="AN67" s="380"/>
      <c r="AO67" s="380">
        <v>31</v>
      </c>
      <c r="AP67" s="380"/>
      <c r="AQ67" s="260" t="str">
        <f t="shared" si="75"/>
        <v/>
      </c>
      <c r="AR67" s="380"/>
      <c r="AS67" s="260" t="str">
        <f t="shared" si="77"/>
        <v/>
      </c>
      <c r="AT67" s="260" t="str">
        <f t="shared" si="78"/>
        <v/>
      </c>
      <c r="AU67" s="380"/>
      <c r="AV67" s="260" t="str">
        <f t="shared" si="80"/>
        <v/>
      </c>
      <c r="AW67" s="380"/>
      <c r="AX67" s="260" t="str">
        <f t="shared" si="82"/>
        <v/>
      </c>
      <c r="AY67" s="260" t="str">
        <f t="shared" si="83"/>
        <v/>
      </c>
      <c r="AZ67" s="380"/>
      <c r="BA67" s="260" t="str">
        <f t="shared" si="85"/>
        <v/>
      </c>
      <c r="BB67" s="380"/>
      <c r="BC67" s="380"/>
      <c r="BD67" s="380">
        <v>30</v>
      </c>
      <c r="BE67" s="260" t="str">
        <f t="shared" si="98"/>
        <v/>
      </c>
      <c r="BF67" s="260" t="str">
        <f t="shared" si="86"/>
        <v/>
      </c>
      <c r="BG67" s="260" t="str">
        <f t="shared" si="87"/>
        <v/>
      </c>
      <c r="BH67" s="260" t="str">
        <f t="shared" si="88"/>
        <v/>
      </c>
      <c r="BI67" s="260" t="str">
        <f t="shared" si="89"/>
        <v/>
      </c>
      <c r="BJ67" s="260" t="str">
        <f t="shared" si="90"/>
        <v/>
      </c>
      <c r="BK67" s="260" t="str">
        <f t="shared" si="91"/>
        <v/>
      </c>
      <c r="BL67" s="260" t="str">
        <f t="shared" si="92"/>
        <v/>
      </c>
      <c r="BM67" s="260" t="str">
        <f t="shared" si="93"/>
        <v/>
      </c>
      <c r="BN67" s="260" t="str">
        <f t="shared" si="94"/>
        <v/>
      </c>
      <c r="BO67" s="380"/>
      <c r="BP67" s="260" t="str">
        <f t="shared" si="96"/>
        <v/>
      </c>
      <c r="BQ67" s="380"/>
      <c r="BR67" s="380"/>
      <c r="BS67" s="380"/>
      <c r="BT67" s="380"/>
    </row>
    <row r="68" spans="1:72" ht="22.5" customHeight="1" x14ac:dyDescent="0.4">
      <c r="A68" s="399"/>
      <c r="B68" s="376">
        <v>60</v>
      </c>
      <c r="C68" s="310">
        <v>43981</v>
      </c>
      <c r="D68" s="229" t="str">
        <f>IFERROR(VLOOKUP(C68,'बँक जमा खर्च पासबुक'!$C$9:$R$111,2,0),"")</f>
        <v/>
      </c>
      <c r="E68" s="229" t="str">
        <f>IFERROR(VLOOKUP(C68,'बँक जमा खर्च पासबुक'!$C$9:$R$111,3,0),"")</f>
        <v/>
      </c>
      <c r="F68" s="229" t="str">
        <f>IFERROR(VLOOKUP(C68,'बँक जमा खर्च पासबुक'!$C$9:$R$111,4,0),"")</f>
        <v/>
      </c>
      <c r="G68" s="229" t="str">
        <f>IFERROR(VLOOKUP(C68,'बँक जमा खर्च पासबुक'!$C$9:$R$111,5,0),"")</f>
        <v/>
      </c>
      <c r="H68" s="229" t="str">
        <f>IFERROR(VLOOKUP(C68,'बँक जमा खर्च पासबुक'!$C$9:$R$111,6,0),"")</f>
        <v/>
      </c>
      <c r="I68" s="229" t="str">
        <f>IFERROR(VLOOKUP(C68,'बँक जमा खर्च पासबुक'!$C$9:$R$111,7,0),"")</f>
        <v/>
      </c>
      <c r="J68" s="233">
        <f>SUMIF('बँक जमा खर्च पासबुक'!$C$9:$C$111,'बँक खर्च व्हाउचर पावती'!C68,'बँक जमा खर्च पासबुक'!$J$9:$J$111)</f>
        <v>0</v>
      </c>
      <c r="K68" s="233">
        <f>SUMIF('बँक जमा खर्च पासबुक'!$C$9:$C$111,'बँक खर्च व्हाउचर पावती'!C68,'बँक जमा खर्च पासबुक'!$K$9:$K$111)</f>
        <v>0</v>
      </c>
      <c r="L68" s="233">
        <f ca="1">SUMIF('बँक जमा खर्च पासबुक'!$C$9:$C$111,'बँक खर्च व्हाउचर पावती'!C68,'बँक जमा खर्च पासबुक'!$L$9:$L$110)</f>
        <v>0</v>
      </c>
      <c r="M68" s="228">
        <f>SUMIF('बँक जमा खर्च पासबुक'!$C$9:$C$111,'बँक खर्च व्हाउचर पावती'!C68,'बँक जमा खर्च पासबुक'!$M$9:$M$111)</f>
        <v>0</v>
      </c>
      <c r="N68" s="233">
        <f t="shared" ca="1" si="49"/>
        <v>3000</v>
      </c>
      <c r="O68" s="228">
        <f t="shared" si="50"/>
        <v>3000</v>
      </c>
      <c r="P68" s="228">
        <f t="shared" ca="1" si="48"/>
        <v>6000</v>
      </c>
      <c r="Q68" s="399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>
        <v>31</v>
      </c>
      <c r="BE68" s="380"/>
      <c r="BF68" s="260" t="str">
        <f t="shared" si="86"/>
        <v/>
      </c>
      <c r="BG68" s="380"/>
      <c r="BH68" s="260" t="str">
        <f t="shared" si="88"/>
        <v/>
      </c>
      <c r="BI68" s="260" t="str">
        <f t="shared" si="89"/>
        <v/>
      </c>
      <c r="BJ68" s="380"/>
      <c r="BK68" s="260" t="str">
        <f t="shared" si="91"/>
        <v/>
      </c>
      <c r="BL68" s="380"/>
      <c r="BM68" s="260" t="str">
        <f t="shared" si="93"/>
        <v/>
      </c>
      <c r="BN68" s="260" t="str">
        <f t="shared" si="94"/>
        <v/>
      </c>
      <c r="BO68" s="380"/>
      <c r="BP68" s="260" t="str">
        <f t="shared" si="96"/>
        <v/>
      </c>
      <c r="BQ68" s="380"/>
      <c r="BR68" s="380"/>
      <c r="BS68" s="380"/>
      <c r="BT68" s="380"/>
    </row>
    <row r="69" spans="1:72" ht="22.5" customHeight="1" x14ac:dyDescent="0.4">
      <c r="A69" s="399"/>
      <c r="B69" s="376">
        <v>61</v>
      </c>
      <c r="C69" s="310">
        <v>43982</v>
      </c>
      <c r="D69" s="229" t="str">
        <f>IFERROR(VLOOKUP(C69,'बँक जमा खर्च पासबुक'!$C$9:$R$111,2,0),"")</f>
        <v/>
      </c>
      <c r="E69" s="229" t="str">
        <f>IFERROR(VLOOKUP(C69,'बँक जमा खर्च पासबुक'!$C$9:$R$111,3,0),"")</f>
        <v/>
      </c>
      <c r="F69" s="229" t="str">
        <f>IFERROR(VLOOKUP(C69,'बँक जमा खर्च पासबुक'!$C$9:$R$111,4,0),"")</f>
        <v/>
      </c>
      <c r="G69" s="229" t="str">
        <f>IFERROR(VLOOKUP(C69,'बँक जमा खर्च पासबुक'!$C$9:$R$111,5,0),"")</f>
        <v/>
      </c>
      <c r="H69" s="229" t="str">
        <f>IFERROR(VLOOKUP(C69,'बँक जमा खर्च पासबुक'!$C$9:$R$111,6,0),"")</f>
        <v/>
      </c>
      <c r="I69" s="229" t="str">
        <f>IFERROR(VLOOKUP(C69,'बँक जमा खर्च पासबुक'!$C$9:$R$111,7,0),"")</f>
        <v/>
      </c>
      <c r="J69" s="233">
        <f>SUMIF('बँक जमा खर्च पासबुक'!$C$9:$C$111,'बँक खर्च व्हाउचर पावती'!C69,'बँक जमा खर्च पासबुक'!$J$9:$J$111)</f>
        <v>0</v>
      </c>
      <c r="K69" s="233">
        <f>SUMIF('बँक जमा खर्च पासबुक'!$C$9:$C$111,'बँक खर्च व्हाउचर पावती'!C69,'बँक जमा खर्च पासबुक'!$K$9:$K$111)</f>
        <v>0</v>
      </c>
      <c r="L69" s="233">
        <f ca="1">SUMIF('बँक जमा खर्च पासबुक'!$C$9:$C$111,'बँक खर्च व्हाउचर पावती'!C69,'बँक जमा खर्च पासबुक'!$L$9:$L$110)</f>
        <v>0</v>
      </c>
      <c r="M69" s="228">
        <f>SUMIF('बँक जमा खर्च पासबुक'!$C$9:$C$111,'बँक खर्च व्हाउचर पावती'!C69,'बँक जमा खर्च पासबुक'!$M$9:$M$111)</f>
        <v>0</v>
      </c>
      <c r="N69" s="233">
        <f t="shared" ca="1" si="49"/>
        <v>3000</v>
      </c>
      <c r="O69" s="228">
        <f t="shared" si="50"/>
        <v>3000</v>
      </c>
      <c r="P69" s="228">
        <f t="shared" ca="1" si="48"/>
        <v>6000</v>
      </c>
      <c r="Q69" s="399"/>
      <c r="AM69" s="380"/>
      <c r="AN69" s="380"/>
      <c r="AO69" s="380"/>
      <c r="AP69" s="380"/>
      <c r="AQ69" s="380"/>
      <c r="AR69" s="380"/>
      <c r="AS69" s="380"/>
      <c r="AT69" s="380"/>
      <c r="AU69" s="380"/>
      <c r="AV69" s="380"/>
      <c r="AW69" s="380"/>
      <c r="AX69" s="380"/>
      <c r="AY69" s="380"/>
      <c r="AZ69" s="380"/>
      <c r="BA69" s="380"/>
      <c r="BB69" s="380"/>
      <c r="BC69" s="380"/>
      <c r="BD69" s="380"/>
      <c r="BE69" s="380"/>
      <c r="BF69" s="380"/>
      <c r="BG69" s="380"/>
      <c r="BH69" s="380"/>
      <c r="BI69" s="380"/>
      <c r="BJ69" s="380"/>
      <c r="BK69" s="380"/>
      <c r="BL69" s="380"/>
      <c r="BM69" s="380"/>
      <c r="BN69" s="380"/>
      <c r="BO69" s="380"/>
      <c r="BP69" s="380"/>
      <c r="BQ69" s="380"/>
      <c r="BR69" s="380"/>
      <c r="BS69" s="380"/>
      <c r="BT69" s="380"/>
    </row>
    <row r="70" spans="1:72" ht="22.5" customHeight="1" x14ac:dyDescent="0.4">
      <c r="A70" s="399" t="s">
        <v>94</v>
      </c>
      <c r="B70" s="376">
        <v>62</v>
      </c>
      <c r="C70" s="310">
        <v>43983</v>
      </c>
      <c r="D70" s="229" t="str">
        <f>IFERROR(VLOOKUP(C70,'बँक जमा खर्च पासबुक'!$C$9:$R$111,2,0),"")</f>
        <v/>
      </c>
      <c r="E70" s="229" t="str">
        <f>IFERROR(VLOOKUP(C70,'बँक जमा खर्च पासबुक'!$C$9:$R$111,3,0),"")</f>
        <v/>
      </c>
      <c r="F70" s="229" t="str">
        <f>IFERROR(VLOOKUP(C70,'बँक जमा खर्च पासबुक'!$C$9:$R$111,4,0),"")</f>
        <v/>
      </c>
      <c r="G70" s="229" t="str">
        <f>IFERROR(VLOOKUP(C70,'बँक जमा खर्च पासबुक'!$C$9:$R$111,5,0),"")</f>
        <v/>
      </c>
      <c r="H70" s="229" t="str">
        <f>IFERROR(VLOOKUP(C70,'बँक जमा खर्च पासबुक'!$C$9:$R$111,6,0),"")</f>
        <v/>
      </c>
      <c r="I70" s="229" t="str">
        <f>IFERROR(VLOOKUP(C70,'बँक जमा खर्च पासबुक'!$C$9:$R$111,7,0),"")</f>
        <v/>
      </c>
      <c r="J70" s="233">
        <f>SUMIF('बँक जमा खर्च पासबुक'!$C$9:$C$111,'बँक खर्च व्हाउचर पावती'!C70,'बँक जमा खर्च पासबुक'!$J$9:$J$111)</f>
        <v>0</v>
      </c>
      <c r="K70" s="233">
        <f>SUMIF('बँक जमा खर्च पासबुक'!$C$9:$C$111,'बँक खर्च व्हाउचर पावती'!C70,'बँक जमा खर्च पासबुक'!$K$9:$K$111)</f>
        <v>0</v>
      </c>
      <c r="L70" s="233">
        <f ca="1">SUMIF('बँक जमा खर्च पासबुक'!$C$9:$C$111,'बँक खर्च व्हाउचर पावती'!C70,'बँक जमा खर्च पासबुक'!$L$9:$L$110)</f>
        <v>0</v>
      </c>
      <c r="M70" s="228">
        <f>SUMIF('बँक जमा खर्च पासबुक'!$C$9:$C$111,'बँक खर्च व्हाउचर पावती'!C70,'बँक जमा खर्च पासबुक'!$M$9:$M$111)</f>
        <v>0</v>
      </c>
      <c r="N70" s="233">
        <f t="shared" ca="1" si="49"/>
        <v>3000</v>
      </c>
      <c r="O70" s="228">
        <f t="shared" si="50"/>
        <v>3000</v>
      </c>
      <c r="P70" s="228">
        <f t="shared" ca="1" si="48"/>
        <v>6000</v>
      </c>
      <c r="Q70" s="399"/>
      <c r="AM70" s="380"/>
      <c r="AN70" s="380"/>
      <c r="AO70" s="380"/>
      <c r="AP70" s="380"/>
      <c r="AQ70" s="380"/>
      <c r="AR70" s="380"/>
      <c r="AS70" s="380"/>
      <c r="AT70" s="380"/>
      <c r="AU70" s="380"/>
      <c r="AV70" s="380"/>
      <c r="AW70" s="380"/>
      <c r="AX70" s="380"/>
      <c r="AY70" s="380"/>
      <c r="AZ70" s="380"/>
      <c r="BA70" s="380"/>
      <c r="BB70" s="380"/>
      <c r="BC70" s="380"/>
      <c r="BD70" s="380"/>
      <c r="BE70" s="380"/>
      <c r="BF70" s="380"/>
      <c r="BG70" s="380"/>
      <c r="BH70" s="380"/>
      <c r="BI70" s="380"/>
      <c r="BJ70" s="380"/>
      <c r="BK70" s="380"/>
      <c r="BL70" s="380"/>
      <c r="BM70" s="380"/>
      <c r="BN70" s="380"/>
      <c r="BO70" s="380"/>
      <c r="BP70" s="380"/>
      <c r="BQ70" s="380"/>
      <c r="BR70" s="380"/>
      <c r="BS70" s="380"/>
      <c r="BT70" s="380"/>
    </row>
    <row r="71" spans="1:72" ht="22.5" customHeight="1" x14ac:dyDescent="0.4">
      <c r="A71" s="399"/>
      <c r="B71" s="376">
        <v>63</v>
      </c>
      <c r="C71" s="310">
        <v>43984</v>
      </c>
      <c r="D71" s="229" t="str">
        <f>IFERROR(VLOOKUP(C71,'बँक जमा खर्च पासबुक'!$C$9:$R$111,2,0),"")</f>
        <v/>
      </c>
      <c r="E71" s="229" t="str">
        <f>IFERROR(VLOOKUP(C71,'बँक जमा खर्च पासबुक'!$C$9:$R$111,3,0),"")</f>
        <v/>
      </c>
      <c r="F71" s="229" t="str">
        <f>IFERROR(VLOOKUP(C71,'बँक जमा खर्च पासबुक'!$C$9:$R$111,4,0),"")</f>
        <v/>
      </c>
      <c r="G71" s="229" t="str">
        <f>IFERROR(VLOOKUP(C71,'बँक जमा खर्च पासबुक'!$C$9:$R$111,5,0),"")</f>
        <v/>
      </c>
      <c r="H71" s="229" t="str">
        <f>IFERROR(VLOOKUP(C71,'बँक जमा खर्च पासबुक'!$C$9:$R$111,6,0),"")</f>
        <v/>
      </c>
      <c r="I71" s="229" t="str">
        <f>IFERROR(VLOOKUP(C71,'बँक जमा खर्च पासबुक'!$C$9:$R$111,7,0),"")</f>
        <v/>
      </c>
      <c r="J71" s="233">
        <f>SUMIF('बँक जमा खर्च पासबुक'!$C$9:$C$111,'बँक खर्च व्हाउचर पावती'!C71,'बँक जमा खर्च पासबुक'!$J$9:$J$111)</f>
        <v>0</v>
      </c>
      <c r="K71" s="233">
        <f>SUMIF('बँक जमा खर्च पासबुक'!$C$9:$C$111,'बँक खर्च व्हाउचर पावती'!C71,'बँक जमा खर्च पासबुक'!$K$9:$K$111)</f>
        <v>0</v>
      </c>
      <c r="L71" s="233">
        <f ca="1">SUMIF('बँक जमा खर्च पासबुक'!$C$9:$C$111,'बँक खर्च व्हाउचर पावती'!C71,'बँक जमा खर्च पासबुक'!$L$9:$L$110)</f>
        <v>0</v>
      </c>
      <c r="M71" s="228">
        <f>SUMIF('बँक जमा खर्च पासबुक'!$C$9:$C$111,'बँक खर्च व्हाउचर पावती'!C71,'बँक जमा खर्च पासबुक'!$M$9:$M$111)</f>
        <v>0</v>
      </c>
      <c r="N71" s="233">
        <f t="shared" ca="1" si="49"/>
        <v>3000</v>
      </c>
      <c r="O71" s="228">
        <f t="shared" si="50"/>
        <v>3000</v>
      </c>
      <c r="P71" s="228">
        <f t="shared" ca="1" si="48"/>
        <v>6000</v>
      </c>
      <c r="Q71" s="399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 t="s">
        <v>584</v>
      </c>
      <c r="AW71" s="380"/>
      <c r="AX71" s="380"/>
      <c r="AY71" s="380"/>
      <c r="AZ71" s="380"/>
      <c r="BA71" s="380"/>
      <c r="BB71" s="380"/>
      <c r="BC71" s="380"/>
      <c r="BD71" s="380"/>
      <c r="BE71" s="380"/>
      <c r="BF71" s="380"/>
      <c r="BG71" s="380"/>
      <c r="BH71" s="380"/>
      <c r="BI71" s="380"/>
      <c r="BJ71" s="380"/>
      <c r="BK71" s="380"/>
      <c r="BL71" s="380"/>
      <c r="BM71" s="380"/>
      <c r="BN71" s="380"/>
      <c r="BO71" s="380"/>
      <c r="BP71" s="380"/>
      <c r="BQ71" s="380"/>
      <c r="BR71" s="380"/>
      <c r="BS71" s="380"/>
      <c r="BT71" s="380"/>
    </row>
    <row r="72" spans="1:72" ht="22.5" customHeight="1" x14ac:dyDescent="0.4">
      <c r="A72" s="399"/>
      <c r="B72" s="376">
        <v>64</v>
      </c>
      <c r="C72" s="310">
        <v>43985</v>
      </c>
      <c r="D72" s="229" t="str">
        <f>IFERROR(VLOOKUP(C72,'बँक जमा खर्च पासबुक'!$C$9:$R$111,2,0),"")</f>
        <v/>
      </c>
      <c r="E72" s="229" t="str">
        <f>IFERROR(VLOOKUP(C72,'बँक जमा खर्च पासबुक'!$C$9:$R$111,3,0),"")</f>
        <v/>
      </c>
      <c r="F72" s="229" t="str">
        <f>IFERROR(VLOOKUP(C72,'बँक जमा खर्च पासबुक'!$C$9:$R$111,4,0),"")</f>
        <v/>
      </c>
      <c r="G72" s="229" t="str">
        <f>IFERROR(VLOOKUP(C72,'बँक जमा खर्च पासबुक'!$C$9:$R$111,5,0),"")</f>
        <v/>
      </c>
      <c r="H72" s="229" t="str">
        <f>IFERROR(VLOOKUP(C72,'बँक जमा खर्च पासबुक'!$C$9:$R$111,6,0),"")</f>
        <v/>
      </c>
      <c r="I72" s="229" t="str">
        <f>IFERROR(VLOOKUP(C72,'बँक जमा खर्च पासबुक'!$C$9:$R$111,7,0),"")</f>
        <v/>
      </c>
      <c r="J72" s="233">
        <f>SUMIF('बँक जमा खर्च पासबुक'!$C$9:$C$111,'बँक खर्च व्हाउचर पावती'!C72,'बँक जमा खर्च पासबुक'!$J$9:$J$111)</f>
        <v>0</v>
      </c>
      <c r="K72" s="233">
        <f>SUMIF('बँक जमा खर्च पासबुक'!$C$9:$C$111,'बँक खर्च व्हाउचर पावती'!C72,'बँक जमा खर्च पासबुक'!$K$9:$K$111)</f>
        <v>0</v>
      </c>
      <c r="L72" s="233">
        <f ca="1">SUMIF('बँक जमा खर्च पासबुक'!$C$9:$C$111,'बँक खर्च व्हाउचर पावती'!C72,'बँक जमा खर्च पासबुक'!$L$9:$L$110)</f>
        <v>0</v>
      </c>
      <c r="M72" s="228">
        <f>SUMIF('बँक जमा खर्च पासबुक'!$C$9:$C$111,'बँक खर्च व्हाउचर पावती'!C72,'बँक जमा खर्च पासबुक'!$M$9:$M$111)</f>
        <v>0</v>
      </c>
      <c r="N72" s="233">
        <f t="shared" ca="1" si="49"/>
        <v>3000</v>
      </c>
      <c r="O72" s="228">
        <f t="shared" si="50"/>
        <v>3000</v>
      </c>
      <c r="P72" s="228">
        <f t="shared" ca="1" si="48"/>
        <v>6000</v>
      </c>
      <c r="Q72" s="399"/>
      <c r="AM72" s="380"/>
      <c r="AN72" s="380"/>
      <c r="AO72" s="380"/>
      <c r="AP72" s="380" t="s">
        <v>42</v>
      </c>
      <c r="AQ72" s="380" t="s">
        <v>44</v>
      </c>
      <c r="AR72" s="380" t="s">
        <v>94</v>
      </c>
      <c r="AS72" s="380" t="s">
        <v>46</v>
      </c>
      <c r="AT72" s="380" t="s">
        <v>34</v>
      </c>
      <c r="AU72" s="380" t="s">
        <v>37</v>
      </c>
      <c r="AV72" s="380" t="s">
        <v>47</v>
      </c>
      <c r="AW72" s="380" t="s">
        <v>38</v>
      </c>
      <c r="AX72" s="380" t="s">
        <v>39</v>
      </c>
      <c r="AY72" s="380" t="s">
        <v>33</v>
      </c>
      <c r="AZ72" s="380" t="s">
        <v>40</v>
      </c>
      <c r="BA72" s="380" t="s">
        <v>41</v>
      </c>
      <c r="BB72" s="380"/>
      <c r="BC72" s="380"/>
      <c r="BD72" s="380"/>
      <c r="BE72" s="380"/>
      <c r="BF72" s="380"/>
      <c r="BG72" s="380"/>
      <c r="BH72" s="380"/>
      <c r="BI72" s="380"/>
      <c r="BJ72" s="380"/>
      <c r="BK72" s="380"/>
      <c r="BL72" s="380"/>
      <c r="BM72" s="380"/>
      <c r="BN72" s="380"/>
      <c r="BO72" s="380"/>
      <c r="BP72" s="380"/>
      <c r="BQ72" s="380"/>
      <c r="BR72" s="380"/>
      <c r="BS72" s="380"/>
      <c r="BT72" s="380"/>
    </row>
    <row r="73" spans="1:72" ht="22.5" customHeight="1" x14ac:dyDescent="0.4">
      <c r="A73" s="399"/>
      <c r="B73" s="376">
        <v>65</v>
      </c>
      <c r="C73" s="310">
        <v>43986</v>
      </c>
      <c r="D73" s="229" t="str">
        <f>IFERROR(VLOOKUP(C73,'बँक जमा खर्च पासबुक'!$C$9:$R$111,2,0),"")</f>
        <v/>
      </c>
      <c r="E73" s="229" t="str">
        <f>IFERROR(VLOOKUP(C73,'बँक जमा खर्च पासबुक'!$C$9:$R$111,3,0),"")</f>
        <v/>
      </c>
      <c r="F73" s="229" t="str">
        <f>IFERROR(VLOOKUP(C73,'बँक जमा खर्च पासबुक'!$C$9:$R$111,4,0),"")</f>
        <v/>
      </c>
      <c r="G73" s="229" t="str">
        <f>IFERROR(VLOOKUP(C73,'बँक जमा खर्च पासबुक'!$C$9:$R$111,5,0),"")</f>
        <v/>
      </c>
      <c r="H73" s="229" t="str">
        <f>IFERROR(VLOOKUP(C73,'बँक जमा खर्च पासबुक'!$C$9:$R$111,6,0),"")</f>
        <v/>
      </c>
      <c r="I73" s="229" t="str">
        <f>IFERROR(VLOOKUP(C73,'बँक जमा खर्च पासबुक'!$C$9:$R$111,7,0),"")</f>
        <v/>
      </c>
      <c r="J73" s="233">
        <f>SUMIF('बँक जमा खर्च पासबुक'!$C$9:$C$111,'बँक खर्च व्हाउचर पावती'!C73,'बँक जमा खर्च पासबुक'!$J$9:$J$111)</f>
        <v>0</v>
      </c>
      <c r="K73" s="233">
        <f>SUMIF('बँक जमा खर्च पासबुक'!$C$9:$C$111,'बँक खर्च व्हाउचर पावती'!C73,'बँक जमा खर्च पासबुक'!$K$9:$K$111)</f>
        <v>0</v>
      </c>
      <c r="L73" s="233">
        <f ca="1">SUMIF('बँक जमा खर्च पासबुक'!$C$9:$C$111,'बँक खर्च व्हाउचर पावती'!C73,'बँक जमा खर्च पासबुक'!$L$9:$L$110)</f>
        <v>0</v>
      </c>
      <c r="M73" s="228">
        <f>SUMIF('बँक जमा खर्च पासबुक'!$C$9:$C$111,'बँक खर्च व्हाउचर पावती'!C73,'बँक जमा खर्च पासबुक'!$M$9:$M$111)</f>
        <v>0</v>
      </c>
      <c r="N73" s="233">
        <f t="shared" ca="1" si="49"/>
        <v>3000</v>
      </c>
      <c r="O73" s="228">
        <f t="shared" si="50"/>
        <v>3000</v>
      </c>
      <c r="P73" s="228">
        <f t="shared" ref="P73:P136" ca="1" si="99">N73+O73</f>
        <v>6000</v>
      </c>
      <c r="Q73" s="399"/>
      <c r="AM73" s="380"/>
      <c r="AN73" s="380"/>
      <c r="AO73" s="380">
        <v>1</v>
      </c>
      <c r="AP73" s="260" t="str">
        <f>G9</f>
        <v/>
      </c>
      <c r="AQ73" s="260" t="str">
        <f t="shared" ref="AQ73:AQ103" si="100">G39</f>
        <v/>
      </c>
      <c r="AR73" s="260" t="str">
        <f t="shared" ref="AR73:AR102" si="101">G70</f>
        <v/>
      </c>
      <c r="AS73" s="260" t="str">
        <f t="shared" ref="AS73:AS103" si="102">G100</f>
        <v/>
      </c>
      <c r="AT73" s="260" t="str">
        <f t="shared" ref="AT73:AT103" si="103">G131</f>
        <v/>
      </c>
      <c r="AU73" s="260" t="str">
        <f t="shared" ref="AU73:AU102" si="104">G162</f>
        <v/>
      </c>
      <c r="AV73" s="260" t="str">
        <f t="shared" ref="AV73:AV103" si="105">G192</f>
        <v/>
      </c>
      <c r="AW73" s="260" t="str">
        <f t="shared" ref="AW73:AW102" si="106">G223</f>
        <v/>
      </c>
      <c r="AX73" s="260" t="str">
        <f t="shared" ref="AX73:AX103" si="107">G253</f>
        <v/>
      </c>
      <c r="AY73" s="260" t="str">
        <f t="shared" ref="AY73:AY103" si="108">G284</f>
        <v/>
      </c>
      <c r="AZ73" s="260" t="str">
        <f t="shared" ref="AZ73:AZ101" si="109">G315</f>
        <v/>
      </c>
      <c r="BA73" s="260" t="str">
        <f t="shared" ref="BA73:BA103" si="110">G344</f>
        <v/>
      </c>
      <c r="BB73" s="380"/>
      <c r="BC73" s="380"/>
      <c r="BD73" s="380"/>
      <c r="BE73" s="380"/>
      <c r="BF73" s="380"/>
      <c r="BG73" s="380"/>
      <c r="BH73" s="380"/>
      <c r="BI73" s="380"/>
      <c r="BJ73" s="380"/>
      <c r="BK73" s="380"/>
      <c r="BL73" s="380"/>
      <c r="BM73" s="380"/>
      <c r="BN73" s="380"/>
      <c r="BO73" s="380"/>
      <c r="BP73" s="380"/>
      <c r="BQ73" s="380"/>
      <c r="BR73" s="380"/>
      <c r="BS73" s="380"/>
      <c r="BT73" s="380"/>
    </row>
    <row r="74" spans="1:72" ht="22.5" customHeight="1" x14ac:dyDescent="0.4">
      <c r="A74" s="399"/>
      <c r="B74" s="376">
        <v>66</v>
      </c>
      <c r="C74" s="310">
        <v>43987</v>
      </c>
      <c r="D74" s="229" t="str">
        <f>IFERROR(VLOOKUP(C74,'बँक जमा खर्च पासबुक'!$C$9:$R$111,2,0),"")</f>
        <v/>
      </c>
      <c r="E74" s="229" t="str">
        <f>IFERROR(VLOOKUP(C74,'बँक जमा खर्च पासबुक'!$C$9:$R$111,3,0),"")</f>
        <v/>
      </c>
      <c r="F74" s="229" t="str">
        <f>IFERROR(VLOOKUP(C74,'बँक जमा खर्च पासबुक'!$C$9:$R$111,4,0),"")</f>
        <v/>
      </c>
      <c r="G74" s="229" t="str">
        <f>IFERROR(VLOOKUP(C74,'बँक जमा खर्च पासबुक'!$C$9:$R$111,5,0),"")</f>
        <v/>
      </c>
      <c r="H74" s="229" t="str">
        <f>IFERROR(VLOOKUP(C74,'बँक जमा खर्च पासबुक'!$C$9:$R$111,6,0),"")</f>
        <v/>
      </c>
      <c r="I74" s="229" t="str">
        <f>IFERROR(VLOOKUP(C74,'बँक जमा खर्च पासबुक'!$C$9:$R$111,7,0),"")</f>
        <v/>
      </c>
      <c r="J74" s="233">
        <f>SUMIF('बँक जमा खर्च पासबुक'!$C$9:$C$111,'बँक खर्च व्हाउचर पावती'!C74,'बँक जमा खर्च पासबुक'!$J$9:$J$111)</f>
        <v>0</v>
      </c>
      <c r="K74" s="233">
        <f>SUMIF('बँक जमा खर्च पासबुक'!$C$9:$C$111,'बँक खर्च व्हाउचर पावती'!C74,'बँक जमा खर्च पासबुक'!$K$9:$K$111)</f>
        <v>0</v>
      </c>
      <c r="L74" s="233">
        <f ca="1">SUMIF('बँक जमा खर्च पासबुक'!$C$9:$C$111,'बँक खर्च व्हाउचर पावती'!C74,'बँक जमा खर्च पासबुक'!$L$9:$L$110)</f>
        <v>0</v>
      </c>
      <c r="M74" s="228">
        <f>SUMIF('बँक जमा खर्च पासबुक'!$C$9:$C$111,'बँक खर्च व्हाउचर पावती'!C74,'बँक जमा खर्च पासबुक'!$M$9:$M$111)</f>
        <v>0</v>
      </c>
      <c r="N74" s="233">
        <f t="shared" ref="N74:N137" ca="1" si="111">N73+J74-L74</f>
        <v>3000</v>
      </c>
      <c r="O74" s="228">
        <f t="shared" ref="O74:O137" si="112">O73+K74-M74</f>
        <v>3000</v>
      </c>
      <c r="P74" s="228">
        <f t="shared" ca="1" si="99"/>
        <v>6000</v>
      </c>
      <c r="Q74" s="399"/>
      <c r="AM74" s="380"/>
      <c r="AN74" s="380"/>
      <c r="AO74" s="380">
        <v>2</v>
      </c>
      <c r="AP74" s="260" t="str">
        <f>G10</f>
        <v/>
      </c>
      <c r="AQ74" s="260" t="str">
        <f t="shared" si="100"/>
        <v/>
      </c>
      <c r="AR74" s="260" t="str">
        <f t="shared" si="101"/>
        <v/>
      </c>
      <c r="AS74" s="260" t="str">
        <f t="shared" si="102"/>
        <v/>
      </c>
      <c r="AT74" s="260" t="str">
        <f t="shared" si="103"/>
        <v/>
      </c>
      <c r="AU74" s="260" t="str">
        <f t="shared" si="104"/>
        <v/>
      </c>
      <c r="AV74" s="260" t="str">
        <f t="shared" si="105"/>
        <v/>
      </c>
      <c r="AW74" s="260" t="str">
        <f t="shared" si="106"/>
        <v/>
      </c>
      <c r="AX74" s="260" t="str">
        <f t="shared" si="107"/>
        <v/>
      </c>
      <c r="AY74" s="260" t="str">
        <f t="shared" si="108"/>
        <v/>
      </c>
      <c r="AZ74" s="260" t="str">
        <f t="shared" si="109"/>
        <v/>
      </c>
      <c r="BA74" s="260" t="str">
        <f t="shared" si="110"/>
        <v/>
      </c>
      <c r="BB74" s="380"/>
      <c r="BC74" s="380"/>
      <c r="BD74" s="380"/>
      <c r="BE74" s="380"/>
      <c r="BF74" s="380"/>
      <c r="BG74" s="380"/>
      <c r="BH74" s="380"/>
      <c r="BI74" s="380"/>
      <c r="BJ74" s="380"/>
      <c r="BK74" s="380"/>
      <c r="BL74" s="380"/>
      <c r="BM74" s="380"/>
      <c r="BN74" s="380"/>
      <c r="BO74" s="380"/>
      <c r="BP74" s="380"/>
      <c r="BQ74" s="380"/>
      <c r="BR74" s="380"/>
      <c r="BS74" s="380"/>
      <c r="BT74" s="380"/>
    </row>
    <row r="75" spans="1:72" ht="22.5" customHeight="1" x14ac:dyDescent="0.4">
      <c r="A75" s="399"/>
      <c r="B75" s="376">
        <v>67</v>
      </c>
      <c r="C75" s="310">
        <v>43988</v>
      </c>
      <c r="D75" s="229" t="str">
        <f>IFERROR(VLOOKUP(C75,'बँक जमा खर्च पासबुक'!$C$9:$R$111,2,0),"")</f>
        <v/>
      </c>
      <c r="E75" s="229" t="str">
        <f>IFERROR(VLOOKUP(C75,'बँक जमा खर्च पासबुक'!$C$9:$R$111,3,0),"")</f>
        <v/>
      </c>
      <c r="F75" s="229" t="str">
        <f>IFERROR(VLOOKUP(C75,'बँक जमा खर्च पासबुक'!$C$9:$R$111,4,0),"")</f>
        <v/>
      </c>
      <c r="G75" s="229" t="str">
        <f>IFERROR(VLOOKUP(C75,'बँक जमा खर्च पासबुक'!$C$9:$R$111,5,0),"")</f>
        <v/>
      </c>
      <c r="H75" s="229" t="str">
        <f>IFERROR(VLOOKUP(C75,'बँक जमा खर्च पासबुक'!$C$9:$R$111,6,0),"")</f>
        <v/>
      </c>
      <c r="I75" s="229" t="str">
        <f>IFERROR(VLOOKUP(C75,'बँक जमा खर्च पासबुक'!$C$9:$R$111,7,0),"")</f>
        <v/>
      </c>
      <c r="J75" s="233">
        <f>SUMIF('बँक जमा खर्च पासबुक'!$C$9:$C$111,'बँक खर्च व्हाउचर पावती'!C75,'बँक जमा खर्च पासबुक'!$J$9:$J$111)</f>
        <v>0</v>
      </c>
      <c r="K75" s="233">
        <f>SUMIF('बँक जमा खर्च पासबुक'!$C$9:$C$111,'बँक खर्च व्हाउचर पावती'!C75,'बँक जमा खर्च पासबुक'!$K$9:$K$111)</f>
        <v>0</v>
      </c>
      <c r="L75" s="233">
        <f ca="1">SUMIF('बँक जमा खर्च पासबुक'!$C$9:$C$111,'बँक खर्च व्हाउचर पावती'!C75,'बँक जमा खर्च पासबुक'!$L$9:$L$110)</f>
        <v>0</v>
      </c>
      <c r="M75" s="228">
        <f>SUMIF('बँक जमा खर्च पासबुक'!$C$9:$C$111,'बँक खर्च व्हाउचर पावती'!C75,'बँक जमा खर्च पासबुक'!$M$9:$M$111)</f>
        <v>0</v>
      </c>
      <c r="N75" s="233">
        <f t="shared" ca="1" si="111"/>
        <v>3000</v>
      </c>
      <c r="O75" s="228">
        <f t="shared" si="112"/>
        <v>3000</v>
      </c>
      <c r="P75" s="228">
        <f t="shared" ca="1" si="99"/>
        <v>6000</v>
      </c>
      <c r="Q75" s="399"/>
      <c r="AM75" s="380"/>
      <c r="AN75" s="380"/>
      <c r="AO75" s="380">
        <v>3</v>
      </c>
      <c r="AP75" s="260" t="str">
        <f>G11</f>
        <v/>
      </c>
      <c r="AQ75" s="260" t="str">
        <f t="shared" si="100"/>
        <v/>
      </c>
      <c r="AR75" s="260" t="str">
        <f t="shared" si="101"/>
        <v/>
      </c>
      <c r="AS75" s="260" t="str">
        <f t="shared" si="102"/>
        <v/>
      </c>
      <c r="AT75" s="260" t="str">
        <f t="shared" si="103"/>
        <v/>
      </c>
      <c r="AU75" s="260" t="str">
        <f t="shared" si="104"/>
        <v/>
      </c>
      <c r="AV75" s="260" t="str">
        <f t="shared" si="105"/>
        <v/>
      </c>
      <c r="AW75" s="260" t="str">
        <f t="shared" si="106"/>
        <v/>
      </c>
      <c r="AX75" s="260" t="str">
        <f t="shared" si="107"/>
        <v/>
      </c>
      <c r="AY75" s="260" t="str">
        <f t="shared" si="108"/>
        <v/>
      </c>
      <c r="AZ75" s="260" t="str">
        <f t="shared" si="109"/>
        <v/>
      </c>
      <c r="BA75" s="260" t="str">
        <f t="shared" si="110"/>
        <v/>
      </c>
      <c r="BB75" s="380"/>
      <c r="BC75" s="380"/>
      <c r="BD75" s="380"/>
      <c r="BE75" s="380"/>
      <c r="BF75" s="380"/>
      <c r="BG75" s="380"/>
      <c r="BH75" s="380"/>
      <c r="BI75" s="380"/>
      <c r="BJ75" s="380"/>
      <c r="BK75" s="380"/>
      <c r="BL75" s="380"/>
      <c r="BM75" s="380"/>
      <c r="BN75" s="380"/>
      <c r="BO75" s="380"/>
      <c r="BP75" s="380"/>
      <c r="BQ75" s="380"/>
      <c r="BR75" s="380"/>
      <c r="BS75" s="380"/>
      <c r="BT75" s="380"/>
    </row>
    <row r="76" spans="1:72" ht="22.5" customHeight="1" x14ac:dyDescent="0.4">
      <c r="A76" s="399"/>
      <c r="B76" s="376">
        <v>68</v>
      </c>
      <c r="C76" s="310">
        <v>43989</v>
      </c>
      <c r="D76" s="229" t="str">
        <f>IFERROR(VLOOKUP(C76,'बँक जमा खर्च पासबुक'!$C$9:$R$111,2,0),"")</f>
        <v/>
      </c>
      <c r="E76" s="229" t="str">
        <f>IFERROR(VLOOKUP(C76,'बँक जमा खर्च पासबुक'!$C$9:$R$111,3,0),"")</f>
        <v/>
      </c>
      <c r="F76" s="229" t="str">
        <f>IFERROR(VLOOKUP(C76,'बँक जमा खर्च पासबुक'!$C$9:$R$111,4,0),"")</f>
        <v/>
      </c>
      <c r="G76" s="229" t="str">
        <f>IFERROR(VLOOKUP(C76,'बँक जमा खर्च पासबुक'!$C$9:$R$111,5,0),"")</f>
        <v/>
      </c>
      <c r="H76" s="229" t="str">
        <f>IFERROR(VLOOKUP(C76,'बँक जमा खर्च पासबुक'!$C$9:$R$111,6,0),"")</f>
        <v/>
      </c>
      <c r="I76" s="229" t="str">
        <f>IFERROR(VLOOKUP(C76,'बँक जमा खर्च पासबुक'!$C$9:$R$111,7,0),"")</f>
        <v/>
      </c>
      <c r="J76" s="233">
        <f>SUMIF('बँक जमा खर्च पासबुक'!$C$9:$C$111,'बँक खर्च व्हाउचर पावती'!C76,'बँक जमा खर्च पासबुक'!$J$9:$J$111)</f>
        <v>0</v>
      </c>
      <c r="K76" s="233">
        <f>SUMIF('बँक जमा खर्च पासबुक'!$C$9:$C$111,'बँक खर्च व्हाउचर पावती'!C76,'बँक जमा खर्च पासबुक'!$K$9:$K$111)</f>
        <v>0</v>
      </c>
      <c r="L76" s="233">
        <f ca="1">SUMIF('बँक जमा खर्च पासबुक'!$C$9:$C$111,'बँक खर्च व्हाउचर पावती'!C76,'बँक जमा खर्च पासबुक'!$L$9:$L$110)</f>
        <v>0</v>
      </c>
      <c r="M76" s="228">
        <f>SUMIF('बँक जमा खर्च पासबुक'!$C$9:$C$111,'बँक खर्च व्हाउचर पावती'!C76,'बँक जमा खर्च पासबुक'!$M$9:$M$111)</f>
        <v>0</v>
      </c>
      <c r="N76" s="233">
        <f t="shared" ca="1" si="111"/>
        <v>3000</v>
      </c>
      <c r="O76" s="228">
        <f t="shared" si="112"/>
        <v>3000</v>
      </c>
      <c r="P76" s="228">
        <f t="shared" ca="1" si="99"/>
        <v>6000</v>
      </c>
      <c r="Q76" s="399"/>
      <c r="AM76" s="380"/>
      <c r="AN76" s="380"/>
      <c r="AO76" s="380">
        <v>4</v>
      </c>
      <c r="AP76" s="260" t="str">
        <f>G12</f>
        <v/>
      </c>
      <c r="AQ76" s="260" t="str">
        <f t="shared" si="100"/>
        <v/>
      </c>
      <c r="AR76" s="260" t="str">
        <f t="shared" si="101"/>
        <v/>
      </c>
      <c r="AS76" s="260" t="str">
        <f t="shared" si="102"/>
        <v/>
      </c>
      <c r="AT76" s="260" t="str">
        <f t="shared" si="103"/>
        <v/>
      </c>
      <c r="AU76" s="260" t="str">
        <f t="shared" si="104"/>
        <v/>
      </c>
      <c r="AV76" s="260" t="str">
        <f t="shared" si="105"/>
        <v/>
      </c>
      <c r="AW76" s="260" t="str">
        <f t="shared" si="106"/>
        <v/>
      </c>
      <c r="AX76" s="260" t="str">
        <f t="shared" si="107"/>
        <v/>
      </c>
      <c r="AY76" s="260" t="str">
        <f t="shared" si="108"/>
        <v/>
      </c>
      <c r="AZ76" s="260" t="str">
        <f t="shared" si="109"/>
        <v/>
      </c>
      <c r="BA76" s="260" t="str">
        <f t="shared" si="110"/>
        <v/>
      </c>
      <c r="BB76" s="380"/>
      <c r="BC76" s="380"/>
      <c r="BD76" s="380"/>
      <c r="BE76" s="380"/>
      <c r="BF76" s="380"/>
      <c r="BG76" s="380"/>
      <c r="BH76" s="380"/>
      <c r="BI76" s="380"/>
      <c r="BJ76" s="380"/>
      <c r="BK76" s="380"/>
      <c r="BL76" s="380"/>
      <c r="BM76" s="380"/>
      <c r="BN76" s="380"/>
      <c r="BO76" s="380"/>
      <c r="BP76" s="380"/>
      <c r="BQ76" s="380"/>
      <c r="BR76" s="380"/>
      <c r="BS76" s="380"/>
      <c r="BT76" s="380"/>
    </row>
    <row r="77" spans="1:72" ht="22.5" customHeight="1" x14ac:dyDescent="0.4">
      <c r="A77" s="399"/>
      <c r="B77" s="376">
        <v>69</v>
      </c>
      <c r="C77" s="310">
        <v>43990</v>
      </c>
      <c r="D77" s="229" t="str">
        <f>IFERROR(VLOOKUP(C77,'बँक जमा खर्च पासबुक'!$C$9:$R$111,2,0),"")</f>
        <v/>
      </c>
      <c r="E77" s="229" t="str">
        <f>IFERROR(VLOOKUP(C77,'बँक जमा खर्च पासबुक'!$C$9:$R$111,3,0),"")</f>
        <v/>
      </c>
      <c r="F77" s="229" t="str">
        <f>IFERROR(VLOOKUP(C77,'बँक जमा खर्च पासबुक'!$C$9:$R$111,4,0),"")</f>
        <v/>
      </c>
      <c r="G77" s="229" t="str">
        <f>IFERROR(VLOOKUP(C77,'बँक जमा खर्च पासबुक'!$C$9:$R$111,5,0),"")</f>
        <v/>
      </c>
      <c r="H77" s="229" t="str">
        <f>IFERROR(VLOOKUP(C77,'बँक जमा खर्च पासबुक'!$C$9:$R$111,6,0),"")</f>
        <v/>
      </c>
      <c r="I77" s="229" t="str">
        <f>IFERROR(VLOOKUP(C77,'बँक जमा खर्च पासबुक'!$C$9:$R$111,7,0),"")</f>
        <v/>
      </c>
      <c r="J77" s="233">
        <f>SUMIF('बँक जमा खर्च पासबुक'!$C$9:$C$111,'बँक खर्च व्हाउचर पावती'!C77,'बँक जमा खर्च पासबुक'!$J$9:$J$111)</f>
        <v>0</v>
      </c>
      <c r="K77" s="233">
        <f>SUMIF('बँक जमा खर्च पासबुक'!$C$9:$C$111,'बँक खर्च व्हाउचर पावती'!C77,'बँक जमा खर्च पासबुक'!$K$9:$K$111)</f>
        <v>0</v>
      </c>
      <c r="L77" s="233">
        <f ca="1">SUMIF('बँक जमा खर्च पासबुक'!$C$9:$C$111,'बँक खर्च व्हाउचर पावती'!C77,'बँक जमा खर्च पासबुक'!$L$9:$L$110)</f>
        <v>0</v>
      </c>
      <c r="M77" s="228">
        <f>SUMIF('बँक जमा खर्च पासबुक'!$C$9:$C$111,'बँक खर्च व्हाउचर पावती'!C77,'बँक जमा खर्च पासबुक'!$M$9:$M$111)</f>
        <v>0</v>
      </c>
      <c r="N77" s="233">
        <f t="shared" ca="1" si="111"/>
        <v>3000</v>
      </c>
      <c r="O77" s="228">
        <f t="shared" si="112"/>
        <v>3000</v>
      </c>
      <c r="P77" s="228">
        <f t="shared" ca="1" si="99"/>
        <v>6000</v>
      </c>
      <c r="Q77" s="399"/>
      <c r="AM77" s="380"/>
      <c r="AN77" s="380"/>
      <c r="AO77" s="380">
        <v>5</v>
      </c>
      <c r="AP77" s="260" t="str">
        <f>G13</f>
        <v/>
      </c>
      <c r="AQ77" s="260" t="str">
        <f t="shared" si="100"/>
        <v/>
      </c>
      <c r="AR77" s="260" t="str">
        <f t="shared" si="101"/>
        <v/>
      </c>
      <c r="AS77" s="260" t="str">
        <f t="shared" si="102"/>
        <v/>
      </c>
      <c r="AT77" s="260" t="str">
        <f t="shared" si="103"/>
        <v/>
      </c>
      <c r="AU77" s="260" t="str">
        <f t="shared" si="104"/>
        <v/>
      </c>
      <c r="AV77" s="260" t="str">
        <f t="shared" si="105"/>
        <v/>
      </c>
      <c r="AW77" s="260" t="str">
        <f t="shared" si="106"/>
        <v/>
      </c>
      <c r="AX77" s="260" t="str">
        <f t="shared" si="107"/>
        <v/>
      </c>
      <c r="AY77" s="260" t="str">
        <f t="shared" si="108"/>
        <v/>
      </c>
      <c r="AZ77" s="260" t="str">
        <f t="shared" si="109"/>
        <v/>
      </c>
      <c r="BA77" s="260" t="str">
        <f t="shared" si="110"/>
        <v/>
      </c>
      <c r="BB77" s="380"/>
      <c r="BC77" s="380"/>
      <c r="BD77" s="380"/>
      <c r="BE77" s="380"/>
      <c r="BF77" s="380"/>
      <c r="BG77" s="380"/>
      <c r="BH77" s="380"/>
      <c r="BI77" s="380"/>
      <c r="BJ77" s="380"/>
      <c r="BK77" s="380"/>
      <c r="BL77" s="380"/>
      <c r="BM77" s="380"/>
      <c r="BN77" s="380"/>
      <c r="BO77" s="380"/>
      <c r="BP77" s="380"/>
      <c r="BQ77" s="380"/>
      <c r="BR77" s="380"/>
      <c r="BS77" s="380"/>
      <c r="BT77" s="380"/>
    </row>
    <row r="78" spans="1:72" ht="22.5" customHeight="1" x14ac:dyDescent="0.4">
      <c r="A78" s="399"/>
      <c r="B78" s="376">
        <v>70</v>
      </c>
      <c r="C78" s="310">
        <v>43991</v>
      </c>
      <c r="D78" s="229" t="str">
        <f>IFERROR(VLOOKUP(C78,'बँक जमा खर्च पासबुक'!$C$9:$R$111,2,0),"")</f>
        <v/>
      </c>
      <c r="E78" s="229" t="str">
        <f>IFERROR(VLOOKUP(C78,'बँक जमा खर्च पासबुक'!$C$9:$R$111,3,0),"")</f>
        <v/>
      </c>
      <c r="F78" s="229" t="str">
        <f>IFERROR(VLOOKUP(C78,'बँक जमा खर्च पासबुक'!$C$9:$R$111,4,0),"")</f>
        <v/>
      </c>
      <c r="G78" s="229" t="str">
        <f>IFERROR(VLOOKUP(C78,'बँक जमा खर्च पासबुक'!$C$9:$R$111,5,0),"")</f>
        <v/>
      </c>
      <c r="H78" s="229" t="str">
        <f>IFERROR(VLOOKUP(C78,'बँक जमा खर्च पासबुक'!$C$9:$R$111,6,0),"")</f>
        <v/>
      </c>
      <c r="I78" s="229" t="str">
        <f>IFERROR(VLOOKUP(C78,'बँक जमा खर्च पासबुक'!$C$9:$R$111,7,0),"")</f>
        <v/>
      </c>
      <c r="J78" s="233">
        <f>SUMIF('बँक जमा खर्च पासबुक'!$C$9:$C$111,'बँक खर्च व्हाउचर पावती'!C78,'बँक जमा खर्च पासबुक'!$J$9:$J$111)</f>
        <v>0</v>
      </c>
      <c r="K78" s="233">
        <f>SUMIF('बँक जमा खर्च पासबुक'!$C$9:$C$111,'बँक खर्च व्हाउचर पावती'!C78,'बँक जमा खर्च पासबुक'!$K$9:$K$111)</f>
        <v>0</v>
      </c>
      <c r="L78" s="233">
        <f ca="1">SUMIF('बँक जमा खर्च पासबुक'!$C$9:$C$111,'बँक खर्च व्हाउचर पावती'!C78,'बँक जमा खर्च पासबुक'!$L$9:$L$110)</f>
        <v>0</v>
      </c>
      <c r="M78" s="228">
        <f>SUMIF('बँक जमा खर्च पासबुक'!$C$9:$C$111,'बँक खर्च व्हाउचर पावती'!C78,'बँक जमा खर्च पासबुक'!$M$9:$M$111)</f>
        <v>0</v>
      </c>
      <c r="N78" s="233">
        <f t="shared" ca="1" si="111"/>
        <v>3000</v>
      </c>
      <c r="O78" s="228">
        <f t="shared" si="112"/>
        <v>3000</v>
      </c>
      <c r="P78" s="228">
        <f t="shared" ca="1" si="99"/>
        <v>6000</v>
      </c>
      <c r="Q78" s="399"/>
      <c r="AM78" s="380"/>
      <c r="AN78" s="380"/>
      <c r="AO78" s="380">
        <v>6</v>
      </c>
      <c r="AP78" s="260" t="str">
        <f t="shared" ref="AP78:AP102" si="113">G14</f>
        <v/>
      </c>
      <c r="AQ78" s="260" t="str">
        <f t="shared" si="100"/>
        <v/>
      </c>
      <c r="AR78" s="260" t="str">
        <f t="shared" si="101"/>
        <v/>
      </c>
      <c r="AS78" s="260" t="str">
        <f t="shared" si="102"/>
        <v/>
      </c>
      <c r="AT78" s="260" t="str">
        <f t="shared" si="103"/>
        <v/>
      </c>
      <c r="AU78" s="260" t="str">
        <f t="shared" si="104"/>
        <v/>
      </c>
      <c r="AV78" s="260" t="str">
        <f t="shared" si="105"/>
        <v/>
      </c>
      <c r="AW78" s="260" t="str">
        <f t="shared" si="106"/>
        <v/>
      </c>
      <c r="AX78" s="260" t="str">
        <f t="shared" si="107"/>
        <v/>
      </c>
      <c r="AY78" s="260" t="str">
        <f t="shared" si="108"/>
        <v/>
      </c>
      <c r="AZ78" s="260" t="str">
        <f t="shared" si="109"/>
        <v/>
      </c>
      <c r="BA78" s="260" t="str">
        <f t="shared" si="110"/>
        <v/>
      </c>
      <c r="BB78" s="380"/>
      <c r="BC78" s="380"/>
      <c r="BD78" s="380"/>
      <c r="BE78" s="380"/>
      <c r="BF78" s="380"/>
      <c r="BG78" s="380"/>
      <c r="BH78" s="380"/>
      <c r="BI78" s="380"/>
      <c r="BJ78" s="380"/>
      <c r="BK78" s="380"/>
      <c r="BL78" s="380"/>
      <c r="BM78" s="380"/>
      <c r="BN78" s="380"/>
      <c r="BO78" s="380"/>
      <c r="BP78" s="380"/>
      <c r="BQ78" s="380"/>
      <c r="BR78" s="380"/>
      <c r="BS78" s="380"/>
      <c r="BT78" s="380"/>
    </row>
    <row r="79" spans="1:72" ht="22.5" customHeight="1" x14ac:dyDescent="0.4">
      <c r="A79" s="399"/>
      <c r="B79" s="376">
        <v>71</v>
      </c>
      <c r="C79" s="310">
        <v>43992</v>
      </c>
      <c r="D79" s="229" t="str">
        <f>IFERROR(VLOOKUP(C79,'बँक जमा खर्च पासबुक'!$C$9:$R$111,2,0),"")</f>
        <v/>
      </c>
      <c r="E79" s="229" t="str">
        <f>IFERROR(VLOOKUP(C79,'बँक जमा खर्च पासबुक'!$C$9:$R$111,3,0),"")</f>
        <v/>
      </c>
      <c r="F79" s="229" t="str">
        <f>IFERROR(VLOOKUP(C79,'बँक जमा खर्च पासबुक'!$C$9:$R$111,4,0),"")</f>
        <v/>
      </c>
      <c r="G79" s="229" t="str">
        <f>IFERROR(VLOOKUP(C79,'बँक जमा खर्च पासबुक'!$C$9:$R$111,5,0),"")</f>
        <v/>
      </c>
      <c r="H79" s="229" t="str">
        <f>IFERROR(VLOOKUP(C79,'बँक जमा खर्च पासबुक'!$C$9:$R$111,6,0),"")</f>
        <v/>
      </c>
      <c r="I79" s="229" t="str">
        <f>IFERROR(VLOOKUP(C79,'बँक जमा खर्च पासबुक'!$C$9:$R$111,7,0),"")</f>
        <v/>
      </c>
      <c r="J79" s="233">
        <f>SUMIF('बँक जमा खर्च पासबुक'!$C$9:$C$111,'बँक खर्च व्हाउचर पावती'!C79,'बँक जमा खर्च पासबुक'!$J$9:$J$111)</f>
        <v>0</v>
      </c>
      <c r="K79" s="233">
        <f>SUMIF('बँक जमा खर्च पासबुक'!$C$9:$C$111,'बँक खर्च व्हाउचर पावती'!C79,'बँक जमा खर्च पासबुक'!$K$9:$K$111)</f>
        <v>0</v>
      </c>
      <c r="L79" s="233">
        <f ca="1">SUMIF('बँक जमा खर्च पासबुक'!$C$9:$C$111,'बँक खर्च व्हाउचर पावती'!C79,'बँक जमा खर्च पासबुक'!$L$9:$L$110)</f>
        <v>0</v>
      </c>
      <c r="M79" s="228">
        <f>SUMIF('बँक जमा खर्च पासबुक'!$C$9:$C$111,'बँक खर्च व्हाउचर पावती'!C79,'बँक जमा खर्च पासबुक'!$M$9:$M$111)</f>
        <v>0</v>
      </c>
      <c r="N79" s="233">
        <f t="shared" ca="1" si="111"/>
        <v>3000</v>
      </c>
      <c r="O79" s="228">
        <f t="shared" si="112"/>
        <v>3000</v>
      </c>
      <c r="P79" s="228">
        <f t="shared" ca="1" si="99"/>
        <v>6000</v>
      </c>
      <c r="Q79" s="399"/>
      <c r="AM79" s="380"/>
      <c r="AN79" s="380"/>
      <c r="AO79" s="380">
        <v>7</v>
      </c>
      <c r="AP79" s="260" t="str">
        <f t="shared" si="113"/>
        <v/>
      </c>
      <c r="AQ79" s="260" t="str">
        <f t="shared" si="100"/>
        <v/>
      </c>
      <c r="AR79" s="260" t="str">
        <f t="shared" si="101"/>
        <v/>
      </c>
      <c r="AS79" s="260" t="str">
        <f t="shared" si="102"/>
        <v/>
      </c>
      <c r="AT79" s="260" t="str">
        <f t="shared" si="103"/>
        <v/>
      </c>
      <c r="AU79" s="260" t="str">
        <f t="shared" si="104"/>
        <v/>
      </c>
      <c r="AV79" s="260" t="str">
        <f t="shared" si="105"/>
        <v/>
      </c>
      <c r="AW79" s="260" t="str">
        <f t="shared" si="106"/>
        <v/>
      </c>
      <c r="AX79" s="260" t="str">
        <f t="shared" si="107"/>
        <v/>
      </c>
      <c r="AY79" s="260" t="str">
        <f t="shared" si="108"/>
        <v/>
      </c>
      <c r="AZ79" s="260" t="str">
        <f t="shared" si="109"/>
        <v/>
      </c>
      <c r="BA79" s="260" t="str">
        <f t="shared" si="110"/>
        <v/>
      </c>
      <c r="BB79" s="380"/>
      <c r="BC79" s="380"/>
      <c r="BD79" s="380"/>
      <c r="BE79" s="380"/>
      <c r="BF79" s="380"/>
      <c r="BG79" s="380"/>
      <c r="BH79" s="380"/>
      <c r="BI79" s="380"/>
      <c r="BJ79" s="380"/>
      <c r="BK79" s="380"/>
      <c r="BL79" s="380"/>
      <c r="BM79" s="380"/>
      <c r="BN79" s="380"/>
      <c r="BO79" s="380"/>
      <c r="BP79" s="380"/>
      <c r="BQ79" s="380"/>
      <c r="BR79" s="380"/>
      <c r="BS79" s="380"/>
      <c r="BT79" s="380"/>
    </row>
    <row r="80" spans="1:72" ht="22.5" customHeight="1" x14ac:dyDescent="0.4">
      <c r="A80" s="399"/>
      <c r="B80" s="376">
        <v>72</v>
      </c>
      <c r="C80" s="310">
        <v>43993</v>
      </c>
      <c r="D80" s="229" t="str">
        <f>IFERROR(VLOOKUP(C80,'बँक जमा खर्च पासबुक'!$C$9:$R$111,2,0),"")</f>
        <v/>
      </c>
      <c r="E80" s="229" t="str">
        <f>IFERROR(VLOOKUP(C80,'बँक जमा खर्च पासबुक'!$C$9:$R$111,3,0),"")</f>
        <v/>
      </c>
      <c r="F80" s="229" t="str">
        <f>IFERROR(VLOOKUP(C80,'बँक जमा खर्च पासबुक'!$C$9:$R$111,4,0),"")</f>
        <v/>
      </c>
      <c r="G80" s="229" t="str">
        <f>IFERROR(VLOOKUP(C80,'बँक जमा खर्च पासबुक'!$C$9:$R$111,5,0),"")</f>
        <v/>
      </c>
      <c r="H80" s="229" t="str">
        <f>IFERROR(VLOOKUP(C80,'बँक जमा खर्च पासबुक'!$C$9:$R$111,6,0),"")</f>
        <v/>
      </c>
      <c r="I80" s="229" t="str">
        <f>IFERROR(VLOOKUP(C80,'बँक जमा खर्च पासबुक'!$C$9:$R$111,7,0),"")</f>
        <v/>
      </c>
      <c r="J80" s="233">
        <f>SUMIF('बँक जमा खर्च पासबुक'!$C$9:$C$111,'बँक खर्च व्हाउचर पावती'!C80,'बँक जमा खर्च पासबुक'!$J$9:$J$111)</f>
        <v>0</v>
      </c>
      <c r="K80" s="233">
        <f>SUMIF('बँक जमा खर्च पासबुक'!$C$9:$C$111,'बँक खर्च व्हाउचर पावती'!C80,'बँक जमा खर्च पासबुक'!$K$9:$K$111)</f>
        <v>0</v>
      </c>
      <c r="L80" s="233">
        <f ca="1">SUMIF('बँक जमा खर्च पासबुक'!$C$9:$C$111,'बँक खर्च व्हाउचर पावती'!C80,'बँक जमा खर्च पासबुक'!$L$9:$L$110)</f>
        <v>0</v>
      </c>
      <c r="M80" s="228">
        <f>SUMIF('बँक जमा खर्च पासबुक'!$C$9:$C$111,'बँक खर्च व्हाउचर पावती'!C80,'बँक जमा खर्च पासबुक'!$M$9:$M$111)</f>
        <v>0</v>
      </c>
      <c r="N80" s="233">
        <f t="shared" ca="1" si="111"/>
        <v>3000</v>
      </c>
      <c r="O80" s="228">
        <f t="shared" si="112"/>
        <v>3000</v>
      </c>
      <c r="P80" s="228">
        <f t="shared" ca="1" si="99"/>
        <v>6000</v>
      </c>
      <c r="Q80" s="399"/>
      <c r="AM80" s="380"/>
      <c r="AN80" s="380"/>
      <c r="AO80" s="380">
        <v>8</v>
      </c>
      <c r="AP80" s="260" t="str">
        <f t="shared" si="113"/>
        <v/>
      </c>
      <c r="AQ80" s="260" t="str">
        <f t="shared" si="100"/>
        <v/>
      </c>
      <c r="AR80" s="260" t="str">
        <f t="shared" si="101"/>
        <v/>
      </c>
      <c r="AS80" s="260" t="str">
        <f t="shared" si="102"/>
        <v/>
      </c>
      <c r="AT80" s="260" t="str">
        <f t="shared" si="103"/>
        <v/>
      </c>
      <c r="AU80" s="260" t="str">
        <f t="shared" si="104"/>
        <v/>
      </c>
      <c r="AV80" s="260" t="str">
        <f t="shared" si="105"/>
        <v/>
      </c>
      <c r="AW80" s="260" t="str">
        <f t="shared" si="106"/>
        <v/>
      </c>
      <c r="AX80" s="260" t="str">
        <f t="shared" si="107"/>
        <v/>
      </c>
      <c r="AY80" s="260" t="str">
        <f t="shared" si="108"/>
        <v/>
      </c>
      <c r="AZ80" s="260" t="str">
        <f t="shared" si="109"/>
        <v/>
      </c>
      <c r="BA80" s="260" t="str">
        <f t="shared" si="110"/>
        <v/>
      </c>
      <c r="BB80" s="380"/>
      <c r="BC80" s="380"/>
      <c r="BD80" s="380"/>
      <c r="BE80" s="380"/>
      <c r="BF80" s="380"/>
      <c r="BG80" s="380"/>
      <c r="BH80" s="380"/>
      <c r="BI80" s="380"/>
      <c r="BJ80" s="380"/>
      <c r="BK80" s="380"/>
      <c r="BL80" s="380"/>
      <c r="BM80" s="380"/>
      <c r="BN80" s="380"/>
      <c r="BO80" s="380"/>
      <c r="BP80" s="380"/>
      <c r="BQ80" s="380"/>
      <c r="BR80" s="380"/>
      <c r="BS80" s="380"/>
      <c r="BT80" s="380"/>
    </row>
    <row r="81" spans="1:72" ht="22.5" customHeight="1" x14ac:dyDescent="0.4">
      <c r="A81" s="399"/>
      <c r="B81" s="376">
        <v>73</v>
      </c>
      <c r="C81" s="310">
        <v>43994</v>
      </c>
      <c r="D81" s="229" t="str">
        <f>IFERROR(VLOOKUP(C81,'बँक जमा खर्च पासबुक'!$C$9:$R$111,2,0),"")</f>
        <v/>
      </c>
      <c r="E81" s="229" t="str">
        <f>IFERROR(VLOOKUP(C81,'बँक जमा खर्च पासबुक'!$C$9:$R$111,3,0),"")</f>
        <v/>
      </c>
      <c r="F81" s="229" t="str">
        <f>IFERROR(VLOOKUP(C81,'बँक जमा खर्च पासबुक'!$C$9:$R$111,4,0),"")</f>
        <v/>
      </c>
      <c r="G81" s="229" t="str">
        <f>IFERROR(VLOOKUP(C81,'बँक जमा खर्च पासबुक'!$C$9:$R$111,5,0),"")</f>
        <v/>
      </c>
      <c r="H81" s="229" t="str">
        <f>IFERROR(VLOOKUP(C81,'बँक जमा खर्च पासबुक'!$C$9:$R$111,6,0),"")</f>
        <v/>
      </c>
      <c r="I81" s="229" t="str">
        <f>IFERROR(VLOOKUP(C81,'बँक जमा खर्च पासबुक'!$C$9:$R$111,7,0),"")</f>
        <v/>
      </c>
      <c r="J81" s="233">
        <f>SUMIF('बँक जमा खर्च पासबुक'!$C$9:$C$111,'बँक खर्च व्हाउचर पावती'!C81,'बँक जमा खर्च पासबुक'!$J$9:$J$111)</f>
        <v>0</v>
      </c>
      <c r="K81" s="233">
        <f>SUMIF('बँक जमा खर्च पासबुक'!$C$9:$C$111,'बँक खर्च व्हाउचर पावती'!C81,'बँक जमा खर्च पासबुक'!$K$9:$K$111)</f>
        <v>0</v>
      </c>
      <c r="L81" s="233">
        <f ca="1">SUMIF('बँक जमा खर्च पासबुक'!$C$9:$C$111,'बँक खर्च व्हाउचर पावती'!C81,'बँक जमा खर्च पासबुक'!$L$9:$L$110)</f>
        <v>0</v>
      </c>
      <c r="M81" s="228">
        <f>SUMIF('बँक जमा खर्च पासबुक'!$C$9:$C$111,'बँक खर्च व्हाउचर पावती'!C81,'बँक जमा खर्च पासबुक'!$M$9:$M$111)</f>
        <v>0</v>
      </c>
      <c r="N81" s="233">
        <f t="shared" ca="1" si="111"/>
        <v>3000</v>
      </c>
      <c r="O81" s="228">
        <f t="shared" si="112"/>
        <v>3000</v>
      </c>
      <c r="P81" s="228">
        <f t="shared" ca="1" si="99"/>
        <v>6000</v>
      </c>
      <c r="Q81" s="399"/>
      <c r="AM81" s="380"/>
      <c r="AN81" s="380"/>
      <c r="AO81" s="380">
        <v>9</v>
      </c>
      <c r="AP81" s="260" t="str">
        <f t="shared" si="113"/>
        <v/>
      </c>
      <c r="AQ81" s="260" t="str">
        <f t="shared" si="100"/>
        <v/>
      </c>
      <c r="AR81" s="260" t="str">
        <f t="shared" si="101"/>
        <v/>
      </c>
      <c r="AS81" s="260" t="str">
        <f t="shared" si="102"/>
        <v/>
      </c>
      <c r="AT81" s="260" t="str">
        <f t="shared" si="103"/>
        <v/>
      </c>
      <c r="AU81" s="260" t="str">
        <f t="shared" si="104"/>
        <v/>
      </c>
      <c r="AV81" s="260" t="str">
        <f t="shared" si="105"/>
        <v/>
      </c>
      <c r="AW81" s="260" t="str">
        <f t="shared" si="106"/>
        <v/>
      </c>
      <c r="AX81" s="260" t="str">
        <f t="shared" si="107"/>
        <v/>
      </c>
      <c r="AY81" s="260" t="str">
        <f t="shared" si="108"/>
        <v/>
      </c>
      <c r="AZ81" s="260" t="str">
        <f t="shared" si="109"/>
        <v/>
      </c>
      <c r="BA81" s="260" t="str">
        <f t="shared" si="110"/>
        <v/>
      </c>
      <c r="BB81" s="380"/>
      <c r="BC81" s="380"/>
      <c r="BD81" s="380"/>
      <c r="BE81" s="380"/>
      <c r="BF81" s="380"/>
      <c r="BG81" s="380"/>
      <c r="BH81" s="380"/>
      <c r="BI81" s="380"/>
      <c r="BJ81" s="380"/>
      <c r="BK81" s="380"/>
      <c r="BL81" s="380"/>
      <c r="BM81" s="380"/>
      <c r="BN81" s="380"/>
      <c r="BO81" s="380"/>
      <c r="BP81" s="380"/>
      <c r="BQ81" s="380"/>
      <c r="BR81" s="380"/>
      <c r="BS81" s="380"/>
      <c r="BT81" s="380"/>
    </row>
    <row r="82" spans="1:72" ht="22.5" customHeight="1" x14ac:dyDescent="0.4">
      <c r="A82" s="399"/>
      <c r="B82" s="376">
        <v>74</v>
      </c>
      <c r="C82" s="310">
        <v>43995</v>
      </c>
      <c r="D82" s="229" t="str">
        <f>IFERROR(VLOOKUP(C82,'बँक जमा खर्च पासबुक'!$C$9:$R$111,2,0),"")</f>
        <v/>
      </c>
      <c r="E82" s="229" t="str">
        <f>IFERROR(VLOOKUP(C82,'बँक जमा खर्च पासबुक'!$C$9:$R$111,3,0),"")</f>
        <v/>
      </c>
      <c r="F82" s="229" t="str">
        <f>IFERROR(VLOOKUP(C82,'बँक जमा खर्च पासबुक'!$C$9:$R$111,4,0),"")</f>
        <v/>
      </c>
      <c r="G82" s="229" t="str">
        <f>IFERROR(VLOOKUP(C82,'बँक जमा खर्च पासबुक'!$C$9:$R$111,5,0),"")</f>
        <v/>
      </c>
      <c r="H82" s="229" t="str">
        <f>IFERROR(VLOOKUP(C82,'बँक जमा खर्च पासबुक'!$C$9:$R$111,6,0),"")</f>
        <v/>
      </c>
      <c r="I82" s="229" t="str">
        <f>IFERROR(VLOOKUP(C82,'बँक जमा खर्च पासबुक'!$C$9:$R$111,7,0),"")</f>
        <v/>
      </c>
      <c r="J82" s="233">
        <f>SUMIF('बँक जमा खर्च पासबुक'!$C$9:$C$111,'बँक खर्च व्हाउचर पावती'!C82,'बँक जमा खर्च पासबुक'!$J$9:$J$111)</f>
        <v>0</v>
      </c>
      <c r="K82" s="233">
        <f>SUMIF('बँक जमा खर्च पासबुक'!$C$9:$C$111,'बँक खर्च व्हाउचर पावती'!C82,'बँक जमा खर्च पासबुक'!$K$9:$K$111)</f>
        <v>0</v>
      </c>
      <c r="L82" s="233">
        <f ca="1">SUMIF('बँक जमा खर्च पासबुक'!$C$9:$C$111,'बँक खर्च व्हाउचर पावती'!C82,'बँक जमा खर्च पासबुक'!$L$9:$L$110)</f>
        <v>0</v>
      </c>
      <c r="M82" s="228">
        <f>SUMIF('बँक जमा खर्च पासबुक'!$C$9:$C$111,'बँक खर्च व्हाउचर पावती'!C82,'बँक जमा खर्च पासबुक'!$M$9:$M$111)</f>
        <v>0</v>
      </c>
      <c r="N82" s="233">
        <f t="shared" ca="1" si="111"/>
        <v>3000</v>
      </c>
      <c r="O82" s="228">
        <f t="shared" si="112"/>
        <v>3000</v>
      </c>
      <c r="P82" s="228">
        <f t="shared" ca="1" si="99"/>
        <v>6000</v>
      </c>
      <c r="Q82" s="399"/>
      <c r="AM82" s="380"/>
      <c r="AN82" s="380"/>
      <c r="AO82" s="380">
        <v>10</v>
      </c>
      <c r="AP82" s="260" t="str">
        <f t="shared" si="113"/>
        <v/>
      </c>
      <c r="AQ82" s="260" t="str">
        <f t="shared" si="100"/>
        <v/>
      </c>
      <c r="AR82" s="260" t="str">
        <f t="shared" si="101"/>
        <v/>
      </c>
      <c r="AS82" s="260" t="str">
        <f t="shared" si="102"/>
        <v/>
      </c>
      <c r="AT82" s="260" t="str">
        <f t="shared" si="103"/>
        <v/>
      </c>
      <c r="AU82" s="260" t="str">
        <f t="shared" si="104"/>
        <v/>
      </c>
      <c r="AV82" s="260" t="str">
        <f t="shared" si="105"/>
        <v/>
      </c>
      <c r="AW82" s="260" t="str">
        <f t="shared" si="106"/>
        <v/>
      </c>
      <c r="AX82" s="260" t="str">
        <f t="shared" si="107"/>
        <v/>
      </c>
      <c r="AY82" s="260" t="str">
        <f t="shared" si="108"/>
        <v/>
      </c>
      <c r="AZ82" s="260" t="str">
        <f t="shared" si="109"/>
        <v/>
      </c>
      <c r="BA82" s="260" t="str">
        <f t="shared" si="110"/>
        <v/>
      </c>
      <c r="BB82" s="380"/>
      <c r="BC82" s="380"/>
      <c r="BD82" s="380"/>
      <c r="BE82" s="380"/>
      <c r="BF82" s="380"/>
      <c r="BG82" s="380"/>
      <c r="BH82" s="380"/>
      <c r="BI82" s="380"/>
      <c r="BJ82" s="380"/>
      <c r="BK82" s="380"/>
      <c r="BL82" s="380"/>
      <c r="BM82" s="380"/>
      <c r="BN82" s="380"/>
      <c r="BO82" s="380"/>
      <c r="BP82" s="380"/>
      <c r="BQ82" s="380"/>
      <c r="BR82" s="380"/>
      <c r="BS82" s="380"/>
      <c r="BT82" s="380"/>
    </row>
    <row r="83" spans="1:72" ht="22.5" customHeight="1" x14ac:dyDescent="0.4">
      <c r="A83" s="399"/>
      <c r="B83" s="376">
        <v>75</v>
      </c>
      <c r="C83" s="310">
        <v>43996</v>
      </c>
      <c r="D83" s="229" t="str">
        <f>IFERROR(VLOOKUP(C83,'बँक जमा खर्च पासबुक'!$C$9:$R$111,2,0),"")</f>
        <v/>
      </c>
      <c r="E83" s="229" t="str">
        <f>IFERROR(VLOOKUP(C83,'बँक जमा खर्च पासबुक'!$C$9:$R$111,3,0),"")</f>
        <v/>
      </c>
      <c r="F83" s="229" t="str">
        <f>IFERROR(VLOOKUP(C83,'बँक जमा खर्च पासबुक'!$C$9:$R$111,4,0),"")</f>
        <v/>
      </c>
      <c r="G83" s="229" t="str">
        <f>IFERROR(VLOOKUP(C83,'बँक जमा खर्च पासबुक'!$C$9:$R$111,5,0),"")</f>
        <v/>
      </c>
      <c r="H83" s="229" t="str">
        <f>IFERROR(VLOOKUP(C83,'बँक जमा खर्च पासबुक'!$C$9:$R$111,6,0),"")</f>
        <v/>
      </c>
      <c r="I83" s="229" t="str">
        <f>IFERROR(VLOOKUP(C83,'बँक जमा खर्च पासबुक'!$C$9:$R$111,7,0),"")</f>
        <v/>
      </c>
      <c r="J83" s="233">
        <f>SUMIF('बँक जमा खर्च पासबुक'!$C$9:$C$111,'बँक खर्च व्हाउचर पावती'!C83,'बँक जमा खर्च पासबुक'!$J$9:$J$111)</f>
        <v>0</v>
      </c>
      <c r="K83" s="233">
        <f>SUMIF('बँक जमा खर्च पासबुक'!$C$9:$C$111,'बँक खर्च व्हाउचर पावती'!C83,'बँक जमा खर्च पासबुक'!$K$9:$K$111)</f>
        <v>0</v>
      </c>
      <c r="L83" s="233">
        <f ca="1">SUMIF('बँक जमा खर्च पासबुक'!$C$9:$C$111,'बँक खर्च व्हाउचर पावती'!C83,'बँक जमा खर्च पासबुक'!$L$9:$L$110)</f>
        <v>0</v>
      </c>
      <c r="M83" s="228">
        <f>SUMIF('बँक जमा खर्च पासबुक'!$C$9:$C$111,'बँक खर्च व्हाउचर पावती'!C83,'बँक जमा खर्च पासबुक'!$M$9:$M$111)</f>
        <v>0</v>
      </c>
      <c r="N83" s="233">
        <f t="shared" ca="1" si="111"/>
        <v>3000</v>
      </c>
      <c r="O83" s="228">
        <f t="shared" si="112"/>
        <v>3000</v>
      </c>
      <c r="P83" s="228">
        <f t="shared" ca="1" si="99"/>
        <v>6000</v>
      </c>
      <c r="Q83" s="399"/>
      <c r="AM83" s="380"/>
      <c r="AN83" s="380"/>
      <c r="AO83" s="380">
        <v>11</v>
      </c>
      <c r="AP83" s="260" t="str">
        <f t="shared" si="113"/>
        <v/>
      </c>
      <c r="AQ83" s="260" t="str">
        <f t="shared" si="100"/>
        <v/>
      </c>
      <c r="AR83" s="260" t="str">
        <f t="shared" si="101"/>
        <v/>
      </c>
      <c r="AS83" s="260" t="str">
        <f t="shared" si="102"/>
        <v/>
      </c>
      <c r="AT83" s="260" t="str">
        <f t="shared" si="103"/>
        <v/>
      </c>
      <c r="AU83" s="260" t="str">
        <f t="shared" si="104"/>
        <v/>
      </c>
      <c r="AV83" s="260" t="str">
        <f t="shared" si="105"/>
        <v/>
      </c>
      <c r="AW83" s="260" t="str">
        <f t="shared" si="106"/>
        <v/>
      </c>
      <c r="AX83" s="260" t="str">
        <f t="shared" si="107"/>
        <v/>
      </c>
      <c r="AY83" s="260" t="str">
        <f t="shared" si="108"/>
        <v/>
      </c>
      <c r="AZ83" s="260" t="str">
        <f t="shared" si="109"/>
        <v/>
      </c>
      <c r="BA83" s="260" t="str">
        <f t="shared" si="110"/>
        <v/>
      </c>
      <c r="BB83" s="380"/>
      <c r="BC83" s="380"/>
      <c r="BD83" s="380"/>
      <c r="BE83" s="380"/>
      <c r="BF83" s="380"/>
      <c r="BG83" s="380"/>
      <c r="BH83" s="380"/>
      <c r="BI83" s="380"/>
      <c r="BJ83" s="380"/>
      <c r="BK83" s="380"/>
      <c r="BL83" s="380"/>
      <c r="BM83" s="380"/>
      <c r="BN83" s="380"/>
      <c r="BO83" s="380"/>
      <c r="BP83" s="380"/>
      <c r="BQ83" s="380"/>
      <c r="BR83" s="380"/>
      <c r="BS83" s="380"/>
      <c r="BT83" s="380"/>
    </row>
    <row r="84" spans="1:72" ht="22.5" customHeight="1" x14ac:dyDescent="0.4">
      <c r="A84" s="399"/>
      <c r="B84" s="376">
        <v>76</v>
      </c>
      <c r="C84" s="310">
        <v>43997</v>
      </c>
      <c r="D84" s="229" t="str">
        <f>IFERROR(VLOOKUP(C84,'बँक जमा खर्च पासबुक'!$C$9:$R$111,2,0),"")</f>
        <v/>
      </c>
      <c r="E84" s="229" t="str">
        <f>IFERROR(VLOOKUP(C84,'बँक जमा खर्च पासबुक'!$C$9:$R$111,3,0),"")</f>
        <v/>
      </c>
      <c r="F84" s="229" t="str">
        <f>IFERROR(VLOOKUP(C84,'बँक जमा खर्च पासबुक'!$C$9:$R$111,4,0),"")</f>
        <v/>
      </c>
      <c r="G84" s="229" t="str">
        <f>IFERROR(VLOOKUP(C84,'बँक जमा खर्च पासबुक'!$C$9:$R$111,5,0),"")</f>
        <v/>
      </c>
      <c r="H84" s="229" t="str">
        <f>IFERROR(VLOOKUP(C84,'बँक जमा खर्च पासबुक'!$C$9:$R$111,6,0),"")</f>
        <v/>
      </c>
      <c r="I84" s="229" t="str">
        <f>IFERROR(VLOOKUP(C84,'बँक जमा खर्च पासबुक'!$C$9:$R$111,7,0),"")</f>
        <v/>
      </c>
      <c r="J84" s="233">
        <f>SUMIF('बँक जमा खर्च पासबुक'!$C$9:$C$111,'बँक खर्च व्हाउचर पावती'!C84,'बँक जमा खर्च पासबुक'!$J$9:$J$111)</f>
        <v>0</v>
      </c>
      <c r="K84" s="233">
        <f>SUMIF('बँक जमा खर्च पासबुक'!$C$9:$C$111,'बँक खर्च व्हाउचर पावती'!C84,'बँक जमा खर्च पासबुक'!$K$9:$K$111)</f>
        <v>0</v>
      </c>
      <c r="L84" s="233">
        <f ca="1">SUMIF('बँक जमा खर्च पासबुक'!$C$9:$C$111,'बँक खर्च व्हाउचर पावती'!C84,'बँक जमा खर्च पासबुक'!$L$9:$L$110)</f>
        <v>0</v>
      </c>
      <c r="M84" s="228">
        <f>SUMIF('बँक जमा खर्च पासबुक'!$C$9:$C$111,'बँक खर्च व्हाउचर पावती'!C84,'बँक जमा खर्च पासबुक'!$M$9:$M$111)</f>
        <v>0</v>
      </c>
      <c r="N84" s="233">
        <f t="shared" ca="1" si="111"/>
        <v>3000</v>
      </c>
      <c r="O84" s="228">
        <f t="shared" si="112"/>
        <v>3000</v>
      </c>
      <c r="P84" s="228">
        <f t="shared" ca="1" si="99"/>
        <v>6000</v>
      </c>
      <c r="Q84" s="399"/>
      <c r="AM84" s="380"/>
      <c r="AN84" s="380"/>
      <c r="AO84" s="380">
        <v>12</v>
      </c>
      <c r="AP84" s="260" t="str">
        <f t="shared" si="113"/>
        <v/>
      </c>
      <c r="AQ84" s="260" t="str">
        <f t="shared" si="100"/>
        <v/>
      </c>
      <c r="AR84" s="260" t="str">
        <f t="shared" si="101"/>
        <v/>
      </c>
      <c r="AS84" s="260" t="str">
        <f t="shared" si="102"/>
        <v/>
      </c>
      <c r="AT84" s="260" t="str">
        <f t="shared" si="103"/>
        <v/>
      </c>
      <c r="AU84" s="260" t="str">
        <f t="shared" si="104"/>
        <v/>
      </c>
      <c r="AV84" s="260" t="str">
        <f t="shared" si="105"/>
        <v/>
      </c>
      <c r="AW84" s="260" t="str">
        <f t="shared" si="106"/>
        <v/>
      </c>
      <c r="AX84" s="260" t="str">
        <f t="shared" si="107"/>
        <v/>
      </c>
      <c r="AY84" s="260" t="str">
        <f t="shared" si="108"/>
        <v/>
      </c>
      <c r="AZ84" s="260" t="str">
        <f t="shared" si="109"/>
        <v/>
      </c>
      <c r="BA84" s="260" t="str">
        <f t="shared" si="110"/>
        <v/>
      </c>
      <c r="BB84" s="380"/>
      <c r="BC84" s="380"/>
      <c r="BD84" s="380"/>
      <c r="BE84" s="380"/>
      <c r="BF84" s="380"/>
      <c r="BG84" s="380"/>
      <c r="BH84" s="380"/>
      <c r="BI84" s="380"/>
      <c r="BJ84" s="380"/>
      <c r="BK84" s="380"/>
      <c r="BL84" s="380"/>
      <c r="BM84" s="380"/>
      <c r="BN84" s="380"/>
      <c r="BO84" s="380"/>
      <c r="BP84" s="380"/>
      <c r="BQ84" s="380"/>
      <c r="BR84" s="380"/>
      <c r="BS84" s="380"/>
      <c r="BT84" s="380"/>
    </row>
    <row r="85" spans="1:72" ht="22.5" customHeight="1" x14ac:dyDescent="0.4">
      <c r="A85" s="399"/>
      <c r="B85" s="376">
        <v>77</v>
      </c>
      <c r="C85" s="310">
        <v>43998</v>
      </c>
      <c r="D85" s="229" t="str">
        <f>IFERROR(VLOOKUP(C85,'बँक जमा खर्च पासबुक'!$C$9:$R$111,2,0),"")</f>
        <v/>
      </c>
      <c r="E85" s="229" t="str">
        <f>IFERROR(VLOOKUP(C85,'बँक जमा खर्च पासबुक'!$C$9:$R$111,3,0),"")</f>
        <v/>
      </c>
      <c r="F85" s="229" t="str">
        <f>IFERROR(VLOOKUP(C85,'बँक जमा खर्च पासबुक'!$C$9:$R$111,4,0),"")</f>
        <v/>
      </c>
      <c r="G85" s="229" t="str">
        <f>IFERROR(VLOOKUP(C85,'बँक जमा खर्च पासबुक'!$C$9:$R$111,5,0),"")</f>
        <v/>
      </c>
      <c r="H85" s="229" t="str">
        <f>IFERROR(VLOOKUP(C85,'बँक जमा खर्च पासबुक'!$C$9:$R$111,6,0),"")</f>
        <v/>
      </c>
      <c r="I85" s="229" t="str">
        <f>IFERROR(VLOOKUP(C85,'बँक जमा खर्च पासबुक'!$C$9:$R$111,7,0),"")</f>
        <v/>
      </c>
      <c r="J85" s="233">
        <f>SUMIF('बँक जमा खर्च पासबुक'!$C$9:$C$111,'बँक खर्च व्हाउचर पावती'!C85,'बँक जमा खर्च पासबुक'!$J$9:$J$111)</f>
        <v>0</v>
      </c>
      <c r="K85" s="233">
        <f>SUMIF('बँक जमा खर्च पासबुक'!$C$9:$C$111,'बँक खर्च व्हाउचर पावती'!C85,'बँक जमा खर्च पासबुक'!$K$9:$K$111)</f>
        <v>0</v>
      </c>
      <c r="L85" s="233">
        <f ca="1">SUMIF('बँक जमा खर्च पासबुक'!$C$9:$C$111,'बँक खर्च व्हाउचर पावती'!C85,'बँक जमा खर्च पासबुक'!$L$9:$L$110)</f>
        <v>0</v>
      </c>
      <c r="M85" s="228">
        <f>SUMIF('बँक जमा खर्च पासबुक'!$C$9:$C$111,'बँक खर्च व्हाउचर पावती'!C85,'बँक जमा खर्च पासबुक'!$M$9:$M$111)</f>
        <v>0</v>
      </c>
      <c r="N85" s="233">
        <f t="shared" ca="1" si="111"/>
        <v>3000</v>
      </c>
      <c r="O85" s="228">
        <f t="shared" si="112"/>
        <v>3000</v>
      </c>
      <c r="P85" s="228">
        <f t="shared" ca="1" si="99"/>
        <v>6000</v>
      </c>
      <c r="Q85" s="399"/>
      <c r="AM85" s="380"/>
      <c r="AN85" s="380"/>
      <c r="AO85" s="380">
        <v>13</v>
      </c>
      <c r="AP85" s="260" t="str">
        <f t="shared" si="113"/>
        <v/>
      </c>
      <c r="AQ85" s="260" t="str">
        <f t="shared" si="100"/>
        <v/>
      </c>
      <c r="AR85" s="260" t="str">
        <f t="shared" si="101"/>
        <v/>
      </c>
      <c r="AS85" s="260" t="str">
        <f t="shared" si="102"/>
        <v/>
      </c>
      <c r="AT85" s="260" t="str">
        <f t="shared" si="103"/>
        <v/>
      </c>
      <c r="AU85" s="260" t="str">
        <f t="shared" si="104"/>
        <v/>
      </c>
      <c r="AV85" s="260" t="str">
        <f t="shared" si="105"/>
        <v/>
      </c>
      <c r="AW85" s="260" t="str">
        <f t="shared" si="106"/>
        <v/>
      </c>
      <c r="AX85" s="260" t="str">
        <f t="shared" si="107"/>
        <v/>
      </c>
      <c r="AY85" s="260" t="str">
        <f t="shared" si="108"/>
        <v/>
      </c>
      <c r="AZ85" s="260" t="str">
        <f t="shared" si="109"/>
        <v/>
      </c>
      <c r="BA85" s="260" t="str">
        <f t="shared" si="110"/>
        <v/>
      </c>
      <c r="BB85" s="380"/>
      <c r="BC85" s="380"/>
      <c r="BD85" s="380"/>
      <c r="BE85" s="380"/>
      <c r="BF85" s="380"/>
      <c r="BG85" s="380"/>
      <c r="BH85" s="380"/>
      <c r="BI85" s="380"/>
      <c r="BJ85" s="380"/>
      <c r="BK85" s="380"/>
      <c r="BL85" s="380"/>
      <c r="BM85" s="380"/>
      <c r="BN85" s="380"/>
      <c r="BO85" s="380"/>
      <c r="BP85" s="380"/>
      <c r="BQ85" s="380"/>
      <c r="BR85" s="380"/>
      <c r="BS85" s="380"/>
      <c r="BT85" s="380"/>
    </row>
    <row r="86" spans="1:72" ht="22.5" customHeight="1" x14ac:dyDescent="0.4">
      <c r="A86" s="399"/>
      <c r="B86" s="376">
        <v>78</v>
      </c>
      <c r="C86" s="310">
        <v>43999</v>
      </c>
      <c r="D86" s="229" t="str">
        <f>IFERROR(VLOOKUP(C86,'बँक जमा खर्च पासबुक'!$C$9:$R$111,2,0),"")</f>
        <v/>
      </c>
      <c r="E86" s="229" t="str">
        <f>IFERROR(VLOOKUP(C86,'बँक जमा खर्च पासबुक'!$C$9:$R$111,3,0),"")</f>
        <v/>
      </c>
      <c r="F86" s="229" t="str">
        <f>IFERROR(VLOOKUP(C86,'बँक जमा खर्च पासबुक'!$C$9:$R$111,4,0),"")</f>
        <v/>
      </c>
      <c r="G86" s="229" t="str">
        <f>IFERROR(VLOOKUP(C86,'बँक जमा खर्च पासबुक'!$C$9:$R$111,5,0),"")</f>
        <v/>
      </c>
      <c r="H86" s="229" t="str">
        <f>IFERROR(VLOOKUP(C86,'बँक जमा खर्च पासबुक'!$C$9:$R$111,6,0),"")</f>
        <v/>
      </c>
      <c r="I86" s="229" t="str">
        <f>IFERROR(VLOOKUP(C86,'बँक जमा खर्च पासबुक'!$C$9:$R$111,7,0),"")</f>
        <v/>
      </c>
      <c r="J86" s="233">
        <f>SUMIF('बँक जमा खर्च पासबुक'!$C$9:$C$111,'बँक खर्च व्हाउचर पावती'!C86,'बँक जमा खर्च पासबुक'!$J$9:$J$111)</f>
        <v>0</v>
      </c>
      <c r="K86" s="233">
        <f>SUMIF('बँक जमा खर्च पासबुक'!$C$9:$C$111,'बँक खर्च व्हाउचर पावती'!C86,'बँक जमा खर्च पासबुक'!$K$9:$K$111)</f>
        <v>0</v>
      </c>
      <c r="L86" s="233">
        <f ca="1">SUMIF('बँक जमा खर्च पासबुक'!$C$9:$C$111,'बँक खर्च व्हाउचर पावती'!C86,'बँक जमा खर्च पासबुक'!$L$9:$L$110)</f>
        <v>0</v>
      </c>
      <c r="M86" s="228">
        <f>SUMIF('बँक जमा खर्च पासबुक'!$C$9:$C$111,'बँक खर्च व्हाउचर पावती'!C86,'बँक जमा खर्च पासबुक'!$M$9:$M$111)</f>
        <v>0</v>
      </c>
      <c r="N86" s="233">
        <f t="shared" ca="1" si="111"/>
        <v>3000</v>
      </c>
      <c r="O86" s="228">
        <f t="shared" si="112"/>
        <v>3000</v>
      </c>
      <c r="P86" s="228">
        <f t="shared" ca="1" si="99"/>
        <v>6000</v>
      </c>
      <c r="Q86" s="399"/>
      <c r="AM86" s="380"/>
      <c r="AN86" s="380"/>
      <c r="AO86" s="380">
        <v>14</v>
      </c>
      <c r="AP86" s="260" t="str">
        <f t="shared" si="113"/>
        <v/>
      </c>
      <c r="AQ86" s="260" t="str">
        <f t="shared" si="100"/>
        <v/>
      </c>
      <c r="AR86" s="260" t="str">
        <f t="shared" si="101"/>
        <v/>
      </c>
      <c r="AS86" s="260" t="str">
        <f t="shared" si="102"/>
        <v/>
      </c>
      <c r="AT86" s="260" t="str">
        <f t="shared" si="103"/>
        <v/>
      </c>
      <c r="AU86" s="260" t="str">
        <f t="shared" si="104"/>
        <v/>
      </c>
      <c r="AV86" s="260" t="str">
        <f t="shared" si="105"/>
        <v/>
      </c>
      <c r="AW86" s="260" t="str">
        <f t="shared" si="106"/>
        <v/>
      </c>
      <c r="AX86" s="260" t="str">
        <f t="shared" si="107"/>
        <v/>
      </c>
      <c r="AY86" s="260" t="str">
        <f t="shared" si="108"/>
        <v/>
      </c>
      <c r="AZ86" s="260" t="str">
        <f t="shared" si="109"/>
        <v/>
      </c>
      <c r="BA86" s="260" t="str">
        <f t="shared" si="110"/>
        <v/>
      </c>
      <c r="BB86" s="380"/>
      <c r="BC86" s="380"/>
      <c r="BD86" s="380"/>
      <c r="BE86" s="380"/>
      <c r="BF86" s="380"/>
      <c r="BG86" s="380"/>
      <c r="BH86" s="380"/>
      <c r="BI86" s="380"/>
      <c r="BJ86" s="380"/>
      <c r="BK86" s="380"/>
      <c r="BL86" s="380"/>
      <c r="BM86" s="380"/>
      <c r="BN86" s="380"/>
      <c r="BO86" s="380"/>
      <c r="BP86" s="380"/>
      <c r="BQ86" s="380"/>
      <c r="BR86" s="380"/>
      <c r="BS86" s="380"/>
      <c r="BT86" s="380"/>
    </row>
    <row r="87" spans="1:72" ht="22.5" customHeight="1" x14ac:dyDescent="0.4">
      <c r="A87" s="399"/>
      <c r="B87" s="376">
        <v>79</v>
      </c>
      <c r="C87" s="310">
        <v>44000</v>
      </c>
      <c r="D87" s="229" t="str">
        <f>IFERROR(VLOOKUP(C87,'बँक जमा खर्च पासबुक'!$C$9:$R$111,2,0),"")</f>
        <v/>
      </c>
      <c r="E87" s="229" t="str">
        <f>IFERROR(VLOOKUP(C87,'बँक जमा खर्च पासबुक'!$C$9:$R$111,3,0),"")</f>
        <v/>
      </c>
      <c r="F87" s="229" t="str">
        <f>IFERROR(VLOOKUP(C87,'बँक जमा खर्च पासबुक'!$C$9:$R$111,4,0),"")</f>
        <v/>
      </c>
      <c r="G87" s="229" t="str">
        <f>IFERROR(VLOOKUP(C87,'बँक जमा खर्च पासबुक'!$C$9:$R$111,5,0),"")</f>
        <v/>
      </c>
      <c r="H87" s="229" t="str">
        <f>IFERROR(VLOOKUP(C87,'बँक जमा खर्च पासबुक'!$C$9:$R$111,6,0),"")</f>
        <v/>
      </c>
      <c r="I87" s="229" t="str">
        <f>IFERROR(VLOOKUP(C87,'बँक जमा खर्च पासबुक'!$C$9:$R$111,7,0),"")</f>
        <v/>
      </c>
      <c r="J87" s="233">
        <f>SUMIF('बँक जमा खर्च पासबुक'!$C$9:$C$111,'बँक खर्च व्हाउचर पावती'!C87,'बँक जमा खर्च पासबुक'!$J$9:$J$111)</f>
        <v>0</v>
      </c>
      <c r="K87" s="233">
        <f>SUMIF('बँक जमा खर्च पासबुक'!$C$9:$C$111,'बँक खर्च व्हाउचर पावती'!C87,'बँक जमा खर्च पासबुक'!$K$9:$K$111)</f>
        <v>0</v>
      </c>
      <c r="L87" s="233">
        <f ca="1">SUMIF('बँक जमा खर्च पासबुक'!$C$9:$C$111,'बँक खर्च व्हाउचर पावती'!C87,'बँक जमा खर्च पासबुक'!$L$9:$L$110)</f>
        <v>0</v>
      </c>
      <c r="M87" s="228">
        <f>SUMIF('बँक जमा खर्च पासबुक'!$C$9:$C$111,'बँक खर्च व्हाउचर पावती'!C87,'बँक जमा खर्च पासबुक'!$M$9:$M$111)</f>
        <v>0</v>
      </c>
      <c r="N87" s="233">
        <f t="shared" ca="1" si="111"/>
        <v>3000</v>
      </c>
      <c r="O87" s="228">
        <f t="shared" si="112"/>
        <v>3000</v>
      </c>
      <c r="P87" s="228">
        <f t="shared" ca="1" si="99"/>
        <v>6000</v>
      </c>
      <c r="Q87" s="399"/>
      <c r="AM87" s="380"/>
      <c r="AN87" s="380"/>
      <c r="AO87" s="380">
        <v>15</v>
      </c>
      <c r="AP87" s="260" t="str">
        <f t="shared" si="113"/>
        <v/>
      </c>
      <c r="AQ87" s="260" t="str">
        <f t="shared" si="100"/>
        <v/>
      </c>
      <c r="AR87" s="260" t="str">
        <f t="shared" si="101"/>
        <v/>
      </c>
      <c r="AS87" s="260" t="str">
        <f t="shared" si="102"/>
        <v/>
      </c>
      <c r="AT87" s="260" t="str">
        <f t="shared" si="103"/>
        <v/>
      </c>
      <c r="AU87" s="260" t="str">
        <f t="shared" si="104"/>
        <v/>
      </c>
      <c r="AV87" s="260" t="str">
        <f t="shared" si="105"/>
        <v/>
      </c>
      <c r="AW87" s="260" t="str">
        <f t="shared" si="106"/>
        <v/>
      </c>
      <c r="AX87" s="260" t="str">
        <f t="shared" si="107"/>
        <v/>
      </c>
      <c r="AY87" s="260" t="str">
        <f t="shared" si="108"/>
        <v/>
      </c>
      <c r="AZ87" s="260" t="str">
        <f t="shared" si="109"/>
        <v/>
      </c>
      <c r="BA87" s="260" t="str">
        <f t="shared" si="110"/>
        <v/>
      </c>
      <c r="BB87" s="380"/>
      <c r="BC87" s="380"/>
      <c r="BD87" s="380"/>
      <c r="BE87" s="380"/>
      <c r="BF87" s="380"/>
      <c r="BG87" s="380"/>
      <c r="BH87" s="380"/>
      <c r="BI87" s="380"/>
      <c r="BJ87" s="380"/>
      <c r="BK87" s="380"/>
      <c r="BL87" s="380"/>
      <c r="BM87" s="380"/>
      <c r="BN87" s="380"/>
      <c r="BO87" s="380"/>
      <c r="BP87" s="380"/>
      <c r="BQ87" s="380"/>
      <c r="BR87" s="380"/>
      <c r="BS87" s="380"/>
      <c r="BT87" s="380"/>
    </row>
    <row r="88" spans="1:72" ht="22.5" customHeight="1" x14ac:dyDescent="0.4">
      <c r="A88" s="399"/>
      <c r="B88" s="376">
        <v>80</v>
      </c>
      <c r="C88" s="310">
        <v>44001</v>
      </c>
      <c r="D88" s="229" t="str">
        <f>IFERROR(VLOOKUP(C88,'बँक जमा खर्च पासबुक'!$C$9:$R$111,2,0),"")</f>
        <v/>
      </c>
      <c r="E88" s="229" t="str">
        <f>IFERROR(VLOOKUP(C88,'बँक जमा खर्च पासबुक'!$C$9:$R$111,3,0),"")</f>
        <v/>
      </c>
      <c r="F88" s="229" t="str">
        <f>IFERROR(VLOOKUP(C88,'बँक जमा खर्च पासबुक'!$C$9:$R$111,4,0),"")</f>
        <v/>
      </c>
      <c r="G88" s="229" t="str">
        <f>IFERROR(VLOOKUP(C88,'बँक जमा खर्च पासबुक'!$C$9:$R$111,5,0),"")</f>
        <v/>
      </c>
      <c r="H88" s="229" t="str">
        <f>IFERROR(VLOOKUP(C88,'बँक जमा खर्च पासबुक'!$C$9:$R$111,6,0),"")</f>
        <v/>
      </c>
      <c r="I88" s="229" t="str">
        <f>IFERROR(VLOOKUP(C88,'बँक जमा खर्च पासबुक'!$C$9:$R$111,7,0),"")</f>
        <v/>
      </c>
      <c r="J88" s="233">
        <f>SUMIF('बँक जमा खर्च पासबुक'!$C$9:$C$111,'बँक खर्च व्हाउचर पावती'!C88,'बँक जमा खर्च पासबुक'!$J$9:$J$111)</f>
        <v>0</v>
      </c>
      <c r="K88" s="233">
        <f>SUMIF('बँक जमा खर्च पासबुक'!$C$9:$C$111,'बँक खर्च व्हाउचर पावती'!C88,'बँक जमा खर्च पासबुक'!$K$9:$K$111)</f>
        <v>0</v>
      </c>
      <c r="L88" s="233">
        <f ca="1">SUMIF('बँक जमा खर्च पासबुक'!$C$9:$C$111,'बँक खर्च व्हाउचर पावती'!C88,'बँक जमा खर्च पासबुक'!$L$9:$L$110)</f>
        <v>0</v>
      </c>
      <c r="M88" s="228">
        <f>SUMIF('बँक जमा खर्च पासबुक'!$C$9:$C$111,'बँक खर्च व्हाउचर पावती'!C88,'बँक जमा खर्च पासबुक'!$M$9:$M$111)</f>
        <v>0</v>
      </c>
      <c r="N88" s="233">
        <f t="shared" ca="1" si="111"/>
        <v>3000</v>
      </c>
      <c r="O88" s="228">
        <f t="shared" si="112"/>
        <v>3000</v>
      </c>
      <c r="P88" s="228">
        <f t="shared" ca="1" si="99"/>
        <v>6000</v>
      </c>
      <c r="Q88" s="399"/>
      <c r="AM88" s="380"/>
      <c r="AN88" s="380"/>
      <c r="AO88" s="380">
        <v>16</v>
      </c>
      <c r="AP88" s="260" t="str">
        <f t="shared" si="113"/>
        <v/>
      </c>
      <c r="AQ88" s="260" t="str">
        <f t="shared" si="100"/>
        <v/>
      </c>
      <c r="AR88" s="260" t="str">
        <f t="shared" si="101"/>
        <v/>
      </c>
      <c r="AS88" s="260" t="str">
        <f t="shared" si="102"/>
        <v/>
      </c>
      <c r="AT88" s="260" t="str">
        <f t="shared" si="103"/>
        <v/>
      </c>
      <c r="AU88" s="260" t="str">
        <f t="shared" si="104"/>
        <v/>
      </c>
      <c r="AV88" s="260" t="str">
        <f t="shared" si="105"/>
        <v/>
      </c>
      <c r="AW88" s="260" t="str">
        <f t="shared" si="106"/>
        <v/>
      </c>
      <c r="AX88" s="260" t="str">
        <f t="shared" si="107"/>
        <v/>
      </c>
      <c r="AY88" s="260" t="str">
        <f t="shared" si="108"/>
        <v/>
      </c>
      <c r="AZ88" s="260" t="str">
        <f t="shared" si="109"/>
        <v/>
      </c>
      <c r="BA88" s="260" t="str">
        <f t="shared" si="110"/>
        <v/>
      </c>
      <c r="BB88" s="380"/>
      <c r="BC88" s="380"/>
      <c r="BD88" s="380"/>
      <c r="BE88" s="380"/>
      <c r="BF88" s="380"/>
      <c r="BG88" s="380"/>
      <c r="BH88" s="380"/>
      <c r="BI88" s="380"/>
      <c r="BJ88" s="380"/>
      <c r="BK88" s="380"/>
      <c r="BL88" s="380"/>
      <c r="BM88" s="380"/>
      <c r="BN88" s="380"/>
      <c r="BO88" s="380"/>
      <c r="BP88" s="380"/>
      <c r="BQ88" s="380"/>
      <c r="BR88" s="380"/>
      <c r="BS88" s="380"/>
      <c r="BT88" s="380"/>
    </row>
    <row r="89" spans="1:72" ht="22.5" customHeight="1" x14ac:dyDescent="0.4">
      <c r="A89" s="399"/>
      <c r="B89" s="376">
        <v>81</v>
      </c>
      <c r="C89" s="310">
        <v>44002</v>
      </c>
      <c r="D89" s="229" t="str">
        <f>IFERROR(VLOOKUP(C89,'बँक जमा खर्च पासबुक'!$C$9:$R$111,2,0),"")</f>
        <v/>
      </c>
      <c r="E89" s="229" t="str">
        <f>IFERROR(VLOOKUP(C89,'बँक जमा खर्च पासबुक'!$C$9:$R$111,3,0),"")</f>
        <v/>
      </c>
      <c r="F89" s="229" t="str">
        <f>IFERROR(VLOOKUP(C89,'बँक जमा खर्च पासबुक'!$C$9:$R$111,4,0),"")</f>
        <v/>
      </c>
      <c r="G89" s="229" t="str">
        <f>IFERROR(VLOOKUP(C89,'बँक जमा खर्च पासबुक'!$C$9:$R$111,5,0),"")</f>
        <v/>
      </c>
      <c r="H89" s="229" t="str">
        <f>IFERROR(VLOOKUP(C89,'बँक जमा खर्च पासबुक'!$C$9:$R$111,6,0),"")</f>
        <v/>
      </c>
      <c r="I89" s="229" t="str">
        <f>IFERROR(VLOOKUP(C89,'बँक जमा खर्च पासबुक'!$C$9:$R$111,7,0),"")</f>
        <v/>
      </c>
      <c r="J89" s="233">
        <f>SUMIF('बँक जमा खर्च पासबुक'!$C$9:$C$111,'बँक खर्च व्हाउचर पावती'!C89,'बँक जमा खर्च पासबुक'!$J$9:$J$111)</f>
        <v>0</v>
      </c>
      <c r="K89" s="233">
        <f>SUMIF('बँक जमा खर्च पासबुक'!$C$9:$C$111,'बँक खर्च व्हाउचर पावती'!C89,'बँक जमा खर्च पासबुक'!$K$9:$K$111)</f>
        <v>0</v>
      </c>
      <c r="L89" s="233">
        <f ca="1">SUMIF('बँक जमा खर्च पासबुक'!$C$9:$C$111,'बँक खर्च व्हाउचर पावती'!C89,'बँक जमा खर्च पासबुक'!$L$9:$L$110)</f>
        <v>0</v>
      </c>
      <c r="M89" s="228">
        <f>SUMIF('बँक जमा खर्च पासबुक'!$C$9:$C$111,'बँक खर्च व्हाउचर पावती'!C89,'बँक जमा खर्च पासबुक'!$M$9:$M$111)</f>
        <v>0</v>
      </c>
      <c r="N89" s="233">
        <f t="shared" ca="1" si="111"/>
        <v>3000</v>
      </c>
      <c r="O89" s="228">
        <f t="shared" si="112"/>
        <v>3000</v>
      </c>
      <c r="P89" s="228">
        <f t="shared" ca="1" si="99"/>
        <v>6000</v>
      </c>
      <c r="Q89" s="399"/>
      <c r="AM89" s="380"/>
      <c r="AN89" s="380"/>
      <c r="AO89" s="380">
        <v>17</v>
      </c>
      <c r="AP89" s="260" t="str">
        <f t="shared" si="113"/>
        <v/>
      </c>
      <c r="AQ89" s="260" t="str">
        <f t="shared" si="100"/>
        <v/>
      </c>
      <c r="AR89" s="260" t="str">
        <f t="shared" si="101"/>
        <v/>
      </c>
      <c r="AS89" s="260" t="str">
        <f t="shared" si="102"/>
        <v/>
      </c>
      <c r="AT89" s="260" t="str">
        <f t="shared" si="103"/>
        <v/>
      </c>
      <c r="AU89" s="260" t="str">
        <f t="shared" si="104"/>
        <v/>
      </c>
      <c r="AV89" s="260" t="str">
        <f t="shared" si="105"/>
        <v/>
      </c>
      <c r="AW89" s="260" t="str">
        <f t="shared" si="106"/>
        <v/>
      </c>
      <c r="AX89" s="260" t="str">
        <f t="shared" si="107"/>
        <v/>
      </c>
      <c r="AY89" s="260" t="str">
        <f t="shared" si="108"/>
        <v/>
      </c>
      <c r="AZ89" s="260" t="str">
        <f t="shared" si="109"/>
        <v/>
      </c>
      <c r="BA89" s="260" t="str">
        <f t="shared" si="110"/>
        <v/>
      </c>
      <c r="BB89" s="380"/>
      <c r="BC89" s="380"/>
      <c r="BD89" s="380"/>
      <c r="BE89" s="380"/>
      <c r="BF89" s="380"/>
      <c r="BG89" s="380"/>
      <c r="BH89" s="380"/>
      <c r="BI89" s="380"/>
      <c r="BJ89" s="380"/>
      <c r="BK89" s="380"/>
      <c r="BL89" s="380"/>
      <c r="BM89" s="380"/>
      <c r="BN89" s="380"/>
      <c r="BO89" s="380"/>
      <c r="BP89" s="380"/>
      <c r="BQ89" s="380"/>
      <c r="BR89" s="380"/>
      <c r="BS89" s="380"/>
      <c r="BT89" s="380"/>
    </row>
    <row r="90" spans="1:72" ht="22.5" customHeight="1" x14ac:dyDescent="0.4">
      <c r="A90" s="399"/>
      <c r="B90" s="376">
        <v>82</v>
      </c>
      <c r="C90" s="310">
        <v>44003</v>
      </c>
      <c r="D90" s="229" t="str">
        <f>IFERROR(VLOOKUP(C90,'बँक जमा खर्च पासबुक'!$C$9:$R$111,2,0),"")</f>
        <v/>
      </c>
      <c r="E90" s="229" t="str">
        <f>IFERROR(VLOOKUP(C90,'बँक जमा खर्च पासबुक'!$C$9:$R$111,3,0),"")</f>
        <v/>
      </c>
      <c r="F90" s="229" t="str">
        <f>IFERROR(VLOOKUP(C90,'बँक जमा खर्च पासबुक'!$C$9:$R$111,4,0),"")</f>
        <v/>
      </c>
      <c r="G90" s="229" t="str">
        <f>IFERROR(VLOOKUP(C90,'बँक जमा खर्च पासबुक'!$C$9:$R$111,5,0),"")</f>
        <v/>
      </c>
      <c r="H90" s="229" t="str">
        <f>IFERROR(VLOOKUP(C90,'बँक जमा खर्च पासबुक'!$C$9:$R$111,6,0),"")</f>
        <v/>
      </c>
      <c r="I90" s="229" t="str">
        <f>IFERROR(VLOOKUP(C90,'बँक जमा खर्च पासबुक'!$C$9:$R$111,7,0),"")</f>
        <v/>
      </c>
      <c r="J90" s="233">
        <f>SUMIF('बँक जमा खर्च पासबुक'!$C$9:$C$111,'बँक खर्च व्हाउचर पावती'!C90,'बँक जमा खर्च पासबुक'!$J$9:$J$111)</f>
        <v>0</v>
      </c>
      <c r="K90" s="233">
        <f>SUMIF('बँक जमा खर्च पासबुक'!$C$9:$C$111,'बँक खर्च व्हाउचर पावती'!C90,'बँक जमा खर्च पासबुक'!$K$9:$K$111)</f>
        <v>0</v>
      </c>
      <c r="L90" s="233">
        <f ca="1">SUMIF('बँक जमा खर्च पासबुक'!$C$9:$C$111,'बँक खर्च व्हाउचर पावती'!C90,'बँक जमा खर्च पासबुक'!$L$9:$L$110)</f>
        <v>0</v>
      </c>
      <c r="M90" s="228">
        <f>SUMIF('बँक जमा खर्च पासबुक'!$C$9:$C$111,'बँक खर्च व्हाउचर पावती'!C90,'बँक जमा खर्च पासबुक'!$M$9:$M$111)</f>
        <v>0</v>
      </c>
      <c r="N90" s="233">
        <f t="shared" ca="1" si="111"/>
        <v>3000</v>
      </c>
      <c r="O90" s="228">
        <f t="shared" si="112"/>
        <v>3000</v>
      </c>
      <c r="P90" s="228">
        <f t="shared" ca="1" si="99"/>
        <v>6000</v>
      </c>
      <c r="Q90" s="399"/>
      <c r="AM90" s="380"/>
      <c r="AN90" s="380"/>
      <c r="AO90" s="380">
        <v>18</v>
      </c>
      <c r="AP90" s="260" t="str">
        <f t="shared" si="113"/>
        <v/>
      </c>
      <c r="AQ90" s="260" t="str">
        <f t="shared" si="100"/>
        <v/>
      </c>
      <c r="AR90" s="260" t="str">
        <f t="shared" si="101"/>
        <v/>
      </c>
      <c r="AS90" s="260" t="str">
        <f t="shared" si="102"/>
        <v/>
      </c>
      <c r="AT90" s="260" t="str">
        <f t="shared" si="103"/>
        <v/>
      </c>
      <c r="AU90" s="260" t="str">
        <f t="shared" si="104"/>
        <v/>
      </c>
      <c r="AV90" s="260" t="str">
        <f t="shared" si="105"/>
        <v/>
      </c>
      <c r="AW90" s="260" t="str">
        <f t="shared" si="106"/>
        <v/>
      </c>
      <c r="AX90" s="260" t="str">
        <f t="shared" si="107"/>
        <v/>
      </c>
      <c r="AY90" s="260" t="str">
        <f t="shared" si="108"/>
        <v/>
      </c>
      <c r="AZ90" s="260" t="str">
        <f t="shared" si="109"/>
        <v/>
      </c>
      <c r="BA90" s="260" t="str">
        <f t="shared" si="110"/>
        <v/>
      </c>
      <c r="BB90" s="380"/>
      <c r="BC90" s="380"/>
      <c r="BD90" s="380"/>
      <c r="BE90" s="380"/>
      <c r="BF90" s="380"/>
      <c r="BG90" s="380"/>
      <c r="BH90" s="380"/>
      <c r="BI90" s="380"/>
      <c r="BJ90" s="380"/>
      <c r="BK90" s="380"/>
      <c r="BL90" s="380"/>
      <c r="BM90" s="380"/>
      <c r="BN90" s="380"/>
      <c r="BO90" s="380"/>
      <c r="BP90" s="380"/>
      <c r="BQ90" s="380"/>
      <c r="BR90" s="380"/>
      <c r="BS90" s="380"/>
      <c r="BT90" s="380"/>
    </row>
    <row r="91" spans="1:72" ht="22.5" customHeight="1" x14ac:dyDescent="0.4">
      <c r="A91" s="399"/>
      <c r="B91" s="376">
        <v>83</v>
      </c>
      <c r="C91" s="310">
        <v>44004</v>
      </c>
      <c r="D91" s="229" t="str">
        <f>IFERROR(VLOOKUP(C91,'बँक जमा खर्च पासबुक'!$C$9:$R$111,2,0),"")</f>
        <v/>
      </c>
      <c r="E91" s="229" t="str">
        <f>IFERROR(VLOOKUP(C91,'बँक जमा खर्च पासबुक'!$C$9:$R$111,3,0),"")</f>
        <v/>
      </c>
      <c r="F91" s="229" t="str">
        <f>IFERROR(VLOOKUP(C91,'बँक जमा खर्च पासबुक'!$C$9:$R$111,4,0),"")</f>
        <v/>
      </c>
      <c r="G91" s="229" t="str">
        <f>IFERROR(VLOOKUP(C91,'बँक जमा खर्च पासबुक'!$C$9:$R$111,5,0),"")</f>
        <v/>
      </c>
      <c r="H91" s="229" t="str">
        <f>IFERROR(VLOOKUP(C91,'बँक जमा खर्च पासबुक'!$C$9:$R$111,6,0),"")</f>
        <v/>
      </c>
      <c r="I91" s="229" t="str">
        <f>IFERROR(VLOOKUP(C91,'बँक जमा खर्च पासबुक'!$C$9:$R$111,7,0),"")</f>
        <v/>
      </c>
      <c r="J91" s="233">
        <f>SUMIF('बँक जमा खर्च पासबुक'!$C$9:$C$111,'बँक खर्च व्हाउचर पावती'!C91,'बँक जमा खर्च पासबुक'!$J$9:$J$111)</f>
        <v>0</v>
      </c>
      <c r="K91" s="233">
        <f>SUMIF('बँक जमा खर्च पासबुक'!$C$9:$C$111,'बँक खर्च व्हाउचर पावती'!C91,'बँक जमा खर्च पासबुक'!$K$9:$K$111)</f>
        <v>0</v>
      </c>
      <c r="L91" s="233">
        <f ca="1">SUMIF('बँक जमा खर्च पासबुक'!$C$9:$C$111,'बँक खर्च व्हाउचर पावती'!C91,'बँक जमा खर्च पासबुक'!$L$9:$L$110)</f>
        <v>0</v>
      </c>
      <c r="M91" s="228">
        <f>SUMIF('बँक जमा खर्च पासबुक'!$C$9:$C$111,'बँक खर्च व्हाउचर पावती'!C91,'बँक जमा खर्च पासबुक'!$M$9:$M$111)</f>
        <v>0</v>
      </c>
      <c r="N91" s="233">
        <f t="shared" ca="1" si="111"/>
        <v>3000</v>
      </c>
      <c r="O91" s="228">
        <f t="shared" si="112"/>
        <v>3000</v>
      </c>
      <c r="P91" s="228">
        <f t="shared" ca="1" si="99"/>
        <v>6000</v>
      </c>
      <c r="Q91" s="399"/>
      <c r="AM91" s="380"/>
      <c r="AN91" s="380"/>
      <c r="AO91" s="380">
        <v>19</v>
      </c>
      <c r="AP91" s="260" t="str">
        <f t="shared" si="113"/>
        <v/>
      </c>
      <c r="AQ91" s="260" t="str">
        <f t="shared" si="100"/>
        <v/>
      </c>
      <c r="AR91" s="260" t="str">
        <f t="shared" si="101"/>
        <v/>
      </c>
      <c r="AS91" s="260" t="str">
        <f t="shared" si="102"/>
        <v/>
      </c>
      <c r="AT91" s="260" t="str">
        <f t="shared" si="103"/>
        <v/>
      </c>
      <c r="AU91" s="260" t="str">
        <f t="shared" si="104"/>
        <v/>
      </c>
      <c r="AV91" s="260" t="str">
        <f t="shared" si="105"/>
        <v/>
      </c>
      <c r="AW91" s="260" t="str">
        <f t="shared" si="106"/>
        <v/>
      </c>
      <c r="AX91" s="260" t="str">
        <f t="shared" si="107"/>
        <v/>
      </c>
      <c r="AY91" s="260" t="str">
        <f t="shared" si="108"/>
        <v/>
      </c>
      <c r="AZ91" s="260" t="str">
        <f t="shared" si="109"/>
        <v/>
      </c>
      <c r="BA91" s="260" t="str">
        <f t="shared" si="110"/>
        <v/>
      </c>
      <c r="BB91" s="380"/>
      <c r="BC91" s="380"/>
      <c r="BD91" s="380"/>
      <c r="BE91" s="380"/>
      <c r="BF91" s="380"/>
      <c r="BG91" s="380"/>
      <c r="BH91" s="380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80"/>
    </row>
    <row r="92" spans="1:72" ht="22.5" customHeight="1" x14ac:dyDescent="0.4">
      <c r="A92" s="399"/>
      <c r="B92" s="376">
        <v>84</v>
      </c>
      <c r="C92" s="310">
        <v>44005</v>
      </c>
      <c r="D92" s="229" t="str">
        <f>IFERROR(VLOOKUP(C92,'बँक जमा खर्च पासबुक'!$C$9:$R$111,2,0),"")</f>
        <v/>
      </c>
      <c r="E92" s="229" t="str">
        <f>IFERROR(VLOOKUP(C92,'बँक जमा खर्च पासबुक'!$C$9:$R$111,3,0),"")</f>
        <v/>
      </c>
      <c r="F92" s="229" t="str">
        <f>IFERROR(VLOOKUP(C92,'बँक जमा खर्च पासबुक'!$C$9:$R$111,4,0),"")</f>
        <v/>
      </c>
      <c r="G92" s="229" t="str">
        <f>IFERROR(VLOOKUP(C92,'बँक जमा खर्च पासबुक'!$C$9:$R$111,5,0),"")</f>
        <v/>
      </c>
      <c r="H92" s="229" t="str">
        <f>IFERROR(VLOOKUP(C92,'बँक जमा खर्च पासबुक'!$C$9:$R$111,6,0),"")</f>
        <v/>
      </c>
      <c r="I92" s="229" t="str">
        <f>IFERROR(VLOOKUP(C92,'बँक जमा खर्च पासबुक'!$C$9:$R$111,7,0),"")</f>
        <v/>
      </c>
      <c r="J92" s="233">
        <f>SUMIF('बँक जमा खर्च पासबुक'!$C$9:$C$111,'बँक खर्च व्हाउचर पावती'!C92,'बँक जमा खर्च पासबुक'!$J$9:$J$111)</f>
        <v>0</v>
      </c>
      <c r="K92" s="233">
        <f>SUMIF('बँक जमा खर्च पासबुक'!$C$9:$C$111,'बँक खर्च व्हाउचर पावती'!C92,'बँक जमा खर्च पासबुक'!$K$9:$K$111)</f>
        <v>0</v>
      </c>
      <c r="L92" s="233">
        <f ca="1">SUMIF('बँक जमा खर्च पासबुक'!$C$9:$C$111,'बँक खर्च व्हाउचर पावती'!C92,'बँक जमा खर्च पासबुक'!$L$9:$L$110)</f>
        <v>0</v>
      </c>
      <c r="M92" s="228">
        <f>SUMIF('बँक जमा खर्च पासबुक'!$C$9:$C$111,'बँक खर्च व्हाउचर पावती'!C92,'बँक जमा खर्च पासबुक'!$M$9:$M$111)</f>
        <v>0</v>
      </c>
      <c r="N92" s="233">
        <f t="shared" ca="1" si="111"/>
        <v>3000</v>
      </c>
      <c r="O92" s="228">
        <f t="shared" si="112"/>
        <v>3000</v>
      </c>
      <c r="P92" s="228">
        <f t="shared" ca="1" si="99"/>
        <v>6000</v>
      </c>
      <c r="Q92" s="399"/>
      <c r="AM92" s="380"/>
      <c r="AN92" s="380"/>
      <c r="AO92" s="380">
        <v>20</v>
      </c>
      <c r="AP92" s="260" t="str">
        <f t="shared" si="113"/>
        <v/>
      </c>
      <c r="AQ92" s="260" t="str">
        <f t="shared" si="100"/>
        <v/>
      </c>
      <c r="AR92" s="260" t="str">
        <f t="shared" si="101"/>
        <v/>
      </c>
      <c r="AS92" s="260" t="str">
        <f t="shared" si="102"/>
        <v/>
      </c>
      <c r="AT92" s="260" t="str">
        <f t="shared" si="103"/>
        <v/>
      </c>
      <c r="AU92" s="260" t="str">
        <f t="shared" si="104"/>
        <v/>
      </c>
      <c r="AV92" s="260" t="str">
        <f t="shared" si="105"/>
        <v/>
      </c>
      <c r="AW92" s="260" t="str">
        <f t="shared" si="106"/>
        <v/>
      </c>
      <c r="AX92" s="260" t="str">
        <f t="shared" si="107"/>
        <v/>
      </c>
      <c r="AY92" s="260" t="str">
        <f t="shared" si="108"/>
        <v/>
      </c>
      <c r="AZ92" s="260" t="str">
        <f t="shared" si="109"/>
        <v/>
      </c>
      <c r="BA92" s="260" t="str">
        <f t="shared" si="110"/>
        <v/>
      </c>
      <c r="BB92" s="380"/>
      <c r="BC92" s="380"/>
      <c r="BD92" s="380"/>
      <c r="BE92" s="380"/>
      <c r="BF92" s="380"/>
      <c r="BG92" s="380"/>
      <c r="BH92" s="380"/>
      <c r="BI92" s="380"/>
      <c r="BJ92" s="380"/>
      <c r="BK92" s="380"/>
      <c r="BL92" s="380"/>
      <c r="BM92" s="380"/>
      <c r="BN92" s="380"/>
      <c r="BO92" s="380"/>
      <c r="BP92" s="380"/>
      <c r="BQ92" s="380"/>
      <c r="BR92" s="380"/>
      <c r="BS92" s="380"/>
      <c r="BT92" s="380"/>
    </row>
    <row r="93" spans="1:72" ht="22.5" customHeight="1" x14ac:dyDescent="0.4">
      <c r="A93" s="399"/>
      <c r="B93" s="376">
        <v>85</v>
      </c>
      <c r="C93" s="310">
        <v>44006</v>
      </c>
      <c r="D93" s="229" t="str">
        <f>IFERROR(VLOOKUP(C93,'बँक जमा खर्च पासबुक'!$C$9:$R$111,2,0),"")</f>
        <v/>
      </c>
      <c r="E93" s="229" t="str">
        <f>IFERROR(VLOOKUP(C93,'बँक जमा खर्च पासबुक'!$C$9:$R$111,3,0),"")</f>
        <v/>
      </c>
      <c r="F93" s="229" t="str">
        <f>IFERROR(VLOOKUP(C93,'बँक जमा खर्च पासबुक'!$C$9:$R$111,4,0),"")</f>
        <v/>
      </c>
      <c r="G93" s="229" t="str">
        <f>IFERROR(VLOOKUP(C93,'बँक जमा खर्च पासबुक'!$C$9:$R$111,5,0),"")</f>
        <v/>
      </c>
      <c r="H93" s="229" t="str">
        <f>IFERROR(VLOOKUP(C93,'बँक जमा खर्च पासबुक'!$C$9:$R$111,6,0),"")</f>
        <v/>
      </c>
      <c r="I93" s="229" t="str">
        <f>IFERROR(VLOOKUP(C93,'बँक जमा खर्च पासबुक'!$C$9:$R$111,7,0),"")</f>
        <v/>
      </c>
      <c r="J93" s="233">
        <f>SUMIF('बँक जमा खर्च पासबुक'!$C$9:$C$111,'बँक खर्च व्हाउचर पावती'!C93,'बँक जमा खर्च पासबुक'!$J$9:$J$111)</f>
        <v>0</v>
      </c>
      <c r="K93" s="233">
        <f>SUMIF('बँक जमा खर्च पासबुक'!$C$9:$C$111,'बँक खर्च व्हाउचर पावती'!C93,'बँक जमा खर्च पासबुक'!$K$9:$K$111)</f>
        <v>0</v>
      </c>
      <c r="L93" s="233">
        <f ca="1">SUMIF('बँक जमा खर्च पासबुक'!$C$9:$C$111,'बँक खर्च व्हाउचर पावती'!C93,'बँक जमा खर्च पासबुक'!$L$9:$L$110)</f>
        <v>0</v>
      </c>
      <c r="M93" s="228">
        <f>SUMIF('बँक जमा खर्च पासबुक'!$C$9:$C$111,'बँक खर्च व्हाउचर पावती'!C93,'बँक जमा खर्च पासबुक'!$M$9:$M$111)</f>
        <v>0</v>
      </c>
      <c r="N93" s="233">
        <f t="shared" ca="1" si="111"/>
        <v>3000</v>
      </c>
      <c r="O93" s="228">
        <f t="shared" si="112"/>
        <v>3000</v>
      </c>
      <c r="P93" s="228">
        <f t="shared" ca="1" si="99"/>
        <v>6000</v>
      </c>
      <c r="Q93" s="399"/>
      <c r="AM93" s="380"/>
      <c r="AN93" s="380"/>
      <c r="AO93" s="380">
        <v>21</v>
      </c>
      <c r="AP93" s="260" t="str">
        <f t="shared" si="113"/>
        <v/>
      </c>
      <c r="AQ93" s="260" t="str">
        <f t="shared" si="100"/>
        <v/>
      </c>
      <c r="AR93" s="260" t="str">
        <f t="shared" si="101"/>
        <v/>
      </c>
      <c r="AS93" s="260" t="str">
        <f t="shared" si="102"/>
        <v/>
      </c>
      <c r="AT93" s="260" t="str">
        <f t="shared" si="103"/>
        <v/>
      </c>
      <c r="AU93" s="260" t="str">
        <f t="shared" si="104"/>
        <v/>
      </c>
      <c r="AV93" s="260" t="str">
        <f t="shared" si="105"/>
        <v/>
      </c>
      <c r="AW93" s="260" t="str">
        <f t="shared" si="106"/>
        <v/>
      </c>
      <c r="AX93" s="260" t="str">
        <f t="shared" si="107"/>
        <v/>
      </c>
      <c r="AY93" s="260" t="str">
        <f t="shared" si="108"/>
        <v/>
      </c>
      <c r="AZ93" s="260" t="str">
        <f t="shared" si="109"/>
        <v/>
      </c>
      <c r="BA93" s="260" t="str">
        <f t="shared" si="110"/>
        <v/>
      </c>
      <c r="BB93" s="380"/>
      <c r="BC93" s="380"/>
      <c r="BD93" s="380"/>
      <c r="BE93" s="380"/>
      <c r="BF93" s="380"/>
      <c r="BG93" s="380"/>
      <c r="BH93" s="380"/>
      <c r="BI93" s="380"/>
      <c r="BJ93" s="380"/>
      <c r="BK93" s="380"/>
      <c r="BL93" s="380"/>
      <c r="BM93" s="380"/>
      <c r="BN93" s="380"/>
      <c r="BO93" s="380"/>
      <c r="BP93" s="380"/>
      <c r="BQ93" s="380"/>
      <c r="BR93" s="380"/>
      <c r="BS93" s="380"/>
      <c r="BT93" s="380"/>
    </row>
    <row r="94" spans="1:72" ht="22.5" customHeight="1" x14ac:dyDescent="0.4">
      <c r="A94" s="399"/>
      <c r="B94" s="376">
        <v>86</v>
      </c>
      <c r="C94" s="310">
        <v>44007</v>
      </c>
      <c r="D94" s="229" t="str">
        <f>IFERROR(VLOOKUP(C94,'बँक जमा खर्च पासबुक'!$C$9:$R$111,2,0),"")</f>
        <v/>
      </c>
      <c r="E94" s="229" t="str">
        <f>IFERROR(VLOOKUP(C94,'बँक जमा खर्च पासबुक'!$C$9:$R$111,3,0),"")</f>
        <v/>
      </c>
      <c r="F94" s="229" t="str">
        <f>IFERROR(VLOOKUP(C94,'बँक जमा खर्च पासबुक'!$C$9:$R$111,4,0),"")</f>
        <v/>
      </c>
      <c r="G94" s="229" t="str">
        <f>IFERROR(VLOOKUP(C94,'बँक जमा खर्च पासबुक'!$C$9:$R$111,5,0),"")</f>
        <v/>
      </c>
      <c r="H94" s="229" t="str">
        <f>IFERROR(VLOOKUP(C94,'बँक जमा खर्च पासबुक'!$C$9:$R$111,6,0),"")</f>
        <v/>
      </c>
      <c r="I94" s="229" t="str">
        <f>IFERROR(VLOOKUP(C94,'बँक जमा खर्च पासबुक'!$C$9:$R$111,7,0),"")</f>
        <v/>
      </c>
      <c r="J94" s="233">
        <f>SUMIF('बँक जमा खर्च पासबुक'!$C$9:$C$111,'बँक खर्च व्हाउचर पावती'!C94,'बँक जमा खर्च पासबुक'!$J$9:$J$111)</f>
        <v>0</v>
      </c>
      <c r="K94" s="233">
        <f>SUMIF('बँक जमा खर्च पासबुक'!$C$9:$C$111,'बँक खर्च व्हाउचर पावती'!C94,'बँक जमा खर्च पासबुक'!$K$9:$K$111)</f>
        <v>0</v>
      </c>
      <c r="L94" s="233">
        <f ca="1">SUMIF('बँक जमा खर्च पासबुक'!$C$9:$C$111,'बँक खर्च व्हाउचर पावती'!C94,'बँक जमा खर्च पासबुक'!$L$9:$L$110)</f>
        <v>0</v>
      </c>
      <c r="M94" s="228">
        <f>SUMIF('बँक जमा खर्च पासबुक'!$C$9:$C$111,'बँक खर्च व्हाउचर पावती'!C94,'बँक जमा खर्च पासबुक'!$M$9:$M$111)</f>
        <v>0</v>
      </c>
      <c r="N94" s="233">
        <f t="shared" ca="1" si="111"/>
        <v>3000</v>
      </c>
      <c r="O94" s="228">
        <f t="shared" si="112"/>
        <v>3000</v>
      </c>
      <c r="P94" s="228">
        <f t="shared" ca="1" si="99"/>
        <v>6000</v>
      </c>
      <c r="Q94" s="399"/>
      <c r="AM94" s="380"/>
      <c r="AN94" s="380"/>
      <c r="AO94" s="380">
        <v>22</v>
      </c>
      <c r="AP94" s="260" t="str">
        <f t="shared" si="113"/>
        <v/>
      </c>
      <c r="AQ94" s="260" t="str">
        <f t="shared" si="100"/>
        <v/>
      </c>
      <c r="AR94" s="260" t="str">
        <f t="shared" si="101"/>
        <v/>
      </c>
      <c r="AS94" s="260" t="str">
        <f t="shared" si="102"/>
        <v/>
      </c>
      <c r="AT94" s="260" t="str">
        <f t="shared" si="103"/>
        <v/>
      </c>
      <c r="AU94" s="260" t="str">
        <f t="shared" si="104"/>
        <v/>
      </c>
      <c r="AV94" s="260" t="str">
        <f t="shared" si="105"/>
        <v/>
      </c>
      <c r="AW94" s="260" t="str">
        <f t="shared" si="106"/>
        <v/>
      </c>
      <c r="AX94" s="260" t="str">
        <f t="shared" si="107"/>
        <v/>
      </c>
      <c r="AY94" s="260" t="str">
        <f t="shared" si="108"/>
        <v/>
      </c>
      <c r="AZ94" s="260" t="str">
        <f t="shared" si="109"/>
        <v/>
      </c>
      <c r="BA94" s="260" t="str">
        <f t="shared" si="110"/>
        <v/>
      </c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80"/>
    </row>
    <row r="95" spans="1:72" ht="22.5" customHeight="1" x14ac:dyDescent="0.4">
      <c r="A95" s="399"/>
      <c r="B95" s="376">
        <v>87</v>
      </c>
      <c r="C95" s="310">
        <v>44008</v>
      </c>
      <c r="D95" s="229" t="str">
        <f>IFERROR(VLOOKUP(C95,'बँक जमा खर्च पासबुक'!$C$9:$R$111,2,0),"")</f>
        <v/>
      </c>
      <c r="E95" s="229" t="str">
        <f>IFERROR(VLOOKUP(C95,'बँक जमा खर्च पासबुक'!$C$9:$R$111,3,0),"")</f>
        <v/>
      </c>
      <c r="F95" s="229" t="str">
        <f>IFERROR(VLOOKUP(C95,'बँक जमा खर्च पासबुक'!$C$9:$R$111,4,0),"")</f>
        <v/>
      </c>
      <c r="G95" s="229" t="str">
        <f>IFERROR(VLOOKUP(C95,'बँक जमा खर्च पासबुक'!$C$9:$R$111,5,0),"")</f>
        <v/>
      </c>
      <c r="H95" s="229" t="str">
        <f>IFERROR(VLOOKUP(C95,'बँक जमा खर्च पासबुक'!$C$9:$R$111,6,0),"")</f>
        <v/>
      </c>
      <c r="I95" s="229" t="str">
        <f>IFERROR(VLOOKUP(C95,'बँक जमा खर्च पासबुक'!$C$9:$R$111,7,0),"")</f>
        <v/>
      </c>
      <c r="J95" s="233">
        <f>SUMIF('बँक जमा खर्च पासबुक'!$C$9:$C$111,'बँक खर्च व्हाउचर पावती'!C95,'बँक जमा खर्च पासबुक'!$J$9:$J$111)</f>
        <v>0</v>
      </c>
      <c r="K95" s="233">
        <f>SUMIF('बँक जमा खर्च पासबुक'!$C$9:$C$111,'बँक खर्च व्हाउचर पावती'!C95,'बँक जमा खर्च पासबुक'!$K$9:$K$111)</f>
        <v>0</v>
      </c>
      <c r="L95" s="233">
        <f ca="1">SUMIF('बँक जमा खर्च पासबुक'!$C$9:$C$111,'बँक खर्च व्हाउचर पावती'!C95,'बँक जमा खर्च पासबुक'!$L$9:$L$110)</f>
        <v>0</v>
      </c>
      <c r="M95" s="228">
        <f>SUMIF('बँक जमा खर्च पासबुक'!$C$9:$C$111,'बँक खर्च व्हाउचर पावती'!C95,'बँक जमा खर्च पासबुक'!$M$9:$M$111)</f>
        <v>0</v>
      </c>
      <c r="N95" s="233">
        <f t="shared" ca="1" si="111"/>
        <v>3000</v>
      </c>
      <c r="O95" s="228">
        <f t="shared" si="112"/>
        <v>3000</v>
      </c>
      <c r="P95" s="228">
        <f t="shared" ca="1" si="99"/>
        <v>6000</v>
      </c>
      <c r="Q95" s="399"/>
      <c r="AM95" s="380"/>
      <c r="AN95" s="380"/>
      <c r="AO95" s="380">
        <v>23</v>
      </c>
      <c r="AP95" s="260" t="str">
        <f t="shared" si="113"/>
        <v/>
      </c>
      <c r="AQ95" s="260" t="str">
        <f t="shared" si="100"/>
        <v/>
      </c>
      <c r="AR95" s="260" t="str">
        <f t="shared" si="101"/>
        <v/>
      </c>
      <c r="AS95" s="260" t="str">
        <f t="shared" si="102"/>
        <v/>
      </c>
      <c r="AT95" s="260" t="str">
        <f t="shared" si="103"/>
        <v/>
      </c>
      <c r="AU95" s="260" t="str">
        <f t="shared" si="104"/>
        <v/>
      </c>
      <c r="AV95" s="260" t="str">
        <f t="shared" si="105"/>
        <v/>
      </c>
      <c r="AW95" s="260" t="str">
        <f t="shared" si="106"/>
        <v/>
      </c>
      <c r="AX95" s="260" t="str">
        <f t="shared" si="107"/>
        <v/>
      </c>
      <c r="AY95" s="260" t="str">
        <f t="shared" si="108"/>
        <v/>
      </c>
      <c r="AZ95" s="260" t="str">
        <f t="shared" si="109"/>
        <v/>
      </c>
      <c r="BA95" s="260" t="str">
        <f t="shared" si="110"/>
        <v/>
      </c>
      <c r="BB95" s="380"/>
      <c r="BC95" s="380"/>
      <c r="BD95" s="380"/>
      <c r="BE95" s="380"/>
      <c r="BF95" s="380"/>
      <c r="BG95" s="380"/>
      <c r="BH95" s="380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</row>
    <row r="96" spans="1:72" ht="22.5" customHeight="1" x14ac:dyDescent="0.4">
      <c r="A96" s="399"/>
      <c r="B96" s="376">
        <v>88</v>
      </c>
      <c r="C96" s="310">
        <v>44009</v>
      </c>
      <c r="D96" s="229" t="str">
        <f>IFERROR(VLOOKUP(C96,'बँक जमा खर्च पासबुक'!$C$9:$R$111,2,0),"")</f>
        <v/>
      </c>
      <c r="E96" s="229" t="str">
        <f>IFERROR(VLOOKUP(C96,'बँक जमा खर्च पासबुक'!$C$9:$R$111,3,0),"")</f>
        <v/>
      </c>
      <c r="F96" s="229" t="str">
        <f>IFERROR(VLOOKUP(C96,'बँक जमा खर्च पासबुक'!$C$9:$R$111,4,0),"")</f>
        <v/>
      </c>
      <c r="G96" s="229" t="str">
        <f>IFERROR(VLOOKUP(C96,'बँक जमा खर्च पासबुक'!$C$9:$R$111,5,0),"")</f>
        <v/>
      </c>
      <c r="H96" s="229" t="str">
        <f>IFERROR(VLOOKUP(C96,'बँक जमा खर्च पासबुक'!$C$9:$R$111,6,0),"")</f>
        <v/>
      </c>
      <c r="I96" s="229" t="str">
        <f>IFERROR(VLOOKUP(C96,'बँक जमा खर्च पासबुक'!$C$9:$R$111,7,0),"")</f>
        <v/>
      </c>
      <c r="J96" s="233">
        <f>SUMIF('बँक जमा खर्च पासबुक'!$C$9:$C$111,'बँक खर्च व्हाउचर पावती'!C96,'बँक जमा खर्च पासबुक'!$J$9:$J$111)</f>
        <v>0</v>
      </c>
      <c r="K96" s="233">
        <f>SUMIF('बँक जमा खर्च पासबुक'!$C$9:$C$111,'बँक खर्च व्हाउचर पावती'!C96,'बँक जमा खर्च पासबुक'!$K$9:$K$111)</f>
        <v>0</v>
      </c>
      <c r="L96" s="233">
        <f ca="1">SUMIF('बँक जमा खर्च पासबुक'!$C$9:$C$111,'बँक खर्च व्हाउचर पावती'!C96,'बँक जमा खर्च पासबुक'!$L$9:$L$110)</f>
        <v>0</v>
      </c>
      <c r="M96" s="228">
        <f>SUMIF('बँक जमा खर्च पासबुक'!$C$9:$C$111,'बँक खर्च व्हाउचर पावती'!C96,'बँक जमा खर्च पासबुक'!$M$9:$M$111)</f>
        <v>0</v>
      </c>
      <c r="N96" s="233">
        <f t="shared" ca="1" si="111"/>
        <v>3000</v>
      </c>
      <c r="O96" s="228">
        <f t="shared" si="112"/>
        <v>3000</v>
      </c>
      <c r="P96" s="228">
        <f t="shared" ca="1" si="99"/>
        <v>6000</v>
      </c>
      <c r="Q96" s="399"/>
      <c r="AM96" s="380"/>
      <c r="AN96" s="380"/>
      <c r="AO96" s="380">
        <v>24</v>
      </c>
      <c r="AP96" s="260" t="str">
        <f t="shared" si="113"/>
        <v/>
      </c>
      <c r="AQ96" s="260" t="str">
        <f t="shared" si="100"/>
        <v/>
      </c>
      <c r="AR96" s="260" t="str">
        <f t="shared" si="101"/>
        <v/>
      </c>
      <c r="AS96" s="260" t="str">
        <f t="shared" si="102"/>
        <v/>
      </c>
      <c r="AT96" s="260" t="str">
        <f t="shared" si="103"/>
        <v/>
      </c>
      <c r="AU96" s="260" t="str">
        <f t="shared" si="104"/>
        <v/>
      </c>
      <c r="AV96" s="260" t="str">
        <f t="shared" si="105"/>
        <v/>
      </c>
      <c r="AW96" s="260" t="str">
        <f t="shared" si="106"/>
        <v/>
      </c>
      <c r="AX96" s="260" t="str">
        <f t="shared" si="107"/>
        <v/>
      </c>
      <c r="AY96" s="260" t="str">
        <f t="shared" si="108"/>
        <v/>
      </c>
      <c r="AZ96" s="260" t="str">
        <f t="shared" si="109"/>
        <v/>
      </c>
      <c r="BA96" s="260" t="str">
        <f t="shared" si="110"/>
        <v/>
      </c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</row>
    <row r="97" spans="1:72" ht="22.5" customHeight="1" x14ac:dyDescent="0.4">
      <c r="A97" s="399"/>
      <c r="B97" s="376">
        <v>89</v>
      </c>
      <c r="C97" s="310">
        <v>44010</v>
      </c>
      <c r="D97" s="229" t="str">
        <f>IFERROR(VLOOKUP(C97,'बँक जमा खर्च पासबुक'!$C$9:$R$111,2,0),"")</f>
        <v/>
      </c>
      <c r="E97" s="229" t="str">
        <f>IFERROR(VLOOKUP(C97,'बँक जमा खर्च पासबुक'!$C$9:$R$111,3,0),"")</f>
        <v/>
      </c>
      <c r="F97" s="229" t="str">
        <f>IFERROR(VLOOKUP(C97,'बँक जमा खर्च पासबुक'!$C$9:$R$111,4,0),"")</f>
        <v/>
      </c>
      <c r="G97" s="229" t="str">
        <f>IFERROR(VLOOKUP(C97,'बँक जमा खर्च पासबुक'!$C$9:$R$111,5,0),"")</f>
        <v/>
      </c>
      <c r="H97" s="229" t="str">
        <f>IFERROR(VLOOKUP(C97,'बँक जमा खर्च पासबुक'!$C$9:$R$111,6,0),"")</f>
        <v/>
      </c>
      <c r="I97" s="229" t="str">
        <f>IFERROR(VLOOKUP(C97,'बँक जमा खर्च पासबुक'!$C$9:$R$111,7,0),"")</f>
        <v/>
      </c>
      <c r="J97" s="233">
        <f>SUMIF('बँक जमा खर्च पासबुक'!$C$9:$C$111,'बँक खर्च व्हाउचर पावती'!C97,'बँक जमा खर्च पासबुक'!$J$9:$J$111)</f>
        <v>0</v>
      </c>
      <c r="K97" s="233">
        <f>SUMIF('बँक जमा खर्च पासबुक'!$C$9:$C$111,'बँक खर्च व्हाउचर पावती'!C97,'बँक जमा खर्च पासबुक'!$K$9:$K$111)</f>
        <v>0</v>
      </c>
      <c r="L97" s="233">
        <f ca="1">SUMIF('बँक जमा खर्च पासबुक'!$C$9:$C$111,'बँक खर्च व्हाउचर पावती'!C97,'बँक जमा खर्च पासबुक'!$L$9:$L$110)</f>
        <v>0</v>
      </c>
      <c r="M97" s="228">
        <f>SUMIF('बँक जमा खर्च पासबुक'!$C$9:$C$111,'बँक खर्च व्हाउचर पावती'!C97,'बँक जमा खर्च पासबुक'!$M$9:$M$111)</f>
        <v>0</v>
      </c>
      <c r="N97" s="233">
        <f t="shared" ca="1" si="111"/>
        <v>3000</v>
      </c>
      <c r="O97" s="228">
        <f t="shared" si="112"/>
        <v>3000</v>
      </c>
      <c r="P97" s="228">
        <f t="shared" ca="1" si="99"/>
        <v>6000</v>
      </c>
      <c r="Q97" s="399"/>
      <c r="AM97" s="380"/>
      <c r="AN97" s="380"/>
      <c r="AO97" s="380">
        <v>25</v>
      </c>
      <c r="AP97" s="260" t="str">
        <f t="shared" si="113"/>
        <v/>
      </c>
      <c r="AQ97" s="260" t="str">
        <f t="shared" si="100"/>
        <v/>
      </c>
      <c r="AR97" s="260" t="str">
        <f t="shared" si="101"/>
        <v/>
      </c>
      <c r="AS97" s="260" t="str">
        <f t="shared" si="102"/>
        <v/>
      </c>
      <c r="AT97" s="260" t="str">
        <f t="shared" si="103"/>
        <v/>
      </c>
      <c r="AU97" s="260" t="str">
        <f t="shared" si="104"/>
        <v/>
      </c>
      <c r="AV97" s="260" t="str">
        <f t="shared" si="105"/>
        <v/>
      </c>
      <c r="AW97" s="260" t="str">
        <f t="shared" si="106"/>
        <v/>
      </c>
      <c r="AX97" s="260" t="str">
        <f t="shared" si="107"/>
        <v/>
      </c>
      <c r="AY97" s="260" t="str">
        <f t="shared" si="108"/>
        <v/>
      </c>
      <c r="AZ97" s="260" t="str">
        <f t="shared" si="109"/>
        <v/>
      </c>
      <c r="BA97" s="260" t="str">
        <f t="shared" si="110"/>
        <v/>
      </c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</row>
    <row r="98" spans="1:72" ht="22.5" customHeight="1" x14ac:dyDescent="0.4">
      <c r="A98" s="399"/>
      <c r="B98" s="376">
        <v>90</v>
      </c>
      <c r="C98" s="310">
        <v>44011</v>
      </c>
      <c r="D98" s="229" t="str">
        <f>IFERROR(VLOOKUP(C98,'बँक जमा खर्च पासबुक'!$C$9:$R$111,2,0),"")</f>
        <v/>
      </c>
      <c r="E98" s="229" t="str">
        <f>IFERROR(VLOOKUP(C98,'बँक जमा खर्च पासबुक'!$C$9:$R$111,3,0),"")</f>
        <v/>
      </c>
      <c r="F98" s="229" t="str">
        <f>IFERROR(VLOOKUP(C98,'बँक जमा खर्च पासबुक'!$C$9:$R$111,4,0),"")</f>
        <v/>
      </c>
      <c r="G98" s="229" t="str">
        <f>IFERROR(VLOOKUP(C98,'बँक जमा खर्च पासबुक'!$C$9:$R$111,5,0),"")</f>
        <v/>
      </c>
      <c r="H98" s="229" t="str">
        <f>IFERROR(VLOOKUP(C98,'बँक जमा खर्च पासबुक'!$C$9:$R$111,6,0),"")</f>
        <v/>
      </c>
      <c r="I98" s="229" t="str">
        <f>IFERROR(VLOOKUP(C98,'बँक जमा खर्च पासबुक'!$C$9:$R$111,7,0),"")</f>
        <v/>
      </c>
      <c r="J98" s="233">
        <f>SUMIF('बँक जमा खर्च पासबुक'!$C$9:$C$111,'बँक खर्च व्हाउचर पावती'!C98,'बँक जमा खर्च पासबुक'!$J$9:$J$111)</f>
        <v>0</v>
      </c>
      <c r="K98" s="233">
        <f>SUMIF('बँक जमा खर्च पासबुक'!$C$9:$C$111,'बँक खर्च व्हाउचर पावती'!C98,'बँक जमा खर्च पासबुक'!$K$9:$K$111)</f>
        <v>0</v>
      </c>
      <c r="L98" s="233">
        <f ca="1">SUMIF('बँक जमा खर्च पासबुक'!$C$9:$C$111,'बँक खर्च व्हाउचर पावती'!C98,'बँक जमा खर्च पासबुक'!$L$9:$L$110)</f>
        <v>0</v>
      </c>
      <c r="M98" s="228">
        <f>SUMIF('बँक जमा खर्च पासबुक'!$C$9:$C$111,'बँक खर्च व्हाउचर पावती'!C98,'बँक जमा खर्च पासबुक'!$M$9:$M$111)</f>
        <v>0</v>
      </c>
      <c r="N98" s="233">
        <f t="shared" ca="1" si="111"/>
        <v>3000</v>
      </c>
      <c r="O98" s="228">
        <f t="shared" si="112"/>
        <v>3000</v>
      </c>
      <c r="P98" s="228">
        <f t="shared" ca="1" si="99"/>
        <v>6000</v>
      </c>
      <c r="Q98" s="399"/>
      <c r="AM98" s="380"/>
      <c r="AN98" s="380"/>
      <c r="AO98" s="380">
        <v>26</v>
      </c>
      <c r="AP98" s="260" t="str">
        <f t="shared" si="113"/>
        <v/>
      </c>
      <c r="AQ98" s="260" t="str">
        <f t="shared" si="100"/>
        <v/>
      </c>
      <c r="AR98" s="260" t="str">
        <f t="shared" si="101"/>
        <v/>
      </c>
      <c r="AS98" s="260" t="str">
        <f t="shared" si="102"/>
        <v/>
      </c>
      <c r="AT98" s="260" t="str">
        <f t="shared" si="103"/>
        <v/>
      </c>
      <c r="AU98" s="260" t="str">
        <f t="shared" si="104"/>
        <v/>
      </c>
      <c r="AV98" s="260" t="str">
        <f t="shared" si="105"/>
        <v/>
      </c>
      <c r="AW98" s="260" t="str">
        <f t="shared" si="106"/>
        <v/>
      </c>
      <c r="AX98" s="260" t="str">
        <f t="shared" si="107"/>
        <v/>
      </c>
      <c r="AY98" s="260" t="str">
        <f t="shared" si="108"/>
        <v/>
      </c>
      <c r="AZ98" s="260" t="str">
        <f t="shared" si="109"/>
        <v/>
      </c>
      <c r="BA98" s="260" t="str">
        <f t="shared" si="110"/>
        <v/>
      </c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80"/>
    </row>
    <row r="99" spans="1:72" ht="22.5" customHeight="1" x14ac:dyDescent="0.4">
      <c r="A99" s="399"/>
      <c r="B99" s="376">
        <v>91</v>
      </c>
      <c r="C99" s="310">
        <v>44012</v>
      </c>
      <c r="D99" s="229" t="str">
        <f>IFERROR(VLOOKUP(C99,'बँक जमा खर्च पासबुक'!$C$9:$R$111,2,0),"")</f>
        <v/>
      </c>
      <c r="E99" s="229" t="str">
        <f>IFERROR(VLOOKUP(C99,'बँक जमा खर्च पासबुक'!$C$9:$R$111,3,0),"")</f>
        <v/>
      </c>
      <c r="F99" s="229" t="str">
        <f>IFERROR(VLOOKUP(C99,'बँक जमा खर्च पासबुक'!$C$9:$R$111,4,0),"")</f>
        <v/>
      </c>
      <c r="G99" s="229" t="str">
        <f>IFERROR(VLOOKUP(C99,'बँक जमा खर्च पासबुक'!$C$9:$R$111,5,0),"")</f>
        <v/>
      </c>
      <c r="H99" s="229" t="str">
        <f>IFERROR(VLOOKUP(C99,'बँक जमा खर्च पासबुक'!$C$9:$R$111,6,0),"")</f>
        <v/>
      </c>
      <c r="I99" s="229" t="str">
        <f>IFERROR(VLOOKUP(C99,'बँक जमा खर्च पासबुक'!$C$9:$R$111,7,0),"")</f>
        <v/>
      </c>
      <c r="J99" s="233">
        <f>SUMIF('बँक जमा खर्च पासबुक'!$C$9:$C$111,'बँक खर्च व्हाउचर पावती'!C99,'बँक जमा खर्च पासबुक'!$J$9:$J$111)</f>
        <v>0</v>
      </c>
      <c r="K99" s="233">
        <f>SUMIF('बँक जमा खर्च पासबुक'!$C$9:$C$111,'बँक खर्च व्हाउचर पावती'!C99,'बँक जमा खर्च पासबुक'!$K$9:$K$111)</f>
        <v>0</v>
      </c>
      <c r="L99" s="233">
        <f ca="1">SUMIF('बँक जमा खर्च पासबुक'!$C$9:$C$111,'बँक खर्च व्हाउचर पावती'!C99,'बँक जमा खर्च पासबुक'!$L$9:$L$110)</f>
        <v>0</v>
      </c>
      <c r="M99" s="228">
        <f>SUMIF('बँक जमा खर्च पासबुक'!$C$9:$C$111,'बँक खर्च व्हाउचर पावती'!C99,'बँक जमा खर्च पासबुक'!$M$9:$M$111)</f>
        <v>0</v>
      </c>
      <c r="N99" s="233">
        <f t="shared" ca="1" si="111"/>
        <v>3000</v>
      </c>
      <c r="O99" s="228">
        <f t="shared" si="112"/>
        <v>3000</v>
      </c>
      <c r="P99" s="228">
        <f t="shared" ca="1" si="99"/>
        <v>6000</v>
      </c>
      <c r="Q99" s="399"/>
      <c r="AM99" s="380"/>
      <c r="AN99" s="380"/>
      <c r="AO99" s="380">
        <v>27</v>
      </c>
      <c r="AP99" s="260" t="str">
        <f t="shared" si="113"/>
        <v/>
      </c>
      <c r="AQ99" s="260" t="str">
        <f t="shared" si="100"/>
        <v/>
      </c>
      <c r="AR99" s="260" t="str">
        <f t="shared" si="101"/>
        <v/>
      </c>
      <c r="AS99" s="260" t="str">
        <f t="shared" si="102"/>
        <v/>
      </c>
      <c r="AT99" s="260" t="str">
        <f t="shared" si="103"/>
        <v/>
      </c>
      <c r="AU99" s="260" t="str">
        <f t="shared" si="104"/>
        <v/>
      </c>
      <c r="AV99" s="260" t="str">
        <f t="shared" si="105"/>
        <v/>
      </c>
      <c r="AW99" s="260" t="str">
        <f t="shared" si="106"/>
        <v/>
      </c>
      <c r="AX99" s="260" t="str">
        <f t="shared" si="107"/>
        <v/>
      </c>
      <c r="AY99" s="260" t="str">
        <f t="shared" si="108"/>
        <v/>
      </c>
      <c r="AZ99" s="260" t="str">
        <f t="shared" si="109"/>
        <v/>
      </c>
      <c r="BA99" s="260" t="str">
        <f t="shared" si="110"/>
        <v/>
      </c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80"/>
    </row>
    <row r="100" spans="1:72" ht="22.5" customHeight="1" x14ac:dyDescent="0.4">
      <c r="A100" s="399" t="s">
        <v>46</v>
      </c>
      <c r="B100" s="376">
        <v>92</v>
      </c>
      <c r="C100" s="310">
        <v>44013</v>
      </c>
      <c r="D100" s="229" t="str">
        <f>IFERROR(VLOOKUP(C100,'बँक जमा खर्च पासबुक'!$C$9:$R$111,2,0),"")</f>
        <v/>
      </c>
      <c r="E100" s="229" t="str">
        <f>IFERROR(VLOOKUP(C100,'बँक जमा खर्च पासबुक'!$C$9:$R$111,3,0),"")</f>
        <v/>
      </c>
      <c r="F100" s="229" t="str">
        <f>IFERROR(VLOOKUP(C100,'बँक जमा खर्च पासबुक'!$C$9:$R$111,4,0),"")</f>
        <v/>
      </c>
      <c r="G100" s="229" t="str">
        <f>IFERROR(VLOOKUP(C100,'बँक जमा खर्च पासबुक'!$C$9:$R$111,5,0),"")</f>
        <v/>
      </c>
      <c r="H100" s="229" t="str">
        <f>IFERROR(VLOOKUP(C100,'बँक जमा खर्च पासबुक'!$C$9:$R$111,6,0),"")</f>
        <v/>
      </c>
      <c r="I100" s="229" t="str">
        <f>IFERROR(VLOOKUP(C100,'बँक जमा खर्च पासबुक'!$C$9:$R$111,7,0),"")</f>
        <v/>
      </c>
      <c r="J100" s="233">
        <f>SUMIF('बँक जमा खर्च पासबुक'!$C$9:$C$111,'बँक खर्च व्हाउचर पावती'!C100,'बँक जमा खर्च पासबुक'!$J$9:$J$111)</f>
        <v>0</v>
      </c>
      <c r="K100" s="233">
        <f>SUMIF('बँक जमा खर्च पासबुक'!$C$9:$C$111,'बँक खर्च व्हाउचर पावती'!C100,'बँक जमा खर्च पासबुक'!$K$9:$K$111)</f>
        <v>0</v>
      </c>
      <c r="L100" s="233">
        <f ca="1">SUMIF('बँक जमा खर्च पासबुक'!$C$9:$C$111,'बँक खर्च व्हाउचर पावती'!C100,'बँक जमा खर्च पासबुक'!$L$9:$L$110)</f>
        <v>0</v>
      </c>
      <c r="M100" s="228">
        <f>SUMIF('बँक जमा खर्च पासबुक'!$C$9:$C$111,'बँक खर्च व्हाउचर पावती'!C100,'बँक जमा खर्च पासबुक'!$M$9:$M$111)</f>
        <v>0</v>
      </c>
      <c r="N100" s="233">
        <f t="shared" ca="1" si="111"/>
        <v>3000</v>
      </c>
      <c r="O100" s="228">
        <f t="shared" si="112"/>
        <v>3000</v>
      </c>
      <c r="P100" s="228">
        <f t="shared" ca="1" si="99"/>
        <v>6000</v>
      </c>
      <c r="Q100" s="399"/>
      <c r="AM100" s="380"/>
      <c r="AN100" s="380"/>
      <c r="AO100" s="380">
        <v>28</v>
      </c>
      <c r="AP100" s="260" t="str">
        <f t="shared" si="113"/>
        <v/>
      </c>
      <c r="AQ100" s="260" t="str">
        <f t="shared" si="100"/>
        <v/>
      </c>
      <c r="AR100" s="260" t="str">
        <f t="shared" si="101"/>
        <v/>
      </c>
      <c r="AS100" s="260" t="str">
        <f t="shared" si="102"/>
        <v/>
      </c>
      <c r="AT100" s="260" t="str">
        <f t="shared" si="103"/>
        <v/>
      </c>
      <c r="AU100" s="260" t="str">
        <f t="shared" si="104"/>
        <v/>
      </c>
      <c r="AV100" s="260" t="str">
        <f t="shared" si="105"/>
        <v/>
      </c>
      <c r="AW100" s="260" t="str">
        <f t="shared" si="106"/>
        <v/>
      </c>
      <c r="AX100" s="260" t="str">
        <f t="shared" si="107"/>
        <v/>
      </c>
      <c r="AY100" s="260" t="str">
        <f t="shared" si="108"/>
        <v/>
      </c>
      <c r="AZ100" s="260" t="str">
        <f t="shared" si="109"/>
        <v/>
      </c>
      <c r="BA100" s="260" t="str">
        <f t="shared" si="110"/>
        <v/>
      </c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</row>
    <row r="101" spans="1:72" ht="22.5" customHeight="1" x14ac:dyDescent="0.4">
      <c r="A101" s="399"/>
      <c r="B101" s="376">
        <v>93</v>
      </c>
      <c r="C101" s="310">
        <v>44014</v>
      </c>
      <c r="D101" s="229" t="str">
        <f>IFERROR(VLOOKUP(C101,'बँक जमा खर्च पासबुक'!$C$9:$R$111,2,0),"")</f>
        <v/>
      </c>
      <c r="E101" s="229" t="str">
        <f>IFERROR(VLOOKUP(C101,'बँक जमा खर्च पासबुक'!$C$9:$R$111,3,0),"")</f>
        <v/>
      </c>
      <c r="F101" s="229" t="str">
        <f>IFERROR(VLOOKUP(C101,'बँक जमा खर्च पासबुक'!$C$9:$R$111,4,0),"")</f>
        <v/>
      </c>
      <c r="G101" s="229" t="str">
        <f>IFERROR(VLOOKUP(C101,'बँक जमा खर्च पासबुक'!$C$9:$R$111,5,0),"")</f>
        <v/>
      </c>
      <c r="H101" s="229" t="str">
        <f>IFERROR(VLOOKUP(C101,'बँक जमा खर्च पासबुक'!$C$9:$R$111,6,0),"")</f>
        <v/>
      </c>
      <c r="I101" s="229" t="str">
        <f>IFERROR(VLOOKUP(C101,'बँक जमा खर्च पासबुक'!$C$9:$R$111,7,0),"")</f>
        <v/>
      </c>
      <c r="J101" s="233">
        <f>SUMIF('बँक जमा खर्च पासबुक'!$C$9:$C$111,'बँक खर्च व्हाउचर पावती'!C101,'बँक जमा खर्च पासबुक'!$J$9:$J$111)</f>
        <v>0</v>
      </c>
      <c r="K101" s="233">
        <f>SUMIF('बँक जमा खर्च पासबुक'!$C$9:$C$111,'बँक खर्च व्हाउचर पावती'!C101,'बँक जमा खर्च पासबुक'!$K$9:$K$111)</f>
        <v>0</v>
      </c>
      <c r="L101" s="233">
        <f ca="1">SUMIF('बँक जमा खर्च पासबुक'!$C$9:$C$111,'बँक खर्च व्हाउचर पावती'!C101,'बँक जमा खर्च पासबुक'!$L$9:$L$110)</f>
        <v>0</v>
      </c>
      <c r="M101" s="228">
        <f>SUMIF('बँक जमा खर्च पासबुक'!$C$9:$C$111,'बँक खर्च व्हाउचर पावती'!C101,'बँक जमा खर्च पासबुक'!$M$9:$M$111)</f>
        <v>0</v>
      </c>
      <c r="N101" s="233">
        <f t="shared" ca="1" si="111"/>
        <v>3000</v>
      </c>
      <c r="O101" s="228">
        <f t="shared" si="112"/>
        <v>3000</v>
      </c>
      <c r="P101" s="228">
        <f t="shared" ca="1" si="99"/>
        <v>6000</v>
      </c>
      <c r="Q101" s="399"/>
      <c r="AM101" s="380"/>
      <c r="AN101" s="380"/>
      <c r="AO101" s="380">
        <v>29</v>
      </c>
      <c r="AP101" s="260" t="str">
        <f t="shared" si="113"/>
        <v/>
      </c>
      <c r="AQ101" s="260" t="str">
        <f t="shared" si="100"/>
        <v/>
      </c>
      <c r="AR101" s="260" t="str">
        <f t="shared" si="101"/>
        <v/>
      </c>
      <c r="AS101" s="260" t="str">
        <f t="shared" si="102"/>
        <v/>
      </c>
      <c r="AT101" s="260" t="str">
        <f t="shared" si="103"/>
        <v/>
      </c>
      <c r="AU101" s="260" t="str">
        <f t="shared" si="104"/>
        <v/>
      </c>
      <c r="AV101" s="260" t="str">
        <f t="shared" si="105"/>
        <v/>
      </c>
      <c r="AW101" s="260" t="str">
        <f t="shared" si="106"/>
        <v/>
      </c>
      <c r="AX101" s="260" t="str">
        <f t="shared" si="107"/>
        <v/>
      </c>
      <c r="AY101" s="260" t="str">
        <f t="shared" si="108"/>
        <v/>
      </c>
      <c r="AZ101" s="260" t="str">
        <f t="shared" si="109"/>
        <v/>
      </c>
      <c r="BA101" s="260" t="str">
        <f t="shared" si="110"/>
        <v/>
      </c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</row>
    <row r="102" spans="1:72" ht="22.5" customHeight="1" x14ac:dyDescent="0.4">
      <c r="A102" s="399"/>
      <c r="B102" s="376">
        <v>94</v>
      </c>
      <c r="C102" s="310">
        <v>44015</v>
      </c>
      <c r="D102" s="229" t="str">
        <f>IFERROR(VLOOKUP(C102,'बँक जमा खर्च पासबुक'!$C$9:$R$111,2,0),"")</f>
        <v/>
      </c>
      <c r="E102" s="229" t="str">
        <f>IFERROR(VLOOKUP(C102,'बँक जमा खर्च पासबुक'!$C$9:$R$111,3,0),"")</f>
        <v/>
      </c>
      <c r="F102" s="229" t="str">
        <f>IFERROR(VLOOKUP(C102,'बँक जमा खर्च पासबुक'!$C$9:$R$111,4,0),"")</f>
        <v/>
      </c>
      <c r="G102" s="229" t="str">
        <f>IFERROR(VLOOKUP(C102,'बँक जमा खर्च पासबुक'!$C$9:$R$111,5,0),"")</f>
        <v/>
      </c>
      <c r="H102" s="229" t="str">
        <f>IFERROR(VLOOKUP(C102,'बँक जमा खर्च पासबुक'!$C$9:$R$111,6,0),"")</f>
        <v/>
      </c>
      <c r="I102" s="229" t="str">
        <f>IFERROR(VLOOKUP(C102,'बँक जमा खर्च पासबुक'!$C$9:$R$111,7,0),"")</f>
        <v/>
      </c>
      <c r="J102" s="233">
        <f>SUMIF('बँक जमा खर्च पासबुक'!$C$9:$C$111,'बँक खर्च व्हाउचर पावती'!C102,'बँक जमा खर्च पासबुक'!$J$9:$J$111)</f>
        <v>0</v>
      </c>
      <c r="K102" s="233">
        <f>SUMIF('बँक जमा खर्च पासबुक'!$C$9:$C$111,'बँक खर्च व्हाउचर पावती'!C102,'बँक जमा खर्च पासबुक'!$K$9:$K$111)</f>
        <v>0</v>
      </c>
      <c r="L102" s="233">
        <f ca="1">SUMIF('बँक जमा खर्च पासबुक'!$C$9:$C$111,'बँक खर्च व्हाउचर पावती'!C102,'बँक जमा खर्च पासबुक'!$L$9:$L$110)</f>
        <v>0</v>
      </c>
      <c r="M102" s="228">
        <f>SUMIF('बँक जमा खर्च पासबुक'!$C$9:$C$111,'बँक खर्च व्हाउचर पावती'!C102,'बँक जमा खर्च पासबुक'!$M$9:$M$111)</f>
        <v>0</v>
      </c>
      <c r="N102" s="233">
        <f t="shared" ca="1" si="111"/>
        <v>3000</v>
      </c>
      <c r="O102" s="228">
        <f t="shared" si="112"/>
        <v>3000</v>
      </c>
      <c r="P102" s="228">
        <f t="shared" ca="1" si="99"/>
        <v>6000</v>
      </c>
      <c r="Q102" s="399"/>
      <c r="AM102" s="380"/>
      <c r="AN102" s="380"/>
      <c r="AO102" s="380">
        <v>30</v>
      </c>
      <c r="AP102" s="260" t="str">
        <f t="shared" si="113"/>
        <v/>
      </c>
      <c r="AQ102" s="260" t="str">
        <f t="shared" si="100"/>
        <v/>
      </c>
      <c r="AR102" s="260" t="str">
        <f t="shared" si="101"/>
        <v/>
      </c>
      <c r="AS102" s="260" t="str">
        <f t="shared" si="102"/>
        <v/>
      </c>
      <c r="AT102" s="260" t="str">
        <f t="shared" si="103"/>
        <v/>
      </c>
      <c r="AU102" s="260" t="str">
        <f t="shared" si="104"/>
        <v/>
      </c>
      <c r="AV102" s="260" t="str">
        <f t="shared" si="105"/>
        <v/>
      </c>
      <c r="AW102" s="260" t="str">
        <f t="shared" si="106"/>
        <v/>
      </c>
      <c r="AX102" s="260" t="str">
        <f t="shared" si="107"/>
        <v/>
      </c>
      <c r="AY102" s="260" t="str">
        <f t="shared" si="108"/>
        <v/>
      </c>
      <c r="AZ102" s="380"/>
      <c r="BA102" s="260" t="str">
        <f t="shared" si="110"/>
        <v/>
      </c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80"/>
    </row>
    <row r="103" spans="1:72" ht="22.5" customHeight="1" x14ac:dyDescent="0.4">
      <c r="A103" s="399"/>
      <c r="B103" s="376">
        <v>95</v>
      </c>
      <c r="C103" s="310">
        <v>44016</v>
      </c>
      <c r="D103" s="229" t="str">
        <f>IFERROR(VLOOKUP(C103,'बँक जमा खर्च पासबुक'!$C$9:$R$111,2,0),"")</f>
        <v/>
      </c>
      <c r="E103" s="229" t="str">
        <f>IFERROR(VLOOKUP(C103,'बँक जमा खर्च पासबुक'!$C$9:$R$111,3,0),"")</f>
        <v/>
      </c>
      <c r="F103" s="229" t="str">
        <f>IFERROR(VLOOKUP(C103,'बँक जमा खर्च पासबुक'!$C$9:$R$111,4,0),"")</f>
        <v/>
      </c>
      <c r="G103" s="229" t="str">
        <f>IFERROR(VLOOKUP(C103,'बँक जमा खर्च पासबुक'!$C$9:$R$111,5,0),"")</f>
        <v/>
      </c>
      <c r="H103" s="229" t="str">
        <f>IFERROR(VLOOKUP(C103,'बँक जमा खर्च पासबुक'!$C$9:$R$111,6,0),"")</f>
        <v/>
      </c>
      <c r="I103" s="229" t="str">
        <f>IFERROR(VLOOKUP(C103,'बँक जमा खर्च पासबुक'!$C$9:$R$111,7,0),"")</f>
        <v/>
      </c>
      <c r="J103" s="233">
        <f>SUMIF('बँक जमा खर्च पासबुक'!$C$9:$C$111,'बँक खर्च व्हाउचर पावती'!C103,'बँक जमा खर्च पासबुक'!$J$9:$J$111)</f>
        <v>0</v>
      </c>
      <c r="K103" s="233">
        <f>SUMIF('बँक जमा खर्च पासबुक'!$C$9:$C$111,'बँक खर्च व्हाउचर पावती'!C103,'बँक जमा खर्च पासबुक'!$K$9:$K$111)</f>
        <v>0</v>
      </c>
      <c r="L103" s="233">
        <f ca="1">SUMIF('बँक जमा खर्च पासबुक'!$C$9:$C$111,'बँक खर्च व्हाउचर पावती'!C103,'बँक जमा खर्च पासबुक'!$L$9:$L$110)</f>
        <v>0</v>
      </c>
      <c r="M103" s="228">
        <f>SUMIF('बँक जमा खर्च पासबुक'!$C$9:$C$111,'बँक खर्च व्हाउचर पावती'!C103,'बँक जमा खर्च पासबुक'!$M$9:$M$111)</f>
        <v>0</v>
      </c>
      <c r="N103" s="233">
        <f t="shared" ca="1" si="111"/>
        <v>3000</v>
      </c>
      <c r="O103" s="228">
        <f t="shared" si="112"/>
        <v>3000</v>
      </c>
      <c r="P103" s="228">
        <f t="shared" ca="1" si="99"/>
        <v>6000</v>
      </c>
      <c r="Q103" s="399"/>
      <c r="AM103" s="380"/>
      <c r="AN103" s="380"/>
      <c r="AO103" s="380">
        <v>31</v>
      </c>
      <c r="AP103" s="380"/>
      <c r="AQ103" s="260" t="str">
        <f t="shared" si="100"/>
        <v/>
      </c>
      <c r="AR103" s="380"/>
      <c r="AS103" s="260" t="str">
        <f t="shared" si="102"/>
        <v/>
      </c>
      <c r="AT103" s="260" t="str">
        <f t="shared" si="103"/>
        <v/>
      </c>
      <c r="AU103" s="380"/>
      <c r="AV103" s="260" t="str">
        <f t="shared" si="105"/>
        <v/>
      </c>
      <c r="AW103" s="380"/>
      <c r="AX103" s="260" t="str">
        <f t="shared" si="107"/>
        <v/>
      </c>
      <c r="AY103" s="260" t="str">
        <f t="shared" si="108"/>
        <v/>
      </c>
      <c r="AZ103" s="380"/>
      <c r="BA103" s="260" t="str">
        <f t="shared" si="110"/>
        <v/>
      </c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</row>
    <row r="104" spans="1:72" ht="22.5" customHeight="1" x14ac:dyDescent="0.4">
      <c r="A104" s="399"/>
      <c r="B104" s="376">
        <v>96</v>
      </c>
      <c r="C104" s="310">
        <v>44017</v>
      </c>
      <c r="D104" s="229" t="str">
        <f>IFERROR(VLOOKUP(C104,'बँक जमा खर्च पासबुक'!$C$9:$R$111,2,0),"")</f>
        <v/>
      </c>
      <c r="E104" s="229" t="str">
        <f>IFERROR(VLOOKUP(C104,'बँक जमा खर्च पासबुक'!$C$9:$R$111,3,0),"")</f>
        <v/>
      </c>
      <c r="F104" s="229" t="str">
        <f>IFERROR(VLOOKUP(C104,'बँक जमा खर्च पासबुक'!$C$9:$R$111,4,0),"")</f>
        <v/>
      </c>
      <c r="G104" s="229" t="str">
        <f>IFERROR(VLOOKUP(C104,'बँक जमा खर्च पासबुक'!$C$9:$R$111,5,0),"")</f>
        <v/>
      </c>
      <c r="H104" s="229" t="str">
        <f>IFERROR(VLOOKUP(C104,'बँक जमा खर्च पासबुक'!$C$9:$R$111,6,0),"")</f>
        <v/>
      </c>
      <c r="I104" s="229" t="str">
        <f>IFERROR(VLOOKUP(C104,'बँक जमा खर्च पासबुक'!$C$9:$R$111,7,0),"")</f>
        <v/>
      </c>
      <c r="J104" s="233">
        <f>SUMIF('बँक जमा खर्च पासबुक'!$C$9:$C$111,'बँक खर्च व्हाउचर पावती'!C104,'बँक जमा खर्च पासबुक'!$J$9:$J$111)</f>
        <v>0</v>
      </c>
      <c r="K104" s="233">
        <f>SUMIF('बँक जमा खर्च पासबुक'!$C$9:$C$111,'बँक खर्च व्हाउचर पावती'!C104,'बँक जमा खर्च पासबुक'!$K$9:$K$111)</f>
        <v>0</v>
      </c>
      <c r="L104" s="233">
        <f ca="1">SUMIF('बँक जमा खर्च पासबुक'!$C$9:$C$111,'बँक खर्च व्हाउचर पावती'!C104,'बँक जमा खर्च पासबुक'!$L$9:$L$110)</f>
        <v>0</v>
      </c>
      <c r="M104" s="228">
        <f>SUMIF('बँक जमा खर्च पासबुक'!$C$9:$C$111,'बँक खर्च व्हाउचर पावती'!C104,'बँक जमा खर्च पासबुक'!$M$9:$M$111)</f>
        <v>0</v>
      </c>
      <c r="N104" s="233">
        <f t="shared" ca="1" si="111"/>
        <v>3000</v>
      </c>
      <c r="O104" s="228">
        <f t="shared" si="112"/>
        <v>3000</v>
      </c>
      <c r="P104" s="228">
        <f t="shared" ca="1" si="99"/>
        <v>6000</v>
      </c>
      <c r="Q104" s="399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  <c r="AZ104" s="380"/>
      <c r="BA104" s="380"/>
      <c r="BB104" s="380"/>
      <c r="BC104" s="380"/>
      <c r="BD104" s="380"/>
      <c r="BE104" s="380"/>
      <c r="BF104" s="380"/>
      <c r="BG104" s="380"/>
      <c r="BH104" s="380"/>
      <c r="BI104" s="380"/>
      <c r="BJ104" s="380"/>
      <c r="BK104" s="380"/>
      <c r="BL104" s="380"/>
      <c r="BM104" s="380"/>
      <c r="BN104" s="380"/>
      <c r="BO104" s="380"/>
      <c r="BP104" s="380"/>
      <c r="BQ104" s="380"/>
      <c r="BR104" s="380"/>
      <c r="BS104" s="380"/>
      <c r="BT104" s="380"/>
    </row>
    <row r="105" spans="1:72" ht="22.5" customHeight="1" x14ac:dyDescent="0.4">
      <c r="A105" s="399"/>
      <c r="B105" s="376">
        <v>97</v>
      </c>
      <c r="C105" s="310">
        <v>44018</v>
      </c>
      <c r="D105" s="229" t="str">
        <f>IFERROR(VLOOKUP(C105,'बँक जमा खर्च पासबुक'!$C$9:$R$111,2,0),"")</f>
        <v/>
      </c>
      <c r="E105" s="229" t="str">
        <f>IFERROR(VLOOKUP(C105,'बँक जमा खर्च पासबुक'!$C$9:$R$111,3,0),"")</f>
        <v/>
      </c>
      <c r="F105" s="229" t="str">
        <f>IFERROR(VLOOKUP(C105,'बँक जमा खर्च पासबुक'!$C$9:$R$111,4,0),"")</f>
        <v/>
      </c>
      <c r="G105" s="229" t="str">
        <f>IFERROR(VLOOKUP(C105,'बँक जमा खर्च पासबुक'!$C$9:$R$111,5,0),"")</f>
        <v/>
      </c>
      <c r="H105" s="229" t="str">
        <f>IFERROR(VLOOKUP(C105,'बँक जमा खर्च पासबुक'!$C$9:$R$111,6,0),"")</f>
        <v/>
      </c>
      <c r="I105" s="229" t="str">
        <f>IFERROR(VLOOKUP(C105,'बँक जमा खर्च पासबुक'!$C$9:$R$111,7,0),"")</f>
        <v/>
      </c>
      <c r="J105" s="233">
        <f>SUMIF('बँक जमा खर्च पासबुक'!$C$9:$C$111,'बँक खर्च व्हाउचर पावती'!C105,'बँक जमा खर्च पासबुक'!$J$9:$J$111)</f>
        <v>0</v>
      </c>
      <c r="K105" s="233">
        <f>SUMIF('बँक जमा खर्च पासबुक'!$C$9:$C$111,'बँक खर्च व्हाउचर पावती'!C105,'बँक जमा खर्च पासबुक'!$K$9:$K$111)</f>
        <v>0</v>
      </c>
      <c r="L105" s="233">
        <f ca="1">SUMIF('बँक जमा खर्च पासबुक'!$C$9:$C$111,'बँक खर्च व्हाउचर पावती'!C105,'बँक जमा खर्च पासबुक'!$L$9:$L$110)</f>
        <v>0</v>
      </c>
      <c r="M105" s="228">
        <f>SUMIF('बँक जमा खर्च पासबुक'!$C$9:$C$111,'बँक खर्च व्हाउचर पावती'!C105,'बँक जमा खर्च पासबुक'!$M$9:$M$111)</f>
        <v>0</v>
      </c>
      <c r="N105" s="233">
        <f t="shared" ca="1" si="111"/>
        <v>3000</v>
      </c>
      <c r="O105" s="228">
        <f t="shared" si="112"/>
        <v>3000</v>
      </c>
      <c r="P105" s="228">
        <f t="shared" ca="1" si="99"/>
        <v>6000</v>
      </c>
      <c r="Q105" s="399"/>
      <c r="AM105" s="380"/>
      <c r="AN105" s="380"/>
      <c r="AO105" s="380"/>
      <c r="AP105" s="380"/>
      <c r="AQ105" s="380"/>
      <c r="AR105" s="380"/>
      <c r="AS105" s="380"/>
      <c r="AT105" s="380"/>
      <c r="AU105" s="380" t="s">
        <v>585</v>
      </c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</row>
    <row r="106" spans="1:72" ht="22.5" customHeight="1" x14ac:dyDescent="0.4">
      <c r="A106" s="399"/>
      <c r="B106" s="376">
        <v>98</v>
      </c>
      <c r="C106" s="310">
        <v>44019</v>
      </c>
      <c r="D106" s="229" t="str">
        <f>IFERROR(VLOOKUP(C106,'बँक जमा खर्च पासबुक'!$C$9:$R$111,2,0),"")</f>
        <v/>
      </c>
      <c r="E106" s="229" t="str">
        <f>IFERROR(VLOOKUP(C106,'बँक जमा खर्च पासबुक'!$C$9:$R$111,3,0),"")</f>
        <v/>
      </c>
      <c r="F106" s="229" t="str">
        <f>IFERROR(VLOOKUP(C106,'बँक जमा खर्च पासबुक'!$C$9:$R$111,4,0),"")</f>
        <v/>
      </c>
      <c r="G106" s="229" t="str">
        <f>IFERROR(VLOOKUP(C106,'बँक जमा खर्च पासबुक'!$C$9:$R$111,5,0),"")</f>
        <v/>
      </c>
      <c r="H106" s="229" t="str">
        <f>IFERROR(VLOOKUP(C106,'बँक जमा खर्च पासबुक'!$C$9:$R$111,6,0),"")</f>
        <v/>
      </c>
      <c r="I106" s="229" t="str">
        <f>IFERROR(VLOOKUP(C106,'बँक जमा खर्च पासबुक'!$C$9:$R$111,7,0),"")</f>
        <v/>
      </c>
      <c r="J106" s="233">
        <f>SUMIF('बँक जमा खर्च पासबुक'!$C$9:$C$111,'बँक खर्च व्हाउचर पावती'!C106,'बँक जमा खर्च पासबुक'!$J$9:$J$111)</f>
        <v>0</v>
      </c>
      <c r="K106" s="233">
        <f>SUMIF('बँक जमा खर्च पासबुक'!$C$9:$C$111,'बँक खर्च व्हाउचर पावती'!C106,'बँक जमा खर्च पासबुक'!$K$9:$K$111)</f>
        <v>0</v>
      </c>
      <c r="L106" s="233">
        <f ca="1">SUMIF('बँक जमा खर्च पासबुक'!$C$9:$C$111,'बँक खर्च व्हाउचर पावती'!C106,'बँक जमा खर्च पासबुक'!$L$9:$L$110)</f>
        <v>0</v>
      </c>
      <c r="M106" s="228">
        <f>SUMIF('बँक जमा खर्च पासबुक'!$C$9:$C$111,'बँक खर्च व्हाउचर पावती'!C106,'बँक जमा खर्च पासबुक'!$M$9:$M$111)</f>
        <v>0</v>
      </c>
      <c r="N106" s="233">
        <f t="shared" ca="1" si="111"/>
        <v>3000</v>
      </c>
      <c r="O106" s="228">
        <f t="shared" si="112"/>
        <v>3000</v>
      </c>
      <c r="P106" s="228">
        <f t="shared" ca="1" si="99"/>
        <v>6000</v>
      </c>
      <c r="Q106" s="399"/>
      <c r="AM106" s="380"/>
      <c r="AN106" s="380"/>
      <c r="AO106" s="380"/>
      <c r="AP106" s="380" t="s">
        <v>42</v>
      </c>
      <c r="AQ106" s="380" t="s">
        <v>44</v>
      </c>
      <c r="AR106" s="380" t="s">
        <v>94</v>
      </c>
      <c r="AS106" s="380" t="s">
        <v>46</v>
      </c>
      <c r="AT106" s="380" t="s">
        <v>34</v>
      </c>
      <c r="AU106" s="380" t="s">
        <v>37</v>
      </c>
      <c r="AV106" s="380" t="s">
        <v>47</v>
      </c>
      <c r="AW106" s="380" t="s">
        <v>38</v>
      </c>
      <c r="AX106" s="380" t="s">
        <v>39</v>
      </c>
      <c r="AY106" s="380" t="s">
        <v>33</v>
      </c>
      <c r="AZ106" s="380" t="s">
        <v>40</v>
      </c>
      <c r="BA106" s="380" t="s">
        <v>41</v>
      </c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</row>
    <row r="107" spans="1:72" ht="22.5" customHeight="1" x14ac:dyDescent="0.4">
      <c r="A107" s="399"/>
      <c r="B107" s="376">
        <v>99</v>
      </c>
      <c r="C107" s="310">
        <v>44020</v>
      </c>
      <c r="D107" s="229" t="str">
        <f>IFERROR(VLOOKUP(C107,'बँक जमा खर्च पासबुक'!$C$9:$R$111,2,0),"")</f>
        <v/>
      </c>
      <c r="E107" s="229" t="str">
        <f>IFERROR(VLOOKUP(C107,'बँक जमा खर्च पासबुक'!$C$9:$R$111,3,0),"")</f>
        <v/>
      </c>
      <c r="F107" s="229" t="str">
        <f>IFERROR(VLOOKUP(C107,'बँक जमा खर्च पासबुक'!$C$9:$R$111,4,0),"")</f>
        <v/>
      </c>
      <c r="G107" s="229" t="str">
        <f>IFERROR(VLOOKUP(C107,'बँक जमा खर्च पासबुक'!$C$9:$R$111,5,0),"")</f>
        <v/>
      </c>
      <c r="H107" s="229" t="str">
        <f>IFERROR(VLOOKUP(C107,'बँक जमा खर्च पासबुक'!$C$9:$R$111,6,0),"")</f>
        <v/>
      </c>
      <c r="I107" s="229" t="str">
        <f>IFERROR(VLOOKUP(C107,'बँक जमा खर्च पासबुक'!$C$9:$R$111,7,0),"")</f>
        <v/>
      </c>
      <c r="J107" s="233">
        <f>SUMIF('बँक जमा खर्च पासबुक'!$C$9:$C$111,'बँक खर्च व्हाउचर पावती'!C107,'बँक जमा खर्च पासबुक'!$J$9:$J$111)</f>
        <v>0</v>
      </c>
      <c r="K107" s="233">
        <f>SUMIF('बँक जमा खर्च पासबुक'!$C$9:$C$111,'बँक खर्च व्हाउचर पावती'!C107,'बँक जमा खर्च पासबुक'!$K$9:$K$111)</f>
        <v>0</v>
      </c>
      <c r="L107" s="233">
        <f ca="1">SUMIF('बँक जमा खर्च पासबुक'!$C$9:$C$111,'बँक खर्च व्हाउचर पावती'!C107,'बँक जमा खर्च पासबुक'!$L$9:$L$110)</f>
        <v>0</v>
      </c>
      <c r="M107" s="228">
        <f>SUMIF('बँक जमा खर्च पासबुक'!$C$9:$C$111,'बँक खर्च व्हाउचर पावती'!C107,'बँक जमा खर्च पासबुक'!$M$9:$M$111)</f>
        <v>0</v>
      </c>
      <c r="N107" s="233">
        <f t="shared" ca="1" si="111"/>
        <v>3000</v>
      </c>
      <c r="O107" s="228">
        <f t="shared" si="112"/>
        <v>3000</v>
      </c>
      <c r="P107" s="228">
        <f t="shared" ca="1" si="99"/>
        <v>6000</v>
      </c>
      <c r="Q107" s="399"/>
      <c r="AM107" s="380"/>
      <c r="AN107" s="380"/>
      <c r="AO107" s="380">
        <v>1</v>
      </c>
      <c r="AP107" s="260" t="str">
        <f>I9</f>
        <v/>
      </c>
      <c r="AQ107" s="260" t="str">
        <f t="shared" ref="AQ107:AQ137" si="114">I39</f>
        <v/>
      </c>
      <c r="AR107" s="260" t="str">
        <f t="shared" ref="AR107:AR136" si="115">I70</f>
        <v/>
      </c>
      <c r="AS107" s="260" t="str">
        <f t="shared" ref="AS107:AS137" si="116">I100</f>
        <v/>
      </c>
      <c r="AT107" s="260" t="str">
        <f t="shared" ref="AT107:AT137" si="117">I131</f>
        <v/>
      </c>
      <c r="AU107" s="260" t="str">
        <f t="shared" ref="AU107:AU136" si="118">I162</f>
        <v/>
      </c>
      <c r="AV107" s="260" t="str">
        <f t="shared" ref="AV107:AV137" si="119">I192</f>
        <v/>
      </c>
      <c r="AW107" s="260" t="str">
        <f t="shared" ref="AW107:AW136" si="120">I223</f>
        <v/>
      </c>
      <c r="AX107" s="260" t="str">
        <f t="shared" ref="AX107:AX137" si="121">I253</f>
        <v/>
      </c>
      <c r="AY107" s="260" t="str">
        <f t="shared" ref="AY107:AY137" si="122">I284</f>
        <v/>
      </c>
      <c r="AZ107" s="260" t="str">
        <f t="shared" ref="AZ107:AZ135" si="123">I315</f>
        <v/>
      </c>
      <c r="BA107" s="260" t="str">
        <f t="shared" ref="BA107:BA137" si="124">I344</f>
        <v/>
      </c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</row>
    <row r="108" spans="1:72" ht="22.5" customHeight="1" x14ac:dyDescent="0.4">
      <c r="A108" s="399"/>
      <c r="B108" s="376">
        <v>100</v>
      </c>
      <c r="C108" s="310">
        <v>44021</v>
      </c>
      <c r="D108" s="229" t="str">
        <f>IFERROR(VLOOKUP(C108,'बँक जमा खर्च पासबुक'!$C$9:$R$111,2,0),"")</f>
        <v/>
      </c>
      <c r="E108" s="229" t="str">
        <f>IFERROR(VLOOKUP(C108,'बँक जमा खर्च पासबुक'!$C$9:$R$111,3,0),"")</f>
        <v/>
      </c>
      <c r="F108" s="229" t="str">
        <f>IFERROR(VLOOKUP(C108,'बँक जमा खर्च पासबुक'!$C$9:$R$111,4,0),"")</f>
        <v/>
      </c>
      <c r="G108" s="229" t="str">
        <f>IFERROR(VLOOKUP(C108,'बँक जमा खर्च पासबुक'!$C$9:$R$111,5,0),"")</f>
        <v/>
      </c>
      <c r="H108" s="229" t="str">
        <f>IFERROR(VLOOKUP(C108,'बँक जमा खर्च पासबुक'!$C$9:$R$111,6,0),"")</f>
        <v/>
      </c>
      <c r="I108" s="229" t="str">
        <f>IFERROR(VLOOKUP(C108,'बँक जमा खर्च पासबुक'!$C$9:$R$111,7,0),"")</f>
        <v/>
      </c>
      <c r="J108" s="233">
        <f>SUMIF('बँक जमा खर्च पासबुक'!$C$9:$C$111,'बँक खर्च व्हाउचर पावती'!C108,'बँक जमा खर्च पासबुक'!$J$9:$J$111)</f>
        <v>0</v>
      </c>
      <c r="K108" s="233">
        <f>SUMIF('बँक जमा खर्च पासबुक'!$C$9:$C$111,'बँक खर्च व्हाउचर पावती'!C108,'बँक जमा खर्च पासबुक'!$K$9:$K$111)</f>
        <v>0</v>
      </c>
      <c r="L108" s="233">
        <f ca="1">SUMIF('बँक जमा खर्च पासबुक'!$C$9:$C$111,'बँक खर्च व्हाउचर पावती'!C108,'बँक जमा खर्च पासबुक'!$L$9:$L$110)</f>
        <v>0</v>
      </c>
      <c r="M108" s="228">
        <f>SUMIF('बँक जमा खर्च पासबुक'!$C$9:$C$111,'बँक खर्च व्हाउचर पावती'!C108,'बँक जमा खर्च पासबुक'!$M$9:$M$111)</f>
        <v>0</v>
      </c>
      <c r="N108" s="233">
        <f t="shared" ca="1" si="111"/>
        <v>3000</v>
      </c>
      <c r="O108" s="228">
        <f t="shared" si="112"/>
        <v>3000</v>
      </c>
      <c r="P108" s="228">
        <f t="shared" ca="1" si="99"/>
        <v>6000</v>
      </c>
      <c r="Q108" s="399"/>
      <c r="AM108" s="380"/>
      <c r="AN108" s="380"/>
      <c r="AO108" s="380">
        <v>2</v>
      </c>
      <c r="AP108" s="260" t="str">
        <f>I10</f>
        <v/>
      </c>
      <c r="AQ108" s="260" t="str">
        <f t="shared" si="114"/>
        <v/>
      </c>
      <c r="AR108" s="260" t="str">
        <f t="shared" si="115"/>
        <v/>
      </c>
      <c r="AS108" s="260" t="str">
        <f t="shared" si="116"/>
        <v/>
      </c>
      <c r="AT108" s="260" t="str">
        <f t="shared" si="117"/>
        <v/>
      </c>
      <c r="AU108" s="260" t="str">
        <f t="shared" si="118"/>
        <v/>
      </c>
      <c r="AV108" s="260" t="str">
        <f t="shared" si="119"/>
        <v/>
      </c>
      <c r="AW108" s="260" t="str">
        <f t="shared" si="120"/>
        <v/>
      </c>
      <c r="AX108" s="260" t="str">
        <f t="shared" si="121"/>
        <v/>
      </c>
      <c r="AY108" s="260" t="str">
        <f t="shared" si="122"/>
        <v/>
      </c>
      <c r="AZ108" s="260" t="str">
        <f t="shared" si="123"/>
        <v/>
      </c>
      <c r="BA108" s="260" t="str">
        <f t="shared" si="124"/>
        <v/>
      </c>
      <c r="BB108" s="380"/>
      <c r="BC108" s="380"/>
      <c r="BD108" s="380"/>
      <c r="BE108" s="380"/>
      <c r="BF108" s="380"/>
      <c r="BG108" s="380"/>
      <c r="BH108" s="380"/>
      <c r="BI108" s="380"/>
      <c r="BJ108" s="380"/>
      <c r="BK108" s="380"/>
      <c r="BL108" s="380"/>
      <c r="BM108" s="380"/>
      <c r="BN108" s="380"/>
      <c r="BO108" s="380"/>
      <c r="BP108" s="380"/>
      <c r="BQ108" s="380"/>
      <c r="BR108" s="380"/>
      <c r="BS108" s="380"/>
      <c r="BT108" s="380"/>
    </row>
    <row r="109" spans="1:72" ht="22.5" customHeight="1" x14ac:dyDescent="0.4">
      <c r="A109" s="399"/>
      <c r="B109" s="376">
        <v>101</v>
      </c>
      <c r="C109" s="310">
        <v>44022</v>
      </c>
      <c r="D109" s="229" t="str">
        <f>IFERROR(VLOOKUP(C109,'बँक जमा खर्च पासबुक'!$C$9:$R$111,2,0),"")</f>
        <v/>
      </c>
      <c r="E109" s="229" t="str">
        <f>IFERROR(VLOOKUP(C109,'बँक जमा खर्च पासबुक'!$C$9:$R$111,3,0),"")</f>
        <v/>
      </c>
      <c r="F109" s="229" t="str">
        <f>IFERROR(VLOOKUP(C109,'बँक जमा खर्च पासबुक'!$C$9:$R$111,4,0),"")</f>
        <v/>
      </c>
      <c r="G109" s="229" t="str">
        <f>IFERROR(VLOOKUP(C109,'बँक जमा खर्च पासबुक'!$C$9:$R$111,5,0),"")</f>
        <v/>
      </c>
      <c r="H109" s="229" t="str">
        <f>IFERROR(VLOOKUP(C109,'बँक जमा खर्च पासबुक'!$C$9:$R$111,6,0),"")</f>
        <v/>
      </c>
      <c r="I109" s="229" t="str">
        <f>IFERROR(VLOOKUP(C109,'बँक जमा खर्च पासबुक'!$C$9:$R$111,7,0),"")</f>
        <v/>
      </c>
      <c r="J109" s="233">
        <f>SUMIF('बँक जमा खर्च पासबुक'!$C$9:$C$111,'बँक खर्च व्हाउचर पावती'!C109,'बँक जमा खर्च पासबुक'!$J$9:$J$111)</f>
        <v>0</v>
      </c>
      <c r="K109" s="233">
        <f>SUMIF('बँक जमा खर्च पासबुक'!$C$9:$C$111,'बँक खर्च व्हाउचर पावती'!C109,'बँक जमा खर्च पासबुक'!$K$9:$K$111)</f>
        <v>0</v>
      </c>
      <c r="L109" s="233">
        <f ca="1">SUMIF('बँक जमा खर्च पासबुक'!$C$9:$C$111,'बँक खर्च व्हाउचर पावती'!C109,'बँक जमा खर्च पासबुक'!$L$9:$L$110)</f>
        <v>0</v>
      </c>
      <c r="M109" s="228">
        <f>SUMIF('बँक जमा खर्च पासबुक'!$C$9:$C$111,'बँक खर्च व्हाउचर पावती'!C109,'बँक जमा खर्च पासबुक'!$M$9:$M$111)</f>
        <v>0</v>
      </c>
      <c r="N109" s="233">
        <f t="shared" ca="1" si="111"/>
        <v>3000</v>
      </c>
      <c r="O109" s="228">
        <f t="shared" si="112"/>
        <v>3000</v>
      </c>
      <c r="P109" s="228">
        <f t="shared" ca="1" si="99"/>
        <v>6000</v>
      </c>
      <c r="Q109" s="399"/>
      <c r="AM109" s="380"/>
      <c r="AN109" s="380"/>
      <c r="AO109" s="380">
        <v>3</v>
      </c>
      <c r="AP109" s="260" t="str">
        <f>I11</f>
        <v/>
      </c>
      <c r="AQ109" s="260" t="str">
        <f t="shared" si="114"/>
        <v/>
      </c>
      <c r="AR109" s="260" t="str">
        <f t="shared" si="115"/>
        <v/>
      </c>
      <c r="AS109" s="260" t="str">
        <f t="shared" si="116"/>
        <v/>
      </c>
      <c r="AT109" s="260" t="str">
        <f t="shared" si="117"/>
        <v/>
      </c>
      <c r="AU109" s="260" t="str">
        <f t="shared" si="118"/>
        <v/>
      </c>
      <c r="AV109" s="260" t="str">
        <f t="shared" si="119"/>
        <v/>
      </c>
      <c r="AW109" s="260" t="str">
        <f t="shared" si="120"/>
        <v/>
      </c>
      <c r="AX109" s="260" t="str">
        <f t="shared" si="121"/>
        <v/>
      </c>
      <c r="AY109" s="260" t="str">
        <f t="shared" si="122"/>
        <v/>
      </c>
      <c r="AZ109" s="260" t="str">
        <f t="shared" si="123"/>
        <v/>
      </c>
      <c r="BA109" s="260" t="str">
        <f t="shared" si="124"/>
        <v/>
      </c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</row>
    <row r="110" spans="1:72" ht="22.5" customHeight="1" x14ac:dyDescent="0.4">
      <c r="A110" s="399"/>
      <c r="B110" s="376">
        <v>102</v>
      </c>
      <c r="C110" s="310">
        <v>44023</v>
      </c>
      <c r="D110" s="229" t="str">
        <f>IFERROR(VLOOKUP(C110,'बँक जमा खर्च पासबुक'!$C$9:$R$111,2,0),"")</f>
        <v/>
      </c>
      <c r="E110" s="229" t="str">
        <f>IFERROR(VLOOKUP(C110,'बँक जमा खर्च पासबुक'!$C$9:$R$111,3,0),"")</f>
        <v/>
      </c>
      <c r="F110" s="229" t="str">
        <f>IFERROR(VLOOKUP(C110,'बँक जमा खर्च पासबुक'!$C$9:$R$111,4,0),"")</f>
        <v/>
      </c>
      <c r="G110" s="229" t="str">
        <f>IFERROR(VLOOKUP(C110,'बँक जमा खर्च पासबुक'!$C$9:$R$111,5,0),"")</f>
        <v/>
      </c>
      <c r="H110" s="229" t="str">
        <f>IFERROR(VLOOKUP(C110,'बँक जमा खर्च पासबुक'!$C$9:$R$111,6,0),"")</f>
        <v/>
      </c>
      <c r="I110" s="229" t="str">
        <f>IFERROR(VLOOKUP(C110,'बँक जमा खर्च पासबुक'!$C$9:$R$111,7,0),"")</f>
        <v/>
      </c>
      <c r="J110" s="233">
        <f>SUMIF('बँक जमा खर्च पासबुक'!$C$9:$C$111,'बँक खर्च व्हाउचर पावती'!C110,'बँक जमा खर्च पासबुक'!$J$9:$J$111)</f>
        <v>0</v>
      </c>
      <c r="K110" s="233">
        <f>SUMIF('बँक जमा खर्च पासबुक'!$C$9:$C$111,'बँक खर्च व्हाउचर पावती'!C110,'बँक जमा खर्च पासबुक'!$K$9:$K$111)</f>
        <v>0</v>
      </c>
      <c r="L110" s="233">
        <f ca="1">SUMIF('बँक जमा खर्च पासबुक'!$C$9:$C$111,'बँक खर्च व्हाउचर पावती'!C110,'बँक जमा खर्च पासबुक'!$L$9:$L$110)</f>
        <v>0</v>
      </c>
      <c r="M110" s="228">
        <f>SUMIF('बँक जमा खर्च पासबुक'!$C$9:$C$111,'बँक खर्च व्हाउचर पावती'!C110,'बँक जमा खर्च पासबुक'!$M$9:$M$111)</f>
        <v>0</v>
      </c>
      <c r="N110" s="233">
        <f t="shared" ca="1" si="111"/>
        <v>3000</v>
      </c>
      <c r="O110" s="228">
        <f t="shared" si="112"/>
        <v>3000</v>
      </c>
      <c r="P110" s="228">
        <f t="shared" ca="1" si="99"/>
        <v>6000</v>
      </c>
      <c r="Q110" s="399"/>
      <c r="AM110" s="380"/>
      <c r="AN110" s="380"/>
      <c r="AO110" s="380">
        <v>4</v>
      </c>
      <c r="AP110" s="260" t="str">
        <f>I12</f>
        <v/>
      </c>
      <c r="AQ110" s="260" t="str">
        <f t="shared" si="114"/>
        <v/>
      </c>
      <c r="AR110" s="260" t="str">
        <f t="shared" si="115"/>
        <v/>
      </c>
      <c r="AS110" s="260" t="str">
        <f t="shared" si="116"/>
        <v/>
      </c>
      <c r="AT110" s="260" t="str">
        <f t="shared" si="117"/>
        <v/>
      </c>
      <c r="AU110" s="260" t="str">
        <f t="shared" si="118"/>
        <v/>
      </c>
      <c r="AV110" s="260" t="str">
        <f t="shared" si="119"/>
        <v/>
      </c>
      <c r="AW110" s="260" t="str">
        <f t="shared" si="120"/>
        <v/>
      </c>
      <c r="AX110" s="260" t="str">
        <f t="shared" si="121"/>
        <v/>
      </c>
      <c r="AY110" s="260" t="str">
        <f t="shared" si="122"/>
        <v/>
      </c>
      <c r="AZ110" s="260" t="str">
        <f t="shared" si="123"/>
        <v/>
      </c>
      <c r="BA110" s="260" t="str">
        <f t="shared" si="124"/>
        <v/>
      </c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</row>
    <row r="111" spans="1:72" ht="22.5" customHeight="1" x14ac:dyDescent="0.4">
      <c r="A111" s="399"/>
      <c r="B111" s="376">
        <v>103</v>
      </c>
      <c r="C111" s="310">
        <v>44024</v>
      </c>
      <c r="D111" s="229" t="str">
        <f>IFERROR(VLOOKUP(C111,'बँक जमा खर्च पासबुक'!$C$9:$R$111,2,0),"")</f>
        <v/>
      </c>
      <c r="E111" s="229" t="str">
        <f>IFERROR(VLOOKUP(C111,'बँक जमा खर्च पासबुक'!$C$9:$R$111,3,0),"")</f>
        <v/>
      </c>
      <c r="F111" s="229" t="str">
        <f>IFERROR(VLOOKUP(C111,'बँक जमा खर्च पासबुक'!$C$9:$R$111,4,0),"")</f>
        <v/>
      </c>
      <c r="G111" s="229" t="str">
        <f>IFERROR(VLOOKUP(C111,'बँक जमा खर्च पासबुक'!$C$9:$R$111,5,0),"")</f>
        <v/>
      </c>
      <c r="H111" s="229" t="str">
        <f>IFERROR(VLOOKUP(C111,'बँक जमा खर्च पासबुक'!$C$9:$R$111,6,0),"")</f>
        <v/>
      </c>
      <c r="I111" s="229" t="str">
        <f>IFERROR(VLOOKUP(C111,'बँक जमा खर्च पासबुक'!$C$9:$R$111,7,0),"")</f>
        <v/>
      </c>
      <c r="J111" s="233">
        <f>SUMIF('बँक जमा खर्च पासबुक'!$C$9:$C$111,'बँक खर्च व्हाउचर पावती'!C111,'बँक जमा खर्च पासबुक'!$J$9:$J$111)</f>
        <v>0</v>
      </c>
      <c r="K111" s="233">
        <f>SUMIF('बँक जमा खर्च पासबुक'!$C$9:$C$111,'बँक खर्च व्हाउचर पावती'!C111,'बँक जमा खर्च पासबुक'!$K$9:$K$111)</f>
        <v>0</v>
      </c>
      <c r="L111" s="233">
        <f ca="1">SUMIF('बँक जमा खर्च पासबुक'!$C$9:$C$111,'बँक खर्च व्हाउचर पावती'!C111,'बँक जमा खर्च पासबुक'!$L$9:$L$110)</f>
        <v>0</v>
      </c>
      <c r="M111" s="228">
        <f>SUMIF('बँक जमा खर्च पासबुक'!$C$9:$C$111,'बँक खर्च व्हाउचर पावती'!C111,'बँक जमा खर्च पासबुक'!$M$9:$M$111)</f>
        <v>0</v>
      </c>
      <c r="N111" s="233">
        <f t="shared" ca="1" si="111"/>
        <v>3000</v>
      </c>
      <c r="O111" s="228">
        <f t="shared" si="112"/>
        <v>3000</v>
      </c>
      <c r="P111" s="228">
        <f t="shared" ca="1" si="99"/>
        <v>6000</v>
      </c>
      <c r="Q111" s="399"/>
      <c r="AM111" s="380"/>
      <c r="AN111" s="380"/>
      <c r="AO111" s="380">
        <v>5</v>
      </c>
      <c r="AP111" s="260" t="str">
        <f>I13</f>
        <v/>
      </c>
      <c r="AQ111" s="260" t="str">
        <f t="shared" si="114"/>
        <v/>
      </c>
      <c r="AR111" s="260" t="str">
        <f t="shared" si="115"/>
        <v/>
      </c>
      <c r="AS111" s="260" t="str">
        <f t="shared" si="116"/>
        <v/>
      </c>
      <c r="AT111" s="260" t="str">
        <f t="shared" si="117"/>
        <v/>
      </c>
      <c r="AU111" s="260" t="str">
        <f t="shared" si="118"/>
        <v/>
      </c>
      <c r="AV111" s="260" t="str">
        <f t="shared" si="119"/>
        <v/>
      </c>
      <c r="AW111" s="260" t="str">
        <f t="shared" si="120"/>
        <v/>
      </c>
      <c r="AX111" s="260" t="str">
        <f t="shared" si="121"/>
        <v/>
      </c>
      <c r="AY111" s="260" t="str">
        <f t="shared" si="122"/>
        <v/>
      </c>
      <c r="AZ111" s="260" t="str">
        <f t="shared" si="123"/>
        <v/>
      </c>
      <c r="BA111" s="260" t="str">
        <f t="shared" si="124"/>
        <v/>
      </c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</row>
    <row r="112" spans="1:72" ht="22.5" customHeight="1" x14ac:dyDescent="0.4">
      <c r="A112" s="399"/>
      <c r="B112" s="376">
        <v>104</v>
      </c>
      <c r="C112" s="310">
        <v>44025</v>
      </c>
      <c r="D112" s="229" t="str">
        <f>IFERROR(VLOOKUP(C112,'बँक जमा खर्च पासबुक'!$C$9:$R$111,2,0),"")</f>
        <v/>
      </c>
      <c r="E112" s="229" t="str">
        <f>IFERROR(VLOOKUP(C112,'बँक जमा खर्च पासबुक'!$C$9:$R$111,3,0),"")</f>
        <v/>
      </c>
      <c r="F112" s="229" t="str">
        <f>IFERROR(VLOOKUP(C112,'बँक जमा खर्च पासबुक'!$C$9:$R$111,4,0),"")</f>
        <v/>
      </c>
      <c r="G112" s="229" t="str">
        <f>IFERROR(VLOOKUP(C112,'बँक जमा खर्च पासबुक'!$C$9:$R$111,5,0),"")</f>
        <v/>
      </c>
      <c r="H112" s="229" t="str">
        <f>IFERROR(VLOOKUP(C112,'बँक जमा खर्च पासबुक'!$C$9:$R$111,6,0),"")</f>
        <v/>
      </c>
      <c r="I112" s="229" t="str">
        <f>IFERROR(VLOOKUP(C112,'बँक जमा खर्च पासबुक'!$C$9:$R$111,7,0),"")</f>
        <v/>
      </c>
      <c r="J112" s="233">
        <f>SUMIF('बँक जमा खर्च पासबुक'!$C$9:$C$111,'बँक खर्च व्हाउचर पावती'!C112,'बँक जमा खर्च पासबुक'!$J$9:$J$111)</f>
        <v>0</v>
      </c>
      <c r="K112" s="233">
        <f>SUMIF('बँक जमा खर्च पासबुक'!$C$9:$C$111,'बँक खर्च व्हाउचर पावती'!C112,'बँक जमा खर्च पासबुक'!$K$9:$K$111)</f>
        <v>0</v>
      </c>
      <c r="L112" s="233">
        <f ca="1">SUMIF('बँक जमा खर्च पासबुक'!$C$9:$C$111,'बँक खर्च व्हाउचर पावती'!C112,'बँक जमा खर्च पासबुक'!$L$9:$L$110)</f>
        <v>0</v>
      </c>
      <c r="M112" s="228">
        <f>SUMIF('बँक जमा खर्च पासबुक'!$C$9:$C$111,'बँक खर्च व्हाउचर पावती'!C112,'बँक जमा खर्च पासबुक'!$M$9:$M$111)</f>
        <v>0</v>
      </c>
      <c r="N112" s="233">
        <f t="shared" ca="1" si="111"/>
        <v>3000</v>
      </c>
      <c r="O112" s="228">
        <f t="shared" si="112"/>
        <v>3000</v>
      </c>
      <c r="P112" s="228">
        <f t="shared" ca="1" si="99"/>
        <v>6000</v>
      </c>
      <c r="Q112" s="399"/>
      <c r="AM112" s="380"/>
      <c r="AN112" s="380"/>
      <c r="AO112" s="380">
        <v>6</v>
      </c>
      <c r="AP112" s="260" t="str">
        <f t="shared" ref="AP112:AP136" si="125">I14</f>
        <v/>
      </c>
      <c r="AQ112" s="260" t="str">
        <f t="shared" si="114"/>
        <v/>
      </c>
      <c r="AR112" s="260" t="str">
        <f t="shared" si="115"/>
        <v/>
      </c>
      <c r="AS112" s="260" t="str">
        <f t="shared" si="116"/>
        <v/>
      </c>
      <c r="AT112" s="260" t="str">
        <f t="shared" si="117"/>
        <v/>
      </c>
      <c r="AU112" s="260" t="str">
        <f t="shared" si="118"/>
        <v/>
      </c>
      <c r="AV112" s="260" t="str">
        <f t="shared" si="119"/>
        <v/>
      </c>
      <c r="AW112" s="260" t="str">
        <f t="shared" si="120"/>
        <v/>
      </c>
      <c r="AX112" s="260" t="str">
        <f t="shared" si="121"/>
        <v/>
      </c>
      <c r="AY112" s="260" t="str">
        <f t="shared" si="122"/>
        <v/>
      </c>
      <c r="AZ112" s="260" t="str">
        <f t="shared" si="123"/>
        <v/>
      </c>
      <c r="BA112" s="260" t="str">
        <f t="shared" si="124"/>
        <v/>
      </c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</row>
    <row r="113" spans="1:72" ht="22.5" customHeight="1" x14ac:dyDescent="0.4">
      <c r="A113" s="399"/>
      <c r="B113" s="376">
        <v>105</v>
      </c>
      <c r="C113" s="310">
        <v>44026</v>
      </c>
      <c r="D113" s="229" t="str">
        <f>IFERROR(VLOOKUP(C113,'बँक जमा खर्च पासबुक'!$C$9:$R$111,2,0),"")</f>
        <v/>
      </c>
      <c r="E113" s="229" t="str">
        <f>IFERROR(VLOOKUP(C113,'बँक जमा खर्च पासबुक'!$C$9:$R$111,3,0),"")</f>
        <v/>
      </c>
      <c r="F113" s="229" t="str">
        <f>IFERROR(VLOOKUP(C113,'बँक जमा खर्च पासबुक'!$C$9:$R$111,4,0),"")</f>
        <v/>
      </c>
      <c r="G113" s="229" t="str">
        <f>IFERROR(VLOOKUP(C113,'बँक जमा खर्च पासबुक'!$C$9:$R$111,5,0),"")</f>
        <v/>
      </c>
      <c r="H113" s="229" t="str">
        <f>IFERROR(VLOOKUP(C113,'बँक जमा खर्च पासबुक'!$C$9:$R$111,6,0),"")</f>
        <v/>
      </c>
      <c r="I113" s="229" t="str">
        <f>IFERROR(VLOOKUP(C113,'बँक जमा खर्च पासबुक'!$C$9:$R$111,7,0),"")</f>
        <v/>
      </c>
      <c r="J113" s="233">
        <f>SUMIF('बँक जमा खर्च पासबुक'!$C$9:$C$111,'बँक खर्च व्हाउचर पावती'!C113,'बँक जमा खर्च पासबुक'!$J$9:$J$111)</f>
        <v>0</v>
      </c>
      <c r="K113" s="233">
        <f>SUMIF('बँक जमा खर्च पासबुक'!$C$9:$C$111,'बँक खर्च व्हाउचर पावती'!C113,'बँक जमा खर्च पासबुक'!$K$9:$K$111)</f>
        <v>0</v>
      </c>
      <c r="L113" s="233">
        <f ca="1">SUMIF('बँक जमा खर्च पासबुक'!$C$9:$C$111,'बँक खर्च व्हाउचर पावती'!C113,'बँक जमा खर्च पासबुक'!$L$9:$L$110)</f>
        <v>0</v>
      </c>
      <c r="M113" s="228">
        <f>SUMIF('बँक जमा खर्च पासबुक'!$C$9:$C$111,'बँक खर्च व्हाउचर पावती'!C113,'बँक जमा खर्च पासबुक'!$M$9:$M$111)</f>
        <v>0</v>
      </c>
      <c r="N113" s="233">
        <f t="shared" ca="1" si="111"/>
        <v>3000</v>
      </c>
      <c r="O113" s="228">
        <f t="shared" si="112"/>
        <v>3000</v>
      </c>
      <c r="P113" s="228">
        <f t="shared" ca="1" si="99"/>
        <v>6000</v>
      </c>
      <c r="Q113" s="399"/>
      <c r="AM113" s="380"/>
      <c r="AN113" s="380"/>
      <c r="AO113" s="380">
        <v>7</v>
      </c>
      <c r="AP113" s="260" t="str">
        <f t="shared" si="125"/>
        <v/>
      </c>
      <c r="AQ113" s="260" t="str">
        <f t="shared" si="114"/>
        <v/>
      </c>
      <c r="AR113" s="260" t="str">
        <f t="shared" si="115"/>
        <v/>
      </c>
      <c r="AS113" s="260" t="str">
        <f t="shared" si="116"/>
        <v/>
      </c>
      <c r="AT113" s="260" t="str">
        <f t="shared" si="117"/>
        <v/>
      </c>
      <c r="AU113" s="260" t="str">
        <f t="shared" si="118"/>
        <v/>
      </c>
      <c r="AV113" s="260" t="str">
        <f t="shared" si="119"/>
        <v/>
      </c>
      <c r="AW113" s="260" t="str">
        <f t="shared" si="120"/>
        <v/>
      </c>
      <c r="AX113" s="260" t="str">
        <f t="shared" si="121"/>
        <v/>
      </c>
      <c r="AY113" s="260" t="str">
        <f t="shared" si="122"/>
        <v/>
      </c>
      <c r="AZ113" s="260" t="str">
        <f t="shared" si="123"/>
        <v/>
      </c>
      <c r="BA113" s="260" t="str">
        <f t="shared" si="124"/>
        <v/>
      </c>
      <c r="BB113" s="380"/>
      <c r="BC113" s="380"/>
      <c r="BD113" s="380"/>
      <c r="BE113" s="380"/>
      <c r="BF113" s="380"/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380"/>
      <c r="BT113" s="380"/>
    </row>
    <row r="114" spans="1:72" ht="22.5" customHeight="1" x14ac:dyDescent="0.4">
      <c r="A114" s="399"/>
      <c r="B114" s="376">
        <v>106</v>
      </c>
      <c r="C114" s="310">
        <v>44027</v>
      </c>
      <c r="D114" s="229" t="str">
        <f>IFERROR(VLOOKUP(C114,'बँक जमा खर्च पासबुक'!$C$9:$R$111,2,0),"")</f>
        <v/>
      </c>
      <c r="E114" s="229" t="str">
        <f>IFERROR(VLOOKUP(C114,'बँक जमा खर्च पासबुक'!$C$9:$R$111,3,0),"")</f>
        <v/>
      </c>
      <c r="F114" s="229" t="str">
        <f>IFERROR(VLOOKUP(C114,'बँक जमा खर्च पासबुक'!$C$9:$R$111,4,0),"")</f>
        <v/>
      </c>
      <c r="G114" s="229" t="str">
        <f>IFERROR(VLOOKUP(C114,'बँक जमा खर्च पासबुक'!$C$9:$R$111,5,0),"")</f>
        <v/>
      </c>
      <c r="H114" s="229" t="str">
        <f>IFERROR(VLOOKUP(C114,'बँक जमा खर्च पासबुक'!$C$9:$R$111,6,0),"")</f>
        <v/>
      </c>
      <c r="I114" s="229" t="str">
        <f>IFERROR(VLOOKUP(C114,'बँक जमा खर्च पासबुक'!$C$9:$R$111,7,0),"")</f>
        <v/>
      </c>
      <c r="J114" s="233">
        <f>SUMIF('बँक जमा खर्च पासबुक'!$C$9:$C$111,'बँक खर्च व्हाउचर पावती'!C114,'बँक जमा खर्च पासबुक'!$J$9:$J$111)</f>
        <v>0</v>
      </c>
      <c r="K114" s="233">
        <f>SUMIF('बँक जमा खर्च पासबुक'!$C$9:$C$111,'बँक खर्च व्हाउचर पावती'!C114,'बँक जमा खर्च पासबुक'!$K$9:$K$111)</f>
        <v>0</v>
      </c>
      <c r="L114" s="233">
        <f ca="1">SUMIF('बँक जमा खर्च पासबुक'!$C$9:$C$111,'बँक खर्च व्हाउचर पावती'!C114,'बँक जमा खर्च पासबुक'!$L$9:$L$110)</f>
        <v>0</v>
      </c>
      <c r="M114" s="228">
        <f>SUMIF('बँक जमा खर्च पासबुक'!$C$9:$C$111,'बँक खर्च व्हाउचर पावती'!C114,'बँक जमा खर्च पासबुक'!$M$9:$M$111)</f>
        <v>0</v>
      </c>
      <c r="N114" s="233">
        <f t="shared" ca="1" si="111"/>
        <v>3000</v>
      </c>
      <c r="O114" s="228">
        <f t="shared" si="112"/>
        <v>3000</v>
      </c>
      <c r="P114" s="228">
        <f t="shared" ca="1" si="99"/>
        <v>6000</v>
      </c>
      <c r="Q114" s="399"/>
      <c r="AM114" s="380"/>
      <c r="AN114" s="380"/>
      <c r="AO114" s="380">
        <v>8</v>
      </c>
      <c r="AP114" s="260" t="str">
        <f t="shared" si="125"/>
        <v/>
      </c>
      <c r="AQ114" s="260" t="str">
        <f t="shared" si="114"/>
        <v/>
      </c>
      <c r="AR114" s="260" t="str">
        <f t="shared" si="115"/>
        <v/>
      </c>
      <c r="AS114" s="260" t="str">
        <f t="shared" si="116"/>
        <v/>
      </c>
      <c r="AT114" s="260" t="str">
        <f t="shared" si="117"/>
        <v/>
      </c>
      <c r="AU114" s="260" t="str">
        <f t="shared" si="118"/>
        <v/>
      </c>
      <c r="AV114" s="260" t="str">
        <f t="shared" si="119"/>
        <v/>
      </c>
      <c r="AW114" s="260" t="str">
        <f t="shared" si="120"/>
        <v/>
      </c>
      <c r="AX114" s="260" t="str">
        <f t="shared" si="121"/>
        <v/>
      </c>
      <c r="AY114" s="260" t="str">
        <f t="shared" si="122"/>
        <v/>
      </c>
      <c r="AZ114" s="260" t="str">
        <f t="shared" si="123"/>
        <v/>
      </c>
      <c r="BA114" s="260" t="str">
        <f t="shared" si="124"/>
        <v/>
      </c>
      <c r="BB114" s="380"/>
      <c r="BC114" s="380"/>
      <c r="BD114" s="380"/>
      <c r="BE114" s="380"/>
      <c r="BF114" s="380"/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380"/>
      <c r="BT114" s="380"/>
    </row>
    <row r="115" spans="1:72" ht="22.5" customHeight="1" x14ac:dyDescent="0.4">
      <c r="A115" s="399"/>
      <c r="B115" s="376">
        <v>107</v>
      </c>
      <c r="C115" s="310">
        <v>44028</v>
      </c>
      <c r="D115" s="229" t="str">
        <f>IFERROR(VLOOKUP(C115,'बँक जमा खर्च पासबुक'!$C$9:$R$111,2,0),"")</f>
        <v/>
      </c>
      <c r="E115" s="229" t="str">
        <f>IFERROR(VLOOKUP(C115,'बँक जमा खर्च पासबुक'!$C$9:$R$111,3,0),"")</f>
        <v/>
      </c>
      <c r="F115" s="229" t="str">
        <f>IFERROR(VLOOKUP(C115,'बँक जमा खर्च पासबुक'!$C$9:$R$111,4,0),"")</f>
        <v/>
      </c>
      <c r="G115" s="229" t="str">
        <f>IFERROR(VLOOKUP(C115,'बँक जमा खर्च पासबुक'!$C$9:$R$111,5,0),"")</f>
        <v/>
      </c>
      <c r="H115" s="229" t="str">
        <f>IFERROR(VLOOKUP(C115,'बँक जमा खर्च पासबुक'!$C$9:$R$111,6,0),"")</f>
        <v/>
      </c>
      <c r="I115" s="229" t="str">
        <f>IFERROR(VLOOKUP(C115,'बँक जमा खर्च पासबुक'!$C$9:$R$111,7,0),"")</f>
        <v/>
      </c>
      <c r="J115" s="233">
        <f>SUMIF('बँक जमा खर्च पासबुक'!$C$9:$C$111,'बँक खर्च व्हाउचर पावती'!C115,'बँक जमा खर्च पासबुक'!$J$9:$J$111)</f>
        <v>0</v>
      </c>
      <c r="K115" s="233">
        <f>SUMIF('बँक जमा खर्च पासबुक'!$C$9:$C$111,'बँक खर्च व्हाउचर पावती'!C115,'बँक जमा खर्च पासबुक'!$K$9:$K$111)</f>
        <v>0</v>
      </c>
      <c r="L115" s="233">
        <f ca="1">SUMIF('बँक जमा खर्च पासबुक'!$C$9:$C$111,'बँक खर्च व्हाउचर पावती'!C115,'बँक जमा खर्च पासबुक'!$L$9:$L$110)</f>
        <v>0</v>
      </c>
      <c r="M115" s="228">
        <f>SUMIF('बँक जमा खर्च पासबुक'!$C$9:$C$111,'बँक खर्च व्हाउचर पावती'!C115,'बँक जमा खर्च पासबुक'!$M$9:$M$111)</f>
        <v>0</v>
      </c>
      <c r="N115" s="233">
        <f t="shared" ca="1" si="111"/>
        <v>3000</v>
      </c>
      <c r="O115" s="228">
        <f t="shared" si="112"/>
        <v>3000</v>
      </c>
      <c r="P115" s="228">
        <f t="shared" ca="1" si="99"/>
        <v>6000</v>
      </c>
      <c r="Q115" s="399"/>
      <c r="AM115" s="380"/>
      <c r="AN115" s="380"/>
      <c r="AO115" s="380">
        <v>9</v>
      </c>
      <c r="AP115" s="260" t="str">
        <f t="shared" si="125"/>
        <v/>
      </c>
      <c r="AQ115" s="260" t="str">
        <f t="shared" si="114"/>
        <v/>
      </c>
      <c r="AR115" s="260" t="str">
        <f t="shared" si="115"/>
        <v/>
      </c>
      <c r="AS115" s="260" t="str">
        <f t="shared" si="116"/>
        <v/>
      </c>
      <c r="AT115" s="260" t="str">
        <f t="shared" si="117"/>
        <v/>
      </c>
      <c r="AU115" s="260" t="str">
        <f t="shared" si="118"/>
        <v/>
      </c>
      <c r="AV115" s="260" t="str">
        <f t="shared" si="119"/>
        <v/>
      </c>
      <c r="AW115" s="260" t="str">
        <f t="shared" si="120"/>
        <v/>
      </c>
      <c r="AX115" s="260" t="str">
        <f t="shared" si="121"/>
        <v/>
      </c>
      <c r="AY115" s="260" t="str">
        <f t="shared" si="122"/>
        <v/>
      </c>
      <c r="AZ115" s="260" t="str">
        <f t="shared" si="123"/>
        <v/>
      </c>
      <c r="BA115" s="260" t="str">
        <f t="shared" si="124"/>
        <v/>
      </c>
      <c r="BB115" s="380"/>
      <c r="BC115" s="380"/>
      <c r="BD115" s="380"/>
      <c r="BE115" s="380"/>
      <c r="BF115" s="380"/>
      <c r="BG115" s="380"/>
      <c r="BH115" s="380"/>
      <c r="BI115" s="380"/>
      <c r="BJ115" s="380"/>
      <c r="BK115" s="380"/>
      <c r="BL115" s="380"/>
      <c r="BM115" s="380"/>
      <c r="BN115" s="380"/>
      <c r="BO115" s="380"/>
      <c r="BP115" s="380"/>
      <c r="BQ115" s="380"/>
      <c r="BR115" s="380"/>
      <c r="BS115" s="380"/>
      <c r="BT115" s="380"/>
    </row>
    <row r="116" spans="1:72" ht="22.5" customHeight="1" x14ac:dyDescent="0.4">
      <c r="A116" s="399"/>
      <c r="B116" s="376">
        <v>108</v>
      </c>
      <c r="C116" s="310">
        <v>44029</v>
      </c>
      <c r="D116" s="229" t="str">
        <f>IFERROR(VLOOKUP(C116,'बँक जमा खर्च पासबुक'!$C$9:$R$111,2,0),"")</f>
        <v/>
      </c>
      <c r="E116" s="229" t="str">
        <f>IFERROR(VLOOKUP(C116,'बँक जमा खर्च पासबुक'!$C$9:$R$111,3,0),"")</f>
        <v/>
      </c>
      <c r="F116" s="229" t="str">
        <f>IFERROR(VLOOKUP(C116,'बँक जमा खर्च पासबुक'!$C$9:$R$111,4,0),"")</f>
        <v/>
      </c>
      <c r="G116" s="229" t="str">
        <f>IFERROR(VLOOKUP(C116,'बँक जमा खर्च पासबुक'!$C$9:$R$111,5,0),"")</f>
        <v/>
      </c>
      <c r="H116" s="229" t="str">
        <f>IFERROR(VLOOKUP(C116,'बँक जमा खर्च पासबुक'!$C$9:$R$111,6,0),"")</f>
        <v/>
      </c>
      <c r="I116" s="229" t="str">
        <f>IFERROR(VLOOKUP(C116,'बँक जमा खर्च पासबुक'!$C$9:$R$111,7,0),"")</f>
        <v/>
      </c>
      <c r="J116" s="233">
        <f>SUMIF('बँक जमा खर्च पासबुक'!$C$9:$C$111,'बँक खर्च व्हाउचर पावती'!C116,'बँक जमा खर्च पासबुक'!$J$9:$J$111)</f>
        <v>0</v>
      </c>
      <c r="K116" s="233">
        <f>SUMIF('बँक जमा खर्च पासबुक'!$C$9:$C$111,'बँक खर्च व्हाउचर पावती'!C116,'बँक जमा खर्च पासबुक'!$K$9:$K$111)</f>
        <v>0</v>
      </c>
      <c r="L116" s="233">
        <f ca="1">SUMIF('बँक जमा खर्च पासबुक'!$C$9:$C$111,'बँक खर्च व्हाउचर पावती'!C116,'बँक जमा खर्च पासबुक'!$L$9:$L$110)</f>
        <v>0</v>
      </c>
      <c r="M116" s="228">
        <f>SUMIF('बँक जमा खर्च पासबुक'!$C$9:$C$111,'बँक खर्च व्हाउचर पावती'!C116,'बँक जमा खर्च पासबुक'!$M$9:$M$111)</f>
        <v>0</v>
      </c>
      <c r="N116" s="233">
        <f t="shared" ca="1" si="111"/>
        <v>3000</v>
      </c>
      <c r="O116" s="228">
        <f t="shared" si="112"/>
        <v>3000</v>
      </c>
      <c r="P116" s="228">
        <f t="shared" ca="1" si="99"/>
        <v>6000</v>
      </c>
      <c r="Q116" s="399"/>
      <c r="AM116" s="380"/>
      <c r="AN116" s="380"/>
      <c r="AO116" s="380">
        <v>10</v>
      </c>
      <c r="AP116" s="260" t="str">
        <f t="shared" si="125"/>
        <v/>
      </c>
      <c r="AQ116" s="260" t="str">
        <f t="shared" si="114"/>
        <v/>
      </c>
      <c r="AR116" s="260" t="str">
        <f t="shared" si="115"/>
        <v/>
      </c>
      <c r="AS116" s="260" t="str">
        <f t="shared" si="116"/>
        <v/>
      </c>
      <c r="AT116" s="260" t="str">
        <f t="shared" si="117"/>
        <v/>
      </c>
      <c r="AU116" s="260" t="str">
        <f t="shared" si="118"/>
        <v/>
      </c>
      <c r="AV116" s="260" t="str">
        <f t="shared" si="119"/>
        <v/>
      </c>
      <c r="AW116" s="260" t="str">
        <f t="shared" si="120"/>
        <v/>
      </c>
      <c r="AX116" s="260" t="str">
        <f t="shared" si="121"/>
        <v/>
      </c>
      <c r="AY116" s="260" t="str">
        <f t="shared" si="122"/>
        <v/>
      </c>
      <c r="AZ116" s="260" t="str">
        <f t="shared" si="123"/>
        <v/>
      </c>
      <c r="BA116" s="260" t="str">
        <f t="shared" si="124"/>
        <v/>
      </c>
      <c r="BB116" s="380"/>
      <c r="BC116" s="380"/>
      <c r="BD116" s="380"/>
      <c r="BE116" s="380"/>
      <c r="BF116" s="380"/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380"/>
      <c r="BT116" s="380"/>
    </row>
    <row r="117" spans="1:72" ht="22.5" customHeight="1" x14ac:dyDescent="0.4">
      <c r="A117" s="399"/>
      <c r="B117" s="376">
        <v>109</v>
      </c>
      <c r="C117" s="310">
        <v>44030</v>
      </c>
      <c r="D117" s="229" t="str">
        <f>IFERROR(VLOOKUP(C117,'बँक जमा खर्च पासबुक'!$C$9:$R$111,2,0),"")</f>
        <v/>
      </c>
      <c r="E117" s="229" t="str">
        <f>IFERROR(VLOOKUP(C117,'बँक जमा खर्च पासबुक'!$C$9:$R$111,3,0),"")</f>
        <v/>
      </c>
      <c r="F117" s="229" t="str">
        <f>IFERROR(VLOOKUP(C117,'बँक जमा खर्च पासबुक'!$C$9:$R$111,4,0),"")</f>
        <v/>
      </c>
      <c r="G117" s="229" t="str">
        <f>IFERROR(VLOOKUP(C117,'बँक जमा खर्च पासबुक'!$C$9:$R$111,5,0),"")</f>
        <v/>
      </c>
      <c r="H117" s="229" t="str">
        <f>IFERROR(VLOOKUP(C117,'बँक जमा खर्च पासबुक'!$C$9:$R$111,6,0),"")</f>
        <v/>
      </c>
      <c r="I117" s="229" t="str">
        <f>IFERROR(VLOOKUP(C117,'बँक जमा खर्च पासबुक'!$C$9:$R$111,7,0),"")</f>
        <v/>
      </c>
      <c r="J117" s="233">
        <f>SUMIF('बँक जमा खर्च पासबुक'!$C$9:$C$111,'बँक खर्च व्हाउचर पावती'!C117,'बँक जमा खर्च पासबुक'!$J$9:$J$111)</f>
        <v>0</v>
      </c>
      <c r="K117" s="233">
        <f>SUMIF('बँक जमा खर्च पासबुक'!$C$9:$C$111,'बँक खर्च व्हाउचर पावती'!C117,'बँक जमा खर्च पासबुक'!$K$9:$K$111)</f>
        <v>0</v>
      </c>
      <c r="L117" s="233">
        <f ca="1">SUMIF('बँक जमा खर्च पासबुक'!$C$9:$C$111,'बँक खर्च व्हाउचर पावती'!C117,'बँक जमा खर्च पासबुक'!$L$9:$L$110)</f>
        <v>0</v>
      </c>
      <c r="M117" s="228">
        <f>SUMIF('बँक जमा खर्च पासबुक'!$C$9:$C$111,'बँक खर्च व्हाउचर पावती'!C117,'बँक जमा खर्च पासबुक'!$M$9:$M$111)</f>
        <v>0</v>
      </c>
      <c r="N117" s="233">
        <f t="shared" ca="1" si="111"/>
        <v>3000</v>
      </c>
      <c r="O117" s="228">
        <f t="shared" si="112"/>
        <v>3000</v>
      </c>
      <c r="P117" s="228">
        <f t="shared" ca="1" si="99"/>
        <v>6000</v>
      </c>
      <c r="Q117" s="399"/>
      <c r="AM117" s="380"/>
      <c r="AN117" s="380"/>
      <c r="AO117" s="380">
        <v>11</v>
      </c>
      <c r="AP117" s="260" t="str">
        <f t="shared" si="125"/>
        <v/>
      </c>
      <c r="AQ117" s="260" t="str">
        <f t="shared" si="114"/>
        <v/>
      </c>
      <c r="AR117" s="260" t="str">
        <f t="shared" si="115"/>
        <v/>
      </c>
      <c r="AS117" s="260" t="str">
        <f t="shared" si="116"/>
        <v/>
      </c>
      <c r="AT117" s="260" t="str">
        <f t="shared" si="117"/>
        <v/>
      </c>
      <c r="AU117" s="260" t="str">
        <f t="shared" si="118"/>
        <v/>
      </c>
      <c r="AV117" s="260" t="str">
        <f t="shared" si="119"/>
        <v/>
      </c>
      <c r="AW117" s="260" t="str">
        <f t="shared" si="120"/>
        <v/>
      </c>
      <c r="AX117" s="260" t="str">
        <f t="shared" si="121"/>
        <v/>
      </c>
      <c r="AY117" s="260" t="str">
        <f t="shared" si="122"/>
        <v/>
      </c>
      <c r="AZ117" s="260" t="str">
        <f t="shared" si="123"/>
        <v/>
      </c>
      <c r="BA117" s="260" t="str">
        <f t="shared" si="124"/>
        <v/>
      </c>
      <c r="BB117" s="380"/>
      <c r="BC117" s="380"/>
      <c r="BD117" s="380"/>
      <c r="BE117" s="380"/>
      <c r="BF117" s="380"/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380"/>
      <c r="BT117" s="380"/>
    </row>
    <row r="118" spans="1:72" ht="22.5" customHeight="1" x14ac:dyDescent="0.4">
      <c r="A118" s="399"/>
      <c r="B118" s="376">
        <v>110</v>
      </c>
      <c r="C118" s="310">
        <v>44031</v>
      </c>
      <c r="D118" s="229" t="str">
        <f>IFERROR(VLOOKUP(C118,'बँक जमा खर्च पासबुक'!$C$9:$R$111,2,0),"")</f>
        <v/>
      </c>
      <c r="E118" s="229" t="str">
        <f>IFERROR(VLOOKUP(C118,'बँक जमा खर्च पासबुक'!$C$9:$R$111,3,0),"")</f>
        <v/>
      </c>
      <c r="F118" s="229" t="str">
        <f>IFERROR(VLOOKUP(C118,'बँक जमा खर्च पासबुक'!$C$9:$R$111,4,0),"")</f>
        <v/>
      </c>
      <c r="G118" s="229" t="str">
        <f>IFERROR(VLOOKUP(C118,'बँक जमा खर्च पासबुक'!$C$9:$R$111,5,0),"")</f>
        <v/>
      </c>
      <c r="H118" s="229" t="str">
        <f>IFERROR(VLOOKUP(C118,'बँक जमा खर्च पासबुक'!$C$9:$R$111,6,0),"")</f>
        <v/>
      </c>
      <c r="I118" s="229" t="str">
        <f>IFERROR(VLOOKUP(C118,'बँक जमा खर्च पासबुक'!$C$9:$R$111,7,0),"")</f>
        <v/>
      </c>
      <c r="J118" s="233">
        <f>SUMIF('बँक जमा खर्च पासबुक'!$C$9:$C$111,'बँक खर्च व्हाउचर पावती'!C118,'बँक जमा खर्च पासबुक'!$J$9:$J$111)</f>
        <v>0</v>
      </c>
      <c r="K118" s="233">
        <f>SUMIF('बँक जमा खर्च पासबुक'!$C$9:$C$111,'बँक खर्च व्हाउचर पावती'!C118,'बँक जमा खर्च पासबुक'!$K$9:$K$111)</f>
        <v>0</v>
      </c>
      <c r="L118" s="233">
        <f ca="1">SUMIF('बँक जमा खर्च पासबुक'!$C$9:$C$111,'बँक खर्च व्हाउचर पावती'!C118,'बँक जमा खर्च पासबुक'!$L$9:$L$110)</f>
        <v>0</v>
      </c>
      <c r="M118" s="228">
        <f>SUMIF('बँक जमा खर्च पासबुक'!$C$9:$C$111,'बँक खर्च व्हाउचर पावती'!C118,'बँक जमा खर्च पासबुक'!$M$9:$M$111)</f>
        <v>0</v>
      </c>
      <c r="N118" s="233">
        <f t="shared" ca="1" si="111"/>
        <v>3000</v>
      </c>
      <c r="O118" s="228">
        <f t="shared" si="112"/>
        <v>3000</v>
      </c>
      <c r="P118" s="228">
        <f t="shared" ca="1" si="99"/>
        <v>6000</v>
      </c>
      <c r="Q118" s="399"/>
      <c r="AM118" s="380"/>
      <c r="AN118" s="380"/>
      <c r="AO118" s="380">
        <v>12</v>
      </c>
      <c r="AP118" s="260" t="str">
        <f t="shared" si="125"/>
        <v/>
      </c>
      <c r="AQ118" s="260" t="str">
        <f t="shared" si="114"/>
        <v/>
      </c>
      <c r="AR118" s="260" t="str">
        <f t="shared" si="115"/>
        <v/>
      </c>
      <c r="AS118" s="260" t="str">
        <f t="shared" si="116"/>
        <v/>
      </c>
      <c r="AT118" s="260" t="str">
        <f t="shared" si="117"/>
        <v/>
      </c>
      <c r="AU118" s="260" t="str">
        <f t="shared" si="118"/>
        <v/>
      </c>
      <c r="AV118" s="260" t="str">
        <f t="shared" si="119"/>
        <v/>
      </c>
      <c r="AW118" s="260" t="str">
        <f t="shared" si="120"/>
        <v/>
      </c>
      <c r="AX118" s="260" t="str">
        <f t="shared" si="121"/>
        <v/>
      </c>
      <c r="AY118" s="260" t="str">
        <f t="shared" si="122"/>
        <v/>
      </c>
      <c r="AZ118" s="260" t="str">
        <f t="shared" si="123"/>
        <v/>
      </c>
      <c r="BA118" s="260" t="str">
        <f t="shared" si="124"/>
        <v/>
      </c>
      <c r="BB118" s="380"/>
      <c r="BC118" s="380"/>
      <c r="BD118" s="380"/>
      <c r="BE118" s="380"/>
      <c r="BF118" s="380"/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380"/>
      <c r="BT118" s="380"/>
    </row>
    <row r="119" spans="1:72" ht="22.5" customHeight="1" x14ac:dyDescent="0.4">
      <c r="A119" s="399"/>
      <c r="B119" s="376">
        <v>111</v>
      </c>
      <c r="C119" s="310">
        <v>44032</v>
      </c>
      <c r="D119" s="229" t="str">
        <f>IFERROR(VLOOKUP(C119,'बँक जमा खर्च पासबुक'!$C$9:$R$111,2,0),"")</f>
        <v/>
      </c>
      <c r="E119" s="229" t="str">
        <f>IFERROR(VLOOKUP(C119,'बँक जमा खर्च पासबुक'!$C$9:$R$111,3,0),"")</f>
        <v/>
      </c>
      <c r="F119" s="229" t="str">
        <f>IFERROR(VLOOKUP(C119,'बँक जमा खर्च पासबुक'!$C$9:$R$111,4,0),"")</f>
        <v/>
      </c>
      <c r="G119" s="229" t="str">
        <f>IFERROR(VLOOKUP(C119,'बँक जमा खर्च पासबुक'!$C$9:$R$111,5,0),"")</f>
        <v/>
      </c>
      <c r="H119" s="229" t="str">
        <f>IFERROR(VLOOKUP(C119,'बँक जमा खर्च पासबुक'!$C$9:$R$111,6,0),"")</f>
        <v/>
      </c>
      <c r="I119" s="229" t="str">
        <f>IFERROR(VLOOKUP(C119,'बँक जमा खर्च पासबुक'!$C$9:$R$111,7,0),"")</f>
        <v/>
      </c>
      <c r="J119" s="233">
        <f>SUMIF('बँक जमा खर्च पासबुक'!$C$9:$C$111,'बँक खर्च व्हाउचर पावती'!C119,'बँक जमा खर्च पासबुक'!$J$9:$J$111)</f>
        <v>0</v>
      </c>
      <c r="K119" s="233">
        <f>SUMIF('बँक जमा खर्च पासबुक'!$C$9:$C$111,'बँक खर्च व्हाउचर पावती'!C119,'बँक जमा खर्च पासबुक'!$K$9:$K$111)</f>
        <v>0</v>
      </c>
      <c r="L119" s="233">
        <f ca="1">SUMIF('बँक जमा खर्च पासबुक'!$C$9:$C$111,'बँक खर्च व्हाउचर पावती'!C119,'बँक जमा खर्च पासबुक'!$L$9:$L$110)</f>
        <v>0</v>
      </c>
      <c r="M119" s="228">
        <f>SUMIF('बँक जमा खर्च पासबुक'!$C$9:$C$111,'बँक खर्च व्हाउचर पावती'!C119,'बँक जमा खर्च पासबुक'!$M$9:$M$111)</f>
        <v>0</v>
      </c>
      <c r="N119" s="233">
        <f t="shared" ca="1" si="111"/>
        <v>3000</v>
      </c>
      <c r="O119" s="228">
        <f t="shared" si="112"/>
        <v>3000</v>
      </c>
      <c r="P119" s="228">
        <f t="shared" ca="1" si="99"/>
        <v>6000</v>
      </c>
      <c r="Q119" s="399"/>
      <c r="AM119" s="380"/>
      <c r="AN119" s="380"/>
      <c r="AO119" s="380">
        <v>13</v>
      </c>
      <c r="AP119" s="260" t="str">
        <f t="shared" si="125"/>
        <v/>
      </c>
      <c r="AQ119" s="260" t="str">
        <f t="shared" si="114"/>
        <v/>
      </c>
      <c r="AR119" s="260" t="str">
        <f t="shared" si="115"/>
        <v/>
      </c>
      <c r="AS119" s="260" t="str">
        <f t="shared" si="116"/>
        <v/>
      </c>
      <c r="AT119" s="260" t="str">
        <f t="shared" si="117"/>
        <v/>
      </c>
      <c r="AU119" s="260" t="str">
        <f t="shared" si="118"/>
        <v/>
      </c>
      <c r="AV119" s="260" t="str">
        <f t="shared" si="119"/>
        <v/>
      </c>
      <c r="AW119" s="260" t="str">
        <f t="shared" si="120"/>
        <v/>
      </c>
      <c r="AX119" s="260" t="str">
        <f t="shared" si="121"/>
        <v/>
      </c>
      <c r="AY119" s="260" t="str">
        <f t="shared" si="122"/>
        <v/>
      </c>
      <c r="AZ119" s="260" t="str">
        <f t="shared" si="123"/>
        <v/>
      </c>
      <c r="BA119" s="260" t="str">
        <f t="shared" si="124"/>
        <v/>
      </c>
      <c r="BB119" s="380"/>
      <c r="BC119" s="380"/>
      <c r="BD119" s="380"/>
      <c r="BE119" s="380"/>
      <c r="BF119" s="380"/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380"/>
      <c r="BT119" s="380"/>
    </row>
    <row r="120" spans="1:72" ht="22.5" customHeight="1" x14ac:dyDescent="0.4">
      <c r="A120" s="399"/>
      <c r="B120" s="376">
        <v>112</v>
      </c>
      <c r="C120" s="310">
        <v>44033</v>
      </c>
      <c r="D120" s="229" t="str">
        <f>IFERROR(VLOOKUP(C120,'बँक जमा खर्च पासबुक'!$C$9:$R$111,2,0),"")</f>
        <v/>
      </c>
      <c r="E120" s="229" t="str">
        <f>IFERROR(VLOOKUP(C120,'बँक जमा खर्च पासबुक'!$C$9:$R$111,3,0),"")</f>
        <v/>
      </c>
      <c r="F120" s="229" t="str">
        <f>IFERROR(VLOOKUP(C120,'बँक जमा खर्च पासबुक'!$C$9:$R$111,4,0),"")</f>
        <v/>
      </c>
      <c r="G120" s="229" t="str">
        <f>IFERROR(VLOOKUP(C120,'बँक जमा खर्च पासबुक'!$C$9:$R$111,5,0),"")</f>
        <v/>
      </c>
      <c r="H120" s="229" t="str">
        <f>IFERROR(VLOOKUP(C120,'बँक जमा खर्च पासबुक'!$C$9:$R$111,6,0),"")</f>
        <v/>
      </c>
      <c r="I120" s="229" t="str">
        <f>IFERROR(VLOOKUP(C120,'बँक जमा खर्च पासबुक'!$C$9:$R$111,7,0),"")</f>
        <v/>
      </c>
      <c r="J120" s="233">
        <f>SUMIF('बँक जमा खर्च पासबुक'!$C$9:$C$111,'बँक खर्च व्हाउचर पावती'!C120,'बँक जमा खर्च पासबुक'!$J$9:$J$111)</f>
        <v>0</v>
      </c>
      <c r="K120" s="233">
        <f>SUMIF('बँक जमा खर्च पासबुक'!$C$9:$C$111,'बँक खर्च व्हाउचर पावती'!C120,'बँक जमा खर्च पासबुक'!$K$9:$K$111)</f>
        <v>0</v>
      </c>
      <c r="L120" s="233">
        <f ca="1">SUMIF('बँक जमा खर्च पासबुक'!$C$9:$C$111,'बँक खर्च व्हाउचर पावती'!C120,'बँक जमा खर्च पासबुक'!$L$9:$L$110)</f>
        <v>0</v>
      </c>
      <c r="M120" s="228">
        <f>SUMIF('बँक जमा खर्च पासबुक'!$C$9:$C$111,'बँक खर्च व्हाउचर पावती'!C120,'बँक जमा खर्च पासबुक'!$M$9:$M$111)</f>
        <v>0</v>
      </c>
      <c r="N120" s="233">
        <f t="shared" ca="1" si="111"/>
        <v>3000</v>
      </c>
      <c r="O120" s="228">
        <f t="shared" si="112"/>
        <v>3000</v>
      </c>
      <c r="P120" s="228">
        <f t="shared" ca="1" si="99"/>
        <v>6000</v>
      </c>
      <c r="Q120" s="399"/>
      <c r="AM120" s="380"/>
      <c r="AN120" s="380"/>
      <c r="AO120" s="380">
        <v>14</v>
      </c>
      <c r="AP120" s="260" t="str">
        <f t="shared" si="125"/>
        <v/>
      </c>
      <c r="AQ120" s="260" t="str">
        <f t="shared" si="114"/>
        <v/>
      </c>
      <c r="AR120" s="260" t="str">
        <f t="shared" si="115"/>
        <v/>
      </c>
      <c r="AS120" s="260" t="str">
        <f t="shared" si="116"/>
        <v/>
      </c>
      <c r="AT120" s="260" t="str">
        <f t="shared" si="117"/>
        <v/>
      </c>
      <c r="AU120" s="260" t="str">
        <f t="shared" si="118"/>
        <v/>
      </c>
      <c r="AV120" s="260" t="str">
        <f t="shared" si="119"/>
        <v/>
      </c>
      <c r="AW120" s="260" t="str">
        <f t="shared" si="120"/>
        <v/>
      </c>
      <c r="AX120" s="260" t="str">
        <f t="shared" si="121"/>
        <v/>
      </c>
      <c r="AY120" s="260" t="str">
        <f t="shared" si="122"/>
        <v/>
      </c>
      <c r="AZ120" s="260" t="str">
        <f t="shared" si="123"/>
        <v/>
      </c>
      <c r="BA120" s="260" t="str">
        <f t="shared" si="124"/>
        <v/>
      </c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</row>
    <row r="121" spans="1:72" ht="22.5" customHeight="1" x14ac:dyDescent="0.4">
      <c r="A121" s="399"/>
      <c r="B121" s="376">
        <v>113</v>
      </c>
      <c r="C121" s="310">
        <v>44034</v>
      </c>
      <c r="D121" s="229" t="str">
        <f>IFERROR(VLOOKUP(C121,'बँक जमा खर्च पासबुक'!$C$9:$R$111,2,0),"")</f>
        <v/>
      </c>
      <c r="E121" s="229" t="str">
        <f>IFERROR(VLOOKUP(C121,'बँक जमा खर्च पासबुक'!$C$9:$R$111,3,0),"")</f>
        <v/>
      </c>
      <c r="F121" s="229" t="str">
        <f>IFERROR(VLOOKUP(C121,'बँक जमा खर्च पासबुक'!$C$9:$R$111,4,0),"")</f>
        <v/>
      </c>
      <c r="G121" s="229" t="str">
        <f>IFERROR(VLOOKUP(C121,'बँक जमा खर्च पासबुक'!$C$9:$R$111,5,0),"")</f>
        <v/>
      </c>
      <c r="H121" s="229" t="str">
        <f>IFERROR(VLOOKUP(C121,'बँक जमा खर्च पासबुक'!$C$9:$R$111,6,0),"")</f>
        <v/>
      </c>
      <c r="I121" s="229" t="str">
        <f>IFERROR(VLOOKUP(C121,'बँक जमा खर्च पासबुक'!$C$9:$R$111,7,0),"")</f>
        <v/>
      </c>
      <c r="J121" s="233">
        <f>SUMIF('बँक जमा खर्च पासबुक'!$C$9:$C$111,'बँक खर्च व्हाउचर पावती'!C121,'बँक जमा खर्च पासबुक'!$J$9:$J$111)</f>
        <v>0</v>
      </c>
      <c r="K121" s="233">
        <f>SUMIF('बँक जमा खर्च पासबुक'!$C$9:$C$111,'बँक खर्च व्हाउचर पावती'!C121,'बँक जमा खर्च पासबुक'!$K$9:$K$111)</f>
        <v>0</v>
      </c>
      <c r="L121" s="233">
        <f ca="1">SUMIF('बँक जमा खर्च पासबुक'!$C$9:$C$111,'बँक खर्च व्हाउचर पावती'!C121,'बँक जमा खर्च पासबुक'!$L$9:$L$110)</f>
        <v>0</v>
      </c>
      <c r="M121" s="228">
        <f>SUMIF('बँक जमा खर्च पासबुक'!$C$9:$C$111,'बँक खर्च व्हाउचर पावती'!C121,'बँक जमा खर्च पासबुक'!$M$9:$M$111)</f>
        <v>0</v>
      </c>
      <c r="N121" s="233">
        <f t="shared" ca="1" si="111"/>
        <v>3000</v>
      </c>
      <c r="O121" s="228">
        <f t="shared" si="112"/>
        <v>3000</v>
      </c>
      <c r="P121" s="228">
        <f t="shared" ca="1" si="99"/>
        <v>6000</v>
      </c>
      <c r="Q121" s="399"/>
      <c r="AM121" s="380"/>
      <c r="AN121" s="380"/>
      <c r="AO121" s="380">
        <v>15</v>
      </c>
      <c r="AP121" s="260" t="str">
        <f t="shared" si="125"/>
        <v/>
      </c>
      <c r="AQ121" s="260" t="str">
        <f t="shared" si="114"/>
        <v/>
      </c>
      <c r="AR121" s="260" t="str">
        <f t="shared" si="115"/>
        <v/>
      </c>
      <c r="AS121" s="260" t="str">
        <f t="shared" si="116"/>
        <v/>
      </c>
      <c r="AT121" s="260" t="str">
        <f t="shared" si="117"/>
        <v/>
      </c>
      <c r="AU121" s="260" t="str">
        <f t="shared" si="118"/>
        <v/>
      </c>
      <c r="AV121" s="260" t="str">
        <f t="shared" si="119"/>
        <v/>
      </c>
      <c r="AW121" s="260" t="str">
        <f t="shared" si="120"/>
        <v/>
      </c>
      <c r="AX121" s="260" t="str">
        <f t="shared" si="121"/>
        <v/>
      </c>
      <c r="AY121" s="260" t="str">
        <f t="shared" si="122"/>
        <v/>
      </c>
      <c r="AZ121" s="260" t="str">
        <f t="shared" si="123"/>
        <v/>
      </c>
      <c r="BA121" s="260" t="str">
        <f t="shared" si="124"/>
        <v/>
      </c>
      <c r="BB121" s="380"/>
      <c r="BC121" s="380"/>
      <c r="BD121" s="380"/>
      <c r="BE121" s="380"/>
      <c r="BF121" s="380"/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380"/>
      <c r="BT121" s="380"/>
    </row>
    <row r="122" spans="1:72" ht="22.5" customHeight="1" x14ac:dyDescent="0.4">
      <c r="A122" s="399"/>
      <c r="B122" s="376">
        <v>114</v>
      </c>
      <c r="C122" s="310">
        <v>44035</v>
      </c>
      <c r="D122" s="229" t="str">
        <f>IFERROR(VLOOKUP(C122,'बँक जमा खर्च पासबुक'!$C$9:$R$111,2,0),"")</f>
        <v/>
      </c>
      <c r="E122" s="229" t="str">
        <f>IFERROR(VLOOKUP(C122,'बँक जमा खर्च पासबुक'!$C$9:$R$111,3,0),"")</f>
        <v/>
      </c>
      <c r="F122" s="229" t="str">
        <f>IFERROR(VLOOKUP(C122,'बँक जमा खर्च पासबुक'!$C$9:$R$111,4,0),"")</f>
        <v/>
      </c>
      <c r="G122" s="229" t="str">
        <f>IFERROR(VLOOKUP(C122,'बँक जमा खर्च पासबुक'!$C$9:$R$111,5,0),"")</f>
        <v/>
      </c>
      <c r="H122" s="229" t="str">
        <f>IFERROR(VLOOKUP(C122,'बँक जमा खर्च पासबुक'!$C$9:$R$111,6,0),"")</f>
        <v/>
      </c>
      <c r="I122" s="229" t="str">
        <f>IFERROR(VLOOKUP(C122,'बँक जमा खर्च पासबुक'!$C$9:$R$111,7,0),"")</f>
        <v/>
      </c>
      <c r="J122" s="233">
        <f>SUMIF('बँक जमा खर्च पासबुक'!$C$9:$C$111,'बँक खर्च व्हाउचर पावती'!C122,'बँक जमा खर्च पासबुक'!$J$9:$J$111)</f>
        <v>0</v>
      </c>
      <c r="K122" s="233">
        <f>SUMIF('बँक जमा खर्च पासबुक'!$C$9:$C$111,'बँक खर्च व्हाउचर पावती'!C122,'बँक जमा खर्च पासबुक'!$K$9:$K$111)</f>
        <v>0</v>
      </c>
      <c r="L122" s="233">
        <f ca="1">SUMIF('बँक जमा खर्च पासबुक'!$C$9:$C$111,'बँक खर्च व्हाउचर पावती'!C122,'बँक जमा खर्च पासबुक'!$L$9:$L$110)</f>
        <v>0</v>
      </c>
      <c r="M122" s="228">
        <f>SUMIF('बँक जमा खर्च पासबुक'!$C$9:$C$111,'बँक खर्च व्हाउचर पावती'!C122,'बँक जमा खर्च पासबुक'!$M$9:$M$111)</f>
        <v>0</v>
      </c>
      <c r="N122" s="233">
        <f t="shared" ca="1" si="111"/>
        <v>3000</v>
      </c>
      <c r="O122" s="228">
        <f t="shared" si="112"/>
        <v>3000</v>
      </c>
      <c r="P122" s="228">
        <f t="shared" ca="1" si="99"/>
        <v>6000</v>
      </c>
      <c r="Q122" s="399"/>
      <c r="AM122" s="380"/>
      <c r="AN122" s="380"/>
      <c r="AO122" s="380">
        <v>16</v>
      </c>
      <c r="AP122" s="260" t="str">
        <f t="shared" si="125"/>
        <v/>
      </c>
      <c r="AQ122" s="260" t="str">
        <f t="shared" si="114"/>
        <v/>
      </c>
      <c r="AR122" s="260" t="str">
        <f t="shared" si="115"/>
        <v/>
      </c>
      <c r="AS122" s="260" t="str">
        <f t="shared" si="116"/>
        <v/>
      </c>
      <c r="AT122" s="260" t="str">
        <f t="shared" si="117"/>
        <v/>
      </c>
      <c r="AU122" s="260" t="str">
        <f t="shared" si="118"/>
        <v/>
      </c>
      <c r="AV122" s="260" t="str">
        <f t="shared" si="119"/>
        <v/>
      </c>
      <c r="AW122" s="260" t="str">
        <f t="shared" si="120"/>
        <v/>
      </c>
      <c r="AX122" s="260" t="str">
        <f t="shared" si="121"/>
        <v/>
      </c>
      <c r="AY122" s="260" t="str">
        <f t="shared" si="122"/>
        <v/>
      </c>
      <c r="AZ122" s="260" t="str">
        <f t="shared" si="123"/>
        <v/>
      </c>
      <c r="BA122" s="260" t="str">
        <f t="shared" si="124"/>
        <v/>
      </c>
      <c r="BB122" s="380"/>
      <c r="BC122" s="380"/>
      <c r="BD122" s="380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380"/>
      <c r="BT122" s="380"/>
    </row>
    <row r="123" spans="1:72" ht="22.5" customHeight="1" x14ac:dyDescent="0.4">
      <c r="A123" s="399"/>
      <c r="B123" s="376">
        <v>115</v>
      </c>
      <c r="C123" s="310">
        <v>44036</v>
      </c>
      <c r="D123" s="229" t="str">
        <f>IFERROR(VLOOKUP(C123,'बँक जमा खर्च पासबुक'!$C$9:$R$111,2,0),"")</f>
        <v/>
      </c>
      <c r="E123" s="229" t="str">
        <f>IFERROR(VLOOKUP(C123,'बँक जमा खर्च पासबुक'!$C$9:$R$111,3,0),"")</f>
        <v/>
      </c>
      <c r="F123" s="229" t="str">
        <f>IFERROR(VLOOKUP(C123,'बँक जमा खर्च पासबुक'!$C$9:$R$111,4,0),"")</f>
        <v/>
      </c>
      <c r="G123" s="229" t="str">
        <f>IFERROR(VLOOKUP(C123,'बँक जमा खर्च पासबुक'!$C$9:$R$111,5,0),"")</f>
        <v/>
      </c>
      <c r="H123" s="229" t="str">
        <f>IFERROR(VLOOKUP(C123,'बँक जमा खर्च पासबुक'!$C$9:$R$111,6,0),"")</f>
        <v/>
      </c>
      <c r="I123" s="229" t="str">
        <f>IFERROR(VLOOKUP(C123,'बँक जमा खर्च पासबुक'!$C$9:$R$111,7,0),"")</f>
        <v/>
      </c>
      <c r="J123" s="233">
        <f>SUMIF('बँक जमा खर्च पासबुक'!$C$9:$C$111,'बँक खर्च व्हाउचर पावती'!C123,'बँक जमा खर्च पासबुक'!$J$9:$J$111)</f>
        <v>0</v>
      </c>
      <c r="K123" s="233">
        <f>SUMIF('बँक जमा खर्च पासबुक'!$C$9:$C$111,'बँक खर्च व्हाउचर पावती'!C123,'बँक जमा खर्च पासबुक'!$K$9:$K$111)</f>
        <v>0</v>
      </c>
      <c r="L123" s="233">
        <f ca="1">SUMIF('बँक जमा खर्च पासबुक'!$C$9:$C$111,'बँक खर्च व्हाउचर पावती'!C123,'बँक जमा खर्च पासबुक'!$L$9:$L$110)</f>
        <v>0</v>
      </c>
      <c r="M123" s="228">
        <f>SUMIF('बँक जमा खर्च पासबुक'!$C$9:$C$111,'बँक खर्च व्हाउचर पावती'!C123,'बँक जमा खर्च पासबुक'!$M$9:$M$111)</f>
        <v>0</v>
      </c>
      <c r="N123" s="233">
        <f t="shared" ca="1" si="111"/>
        <v>3000</v>
      </c>
      <c r="O123" s="228">
        <f t="shared" si="112"/>
        <v>3000</v>
      </c>
      <c r="P123" s="228">
        <f t="shared" ca="1" si="99"/>
        <v>6000</v>
      </c>
      <c r="Q123" s="399"/>
      <c r="AM123" s="380"/>
      <c r="AN123" s="380"/>
      <c r="AO123" s="380">
        <v>17</v>
      </c>
      <c r="AP123" s="260" t="str">
        <f t="shared" si="125"/>
        <v/>
      </c>
      <c r="AQ123" s="260" t="str">
        <f t="shared" si="114"/>
        <v/>
      </c>
      <c r="AR123" s="260" t="str">
        <f t="shared" si="115"/>
        <v/>
      </c>
      <c r="AS123" s="260" t="str">
        <f t="shared" si="116"/>
        <v/>
      </c>
      <c r="AT123" s="260" t="str">
        <f t="shared" si="117"/>
        <v/>
      </c>
      <c r="AU123" s="260" t="str">
        <f t="shared" si="118"/>
        <v/>
      </c>
      <c r="AV123" s="260" t="str">
        <f t="shared" si="119"/>
        <v/>
      </c>
      <c r="AW123" s="260" t="str">
        <f t="shared" si="120"/>
        <v/>
      </c>
      <c r="AX123" s="260" t="str">
        <f t="shared" si="121"/>
        <v/>
      </c>
      <c r="AY123" s="260" t="str">
        <f t="shared" si="122"/>
        <v/>
      </c>
      <c r="AZ123" s="260" t="str">
        <f t="shared" si="123"/>
        <v/>
      </c>
      <c r="BA123" s="260" t="str">
        <f t="shared" si="124"/>
        <v/>
      </c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</row>
    <row r="124" spans="1:72" ht="22.5" customHeight="1" x14ac:dyDescent="0.4">
      <c r="A124" s="399"/>
      <c r="B124" s="376">
        <v>116</v>
      </c>
      <c r="C124" s="310">
        <v>44037</v>
      </c>
      <c r="D124" s="229" t="str">
        <f>IFERROR(VLOOKUP(C124,'बँक जमा खर्च पासबुक'!$C$9:$R$111,2,0),"")</f>
        <v/>
      </c>
      <c r="E124" s="229" t="str">
        <f>IFERROR(VLOOKUP(C124,'बँक जमा खर्च पासबुक'!$C$9:$R$111,3,0),"")</f>
        <v/>
      </c>
      <c r="F124" s="229" t="str">
        <f>IFERROR(VLOOKUP(C124,'बँक जमा खर्च पासबुक'!$C$9:$R$111,4,0),"")</f>
        <v/>
      </c>
      <c r="G124" s="229" t="str">
        <f>IFERROR(VLOOKUP(C124,'बँक जमा खर्च पासबुक'!$C$9:$R$111,5,0),"")</f>
        <v/>
      </c>
      <c r="H124" s="229" t="str">
        <f>IFERROR(VLOOKUP(C124,'बँक जमा खर्च पासबुक'!$C$9:$R$111,6,0),"")</f>
        <v/>
      </c>
      <c r="I124" s="229" t="str">
        <f>IFERROR(VLOOKUP(C124,'बँक जमा खर्च पासबुक'!$C$9:$R$111,7,0),"")</f>
        <v/>
      </c>
      <c r="J124" s="233">
        <f>SUMIF('बँक जमा खर्च पासबुक'!$C$9:$C$111,'बँक खर्च व्हाउचर पावती'!C124,'बँक जमा खर्च पासबुक'!$J$9:$J$111)</f>
        <v>0</v>
      </c>
      <c r="K124" s="233">
        <f>SUMIF('बँक जमा खर्च पासबुक'!$C$9:$C$111,'बँक खर्च व्हाउचर पावती'!C124,'बँक जमा खर्च पासबुक'!$K$9:$K$111)</f>
        <v>0</v>
      </c>
      <c r="L124" s="233">
        <f ca="1">SUMIF('बँक जमा खर्च पासबुक'!$C$9:$C$111,'बँक खर्च व्हाउचर पावती'!C124,'बँक जमा खर्च पासबुक'!$L$9:$L$110)</f>
        <v>0</v>
      </c>
      <c r="M124" s="228">
        <f>SUMIF('बँक जमा खर्च पासबुक'!$C$9:$C$111,'बँक खर्च व्हाउचर पावती'!C124,'बँक जमा खर्च पासबुक'!$M$9:$M$111)</f>
        <v>0</v>
      </c>
      <c r="N124" s="233">
        <f t="shared" ca="1" si="111"/>
        <v>3000</v>
      </c>
      <c r="O124" s="228">
        <f t="shared" si="112"/>
        <v>3000</v>
      </c>
      <c r="P124" s="228">
        <f t="shared" ca="1" si="99"/>
        <v>6000</v>
      </c>
      <c r="Q124" s="399"/>
      <c r="AM124" s="380"/>
      <c r="AN124" s="380"/>
      <c r="AO124" s="380">
        <v>18</v>
      </c>
      <c r="AP124" s="260" t="str">
        <f t="shared" si="125"/>
        <v/>
      </c>
      <c r="AQ124" s="260" t="str">
        <f t="shared" si="114"/>
        <v/>
      </c>
      <c r="AR124" s="260" t="str">
        <f t="shared" si="115"/>
        <v/>
      </c>
      <c r="AS124" s="260" t="str">
        <f t="shared" si="116"/>
        <v/>
      </c>
      <c r="AT124" s="260" t="str">
        <f t="shared" si="117"/>
        <v/>
      </c>
      <c r="AU124" s="260" t="str">
        <f t="shared" si="118"/>
        <v/>
      </c>
      <c r="AV124" s="260" t="str">
        <f t="shared" si="119"/>
        <v/>
      </c>
      <c r="AW124" s="260" t="str">
        <f t="shared" si="120"/>
        <v/>
      </c>
      <c r="AX124" s="260" t="str">
        <f t="shared" si="121"/>
        <v/>
      </c>
      <c r="AY124" s="260" t="str">
        <f t="shared" si="122"/>
        <v/>
      </c>
      <c r="AZ124" s="260" t="str">
        <f t="shared" si="123"/>
        <v/>
      </c>
      <c r="BA124" s="260" t="str">
        <f t="shared" si="124"/>
        <v/>
      </c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</row>
    <row r="125" spans="1:72" ht="22.5" customHeight="1" x14ac:dyDescent="0.4">
      <c r="A125" s="399"/>
      <c r="B125" s="376">
        <v>117</v>
      </c>
      <c r="C125" s="310">
        <v>44038</v>
      </c>
      <c r="D125" s="229" t="str">
        <f>IFERROR(VLOOKUP(C125,'बँक जमा खर्च पासबुक'!$C$9:$R$111,2,0),"")</f>
        <v/>
      </c>
      <c r="E125" s="229" t="str">
        <f>IFERROR(VLOOKUP(C125,'बँक जमा खर्च पासबुक'!$C$9:$R$111,3,0),"")</f>
        <v/>
      </c>
      <c r="F125" s="229" t="str">
        <f>IFERROR(VLOOKUP(C125,'बँक जमा खर्च पासबुक'!$C$9:$R$111,4,0),"")</f>
        <v/>
      </c>
      <c r="G125" s="229" t="str">
        <f>IFERROR(VLOOKUP(C125,'बँक जमा खर्च पासबुक'!$C$9:$R$111,5,0),"")</f>
        <v/>
      </c>
      <c r="H125" s="229" t="str">
        <f>IFERROR(VLOOKUP(C125,'बँक जमा खर्च पासबुक'!$C$9:$R$111,6,0),"")</f>
        <v/>
      </c>
      <c r="I125" s="229" t="str">
        <f>IFERROR(VLOOKUP(C125,'बँक जमा खर्च पासबुक'!$C$9:$R$111,7,0),"")</f>
        <v/>
      </c>
      <c r="J125" s="233">
        <f>SUMIF('बँक जमा खर्च पासबुक'!$C$9:$C$111,'बँक खर्च व्हाउचर पावती'!C125,'बँक जमा खर्च पासबुक'!$J$9:$J$111)</f>
        <v>0</v>
      </c>
      <c r="K125" s="233">
        <f>SUMIF('बँक जमा खर्च पासबुक'!$C$9:$C$111,'बँक खर्च व्हाउचर पावती'!C125,'बँक जमा खर्च पासबुक'!$K$9:$K$111)</f>
        <v>0</v>
      </c>
      <c r="L125" s="233">
        <f ca="1">SUMIF('बँक जमा खर्च पासबुक'!$C$9:$C$111,'बँक खर्च व्हाउचर पावती'!C125,'बँक जमा खर्च पासबुक'!$L$9:$L$110)</f>
        <v>0</v>
      </c>
      <c r="M125" s="228">
        <f>SUMIF('बँक जमा खर्च पासबुक'!$C$9:$C$111,'बँक खर्च व्हाउचर पावती'!C125,'बँक जमा खर्च पासबुक'!$M$9:$M$111)</f>
        <v>0</v>
      </c>
      <c r="N125" s="233">
        <f t="shared" ca="1" si="111"/>
        <v>3000</v>
      </c>
      <c r="O125" s="228">
        <f t="shared" si="112"/>
        <v>3000</v>
      </c>
      <c r="P125" s="228">
        <f t="shared" ca="1" si="99"/>
        <v>6000</v>
      </c>
      <c r="Q125" s="399"/>
      <c r="AM125" s="380"/>
      <c r="AN125" s="380"/>
      <c r="AO125" s="380">
        <v>19</v>
      </c>
      <c r="AP125" s="260" t="str">
        <f t="shared" si="125"/>
        <v/>
      </c>
      <c r="AQ125" s="260" t="str">
        <f t="shared" si="114"/>
        <v/>
      </c>
      <c r="AR125" s="260" t="str">
        <f t="shared" si="115"/>
        <v/>
      </c>
      <c r="AS125" s="260" t="str">
        <f t="shared" si="116"/>
        <v/>
      </c>
      <c r="AT125" s="260" t="str">
        <f t="shared" si="117"/>
        <v/>
      </c>
      <c r="AU125" s="260" t="str">
        <f t="shared" si="118"/>
        <v/>
      </c>
      <c r="AV125" s="260" t="str">
        <f t="shared" si="119"/>
        <v/>
      </c>
      <c r="AW125" s="260" t="str">
        <f t="shared" si="120"/>
        <v/>
      </c>
      <c r="AX125" s="260" t="str">
        <f t="shared" si="121"/>
        <v/>
      </c>
      <c r="AY125" s="260" t="str">
        <f t="shared" si="122"/>
        <v/>
      </c>
      <c r="AZ125" s="260" t="str">
        <f t="shared" si="123"/>
        <v/>
      </c>
      <c r="BA125" s="260" t="str">
        <f t="shared" si="124"/>
        <v/>
      </c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</row>
    <row r="126" spans="1:72" ht="22.5" customHeight="1" x14ac:dyDescent="0.4">
      <c r="A126" s="399"/>
      <c r="B126" s="376">
        <v>118</v>
      </c>
      <c r="C126" s="310">
        <v>44039</v>
      </c>
      <c r="D126" s="229" t="str">
        <f>IFERROR(VLOOKUP(C126,'बँक जमा खर्च पासबुक'!$C$9:$R$111,2,0),"")</f>
        <v/>
      </c>
      <c r="E126" s="229" t="str">
        <f>IFERROR(VLOOKUP(C126,'बँक जमा खर्च पासबुक'!$C$9:$R$111,3,0),"")</f>
        <v/>
      </c>
      <c r="F126" s="229" t="str">
        <f>IFERROR(VLOOKUP(C126,'बँक जमा खर्च पासबुक'!$C$9:$R$111,4,0),"")</f>
        <v/>
      </c>
      <c r="G126" s="229" t="str">
        <f>IFERROR(VLOOKUP(C126,'बँक जमा खर्च पासबुक'!$C$9:$R$111,5,0),"")</f>
        <v/>
      </c>
      <c r="H126" s="229" t="str">
        <f>IFERROR(VLOOKUP(C126,'बँक जमा खर्च पासबुक'!$C$9:$R$111,6,0),"")</f>
        <v/>
      </c>
      <c r="I126" s="229" t="str">
        <f>IFERROR(VLOOKUP(C126,'बँक जमा खर्च पासबुक'!$C$9:$R$111,7,0),"")</f>
        <v/>
      </c>
      <c r="J126" s="233">
        <f>SUMIF('बँक जमा खर्च पासबुक'!$C$9:$C$111,'बँक खर्च व्हाउचर पावती'!C126,'बँक जमा खर्च पासबुक'!$J$9:$J$111)</f>
        <v>0</v>
      </c>
      <c r="K126" s="233">
        <f>SUMIF('बँक जमा खर्च पासबुक'!$C$9:$C$111,'बँक खर्च व्हाउचर पावती'!C126,'बँक जमा खर्च पासबुक'!$K$9:$K$111)</f>
        <v>0</v>
      </c>
      <c r="L126" s="233">
        <f ca="1">SUMIF('बँक जमा खर्च पासबुक'!$C$9:$C$111,'बँक खर्च व्हाउचर पावती'!C126,'बँक जमा खर्च पासबुक'!$L$9:$L$110)</f>
        <v>0</v>
      </c>
      <c r="M126" s="228">
        <f>SUMIF('बँक जमा खर्च पासबुक'!$C$9:$C$111,'बँक खर्च व्हाउचर पावती'!C126,'बँक जमा खर्च पासबुक'!$M$9:$M$111)</f>
        <v>0</v>
      </c>
      <c r="N126" s="233">
        <f t="shared" ca="1" si="111"/>
        <v>3000</v>
      </c>
      <c r="O126" s="228">
        <f t="shared" si="112"/>
        <v>3000</v>
      </c>
      <c r="P126" s="228">
        <f t="shared" ca="1" si="99"/>
        <v>6000</v>
      </c>
      <c r="Q126" s="399"/>
      <c r="AM126" s="380"/>
      <c r="AN126" s="380"/>
      <c r="AO126" s="380">
        <v>20</v>
      </c>
      <c r="AP126" s="260" t="str">
        <f t="shared" si="125"/>
        <v/>
      </c>
      <c r="AQ126" s="260" t="str">
        <f t="shared" si="114"/>
        <v/>
      </c>
      <c r="AR126" s="260" t="str">
        <f t="shared" si="115"/>
        <v/>
      </c>
      <c r="AS126" s="260" t="str">
        <f t="shared" si="116"/>
        <v/>
      </c>
      <c r="AT126" s="260" t="str">
        <f t="shared" si="117"/>
        <v/>
      </c>
      <c r="AU126" s="260" t="str">
        <f t="shared" si="118"/>
        <v/>
      </c>
      <c r="AV126" s="260" t="str">
        <f t="shared" si="119"/>
        <v/>
      </c>
      <c r="AW126" s="260" t="str">
        <f t="shared" si="120"/>
        <v/>
      </c>
      <c r="AX126" s="260" t="str">
        <f t="shared" si="121"/>
        <v/>
      </c>
      <c r="AY126" s="260" t="str">
        <f t="shared" si="122"/>
        <v/>
      </c>
      <c r="AZ126" s="260" t="str">
        <f t="shared" si="123"/>
        <v/>
      </c>
      <c r="BA126" s="260" t="str">
        <f t="shared" si="124"/>
        <v/>
      </c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</row>
    <row r="127" spans="1:72" ht="22.5" customHeight="1" x14ac:dyDescent="0.4">
      <c r="A127" s="399"/>
      <c r="B127" s="376">
        <v>119</v>
      </c>
      <c r="C127" s="310">
        <v>44040</v>
      </c>
      <c r="D127" s="229" t="str">
        <f>IFERROR(VLOOKUP(C127,'बँक जमा खर्च पासबुक'!$C$9:$R$111,2,0),"")</f>
        <v/>
      </c>
      <c r="E127" s="229" t="str">
        <f>IFERROR(VLOOKUP(C127,'बँक जमा खर्च पासबुक'!$C$9:$R$111,3,0),"")</f>
        <v/>
      </c>
      <c r="F127" s="229" t="str">
        <f>IFERROR(VLOOKUP(C127,'बँक जमा खर्च पासबुक'!$C$9:$R$111,4,0),"")</f>
        <v/>
      </c>
      <c r="G127" s="229" t="str">
        <f>IFERROR(VLOOKUP(C127,'बँक जमा खर्च पासबुक'!$C$9:$R$111,5,0),"")</f>
        <v/>
      </c>
      <c r="H127" s="229" t="str">
        <f>IFERROR(VLOOKUP(C127,'बँक जमा खर्च पासबुक'!$C$9:$R$111,6,0),"")</f>
        <v/>
      </c>
      <c r="I127" s="229" t="str">
        <f>IFERROR(VLOOKUP(C127,'बँक जमा खर्च पासबुक'!$C$9:$R$111,7,0),"")</f>
        <v/>
      </c>
      <c r="J127" s="233">
        <f>SUMIF('बँक जमा खर्च पासबुक'!$C$9:$C$111,'बँक खर्च व्हाउचर पावती'!C127,'बँक जमा खर्च पासबुक'!$J$9:$J$111)</f>
        <v>0</v>
      </c>
      <c r="K127" s="233">
        <f>SUMIF('बँक जमा खर्च पासबुक'!$C$9:$C$111,'बँक खर्च व्हाउचर पावती'!C127,'बँक जमा खर्च पासबुक'!$K$9:$K$111)</f>
        <v>0</v>
      </c>
      <c r="L127" s="233">
        <f ca="1">SUMIF('बँक जमा खर्च पासबुक'!$C$9:$C$111,'बँक खर्च व्हाउचर पावती'!C127,'बँक जमा खर्च पासबुक'!$L$9:$L$110)</f>
        <v>0</v>
      </c>
      <c r="M127" s="228">
        <f>SUMIF('बँक जमा खर्च पासबुक'!$C$9:$C$111,'बँक खर्च व्हाउचर पावती'!C127,'बँक जमा खर्च पासबुक'!$M$9:$M$111)</f>
        <v>0</v>
      </c>
      <c r="N127" s="233">
        <f t="shared" ca="1" si="111"/>
        <v>3000</v>
      </c>
      <c r="O127" s="228">
        <f t="shared" si="112"/>
        <v>3000</v>
      </c>
      <c r="P127" s="228">
        <f t="shared" ca="1" si="99"/>
        <v>6000</v>
      </c>
      <c r="Q127" s="399"/>
      <c r="AM127" s="380"/>
      <c r="AN127" s="380"/>
      <c r="AO127" s="380">
        <v>21</v>
      </c>
      <c r="AP127" s="260" t="str">
        <f t="shared" si="125"/>
        <v/>
      </c>
      <c r="AQ127" s="260" t="str">
        <f t="shared" si="114"/>
        <v/>
      </c>
      <c r="AR127" s="260" t="str">
        <f t="shared" si="115"/>
        <v/>
      </c>
      <c r="AS127" s="260" t="str">
        <f t="shared" si="116"/>
        <v/>
      </c>
      <c r="AT127" s="260" t="str">
        <f t="shared" si="117"/>
        <v/>
      </c>
      <c r="AU127" s="260" t="str">
        <f t="shared" si="118"/>
        <v/>
      </c>
      <c r="AV127" s="260" t="str">
        <f t="shared" si="119"/>
        <v/>
      </c>
      <c r="AW127" s="260" t="str">
        <f t="shared" si="120"/>
        <v/>
      </c>
      <c r="AX127" s="260" t="str">
        <f t="shared" si="121"/>
        <v/>
      </c>
      <c r="AY127" s="260" t="str">
        <f t="shared" si="122"/>
        <v/>
      </c>
      <c r="AZ127" s="260" t="str">
        <f t="shared" si="123"/>
        <v/>
      </c>
      <c r="BA127" s="260" t="str">
        <f t="shared" si="124"/>
        <v/>
      </c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380"/>
      <c r="BT127" s="380"/>
    </row>
    <row r="128" spans="1:72" ht="22.5" customHeight="1" x14ac:dyDescent="0.4">
      <c r="A128" s="399"/>
      <c r="B128" s="376">
        <v>120</v>
      </c>
      <c r="C128" s="310">
        <v>44041</v>
      </c>
      <c r="D128" s="229" t="str">
        <f>IFERROR(VLOOKUP(C128,'बँक जमा खर्च पासबुक'!$C$9:$R$111,2,0),"")</f>
        <v/>
      </c>
      <c r="E128" s="229" t="str">
        <f>IFERROR(VLOOKUP(C128,'बँक जमा खर्च पासबुक'!$C$9:$R$111,3,0),"")</f>
        <v/>
      </c>
      <c r="F128" s="229" t="str">
        <f>IFERROR(VLOOKUP(C128,'बँक जमा खर्च पासबुक'!$C$9:$R$111,4,0),"")</f>
        <v/>
      </c>
      <c r="G128" s="229" t="str">
        <f>IFERROR(VLOOKUP(C128,'बँक जमा खर्च पासबुक'!$C$9:$R$111,5,0),"")</f>
        <v/>
      </c>
      <c r="H128" s="229" t="str">
        <f>IFERROR(VLOOKUP(C128,'बँक जमा खर्च पासबुक'!$C$9:$R$111,6,0),"")</f>
        <v/>
      </c>
      <c r="I128" s="229" t="str">
        <f>IFERROR(VLOOKUP(C128,'बँक जमा खर्च पासबुक'!$C$9:$R$111,7,0),"")</f>
        <v/>
      </c>
      <c r="J128" s="233">
        <f>SUMIF('बँक जमा खर्च पासबुक'!$C$9:$C$111,'बँक खर्च व्हाउचर पावती'!C128,'बँक जमा खर्च पासबुक'!$J$9:$J$111)</f>
        <v>0</v>
      </c>
      <c r="K128" s="233">
        <f>SUMIF('बँक जमा खर्च पासबुक'!$C$9:$C$111,'बँक खर्च व्हाउचर पावती'!C128,'बँक जमा खर्च पासबुक'!$K$9:$K$111)</f>
        <v>0</v>
      </c>
      <c r="L128" s="233">
        <f ca="1">SUMIF('बँक जमा खर्च पासबुक'!$C$9:$C$111,'बँक खर्च व्हाउचर पावती'!C128,'बँक जमा खर्च पासबुक'!$L$9:$L$110)</f>
        <v>0</v>
      </c>
      <c r="M128" s="228">
        <f>SUMIF('बँक जमा खर्च पासबुक'!$C$9:$C$111,'बँक खर्च व्हाउचर पावती'!C128,'बँक जमा खर्च पासबुक'!$M$9:$M$111)</f>
        <v>0</v>
      </c>
      <c r="N128" s="233">
        <f t="shared" ca="1" si="111"/>
        <v>3000</v>
      </c>
      <c r="O128" s="228">
        <f t="shared" si="112"/>
        <v>3000</v>
      </c>
      <c r="P128" s="228">
        <f t="shared" ca="1" si="99"/>
        <v>6000</v>
      </c>
      <c r="Q128" s="399"/>
      <c r="AM128" s="380"/>
      <c r="AN128" s="380"/>
      <c r="AO128" s="380">
        <v>22</v>
      </c>
      <c r="AP128" s="260" t="str">
        <f t="shared" si="125"/>
        <v/>
      </c>
      <c r="AQ128" s="260" t="str">
        <f t="shared" si="114"/>
        <v/>
      </c>
      <c r="AR128" s="260" t="str">
        <f t="shared" si="115"/>
        <v/>
      </c>
      <c r="AS128" s="260" t="str">
        <f t="shared" si="116"/>
        <v/>
      </c>
      <c r="AT128" s="260" t="str">
        <f t="shared" si="117"/>
        <v/>
      </c>
      <c r="AU128" s="260" t="str">
        <f t="shared" si="118"/>
        <v/>
      </c>
      <c r="AV128" s="260" t="str">
        <f t="shared" si="119"/>
        <v/>
      </c>
      <c r="AW128" s="260" t="str">
        <f t="shared" si="120"/>
        <v/>
      </c>
      <c r="AX128" s="260" t="str">
        <f t="shared" si="121"/>
        <v/>
      </c>
      <c r="AY128" s="260" t="str">
        <f t="shared" si="122"/>
        <v/>
      </c>
      <c r="AZ128" s="260" t="str">
        <f t="shared" si="123"/>
        <v/>
      </c>
      <c r="BA128" s="260" t="str">
        <f t="shared" si="124"/>
        <v/>
      </c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380"/>
      <c r="BT128" s="380"/>
    </row>
    <row r="129" spans="1:72" ht="22.5" customHeight="1" x14ac:dyDescent="0.4">
      <c r="A129" s="399"/>
      <c r="B129" s="376">
        <v>121</v>
      </c>
      <c r="C129" s="310">
        <v>44042</v>
      </c>
      <c r="D129" s="229" t="str">
        <f>IFERROR(VLOOKUP(C129,'बँक जमा खर्च पासबुक'!$C$9:$R$111,2,0),"")</f>
        <v/>
      </c>
      <c r="E129" s="229" t="str">
        <f>IFERROR(VLOOKUP(C129,'बँक जमा खर्च पासबुक'!$C$9:$R$111,3,0),"")</f>
        <v/>
      </c>
      <c r="F129" s="229" t="str">
        <f>IFERROR(VLOOKUP(C129,'बँक जमा खर्च पासबुक'!$C$9:$R$111,4,0),"")</f>
        <v/>
      </c>
      <c r="G129" s="229" t="str">
        <f>IFERROR(VLOOKUP(C129,'बँक जमा खर्च पासबुक'!$C$9:$R$111,5,0),"")</f>
        <v/>
      </c>
      <c r="H129" s="229" t="str">
        <f>IFERROR(VLOOKUP(C129,'बँक जमा खर्च पासबुक'!$C$9:$R$111,6,0),"")</f>
        <v/>
      </c>
      <c r="I129" s="229" t="str">
        <f>IFERROR(VLOOKUP(C129,'बँक जमा खर्च पासबुक'!$C$9:$R$111,7,0),"")</f>
        <v/>
      </c>
      <c r="J129" s="233">
        <f>SUMIF('बँक जमा खर्च पासबुक'!$C$9:$C$111,'बँक खर्च व्हाउचर पावती'!C129,'बँक जमा खर्च पासबुक'!$J$9:$J$111)</f>
        <v>0</v>
      </c>
      <c r="K129" s="233">
        <f>SUMIF('बँक जमा खर्च पासबुक'!$C$9:$C$111,'बँक खर्च व्हाउचर पावती'!C129,'बँक जमा खर्च पासबुक'!$K$9:$K$111)</f>
        <v>0</v>
      </c>
      <c r="L129" s="233">
        <f ca="1">SUMIF('बँक जमा खर्च पासबुक'!$C$9:$C$111,'बँक खर्च व्हाउचर पावती'!C129,'बँक जमा खर्च पासबुक'!$L$9:$L$110)</f>
        <v>0</v>
      </c>
      <c r="M129" s="228">
        <f>SUMIF('बँक जमा खर्च पासबुक'!$C$9:$C$111,'बँक खर्च व्हाउचर पावती'!C129,'बँक जमा खर्च पासबुक'!$M$9:$M$111)</f>
        <v>0</v>
      </c>
      <c r="N129" s="233">
        <f t="shared" ca="1" si="111"/>
        <v>3000</v>
      </c>
      <c r="O129" s="228">
        <f t="shared" si="112"/>
        <v>3000</v>
      </c>
      <c r="P129" s="228">
        <f t="shared" ca="1" si="99"/>
        <v>6000</v>
      </c>
      <c r="Q129" s="399"/>
      <c r="AM129" s="380"/>
      <c r="AN129" s="380"/>
      <c r="AO129" s="380">
        <v>23</v>
      </c>
      <c r="AP129" s="260" t="str">
        <f t="shared" si="125"/>
        <v/>
      </c>
      <c r="AQ129" s="260" t="str">
        <f t="shared" si="114"/>
        <v/>
      </c>
      <c r="AR129" s="260" t="str">
        <f t="shared" si="115"/>
        <v/>
      </c>
      <c r="AS129" s="260" t="str">
        <f t="shared" si="116"/>
        <v/>
      </c>
      <c r="AT129" s="260" t="str">
        <f t="shared" si="117"/>
        <v/>
      </c>
      <c r="AU129" s="260" t="str">
        <f t="shared" si="118"/>
        <v/>
      </c>
      <c r="AV129" s="260" t="str">
        <f t="shared" si="119"/>
        <v/>
      </c>
      <c r="AW129" s="260" t="str">
        <f t="shared" si="120"/>
        <v/>
      </c>
      <c r="AX129" s="260" t="str">
        <f t="shared" si="121"/>
        <v/>
      </c>
      <c r="AY129" s="260" t="str">
        <f t="shared" si="122"/>
        <v/>
      </c>
      <c r="AZ129" s="260" t="str">
        <f t="shared" si="123"/>
        <v/>
      </c>
      <c r="BA129" s="260" t="str">
        <f t="shared" si="124"/>
        <v/>
      </c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380"/>
      <c r="BT129" s="380"/>
    </row>
    <row r="130" spans="1:72" ht="22.5" customHeight="1" x14ac:dyDescent="0.4">
      <c r="A130" s="399"/>
      <c r="B130" s="376">
        <v>122</v>
      </c>
      <c r="C130" s="310">
        <v>44043</v>
      </c>
      <c r="D130" s="229" t="str">
        <f>IFERROR(VLOOKUP(C130,'बँक जमा खर्च पासबुक'!$C$9:$R$111,2,0),"")</f>
        <v/>
      </c>
      <c r="E130" s="229" t="str">
        <f>IFERROR(VLOOKUP(C130,'बँक जमा खर्च पासबुक'!$C$9:$R$111,3,0),"")</f>
        <v/>
      </c>
      <c r="F130" s="229" t="str">
        <f>IFERROR(VLOOKUP(C130,'बँक जमा खर्च पासबुक'!$C$9:$R$111,4,0),"")</f>
        <v/>
      </c>
      <c r="G130" s="229" t="str">
        <f>IFERROR(VLOOKUP(C130,'बँक जमा खर्च पासबुक'!$C$9:$R$111,5,0),"")</f>
        <v/>
      </c>
      <c r="H130" s="229" t="str">
        <f>IFERROR(VLOOKUP(C130,'बँक जमा खर्च पासबुक'!$C$9:$R$111,6,0),"")</f>
        <v/>
      </c>
      <c r="I130" s="229" t="str">
        <f>IFERROR(VLOOKUP(C130,'बँक जमा खर्च पासबुक'!$C$9:$R$111,7,0),"")</f>
        <v/>
      </c>
      <c r="J130" s="233">
        <f>SUMIF('बँक जमा खर्च पासबुक'!$C$9:$C$111,'बँक खर्च व्हाउचर पावती'!C130,'बँक जमा खर्च पासबुक'!$J$9:$J$111)</f>
        <v>0</v>
      </c>
      <c r="K130" s="233">
        <f>SUMIF('बँक जमा खर्च पासबुक'!$C$9:$C$111,'बँक खर्च व्हाउचर पावती'!C130,'बँक जमा खर्च पासबुक'!$K$9:$K$111)</f>
        <v>0</v>
      </c>
      <c r="L130" s="233">
        <f ca="1">SUMIF('बँक जमा खर्च पासबुक'!$C$9:$C$111,'बँक खर्च व्हाउचर पावती'!C130,'बँक जमा खर्च पासबुक'!$L$9:$L$110)</f>
        <v>0</v>
      </c>
      <c r="M130" s="228">
        <f>SUMIF('बँक जमा खर्च पासबुक'!$C$9:$C$111,'बँक खर्च व्हाउचर पावती'!C130,'बँक जमा खर्च पासबुक'!$M$9:$M$111)</f>
        <v>0</v>
      </c>
      <c r="N130" s="233">
        <f t="shared" ca="1" si="111"/>
        <v>3000</v>
      </c>
      <c r="O130" s="228">
        <f t="shared" si="112"/>
        <v>3000</v>
      </c>
      <c r="P130" s="228">
        <f t="shared" ca="1" si="99"/>
        <v>6000</v>
      </c>
      <c r="Q130" s="399"/>
      <c r="AM130" s="380"/>
      <c r="AN130" s="380"/>
      <c r="AO130" s="380">
        <v>24</v>
      </c>
      <c r="AP130" s="260" t="str">
        <f t="shared" si="125"/>
        <v/>
      </c>
      <c r="AQ130" s="260" t="str">
        <f t="shared" si="114"/>
        <v/>
      </c>
      <c r="AR130" s="260" t="str">
        <f t="shared" si="115"/>
        <v/>
      </c>
      <c r="AS130" s="260" t="str">
        <f t="shared" si="116"/>
        <v/>
      </c>
      <c r="AT130" s="260" t="str">
        <f t="shared" si="117"/>
        <v/>
      </c>
      <c r="AU130" s="260" t="str">
        <f t="shared" si="118"/>
        <v/>
      </c>
      <c r="AV130" s="260" t="str">
        <f t="shared" si="119"/>
        <v/>
      </c>
      <c r="AW130" s="260" t="str">
        <f t="shared" si="120"/>
        <v/>
      </c>
      <c r="AX130" s="260" t="str">
        <f t="shared" si="121"/>
        <v/>
      </c>
      <c r="AY130" s="260" t="str">
        <f t="shared" si="122"/>
        <v/>
      </c>
      <c r="AZ130" s="260" t="str">
        <f t="shared" si="123"/>
        <v/>
      </c>
      <c r="BA130" s="260" t="str">
        <f t="shared" si="124"/>
        <v/>
      </c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380"/>
      <c r="BT130" s="380"/>
    </row>
    <row r="131" spans="1:72" ht="22.5" customHeight="1" x14ac:dyDescent="0.4">
      <c r="A131" s="399" t="s">
        <v>34</v>
      </c>
      <c r="B131" s="376">
        <v>123</v>
      </c>
      <c r="C131" s="310">
        <v>44044</v>
      </c>
      <c r="D131" s="229" t="str">
        <f>IFERROR(VLOOKUP(C131,'बँक जमा खर्च पासबुक'!$C$9:$R$111,2,0),"")</f>
        <v/>
      </c>
      <c r="E131" s="229" t="str">
        <f>IFERROR(VLOOKUP(C131,'बँक जमा खर्च पासबुक'!$C$9:$R$111,3,0),"")</f>
        <v/>
      </c>
      <c r="F131" s="229" t="str">
        <f>IFERROR(VLOOKUP(C131,'बँक जमा खर्च पासबुक'!$C$9:$R$111,4,0),"")</f>
        <v/>
      </c>
      <c r="G131" s="229" t="str">
        <f>IFERROR(VLOOKUP(C131,'बँक जमा खर्च पासबुक'!$C$9:$R$111,5,0),"")</f>
        <v/>
      </c>
      <c r="H131" s="229" t="str">
        <f>IFERROR(VLOOKUP(C131,'बँक जमा खर्च पासबुक'!$C$9:$R$111,6,0),"")</f>
        <v/>
      </c>
      <c r="I131" s="229" t="str">
        <f>IFERROR(VLOOKUP(C131,'बँक जमा खर्च पासबुक'!$C$9:$R$111,7,0),"")</f>
        <v/>
      </c>
      <c r="J131" s="233">
        <f>SUMIF('बँक जमा खर्च पासबुक'!$C$9:$C$111,'बँक खर्च व्हाउचर पावती'!C131,'बँक जमा खर्च पासबुक'!$J$9:$J$111)</f>
        <v>0</v>
      </c>
      <c r="K131" s="233">
        <f>SUMIF('बँक जमा खर्च पासबुक'!$C$9:$C$111,'बँक खर्च व्हाउचर पावती'!C131,'बँक जमा खर्च पासबुक'!$K$9:$K$111)</f>
        <v>0</v>
      </c>
      <c r="L131" s="233">
        <f ca="1">SUMIF('बँक जमा खर्च पासबुक'!$C$9:$C$111,'बँक खर्च व्हाउचर पावती'!C131,'बँक जमा खर्च पासबुक'!$L$9:$L$110)</f>
        <v>0</v>
      </c>
      <c r="M131" s="228">
        <f>SUMIF('बँक जमा खर्च पासबुक'!$C$9:$C$111,'बँक खर्च व्हाउचर पावती'!C131,'बँक जमा खर्च पासबुक'!$M$9:$M$111)</f>
        <v>0</v>
      </c>
      <c r="N131" s="233">
        <f t="shared" ca="1" si="111"/>
        <v>3000</v>
      </c>
      <c r="O131" s="228">
        <f t="shared" si="112"/>
        <v>3000</v>
      </c>
      <c r="P131" s="228">
        <f t="shared" ca="1" si="99"/>
        <v>6000</v>
      </c>
      <c r="Q131" s="399"/>
      <c r="AM131" s="380"/>
      <c r="AN131" s="380"/>
      <c r="AO131" s="380">
        <v>25</v>
      </c>
      <c r="AP131" s="260" t="str">
        <f t="shared" si="125"/>
        <v/>
      </c>
      <c r="AQ131" s="260" t="str">
        <f t="shared" si="114"/>
        <v/>
      </c>
      <c r="AR131" s="260" t="str">
        <f t="shared" si="115"/>
        <v/>
      </c>
      <c r="AS131" s="260" t="str">
        <f t="shared" si="116"/>
        <v/>
      </c>
      <c r="AT131" s="260" t="str">
        <f t="shared" si="117"/>
        <v/>
      </c>
      <c r="AU131" s="260" t="str">
        <f t="shared" si="118"/>
        <v/>
      </c>
      <c r="AV131" s="260" t="str">
        <f t="shared" si="119"/>
        <v/>
      </c>
      <c r="AW131" s="260" t="str">
        <f t="shared" si="120"/>
        <v/>
      </c>
      <c r="AX131" s="260" t="str">
        <f t="shared" si="121"/>
        <v/>
      </c>
      <c r="AY131" s="260" t="str">
        <f t="shared" si="122"/>
        <v/>
      </c>
      <c r="AZ131" s="260" t="str">
        <f t="shared" si="123"/>
        <v/>
      </c>
      <c r="BA131" s="260" t="str">
        <f t="shared" si="124"/>
        <v/>
      </c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380"/>
      <c r="BT131" s="380"/>
    </row>
    <row r="132" spans="1:72" ht="22.5" customHeight="1" x14ac:dyDescent="0.4">
      <c r="A132" s="399"/>
      <c r="B132" s="376">
        <v>124</v>
      </c>
      <c r="C132" s="310">
        <v>44045</v>
      </c>
      <c r="D132" s="229" t="str">
        <f>IFERROR(VLOOKUP(C132,'बँक जमा खर्च पासबुक'!$C$9:$R$111,2,0),"")</f>
        <v/>
      </c>
      <c r="E132" s="229" t="str">
        <f>IFERROR(VLOOKUP(C132,'बँक जमा खर्च पासबुक'!$C$9:$R$111,3,0),"")</f>
        <v/>
      </c>
      <c r="F132" s="229" t="str">
        <f>IFERROR(VLOOKUP(C132,'बँक जमा खर्च पासबुक'!$C$9:$R$111,4,0),"")</f>
        <v/>
      </c>
      <c r="G132" s="229" t="str">
        <f>IFERROR(VLOOKUP(C132,'बँक जमा खर्च पासबुक'!$C$9:$R$111,5,0),"")</f>
        <v/>
      </c>
      <c r="H132" s="229" t="str">
        <f>IFERROR(VLOOKUP(C132,'बँक जमा खर्च पासबुक'!$C$9:$R$111,6,0),"")</f>
        <v/>
      </c>
      <c r="I132" s="229" t="str">
        <f>IFERROR(VLOOKUP(C132,'बँक जमा खर्च पासबुक'!$C$9:$R$111,7,0),"")</f>
        <v/>
      </c>
      <c r="J132" s="233">
        <f>SUMIF('बँक जमा खर्च पासबुक'!$C$9:$C$111,'बँक खर्च व्हाउचर पावती'!C132,'बँक जमा खर्च पासबुक'!$J$9:$J$111)</f>
        <v>0</v>
      </c>
      <c r="K132" s="233">
        <f>SUMIF('बँक जमा खर्च पासबुक'!$C$9:$C$111,'बँक खर्च व्हाउचर पावती'!C132,'बँक जमा खर्च पासबुक'!$K$9:$K$111)</f>
        <v>0</v>
      </c>
      <c r="L132" s="233">
        <f ca="1">SUMIF('बँक जमा खर्च पासबुक'!$C$9:$C$111,'बँक खर्च व्हाउचर पावती'!C132,'बँक जमा खर्च पासबुक'!$L$9:$L$110)</f>
        <v>0</v>
      </c>
      <c r="M132" s="228">
        <f>SUMIF('बँक जमा खर्च पासबुक'!$C$9:$C$111,'बँक खर्च व्हाउचर पावती'!C132,'बँक जमा खर्च पासबुक'!$M$9:$M$111)</f>
        <v>0</v>
      </c>
      <c r="N132" s="233">
        <f t="shared" ca="1" si="111"/>
        <v>3000</v>
      </c>
      <c r="O132" s="228">
        <f t="shared" si="112"/>
        <v>3000</v>
      </c>
      <c r="P132" s="228">
        <f t="shared" ca="1" si="99"/>
        <v>6000</v>
      </c>
      <c r="Q132" s="399"/>
      <c r="AM132" s="380"/>
      <c r="AN132" s="380"/>
      <c r="AO132" s="380">
        <v>26</v>
      </c>
      <c r="AP132" s="260" t="str">
        <f t="shared" si="125"/>
        <v/>
      </c>
      <c r="AQ132" s="260" t="str">
        <f t="shared" si="114"/>
        <v/>
      </c>
      <c r="AR132" s="260" t="str">
        <f t="shared" si="115"/>
        <v/>
      </c>
      <c r="AS132" s="260" t="str">
        <f t="shared" si="116"/>
        <v/>
      </c>
      <c r="AT132" s="260" t="str">
        <f t="shared" si="117"/>
        <v/>
      </c>
      <c r="AU132" s="260" t="str">
        <f t="shared" si="118"/>
        <v/>
      </c>
      <c r="AV132" s="260" t="str">
        <f t="shared" si="119"/>
        <v/>
      </c>
      <c r="AW132" s="260" t="str">
        <f t="shared" si="120"/>
        <v/>
      </c>
      <c r="AX132" s="260" t="str">
        <f t="shared" si="121"/>
        <v/>
      </c>
      <c r="AY132" s="260" t="str">
        <f t="shared" si="122"/>
        <v/>
      </c>
      <c r="AZ132" s="260" t="str">
        <f t="shared" si="123"/>
        <v/>
      </c>
      <c r="BA132" s="260" t="str">
        <f t="shared" si="124"/>
        <v/>
      </c>
      <c r="BB132" s="380"/>
      <c r="BC132" s="380"/>
      <c r="BD132" s="380"/>
      <c r="BE132" s="380"/>
      <c r="BF132" s="380"/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380"/>
      <c r="BT132" s="380"/>
    </row>
    <row r="133" spans="1:72" ht="22.5" customHeight="1" x14ac:dyDescent="0.4">
      <c r="A133" s="399"/>
      <c r="B133" s="376">
        <v>125</v>
      </c>
      <c r="C133" s="310">
        <v>44046</v>
      </c>
      <c r="D133" s="229" t="str">
        <f>IFERROR(VLOOKUP(C133,'बँक जमा खर्च पासबुक'!$C$9:$R$111,2,0),"")</f>
        <v/>
      </c>
      <c r="E133" s="229" t="str">
        <f>IFERROR(VLOOKUP(C133,'बँक जमा खर्च पासबुक'!$C$9:$R$111,3,0),"")</f>
        <v/>
      </c>
      <c r="F133" s="229" t="str">
        <f>IFERROR(VLOOKUP(C133,'बँक जमा खर्च पासबुक'!$C$9:$R$111,4,0),"")</f>
        <v/>
      </c>
      <c r="G133" s="229" t="str">
        <f>IFERROR(VLOOKUP(C133,'बँक जमा खर्च पासबुक'!$C$9:$R$111,5,0),"")</f>
        <v/>
      </c>
      <c r="H133" s="229" t="str">
        <f>IFERROR(VLOOKUP(C133,'बँक जमा खर्च पासबुक'!$C$9:$R$111,6,0),"")</f>
        <v/>
      </c>
      <c r="I133" s="229" t="str">
        <f>IFERROR(VLOOKUP(C133,'बँक जमा खर्च पासबुक'!$C$9:$R$111,7,0),"")</f>
        <v/>
      </c>
      <c r="J133" s="233">
        <f>SUMIF('बँक जमा खर्च पासबुक'!$C$9:$C$111,'बँक खर्च व्हाउचर पावती'!C133,'बँक जमा खर्च पासबुक'!$J$9:$J$111)</f>
        <v>0</v>
      </c>
      <c r="K133" s="233">
        <f>SUMIF('बँक जमा खर्च पासबुक'!$C$9:$C$111,'बँक खर्च व्हाउचर पावती'!C133,'बँक जमा खर्च पासबुक'!$K$9:$K$111)</f>
        <v>0</v>
      </c>
      <c r="L133" s="233">
        <f ca="1">SUMIF('बँक जमा खर्च पासबुक'!$C$9:$C$111,'बँक खर्च व्हाउचर पावती'!C133,'बँक जमा खर्च पासबुक'!$L$9:$L$110)</f>
        <v>0</v>
      </c>
      <c r="M133" s="228">
        <f>SUMIF('बँक जमा खर्च पासबुक'!$C$9:$C$111,'बँक खर्च व्हाउचर पावती'!C133,'बँक जमा खर्च पासबुक'!$M$9:$M$111)</f>
        <v>0</v>
      </c>
      <c r="N133" s="233">
        <f t="shared" ca="1" si="111"/>
        <v>3000</v>
      </c>
      <c r="O133" s="228">
        <f t="shared" si="112"/>
        <v>3000</v>
      </c>
      <c r="P133" s="228">
        <f t="shared" ca="1" si="99"/>
        <v>6000</v>
      </c>
      <c r="Q133" s="399"/>
      <c r="AM133" s="380"/>
      <c r="AN133" s="380"/>
      <c r="AO133" s="380">
        <v>27</v>
      </c>
      <c r="AP133" s="260" t="str">
        <f t="shared" si="125"/>
        <v/>
      </c>
      <c r="AQ133" s="260" t="str">
        <f t="shared" si="114"/>
        <v/>
      </c>
      <c r="AR133" s="260" t="str">
        <f t="shared" si="115"/>
        <v/>
      </c>
      <c r="AS133" s="260" t="str">
        <f t="shared" si="116"/>
        <v/>
      </c>
      <c r="AT133" s="260" t="str">
        <f t="shared" si="117"/>
        <v/>
      </c>
      <c r="AU133" s="260" t="str">
        <f t="shared" si="118"/>
        <v/>
      </c>
      <c r="AV133" s="260" t="str">
        <f t="shared" si="119"/>
        <v/>
      </c>
      <c r="AW133" s="260" t="str">
        <f t="shared" si="120"/>
        <v/>
      </c>
      <c r="AX133" s="260" t="str">
        <f t="shared" si="121"/>
        <v/>
      </c>
      <c r="AY133" s="260" t="str">
        <f t="shared" si="122"/>
        <v/>
      </c>
      <c r="AZ133" s="260" t="str">
        <f t="shared" si="123"/>
        <v/>
      </c>
      <c r="BA133" s="260" t="str">
        <f t="shared" si="124"/>
        <v/>
      </c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</row>
    <row r="134" spans="1:72" ht="22.5" customHeight="1" x14ac:dyDescent="0.4">
      <c r="A134" s="399"/>
      <c r="B134" s="376">
        <v>126</v>
      </c>
      <c r="C134" s="310">
        <v>44047</v>
      </c>
      <c r="D134" s="229" t="str">
        <f>IFERROR(VLOOKUP(C134,'बँक जमा खर्च पासबुक'!$C$9:$R$111,2,0),"")</f>
        <v/>
      </c>
      <c r="E134" s="229" t="str">
        <f>IFERROR(VLOOKUP(C134,'बँक जमा खर्च पासबुक'!$C$9:$R$111,3,0),"")</f>
        <v/>
      </c>
      <c r="F134" s="229" t="str">
        <f>IFERROR(VLOOKUP(C134,'बँक जमा खर्च पासबुक'!$C$9:$R$111,4,0),"")</f>
        <v/>
      </c>
      <c r="G134" s="229" t="str">
        <f>IFERROR(VLOOKUP(C134,'बँक जमा खर्च पासबुक'!$C$9:$R$111,5,0),"")</f>
        <v/>
      </c>
      <c r="H134" s="229" t="str">
        <f>IFERROR(VLOOKUP(C134,'बँक जमा खर्च पासबुक'!$C$9:$R$111,6,0),"")</f>
        <v/>
      </c>
      <c r="I134" s="229" t="str">
        <f>IFERROR(VLOOKUP(C134,'बँक जमा खर्च पासबुक'!$C$9:$R$111,7,0),"")</f>
        <v/>
      </c>
      <c r="J134" s="233">
        <f>SUMIF('बँक जमा खर्च पासबुक'!$C$9:$C$111,'बँक खर्च व्हाउचर पावती'!C134,'बँक जमा खर्च पासबुक'!$J$9:$J$111)</f>
        <v>0</v>
      </c>
      <c r="K134" s="233">
        <f>SUMIF('बँक जमा खर्च पासबुक'!$C$9:$C$111,'बँक खर्च व्हाउचर पावती'!C134,'बँक जमा खर्च पासबुक'!$K$9:$K$111)</f>
        <v>0</v>
      </c>
      <c r="L134" s="233">
        <f ca="1">SUMIF('बँक जमा खर्च पासबुक'!$C$9:$C$111,'बँक खर्च व्हाउचर पावती'!C134,'बँक जमा खर्च पासबुक'!$L$9:$L$110)</f>
        <v>0</v>
      </c>
      <c r="M134" s="228">
        <f>SUMIF('बँक जमा खर्च पासबुक'!$C$9:$C$111,'बँक खर्च व्हाउचर पावती'!C134,'बँक जमा खर्च पासबुक'!$M$9:$M$111)</f>
        <v>0</v>
      </c>
      <c r="N134" s="233">
        <f t="shared" ca="1" si="111"/>
        <v>3000</v>
      </c>
      <c r="O134" s="228">
        <f t="shared" si="112"/>
        <v>3000</v>
      </c>
      <c r="P134" s="228">
        <f t="shared" ca="1" si="99"/>
        <v>6000</v>
      </c>
      <c r="Q134" s="399"/>
      <c r="AM134" s="380"/>
      <c r="AN134" s="380"/>
      <c r="AO134" s="380">
        <v>28</v>
      </c>
      <c r="AP134" s="260" t="str">
        <f t="shared" si="125"/>
        <v/>
      </c>
      <c r="AQ134" s="260" t="str">
        <f t="shared" si="114"/>
        <v/>
      </c>
      <c r="AR134" s="260" t="str">
        <f t="shared" si="115"/>
        <v/>
      </c>
      <c r="AS134" s="260" t="str">
        <f t="shared" si="116"/>
        <v/>
      </c>
      <c r="AT134" s="260" t="str">
        <f t="shared" si="117"/>
        <v/>
      </c>
      <c r="AU134" s="260" t="str">
        <f t="shared" si="118"/>
        <v/>
      </c>
      <c r="AV134" s="260" t="str">
        <f t="shared" si="119"/>
        <v/>
      </c>
      <c r="AW134" s="260" t="str">
        <f t="shared" si="120"/>
        <v/>
      </c>
      <c r="AX134" s="260" t="str">
        <f t="shared" si="121"/>
        <v/>
      </c>
      <c r="AY134" s="260" t="str">
        <f t="shared" si="122"/>
        <v/>
      </c>
      <c r="AZ134" s="260" t="str">
        <f t="shared" si="123"/>
        <v/>
      </c>
      <c r="BA134" s="260" t="str">
        <f t="shared" si="124"/>
        <v/>
      </c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</row>
    <row r="135" spans="1:72" ht="22.5" customHeight="1" x14ac:dyDescent="0.4">
      <c r="A135" s="399"/>
      <c r="B135" s="376">
        <v>127</v>
      </c>
      <c r="C135" s="310">
        <v>44048</v>
      </c>
      <c r="D135" s="229" t="str">
        <f>IFERROR(VLOOKUP(C135,'बँक जमा खर्च पासबुक'!$C$9:$R$111,2,0),"")</f>
        <v/>
      </c>
      <c r="E135" s="229" t="str">
        <f>IFERROR(VLOOKUP(C135,'बँक जमा खर्च पासबुक'!$C$9:$R$111,3,0),"")</f>
        <v/>
      </c>
      <c r="F135" s="229" t="str">
        <f>IFERROR(VLOOKUP(C135,'बँक जमा खर्च पासबुक'!$C$9:$R$111,4,0),"")</f>
        <v/>
      </c>
      <c r="G135" s="229" t="str">
        <f>IFERROR(VLOOKUP(C135,'बँक जमा खर्च पासबुक'!$C$9:$R$111,5,0),"")</f>
        <v/>
      </c>
      <c r="H135" s="229" t="str">
        <f>IFERROR(VLOOKUP(C135,'बँक जमा खर्च पासबुक'!$C$9:$R$111,6,0),"")</f>
        <v/>
      </c>
      <c r="I135" s="229" t="str">
        <f>IFERROR(VLOOKUP(C135,'बँक जमा खर्च पासबुक'!$C$9:$R$111,7,0),"")</f>
        <v/>
      </c>
      <c r="J135" s="233">
        <f>SUMIF('बँक जमा खर्च पासबुक'!$C$9:$C$111,'बँक खर्च व्हाउचर पावती'!C135,'बँक जमा खर्च पासबुक'!$J$9:$J$111)</f>
        <v>0</v>
      </c>
      <c r="K135" s="233">
        <f>SUMIF('बँक जमा खर्च पासबुक'!$C$9:$C$111,'बँक खर्च व्हाउचर पावती'!C135,'बँक जमा खर्च पासबुक'!$K$9:$K$111)</f>
        <v>0</v>
      </c>
      <c r="L135" s="233">
        <f ca="1">SUMIF('बँक जमा खर्च पासबुक'!$C$9:$C$111,'बँक खर्च व्हाउचर पावती'!C135,'बँक जमा खर्च पासबुक'!$L$9:$L$110)</f>
        <v>0</v>
      </c>
      <c r="M135" s="228">
        <f>SUMIF('बँक जमा खर्च पासबुक'!$C$9:$C$111,'बँक खर्च व्हाउचर पावती'!C135,'बँक जमा खर्च पासबुक'!$M$9:$M$111)</f>
        <v>0</v>
      </c>
      <c r="N135" s="233">
        <f t="shared" ca="1" si="111"/>
        <v>3000</v>
      </c>
      <c r="O135" s="228">
        <f t="shared" si="112"/>
        <v>3000</v>
      </c>
      <c r="P135" s="228">
        <f t="shared" ca="1" si="99"/>
        <v>6000</v>
      </c>
      <c r="Q135" s="399"/>
      <c r="AM135" s="380"/>
      <c r="AN135" s="380"/>
      <c r="AO135" s="380">
        <v>29</v>
      </c>
      <c r="AP135" s="260" t="str">
        <f t="shared" si="125"/>
        <v/>
      </c>
      <c r="AQ135" s="260" t="str">
        <f t="shared" si="114"/>
        <v/>
      </c>
      <c r="AR135" s="260" t="str">
        <f t="shared" si="115"/>
        <v/>
      </c>
      <c r="AS135" s="260" t="str">
        <f t="shared" si="116"/>
        <v/>
      </c>
      <c r="AT135" s="260" t="str">
        <f t="shared" si="117"/>
        <v/>
      </c>
      <c r="AU135" s="260" t="str">
        <f t="shared" si="118"/>
        <v/>
      </c>
      <c r="AV135" s="260" t="str">
        <f t="shared" si="119"/>
        <v/>
      </c>
      <c r="AW135" s="260" t="str">
        <f t="shared" si="120"/>
        <v/>
      </c>
      <c r="AX135" s="260" t="str">
        <f t="shared" si="121"/>
        <v/>
      </c>
      <c r="AY135" s="260" t="str">
        <f t="shared" si="122"/>
        <v/>
      </c>
      <c r="AZ135" s="260" t="str">
        <f t="shared" si="123"/>
        <v/>
      </c>
      <c r="BA135" s="260" t="str">
        <f t="shared" si="124"/>
        <v/>
      </c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</row>
    <row r="136" spans="1:72" ht="22.5" customHeight="1" x14ac:dyDescent="0.4">
      <c r="A136" s="399"/>
      <c r="B136" s="376">
        <v>128</v>
      </c>
      <c r="C136" s="310">
        <v>44049</v>
      </c>
      <c r="D136" s="229" t="str">
        <f>IFERROR(VLOOKUP(C136,'बँक जमा खर्च पासबुक'!$C$9:$R$111,2,0),"")</f>
        <v/>
      </c>
      <c r="E136" s="229" t="str">
        <f>IFERROR(VLOOKUP(C136,'बँक जमा खर्च पासबुक'!$C$9:$R$111,3,0),"")</f>
        <v/>
      </c>
      <c r="F136" s="229" t="str">
        <f>IFERROR(VLOOKUP(C136,'बँक जमा खर्च पासबुक'!$C$9:$R$111,4,0),"")</f>
        <v/>
      </c>
      <c r="G136" s="229" t="str">
        <f>IFERROR(VLOOKUP(C136,'बँक जमा खर्च पासबुक'!$C$9:$R$111,5,0),"")</f>
        <v/>
      </c>
      <c r="H136" s="229" t="str">
        <f>IFERROR(VLOOKUP(C136,'बँक जमा खर्च पासबुक'!$C$9:$R$111,6,0),"")</f>
        <v/>
      </c>
      <c r="I136" s="229" t="str">
        <f>IFERROR(VLOOKUP(C136,'बँक जमा खर्च पासबुक'!$C$9:$R$111,7,0),"")</f>
        <v/>
      </c>
      <c r="J136" s="233">
        <f>SUMIF('बँक जमा खर्च पासबुक'!$C$9:$C$111,'बँक खर्च व्हाउचर पावती'!C136,'बँक जमा खर्च पासबुक'!$J$9:$J$111)</f>
        <v>0</v>
      </c>
      <c r="K136" s="233">
        <f>SUMIF('बँक जमा खर्च पासबुक'!$C$9:$C$111,'बँक खर्च व्हाउचर पावती'!C136,'बँक जमा खर्च पासबुक'!$K$9:$K$111)</f>
        <v>0</v>
      </c>
      <c r="L136" s="233">
        <f ca="1">SUMIF('बँक जमा खर्च पासबुक'!$C$9:$C$111,'बँक खर्च व्हाउचर पावती'!C136,'बँक जमा खर्च पासबुक'!$L$9:$L$110)</f>
        <v>0</v>
      </c>
      <c r="M136" s="228">
        <f>SUMIF('बँक जमा खर्च पासबुक'!$C$9:$C$111,'बँक खर्च व्हाउचर पावती'!C136,'बँक जमा खर्च पासबुक'!$M$9:$M$111)</f>
        <v>0</v>
      </c>
      <c r="N136" s="233">
        <f t="shared" ca="1" si="111"/>
        <v>3000</v>
      </c>
      <c r="O136" s="228">
        <f t="shared" si="112"/>
        <v>3000</v>
      </c>
      <c r="P136" s="228">
        <f t="shared" ca="1" si="99"/>
        <v>6000</v>
      </c>
      <c r="Q136" s="399"/>
      <c r="AM136" s="380"/>
      <c r="AN136" s="380"/>
      <c r="AO136" s="380">
        <v>30</v>
      </c>
      <c r="AP136" s="260" t="str">
        <f t="shared" si="125"/>
        <v/>
      </c>
      <c r="AQ136" s="260" t="str">
        <f t="shared" si="114"/>
        <v/>
      </c>
      <c r="AR136" s="260" t="str">
        <f t="shared" si="115"/>
        <v/>
      </c>
      <c r="AS136" s="260" t="str">
        <f t="shared" si="116"/>
        <v/>
      </c>
      <c r="AT136" s="260" t="str">
        <f t="shared" si="117"/>
        <v/>
      </c>
      <c r="AU136" s="260" t="str">
        <f t="shared" si="118"/>
        <v/>
      </c>
      <c r="AV136" s="260" t="str">
        <f t="shared" si="119"/>
        <v/>
      </c>
      <c r="AW136" s="260" t="str">
        <f t="shared" si="120"/>
        <v/>
      </c>
      <c r="AX136" s="260" t="str">
        <f t="shared" si="121"/>
        <v/>
      </c>
      <c r="AY136" s="260" t="str">
        <f t="shared" si="122"/>
        <v/>
      </c>
      <c r="AZ136" s="380"/>
      <c r="BA136" s="260" t="str">
        <f t="shared" si="124"/>
        <v/>
      </c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</row>
    <row r="137" spans="1:72" ht="22.5" customHeight="1" x14ac:dyDescent="0.4">
      <c r="A137" s="399"/>
      <c r="B137" s="376">
        <v>129</v>
      </c>
      <c r="C137" s="310">
        <v>44050</v>
      </c>
      <c r="D137" s="229" t="str">
        <f>IFERROR(VLOOKUP(C137,'बँक जमा खर्च पासबुक'!$C$9:$R$111,2,0),"")</f>
        <v/>
      </c>
      <c r="E137" s="229" t="str">
        <f>IFERROR(VLOOKUP(C137,'बँक जमा खर्च पासबुक'!$C$9:$R$111,3,0),"")</f>
        <v/>
      </c>
      <c r="F137" s="229" t="str">
        <f>IFERROR(VLOOKUP(C137,'बँक जमा खर्च पासबुक'!$C$9:$R$111,4,0),"")</f>
        <v/>
      </c>
      <c r="G137" s="229" t="str">
        <f>IFERROR(VLOOKUP(C137,'बँक जमा खर्च पासबुक'!$C$9:$R$111,5,0),"")</f>
        <v/>
      </c>
      <c r="H137" s="229" t="str">
        <f>IFERROR(VLOOKUP(C137,'बँक जमा खर्च पासबुक'!$C$9:$R$111,6,0),"")</f>
        <v/>
      </c>
      <c r="I137" s="229" t="str">
        <f>IFERROR(VLOOKUP(C137,'बँक जमा खर्च पासबुक'!$C$9:$R$111,7,0),"")</f>
        <v/>
      </c>
      <c r="J137" s="233">
        <f>SUMIF('बँक जमा खर्च पासबुक'!$C$9:$C$111,'बँक खर्च व्हाउचर पावती'!C137,'बँक जमा खर्च पासबुक'!$J$9:$J$111)</f>
        <v>0</v>
      </c>
      <c r="K137" s="233">
        <f>SUMIF('बँक जमा खर्च पासबुक'!$C$9:$C$111,'बँक खर्च व्हाउचर पावती'!C137,'बँक जमा खर्च पासबुक'!$K$9:$K$111)</f>
        <v>0</v>
      </c>
      <c r="L137" s="233">
        <f ca="1">SUMIF('बँक जमा खर्च पासबुक'!$C$9:$C$111,'बँक खर्च व्हाउचर पावती'!C137,'बँक जमा खर्च पासबुक'!$L$9:$L$110)</f>
        <v>0</v>
      </c>
      <c r="M137" s="228">
        <f>SUMIF('बँक जमा खर्च पासबुक'!$C$9:$C$111,'बँक खर्च व्हाउचर पावती'!C137,'बँक जमा खर्च पासबुक'!$M$9:$M$111)</f>
        <v>0</v>
      </c>
      <c r="N137" s="233">
        <f t="shared" ca="1" si="111"/>
        <v>3000</v>
      </c>
      <c r="O137" s="228">
        <f t="shared" si="112"/>
        <v>3000</v>
      </c>
      <c r="P137" s="228">
        <f t="shared" ref="P137:P200" ca="1" si="126">N137+O137</f>
        <v>6000</v>
      </c>
      <c r="Q137" s="399"/>
      <c r="AM137" s="380"/>
      <c r="AN137" s="380"/>
      <c r="AO137" s="380">
        <v>31</v>
      </c>
      <c r="AP137" s="380"/>
      <c r="AQ137" s="260" t="str">
        <f t="shared" si="114"/>
        <v/>
      </c>
      <c r="AR137" s="380"/>
      <c r="AS137" s="260" t="str">
        <f t="shared" si="116"/>
        <v/>
      </c>
      <c r="AT137" s="260" t="str">
        <f t="shared" si="117"/>
        <v/>
      </c>
      <c r="AU137" s="380"/>
      <c r="AV137" s="260" t="str">
        <f t="shared" si="119"/>
        <v/>
      </c>
      <c r="AW137" s="380"/>
      <c r="AX137" s="260" t="str">
        <f t="shared" si="121"/>
        <v/>
      </c>
      <c r="AY137" s="260" t="str">
        <f t="shared" si="122"/>
        <v/>
      </c>
      <c r="AZ137" s="380"/>
      <c r="BA137" s="260" t="str">
        <f t="shared" si="124"/>
        <v/>
      </c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</row>
    <row r="138" spans="1:72" ht="22.5" customHeight="1" x14ac:dyDescent="0.4">
      <c r="A138" s="399"/>
      <c r="B138" s="376">
        <v>130</v>
      </c>
      <c r="C138" s="310">
        <v>44051</v>
      </c>
      <c r="D138" s="229" t="str">
        <f>IFERROR(VLOOKUP(C138,'बँक जमा खर्च पासबुक'!$C$9:$R$111,2,0),"")</f>
        <v/>
      </c>
      <c r="E138" s="229" t="str">
        <f>IFERROR(VLOOKUP(C138,'बँक जमा खर्च पासबुक'!$C$9:$R$111,3,0),"")</f>
        <v/>
      </c>
      <c r="F138" s="229" t="str">
        <f>IFERROR(VLOOKUP(C138,'बँक जमा खर्च पासबुक'!$C$9:$R$111,4,0),"")</f>
        <v/>
      </c>
      <c r="G138" s="229" t="str">
        <f>IFERROR(VLOOKUP(C138,'बँक जमा खर्च पासबुक'!$C$9:$R$111,5,0),"")</f>
        <v/>
      </c>
      <c r="H138" s="229" t="str">
        <f>IFERROR(VLOOKUP(C138,'बँक जमा खर्च पासबुक'!$C$9:$R$111,6,0),"")</f>
        <v/>
      </c>
      <c r="I138" s="229" t="str">
        <f>IFERROR(VLOOKUP(C138,'बँक जमा खर्च पासबुक'!$C$9:$R$111,7,0),"")</f>
        <v/>
      </c>
      <c r="J138" s="233">
        <f>SUMIF('बँक जमा खर्च पासबुक'!$C$9:$C$111,'बँक खर्च व्हाउचर पावती'!C138,'बँक जमा खर्च पासबुक'!$J$9:$J$111)</f>
        <v>0</v>
      </c>
      <c r="K138" s="233">
        <f>SUMIF('बँक जमा खर्च पासबुक'!$C$9:$C$111,'बँक खर्च व्हाउचर पावती'!C138,'बँक जमा खर्च पासबुक'!$K$9:$K$111)</f>
        <v>0</v>
      </c>
      <c r="L138" s="233">
        <f ca="1">SUMIF('बँक जमा खर्च पासबुक'!$C$9:$C$111,'बँक खर्च व्हाउचर पावती'!C138,'बँक जमा खर्च पासबुक'!$L$9:$L$110)</f>
        <v>0</v>
      </c>
      <c r="M138" s="228">
        <f>SUMIF('बँक जमा खर्च पासबुक'!$C$9:$C$111,'बँक खर्च व्हाउचर पावती'!C138,'बँक जमा खर्च पासबुक'!$M$9:$M$111)</f>
        <v>0</v>
      </c>
      <c r="N138" s="233">
        <f t="shared" ref="N138:N201" ca="1" si="127">N137+J138-L138</f>
        <v>3000</v>
      </c>
      <c r="O138" s="228">
        <f t="shared" ref="O138:O201" si="128">O137+K138-M138</f>
        <v>3000</v>
      </c>
      <c r="P138" s="228">
        <f t="shared" ca="1" si="126"/>
        <v>6000</v>
      </c>
      <c r="Q138" s="399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</row>
    <row r="139" spans="1:72" ht="22.5" customHeight="1" x14ac:dyDescent="0.4">
      <c r="A139" s="399"/>
      <c r="B139" s="376">
        <v>131</v>
      </c>
      <c r="C139" s="310">
        <v>44052</v>
      </c>
      <c r="D139" s="229" t="str">
        <f>IFERROR(VLOOKUP(C139,'बँक जमा खर्च पासबुक'!$C$9:$R$111,2,0),"")</f>
        <v/>
      </c>
      <c r="E139" s="229" t="str">
        <f>IFERROR(VLOOKUP(C139,'बँक जमा खर्च पासबुक'!$C$9:$R$111,3,0),"")</f>
        <v/>
      </c>
      <c r="F139" s="229" t="str">
        <f>IFERROR(VLOOKUP(C139,'बँक जमा खर्च पासबुक'!$C$9:$R$111,4,0),"")</f>
        <v/>
      </c>
      <c r="G139" s="229" t="str">
        <f>IFERROR(VLOOKUP(C139,'बँक जमा खर्च पासबुक'!$C$9:$R$111,5,0),"")</f>
        <v/>
      </c>
      <c r="H139" s="229" t="str">
        <f>IFERROR(VLOOKUP(C139,'बँक जमा खर्च पासबुक'!$C$9:$R$111,6,0),"")</f>
        <v/>
      </c>
      <c r="I139" s="229" t="str">
        <f>IFERROR(VLOOKUP(C139,'बँक जमा खर्च पासबुक'!$C$9:$R$111,7,0),"")</f>
        <v/>
      </c>
      <c r="J139" s="233">
        <f>SUMIF('बँक जमा खर्च पासबुक'!$C$9:$C$111,'बँक खर्च व्हाउचर पावती'!C139,'बँक जमा खर्च पासबुक'!$J$9:$J$111)</f>
        <v>0</v>
      </c>
      <c r="K139" s="233">
        <f>SUMIF('बँक जमा खर्च पासबुक'!$C$9:$C$111,'बँक खर्च व्हाउचर पावती'!C139,'बँक जमा खर्च पासबुक'!$K$9:$K$111)</f>
        <v>0</v>
      </c>
      <c r="L139" s="233">
        <f ca="1">SUMIF('बँक जमा खर्च पासबुक'!$C$9:$C$111,'बँक खर्च व्हाउचर पावती'!C139,'बँक जमा खर्च पासबुक'!$L$9:$L$110)</f>
        <v>0</v>
      </c>
      <c r="M139" s="228">
        <f>SUMIF('बँक जमा खर्च पासबुक'!$C$9:$C$111,'बँक खर्च व्हाउचर पावती'!C139,'बँक जमा खर्च पासबुक'!$M$9:$M$111)</f>
        <v>0</v>
      </c>
      <c r="N139" s="233">
        <f t="shared" ca="1" si="127"/>
        <v>3000</v>
      </c>
      <c r="O139" s="228">
        <f t="shared" si="128"/>
        <v>3000</v>
      </c>
      <c r="P139" s="228">
        <f t="shared" ca="1" si="126"/>
        <v>6000</v>
      </c>
      <c r="Q139" s="399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</row>
    <row r="140" spans="1:72" ht="22.5" customHeight="1" x14ac:dyDescent="0.4">
      <c r="A140" s="399"/>
      <c r="B140" s="376">
        <v>132</v>
      </c>
      <c r="C140" s="310">
        <v>44053</v>
      </c>
      <c r="D140" s="229" t="str">
        <f>IFERROR(VLOOKUP(C140,'बँक जमा खर्च पासबुक'!$C$9:$R$111,2,0),"")</f>
        <v/>
      </c>
      <c r="E140" s="229" t="str">
        <f>IFERROR(VLOOKUP(C140,'बँक जमा खर्च पासबुक'!$C$9:$R$111,3,0),"")</f>
        <v/>
      </c>
      <c r="F140" s="229" t="str">
        <f>IFERROR(VLOOKUP(C140,'बँक जमा खर्च पासबुक'!$C$9:$R$111,4,0),"")</f>
        <v/>
      </c>
      <c r="G140" s="229" t="str">
        <f>IFERROR(VLOOKUP(C140,'बँक जमा खर्च पासबुक'!$C$9:$R$111,5,0),"")</f>
        <v/>
      </c>
      <c r="H140" s="229" t="str">
        <f>IFERROR(VLOOKUP(C140,'बँक जमा खर्च पासबुक'!$C$9:$R$111,6,0),"")</f>
        <v/>
      </c>
      <c r="I140" s="229" t="str">
        <f>IFERROR(VLOOKUP(C140,'बँक जमा खर्च पासबुक'!$C$9:$R$111,7,0),"")</f>
        <v/>
      </c>
      <c r="J140" s="233">
        <f>SUMIF('बँक जमा खर्च पासबुक'!$C$9:$C$111,'बँक खर्च व्हाउचर पावती'!C140,'बँक जमा खर्च पासबुक'!$J$9:$J$111)</f>
        <v>0</v>
      </c>
      <c r="K140" s="233">
        <f>SUMIF('बँक जमा खर्च पासबुक'!$C$9:$C$111,'बँक खर्च व्हाउचर पावती'!C140,'बँक जमा खर्च पासबुक'!$K$9:$K$111)</f>
        <v>0</v>
      </c>
      <c r="L140" s="233">
        <f ca="1">SUMIF('बँक जमा खर्च पासबुक'!$C$9:$C$111,'बँक खर्च व्हाउचर पावती'!C140,'बँक जमा खर्च पासबुक'!$L$9:$L$110)</f>
        <v>0</v>
      </c>
      <c r="M140" s="228">
        <f>SUMIF('बँक जमा खर्च पासबुक'!$C$9:$C$111,'बँक खर्च व्हाउचर पावती'!C140,'बँक जमा खर्च पासबुक'!$M$9:$M$111)</f>
        <v>0</v>
      </c>
      <c r="N140" s="233">
        <f t="shared" ca="1" si="127"/>
        <v>3000</v>
      </c>
      <c r="O140" s="228">
        <f t="shared" si="128"/>
        <v>3000</v>
      </c>
      <c r="P140" s="228">
        <f t="shared" ca="1" si="126"/>
        <v>6000</v>
      </c>
      <c r="Q140" s="399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 t="s">
        <v>592</v>
      </c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</row>
    <row r="141" spans="1:72" ht="22.5" customHeight="1" x14ac:dyDescent="0.4">
      <c r="A141" s="399"/>
      <c r="B141" s="376">
        <v>133</v>
      </c>
      <c r="C141" s="310">
        <v>44054</v>
      </c>
      <c r="D141" s="229" t="str">
        <f>IFERROR(VLOOKUP(C141,'बँक जमा खर्च पासबुक'!$C$9:$R$111,2,0),"")</f>
        <v/>
      </c>
      <c r="E141" s="229" t="str">
        <f>IFERROR(VLOOKUP(C141,'बँक जमा खर्च पासबुक'!$C$9:$R$111,3,0),"")</f>
        <v/>
      </c>
      <c r="F141" s="229" t="str">
        <f>IFERROR(VLOOKUP(C141,'बँक जमा खर्च पासबुक'!$C$9:$R$111,4,0),"")</f>
        <v/>
      </c>
      <c r="G141" s="229" t="str">
        <f>IFERROR(VLOOKUP(C141,'बँक जमा खर्च पासबुक'!$C$9:$R$111,5,0),"")</f>
        <v/>
      </c>
      <c r="H141" s="229" t="str">
        <f>IFERROR(VLOOKUP(C141,'बँक जमा खर्च पासबुक'!$C$9:$R$111,6,0),"")</f>
        <v/>
      </c>
      <c r="I141" s="229" t="str">
        <f>IFERROR(VLOOKUP(C141,'बँक जमा खर्च पासबुक'!$C$9:$R$111,7,0),"")</f>
        <v/>
      </c>
      <c r="J141" s="233">
        <f>SUMIF('बँक जमा खर्च पासबुक'!$C$9:$C$111,'बँक खर्च व्हाउचर पावती'!C141,'बँक जमा खर्च पासबुक'!$J$9:$J$111)</f>
        <v>0</v>
      </c>
      <c r="K141" s="233">
        <f>SUMIF('बँक जमा खर्च पासबुक'!$C$9:$C$111,'बँक खर्च व्हाउचर पावती'!C141,'बँक जमा खर्च पासबुक'!$K$9:$K$111)</f>
        <v>0</v>
      </c>
      <c r="L141" s="233">
        <f ca="1">SUMIF('बँक जमा खर्च पासबुक'!$C$9:$C$111,'बँक खर्च व्हाउचर पावती'!C141,'बँक जमा खर्च पासबुक'!$L$9:$L$110)</f>
        <v>0</v>
      </c>
      <c r="M141" s="228">
        <f>SUMIF('बँक जमा खर्च पासबुक'!$C$9:$C$111,'बँक खर्च व्हाउचर पावती'!C141,'बँक जमा खर्च पासबुक'!$M$9:$M$111)</f>
        <v>0</v>
      </c>
      <c r="N141" s="233">
        <f t="shared" ca="1" si="127"/>
        <v>3000</v>
      </c>
      <c r="O141" s="228">
        <f t="shared" si="128"/>
        <v>3000</v>
      </c>
      <c r="P141" s="228">
        <f t="shared" ca="1" si="126"/>
        <v>6000</v>
      </c>
      <c r="Q141" s="399"/>
      <c r="AM141" s="380"/>
      <c r="AN141" s="380"/>
      <c r="AO141" s="380"/>
      <c r="AP141" s="380" t="s">
        <v>42</v>
      </c>
      <c r="AQ141" s="380" t="s">
        <v>44</v>
      </c>
      <c r="AR141" s="380" t="s">
        <v>94</v>
      </c>
      <c r="AS141" s="380" t="s">
        <v>46</v>
      </c>
      <c r="AT141" s="380" t="s">
        <v>34</v>
      </c>
      <c r="AU141" s="380" t="s">
        <v>37</v>
      </c>
      <c r="AV141" s="380" t="s">
        <v>47</v>
      </c>
      <c r="AW141" s="380" t="s">
        <v>38</v>
      </c>
      <c r="AX141" s="380" t="s">
        <v>39</v>
      </c>
      <c r="AY141" s="380" t="s">
        <v>33</v>
      </c>
      <c r="AZ141" s="380" t="s">
        <v>40</v>
      </c>
      <c r="BA141" s="380" t="s">
        <v>41</v>
      </c>
      <c r="BB141" s="380" t="s">
        <v>35</v>
      </c>
      <c r="BC141" s="380"/>
      <c r="BD141" s="380"/>
      <c r="BE141" s="380"/>
      <c r="BF141" s="380"/>
      <c r="BG141" s="380"/>
      <c r="BH141" s="380"/>
      <c r="BI141" s="380"/>
      <c r="BJ141" s="380"/>
      <c r="BK141" s="380"/>
      <c r="BL141" s="380"/>
      <c r="BM141" s="380"/>
      <c r="BN141" s="380"/>
      <c r="BO141" s="380"/>
      <c r="BP141" s="380"/>
      <c r="BQ141" s="380"/>
      <c r="BR141" s="380"/>
      <c r="BS141" s="380"/>
      <c r="BT141" s="380"/>
    </row>
    <row r="142" spans="1:72" ht="22.5" customHeight="1" x14ac:dyDescent="0.4">
      <c r="A142" s="399"/>
      <c r="B142" s="376">
        <v>134</v>
      </c>
      <c r="C142" s="310">
        <v>44055</v>
      </c>
      <c r="D142" s="229" t="str">
        <f>IFERROR(VLOOKUP(C142,'बँक जमा खर्च पासबुक'!$C$9:$R$111,2,0),"")</f>
        <v/>
      </c>
      <c r="E142" s="229" t="str">
        <f>IFERROR(VLOOKUP(C142,'बँक जमा खर्च पासबुक'!$C$9:$R$111,3,0),"")</f>
        <v/>
      </c>
      <c r="F142" s="229" t="str">
        <f>IFERROR(VLOOKUP(C142,'बँक जमा खर्च पासबुक'!$C$9:$R$111,4,0),"")</f>
        <v/>
      </c>
      <c r="G142" s="229" t="str">
        <f>IFERROR(VLOOKUP(C142,'बँक जमा खर्च पासबुक'!$C$9:$R$111,5,0),"")</f>
        <v/>
      </c>
      <c r="H142" s="229" t="str">
        <f>IFERROR(VLOOKUP(C142,'बँक जमा खर्च पासबुक'!$C$9:$R$111,6,0),"")</f>
        <v/>
      </c>
      <c r="I142" s="229" t="str">
        <f>IFERROR(VLOOKUP(C142,'बँक जमा खर्च पासबुक'!$C$9:$R$111,7,0),"")</f>
        <v/>
      </c>
      <c r="J142" s="233">
        <f>SUMIF('बँक जमा खर्च पासबुक'!$C$9:$C$111,'बँक खर्च व्हाउचर पावती'!C142,'बँक जमा खर्च पासबुक'!$J$9:$J$111)</f>
        <v>0</v>
      </c>
      <c r="K142" s="233">
        <f>SUMIF('बँक जमा खर्च पासबुक'!$C$9:$C$111,'बँक खर्च व्हाउचर पावती'!C142,'बँक जमा खर्च पासबुक'!$K$9:$K$111)</f>
        <v>0</v>
      </c>
      <c r="L142" s="233">
        <f ca="1">SUMIF('बँक जमा खर्च पासबुक'!$C$9:$C$111,'बँक खर्च व्हाउचर पावती'!C142,'बँक जमा खर्च पासबुक'!$L$9:$L$110)</f>
        <v>0</v>
      </c>
      <c r="M142" s="228">
        <f>SUMIF('बँक जमा खर्च पासबुक'!$C$9:$C$111,'बँक खर्च व्हाउचर पावती'!C142,'बँक जमा खर्च पासबुक'!$M$9:$M$111)</f>
        <v>0</v>
      </c>
      <c r="N142" s="233">
        <f t="shared" ca="1" si="127"/>
        <v>3000</v>
      </c>
      <c r="O142" s="228">
        <f t="shared" si="128"/>
        <v>3000</v>
      </c>
      <c r="P142" s="228">
        <f t="shared" ca="1" si="126"/>
        <v>6000</v>
      </c>
      <c r="Q142" s="399"/>
      <c r="AM142" s="380"/>
      <c r="AN142" s="380"/>
      <c r="AO142" s="380">
        <v>1</v>
      </c>
      <c r="AP142" s="261">
        <f>J9</f>
        <v>0</v>
      </c>
      <c r="AQ142" s="261">
        <f t="shared" ref="AQ142:AQ172" si="129">J39</f>
        <v>0</v>
      </c>
      <c r="AR142" s="261">
        <f t="shared" ref="AR142:AR171" si="130">J70</f>
        <v>0</v>
      </c>
      <c r="AS142" s="261">
        <f t="shared" ref="AS142:AS172" si="131">J100</f>
        <v>0</v>
      </c>
      <c r="AT142" s="261">
        <f t="shared" ref="AT142:AT172" si="132">J131</f>
        <v>0</v>
      </c>
      <c r="AU142" s="261">
        <f t="shared" ref="AU142:AU171" si="133">J162</f>
        <v>0</v>
      </c>
      <c r="AV142" s="261">
        <f t="shared" ref="AV142:AV172" si="134">J192</f>
        <v>0</v>
      </c>
      <c r="AW142" s="261">
        <f t="shared" ref="AW142:AW171" si="135">J223</f>
        <v>0</v>
      </c>
      <c r="AX142" s="261">
        <f t="shared" ref="AX142:AX172" si="136">J253</f>
        <v>0</v>
      </c>
      <c r="AY142" s="261">
        <f t="shared" ref="AY142:AY172" si="137">J284</f>
        <v>0</v>
      </c>
      <c r="AZ142" s="261">
        <f t="shared" ref="AZ142:AZ170" si="138">J315</f>
        <v>0</v>
      </c>
      <c r="BA142" s="261">
        <f t="shared" ref="BA142:BA172" si="139">J344</f>
        <v>0</v>
      </c>
      <c r="BB142" s="261">
        <f t="shared" ref="BB142:BB173" si="140">SUM(AP142:BA142)</f>
        <v>0</v>
      </c>
      <c r="BC142" s="380"/>
      <c r="BD142" s="380"/>
      <c r="BE142" s="380"/>
      <c r="BF142" s="380"/>
      <c r="BG142" s="380"/>
      <c r="BH142" s="380"/>
      <c r="BI142" s="380"/>
      <c r="BJ142" s="380"/>
      <c r="BK142" s="380"/>
      <c r="BL142" s="380"/>
      <c r="BM142" s="380"/>
      <c r="BN142" s="380"/>
      <c r="BO142" s="380"/>
      <c r="BP142" s="380"/>
      <c r="BQ142" s="380"/>
      <c r="BR142" s="380"/>
      <c r="BS142" s="380"/>
      <c r="BT142" s="380"/>
    </row>
    <row r="143" spans="1:72" ht="22.5" customHeight="1" x14ac:dyDescent="0.4">
      <c r="A143" s="399"/>
      <c r="B143" s="376">
        <v>135</v>
      </c>
      <c r="C143" s="310">
        <v>44056</v>
      </c>
      <c r="D143" s="229" t="str">
        <f>IFERROR(VLOOKUP(C143,'बँक जमा खर्च पासबुक'!$C$9:$R$111,2,0),"")</f>
        <v/>
      </c>
      <c r="E143" s="229" t="str">
        <f>IFERROR(VLOOKUP(C143,'बँक जमा खर्च पासबुक'!$C$9:$R$111,3,0),"")</f>
        <v/>
      </c>
      <c r="F143" s="229" t="str">
        <f>IFERROR(VLOOKUP(C143,'बँक जमा खर्च पासबुक'!$C$9:$R$111,4,0),"")</f>
        <v/>
      </c>
      <c r="G143" s="229" t="str">
        <f>IFERROR(VLOOKUP(C143,'बँक जमा खर्च पासबुक'!$C$9:$R$111,5,0),"")</f>
        <v/>
      </c>
      <c r="H143" s="229" t="str">
        <f>IFERROR(VLOOKUP(C143,'बँक जमा खर्च पासबुक'!$C$9:$R$111,6,0),"")</f>
        <v/>
      </c>
      <c r="I143" s="229" t="str">
        <f>IFERROR(VLOOKUP(C143,'बँक जमा खर्च पासबुक'!$C$9:$R$111,7,0),"")</f>
        <v/>
      </c>
      <c r="J143" s="233">
        <f>SUMIF('बँक जमा खर्च पासबुक'!$C$9:$C$111,'बँक खर्च व्हाउचर पावती'!C143,'बँक जमा खर्च पासबुक'!$J$9:$J$111)</f>
        <v>0</v>
      </c>
      <c r="K143" s="233">
        <f>SUMIF('बँक जमा खर्च पासबुक'!$C$9:$C$111,'बँक खर्च व्हाउचर पावती'!C143,'बँक जमा खर्च पासबुक'!$K$9:$K$111)</f>
        <v>0</v>
      </c>
      <c r="L143" s="233">
        <f ca="1">SUMIF('बँक जमा खर्च पासबुक'!$C$9:$C$111,'बँक खर्च व्हाउचर पावती'!C143,'बँक जमा खर्च पासबुक'!$L$9:$L$110)</f>
        <v>0</v>
      </c>
      <c r="M143" s="228">
        <f>SUMIF('बँक जमा खर्च पासबुक'!$C$9:$C$111,'बँक खर्च व्हाउचर पावती'!C143,'बँक जमा खर्च पासबुक'!$M$9:$M$111)</f>
        <v>0</v>
      </c>
      <c r="N143" s="233">
        <f t="shared" ca="1" si="127"/>
        <v>3000</v>
      </c>
      <c r="O143" s="228">
        <f t="shared" si="128"/>
        <v>3000</v>
      </c>
      <c r="P143" s="228">
        <f t="shared" ca="1" si="126"/>
        <v>6000</v>
      </c>
      <c r="Q143" s="399"/>
      <c r="AM143" s="380"/>
      <c r="AN143" s="380"/>
      <c r="AO143" s="380">
        <v>2</v>
      </c>
      <c r="AP143" s="261">
        <f>J10</f>
        <v>0</v>
      </c>
      <c r="AQ143" s="261">
        <f t="shared" si="129"/>
        <v>0</v>
      </c>
      <c r="AR143" s="261">
        <f t="shared" si="130"/>
        <v>0</v>
      </c>
      <c r="AS143" s="261">
        <f t="shared" si="131"/>
        <v>0</v>
      </c>
      <c r="AT143" s="261">
        <f t="shared" si="132"/>
        <v>0</v>
      </c>
      <c r="AU143" s="261">
        <f t="shared" si="133"/>
        <v>0</v>
      </c>
      <c r="AV143" s="261">
        <f t="shared" si="134"/>
        <v>0</v>
      </c>
      <c r="AW143" s="261">
        <f t="shared" si="135"/>
        <v>0</v>
      </c>
      <c r="AX143" s="261">
        <f t="shared" si="136"/>
        <v>0</v>
      </c>
      <c r="AY143" s="261">
        <f t="shared" si="137"/>
        <v>0</v>
      </c>
      <c r="AZ143" s="261">
        <f t="shared" si="138"/>
        <v>0</v>
      </c>
      <c r="BA143" s="261">
        <f t="shared" si="139"/>
        <v>0</v>
      </c>
      <c r="BB143" s="261">
        <f t="shared" si="140"/>
        <v>0</v>
      </c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</row>
    <row r="144" spans="1:72" ht="22.5" customHeight="1" x14ac:dyDescent="0.4">
      <c r="A144" s="399"/>
      <c r="B144" s="376">
        <v>136</v>
      </c>
      <c r="C144" s="310">
        <v>44057</v>
      </c>
      <c r="D144" s="229" t="str">
        <f>IFERROR(VLOOKUP(C144,'बँक जमा खर्च पासबुक'!$C$9:$R$111,2,0),"")</f>
        <v/>
      </c>
      <c r="E144" s="229" t="str">
        <f>IFERROR(VLOOKUP(C144,'बँक जमा खर्च पासबुक'!$C$9:$R$111,3,0),"")</f>
        <v/>
      </c>
      <c r="F144" s="229" t="str">
        <f>IFERROR(VLOOKUP(C144,'बँक जमा खर्च पासबुक'!$C$9:$R$111,4,0),"")</f>
        <v/>
      </c>
      <c r="G144" s="229" t="str">
        <f>IFERROR(VLOOKUP(C144,'बँक जमा खर्च पासबुक'!$C$9:$R$111,5,0),"")</f>
        <v/>
      </c>
      <c r="H144" s="229" t="str">
        <f>IFERROR(VLOOKUP(C144,'बँक जमा खर्च पासबुक'!$C$9:$R$111,6,0),"")</f>
        <v/>
      </c>
      <c r="I144" s="229" t="str">
        <f>IFERROR(VLOOKUP(C144,'बँक जमा खर्च पासबुक'!$C$9:$R$111,7,0),"")</f>
        <v/>
      </c>
      <c r="J144" s="233">
        <f>SUMIF('बँक जमा खर्च पासबुक'!$C$9:$C$111,'बँक खर्च व्हाउचर पावती'!C144,'बँक जमा खर्च पासबुक'!$J$9:$J$111)</f>
        <v>0</v>
      </c>
      <c r="K144" s="233">
        <f>SUMIF('बँक जमा खर्च पासबुक'!$C$9:$C$111,'बँक खर्च व्हाउचर पावती'!C144,'बँक जमा खर्च पासबुक'!$K$9:$K$111)</f>
        <v>0</v>
      </c>
      <c r="L144" s="233">
        <f ca="1">SUMIF('बँक जमा खर्च पासबुक'!$C$9:$C$111,'बँक खर्च व्हाउचर पावती'!C144,'बँक जमा खर्च पासबुक'!$L$9:$L$110)</f>
        <v>0</v>
      </c>
      <c r="M144" s="228">
        <f>SUMIF('बँक जमा खर्च पासबुक'!$C$9:$C$111,'बँक खर्च व्हाउचर पावती'!C144,'बँक जमा खर्च पासबुक'!$M$9:$M$111)</f>
        <v>0</v>
      </c>
      <c r="N144" s="233">
        <f t="shared" ca="1" si="127"/>
        <v>3000</v>
      </c>
      <c r="O144" s="228">
        <f t="shared" si="128"/>
        <v>3000</v>
      </c>
      <c r="P144" s="228">
        <f t="shared" ca="1" si="126"/>
        <v>6000</v>
      </c>
      <c r="Q144" s="399"/>
      <c r="AM144" s="380"/>
      <c r="AN144" s="380"/>
      <c r="AO144" s="380">
        <v>3</v>
      </c>
      <c r="AP144" s="261">
        <f>J11</f>
        <v>0</v>
      </c>
      <c r="AQ144" s="261">
        <f t="shared" si="129"/>
        <v>0</v>
      </c>
      <c r="AR144" s="261">
        <f t="shared" si="130"/>
        <v>0</v>
      </c>
      <c r="AS144" s="261">
        <f t="shared" si="131"/>
        <v>0</v>
      </c>
      <c r="AT144" s="261">
        <f t="shared" si="132"/>
        <v>0</v>
      </c>
      <c r="AU144" s="261">
        <f t="shared" si="133"/>
        <v>0</v>
      </c>
      <c r="AV144" s="261">
        <f t="shared" si="134"/>
        <v>0</v>
      </c>
      <c r="AW144" s="261">
        <f t="shared" si="135"/>
        <v>0</v>
      </c>
      <c r="AX144" s="261">
        <f t="shared" si="136"/>
        <v>0</v>
      </c>
      <c r="AY144" s="261">
        <f t="shared" si="137"/>
        <v>0</v>
      </c>
      <c r="AZ144" s="261">
        <f t="shared" si="138"/>
        <v>0</v>
      </c>
      <c r="BA144" s="261">
        <f t="shared" si="139"/>
        <v>0</v>
      </c>
      <c r="BB144" s="261">
        <f t="shared" si="140"/>
        <v>0</v>
      </c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</row>
    <row r="145" spans="1:72" ht="22.5" customHeight="1" x14ac:dyDescent="0.4">
      <c r="A145" s="399"/>
      <c r="B145" s="376">
        <v>137</v>
      </c>
      <c r="C145" s="310">
        <v>44058</v>
      </c>
      <c r="D145" s="229" t="str">
        <f>IFERROR(VLOOKUP(C145,'बँक जमा खर्च पासबुक'!$C$9:$R$111,2,0),"")</f>
        <v/>
      </c>
      <c r="E145" s="229" t="str">
        <f>IFERROR(VLOOKUP(C145,'बँक जमा खर्च पासबुक'!$C$9:$R$111,3,0),"")</f>
        <v/>
      </c>
      <c r="F145" s="229" t="str">
        <f>IFERROR(VLOOKUP(C145,'बँक जमा खर्च पासबुक'!$C$9:$R$111,4,0),"")</f>
        <v/>
      </c>
      <c r="G145" s="229" t="str">
        <f>IFERROR(VLOOKUP(C145,'बँक जमा खर्च पासबुक'!$C$9:$R$111,5,0),"")</f>
        <v/>
      </c>
      <c r="H145" s="229" t="str">
        <f>IFERROR(VLOOKUP(C145,'बँक जमा खर्च पासबुक'!$C$9:$R$111,6,0),"")</f>
        <v/>
      </c>
      <c r="I145" s="229" t="str">
        <f>IFERROR(VLOOKUP(C145,'बँक जमा खर्च पासबुक'!$C$9:$R$111,7,0),"")</f>
        <v/>
      </c>
      <c r="J145" s="233">
        <f>SUMIF('बँक जमा खर्च पासबुक'!$C$9:$C$111,'बँक खर्च व्हाउचर पावती'!C145,'बँक जमा खर्च पासबुक'!$J$9:$J$111)</f>
        <v>0</v>
      </c>
      <c r="K145" s="233">
        <f>SUMIF('बँक जमा खर्च पासबुक'!$C$9:$C$111,'बँक खर्च व्हाउचर पावती'!C145,'बँक जमा खर्च पासबुक'!$K$9:$K$111)</f>
        <v>0</v>
      </c>
      <c r="L145" s="233">
        <f ca="1">SUMIF('बँक जमा खर्च पासबुक'!$C$9:$C$111,'बँक खर्च व्हाउचर पावती'!C145,'बँक जमा खर्च पासबुक'!$L$9:$L$110)</f>
        <v>0</v>
      </c>
      <c r="M145" s="228">
        <f>SUMIF('बँक जमा खर्च पासबुक'!$C$9:$C$111,'बँक खर्च व्हाउचर पावती'!C145,'बँक जमा खर्च पासबुक'!$M$9:$M$111)</f>
        <v>0</v>
      </c>
      <c r="N145" s="233">
        <f t="shared" ca="1" si="127"/>
        <v>3000</v>
      </c>
      <c r="O145" s="228">
        <f t="shared" si="128"/>
        <v>3000</v>
      </c>
      <c r="P145" s="228">
        <f t="shared" ca="1" si="126"/>
        <v>6000</v>
      </c>
      <c r="Q145" s="399"/>
      <c r="AM145" s="380"/>
      <c r="AN145" s="380"/>
      <c r="AO145" s="380">
        <v>4</v>
      </c>
      <c r="AP145" s="261">
        <f>J12</f>
        <v>0</v>
      </c>
      <c r="AQ145" s="261">
        <f t="shared" si="129"/>
        <v>0</v>
      </c>
      <c r="AR145" s="261">
        <f t="shared" si="130"/>
        <v>0</v>
      </c>
      <c r="AS145" s="261">
        <f t="shared" si="131"/>
        <v>0</v>
      </c>
      <c r="AT145" s="261">
        <f t="shared" si="132"/>
        <v>0</v>
      </c>
      <c r="AU145" s="261">
        <f t="shared" si="133"/>
        <v>0</v>
      </c>
      <c r="AV145" s="261">
        <f t="shared" si="134"/>
        <v>0</v>
      </c>
      <c r="AW145" s="261">
        <f t="shared" si="135"/>
        <v>0</v>
      </c>
      <c r="AX145" s="261">
        <f t="shared" si="136"/>
        <v>0</v>
      </c>
      <c r="AY145" s="261">
        <f t="shared" si="137"/>
        <v>0</v>
      </c>
      <c r="AZ145" s="261">
        <f t="shared" si="138"/>
        <v>0</v>
      </c>
      <c r="BA145" s="261">
        <f t="shared" si="139"/>
        <v>0</v>
      </c>
      <c r="BB145" s="261">
        <f t="shared" si="140"/>
        <v>0</v>
      </c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</row>
    <row r="146" spans="1:72" ht="22.5" customHeight="1" x14ac:dyDescent="0.4">
      <c r="A146" s="399"/>
      <c r="B146" s="376">
        <v>138</v>
      </c>
      <c r="C146" s="310">
        <v>44059</v>
      </c>
      <c r="D146" s="229" t="str">
        <f>IFERROR(VLOOKUP(C146,'बँक जमा खर्च पासबुक'!$C$9:$R$111,2,0),"")</f>
        <v/>
      </c>
      <c r="E146" s="229" t="str">
        <f>IFERROR(VLOOKUP(C146,'बँक जमा खर्च पासबुक'!$C$9:$R$111,3,0),"")</f>
        <v/>
      </c>
      <c r="F146" s="229" t="str">
        <f>IFERROR(VLOOKUP(C146,'बँक जमा खर्च पासबुक'!$C$9:$R$111,4,0),"")</f>
        <v/>
      </c>
      <c r="G146" s="229" t="str">
        <f>IFERROR(VLOOKUP(C146,'बँक जमा खर्च पासबुक'!$C$9:$R$111,5,0),"")</f>
        <v/>
      </c>
      <c r="H146" s="229" t="str">
        <f>IFERROR(VLOOKUP(C146,'बँक जमा खर्च पासबुक'!$C$9:$R$111,6,0),"")</f>
        <v/>
      </c>
      <c r="I146" s="229" t="str">
        <f>IFERROR(VLOOKUP(C146,'बँक जमा खर्च पासबुक'!$C$9:$R$111,7,0),"")</f>
        <v/>
      </c>
      <c r="J146" s="233">
        <f>SUMIF('बँक जमा खर्च पासबुक'!$C$9:$C$111,'बँक खर्च व्हाउचर पावती'!C146,'बँक जमा खर्च पासबुक'!$J$9:$J$111)</f>
        <v>0</v>
      </c>
      <c r="K146" s="233">
        <f>SUMIF('बँक जमा खर्च पासबुक'!$C$9:$C$111,'बँक खर्च व्हाउचर पावती'!C146,'बँक जमा खर्च पासबुक'!$K$9:$K$111)</f>
        <v>0</v>
      </c>
      <c r="L146" s="233">
        <f ca="1">SUMIF('बँक जमा खर्च पासबुक'!$C$9:$C$111,'बँक खर्च व्हाउचर पावती'!C146,'बँक जमा खर्च पासबुक'!$L$9:$L$110)</f>
        <v>0</v>
      </c>
      <c r="M146" s="228">
        <f>SUMIF('बँक जमा खर्च पासबुक'!$C$9:$C$111,'बँक खर्च व्हाउचर पावती'!C146,'बँक जमा खर्च पासबुक'!$M$9:$M$111)</f>
        <v>0</v>
      </c>
      <c r="N146" s="233">
        <f t="shared" ca="1" si="127"/>
        <v>3000</v>
      </c>
      <c r="O146" s="228">
        <f t="shared" si="128"/>
        <v>3000</v>
      </c>
      <c r="P146" s="228">
        <f t="shared" ca="1" si="126"/>
        <v>6000</v>
      </c>
      <c r="Q146" s="399"/>
      <c r="AM146" s="380"/>
      <c r="AN146" s="380"/>
      <c r="AO146" s="380">
        <v>5</v>
      </c>
      <c r="AP146" s="261">
        <f>J13</f>
        <v>0</v>
      </c>
      <c r="AQ146" s="261">
        <f t="shared" si="129"/>
        <v>0</v>
      </c>
      <c r="AR146" s="261">
        <f t="shared" si="130"/>
        <v>0</v>
      </c>
      <c r="AS146" s="261">
        <f t="shared" si="131"/>
        <v>0</v>
      </c>
      <c r="AT146" s="261">
        <f t="shared" si="132"/>
        <v>0</v>
      </c>
      <c r="AU146" s="261">
        <f t="shared" si="133"/>
        <v>0</v>
      </c>
      <c r="AV146" s="261">
        <f t="shared" si="134"/>
        <v>0</v>
      </c>
      <c r="AW146" s="261">
        <f t="shared" si="135"/>
        <v>0</v>
      </c>
      <c r="AX146" s="261">
        <f t="shared" si="136"/>
        <v>0</v>
      </c>
      <c r="AY146" s="261">
        <f t="shared" si="137"/>
        <v>0</v>
      </c>
      <c r="AZ146" s="261">
        <f t="shared" si="138"/>
        <v>0</v>
      </c>
      <c r="BA146" s="261">
        <f t="shared" si="139"/>
        <v>0</v>
      </c>
      <c r="BB146" s="261">
        <f t="shared" si="140"/>
        <v>0</v>
      </c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</row>
    <row r="147" spans="1:72" ht="22.5" customHeight="1" x14ac:dyDescent="0.4">
      <c r="A147" s="399"/>
      <c r="B147" s="376">
        <v>139</v>
      </c>
      <c r="C147" s="310">
        <v>44060</v>
      </c>
      <c r="D147" s="229" t="str">
        <f>IFERROR(VLOOKUP(C147,'बँक जमा खर्च पासबुक'!$C$9:$R$111,2,0),"")</f>
        <v/>
      </c>
      <c r="E147" s="229" t="str">
        <f>IFERROR(VLOOKUP(C147,'बँक जमा खर्च पासबुक'!$C$9:$R$111,3,0),"")</f>
        <v/>
      </c>
      <c r="F147" s="229" t="str">
        <f>IFERROR(VLOOKUP(C147,'बँक जमा खर्च पासबुक'!$C$9:$R$111,4,0),"")</f>
        <v/>
      </c>
      <c r="G147" s="229" t="str">
        <f>IFERROR(VLOOKUP(C147,'बँक जमा खर्च पासबुक'!$C$9:$R$111,5,0),"")</f>
        <v/>
      </c>
      <c r="H147" s="229" t="str">
        <f>IFERROR(VLOOKUP(C147,'बँक जमा खर्च पासबुक'!$C$9:$R$111,6,0),"")</f>
        <v/>
      </c>
      <c r="I147" s="229" t="str">
        <f>IFERROR(VLOOKUP(C147,'बँक जमा खर्च पासबुक'!$C$9:$R$111,7,0),"")</f>
        <v/>
      </c>
      <c r="J147" s="233">
        <f>SUMIF('बँक जमा खर्च पासबुक'!$C$9:$C$111,'बँक खर्च व्हाउचर पावती'!C147,'बँक जमा खर्च पासबुक'!$J$9:$J$111)</f>
        <v>0</v>
      </c>
      <c r="K147" s="233">
        <f>SUMIF('बँक जमा खर्च पासबुक'!$C$9:$C$111,'बँक खर्च व्हाउचर पावती'!C147,'बँक जमा खर्च पासबुक'!$K$9:$K$111)</f>
        <v>0</v>
      </c>
      <c r="L147" s="233">
        <f ca="1">SUMIF('बँक जमा खर्च पासबुक'!$C$9:$C$111,'बँक खर्च व्हाउचर पावती'!C147,'बँक जमा खर्च पासबुक'!$L$9:$L$110)</f>
        <v>0</v>
      </c>
      <c r="M147" s="228">
        <f>SUMIF('बँक जमा खर्च पासबुक'!$C$9:$C$111,'बँक खर्च व्हाउचर पावती'!C147,'बँक जमा खर्च पासबुक'!$M$9:$M$111)</f>
        <v>0</v>
      </c>
      <c r="N147" s="233">
        <f t="shared" ca="1" si="127"/>
        <v>3000</v>
      </c>
      <c r="O147" s="228">
        <f t="shared" si="128"/>
        <v>3000</v>
      </c>
      <c r="P147" s="228">
        <f t="shared" ca="1" si="126"/>
        <v>6000</v>
      </c>
      <c r="Q147" s="399"/>
      <c r="AM147" s="380"/>
      <c r="AN147" s="380"/>
      <c r="AO147" s="380">
        <v>6</v>
      </c>
      <c r="AP147" s="261">
        <f t="shared" ref="AP147:AP171" si="141">J14</f>
        <v>0</v>
      </c>
      <c r="AQ147" s="261">
        <f t="shared" si="129"/>
        <v>0</v>
      </c>
      <c r="AR147" s="261">
        <f t="shared" si="130"/>
        <v>0</v>
      </c>
      <c r="AS147" s="261">
        <f t="shared" si="131"/>
        <v>0</v>
      </c>
      <c r="AT147" s="261">
        <f t="shared" si="132"/>
        <v>0</v>
      </c>
      <c r="AU147" s="261">
        <f t="shared" si="133"/>
        <v>0</v>
      </c>
      <c r="AV147" s="261">
        <f t="shared" si="134"/>
        <v>0</v>
      </c>
      <c r="AW147" s="261">
        <f t="shared" si="135"/>
        <v>0</v>
      </c>
      <c r="AX147" s="261">
        <f t="shared" si="136"/>
        <v>0</v>
      </c>
      <c r="AY147" s="261">
        <f t="shared" si="137"/>
        <v>0</v>
      </c>
      <c r="AZ147" s="261">
        <f t="shared" si="138"/>
        <v>0</v>
      </c>
      <c r="BA147" s="261">
        <f t="shared" si="139"/>
        <v>0</v>
      </c>
      <c r="BB147" s="261">
        <f t="shared" si="140"/>
        <v>0</v>
      </c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</row>
    <row r="148" spans="1:72" ht="22.5" customHeight="1" x14ac:dyDescent="0.4">
      <c r="A148" s="399"/>
      <c r="B148" s="376">
        <v>140</v>
      </c>
      <c r="C148" s="310">
        <v>44061</v>
      </c>
      <c r="D148" s="229" t="str">
        <f>IFERROR(VLOOKUP(C148,'बँक जमा खर्च पासबुक'!$C$9:$R$111,2,0),"")</f>
        <v/>
      </c>
      <c r="E148" s="229" t="str">
        <f>IFERROR(VLOOKUP(C148,'बँक जमा खर्च पासबुक'!$C$9:$R$111,3,0),"")</f>
        <v/>
      </c>
      <c r="F148" s="229" t="str">
        <f>IFERROR(VLOOKUP(C148,'बँक जमा खर्च पासबुक'!$C$9:$R$111,4,0),"")</f>
        <v/>
      </c>
      <c r="G148" s="229" t="str">
        <f>IFERROR(VLOOKUP(C148,'बँक जमा खर्च पासबुक'!$C$9:$R$111,5,0),"")</f>
        <v/>
      </c>
      <c r="H148" s="229" t="str">
        <f>IFERROR(VLOOKUP(C148,'बँक जमा खर्च पासबुक'!$C$9:$R$111,6,0),"")</f>
        <v/>
      </c>
      <c r="I148" s="229" t="str">
        <f>IFERROR(VLOOKUP(C148,'बँक जमा खर्च पासबुक'!$C$9:$R$111,7,0),"")</f>
        <v/>
      </c>
      <c r="J148" s="233">
        <f>SUMIF('बँक जमा खर्च पासबुक'!$C$9:$C$111,'बँक खर्च व्हाउचर पावती'!C148,'बँक जमा खर्च पासबुक'!$J$9:$J$111)</f>
        <v>0</v>
      </c>
      <c r="K148" s="233">
        <f>SUMIF('बँक जमा खर्च पासबुक'!$C$9:$C$111,'बँक खर्च व्हाउचर पावती'!C148,'बँक जमा खर्च पासबुक'!$K$9:$K$111)</f>
        <v>0</v>
      </c>
      <c r="L148" s="233">
        <f ca="1">SUMIF('बँक जमा खर्च पासबुक'!$C$9:$C$111,'बँक खर्च व्हाउचर पावती'!C148,'बँक जमा खर्च पासबुक'!$L$9:$L$110)</f>
        <v>0</v>
      </c>
      <c r="M148" s="228">
        <f>SUMIF('बँक जमा खर्च पासबुक'!$C$9:$C$111,'बँक खर्च व्हाउचर पावती'!C148,'बँक जमा खर्च पासबुक'!$M$9:$M$111)</f>
        <v>0</v>
      </c>
      <c r="N148" s="233">
        <f t="shared" ca="1" si="127"/>
        <v>3000</v>
      </c>
      <c r="O148" s="228">
        <f t="shared" si="128"/>
        <v>3000</v>
      </c>
      <c r="P148" s="228">
        <f t="shared" ca="1" si="126"/>
        <v>6000</v>
      </c>
      <c r="Q148" s="399"/>
      <c r="AM148" s="380"/>
      <c r="AN148" s="380"/>
      <c r="AO148" s="380">
        <v>7</v>
      </c>
      <c r="AP148" s="261">
        <f t="shared" si="141"/>
        <v>0</v>
      </c>
      <c r="AQ148" s="261">
        <f t="shared" si="129"/>
        <v>0</v>
      </c>
      <c r="AR148" s="261">
        <f t="shared" si="130"/>
        <v>0</v>
      </c>
      <c r="AS148" s="261">
        <f t="shared" si="131"/>
        <v>0</v>
      </c>
      <c r="AT148" s="261">
        <f t="shared" si="132"/>
        <v>0</v>
      </c>
      <c r="AU148" s="261">
        <f t="shared" si="133"/>
        <v>0</v>
      </c>
      <c r="AV148" s="261">
        <f t="shared" si="134"/>
        <v>0</v>
      </c>
      <c r="AW148" s="261">
        <f t="shared" si="135"/>
        <v>0</v>
      </c>
      <c r="AX148" s="261">
        <f t="shared" si="136"/>
        <v>0</v>
      </c>
      <c r="AY148" s="261">
        <f t="shared" si="137"/>
        <v>0</v>
      </c>
      <c r="AZ148" s="261">
        <f t="shared" si="138"/>
        <v>0</v>
      </c>
      <c r="BA148" s="261">
        <f t="shared" si="139"/>
        <v>0</v>
      </c>
      <c r="BB148" s="261">
        <f t="shared" si="140"/>
        <v>0</v>
      </c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</row>
    <row r="149" spans="1:72" ht="22.5" customHeight="1" x14ac:dyDescent="0.4">
      <c r="A149" s="399"/>
      <c r="B149" s="376">
        <v>141</v>
      </c>
      <c r="C149" s="310">
        <v>44062</v>
      </c>
      <c r="D149" s="229" t="str">
        <f>IFERROR(VLOOKUP(C149,'बँक जमा खर्च पासबुक'!$C$9:$R$111,2,0),"")</f>
        <v/>
      </c>
      <c r="E149" s="229" t="str">
        <f>IFERROR(VLOOKUP(C149,'बँक जमा खर्च पासबुक'!$C$9:$R$111,3,0),"")</f>
        <v/>
      </c>
      <c r="F149" s="229" t="str">
        <f>IFERROR(VLOOKUP(C149,'बँक जमा खर्च पासबुक'!$C$9:$R$111,4,0),"")</f>
        <v/>
      </c>
      <c r="G149" s="229" t="str">
        <f>IFERROR(VLOOKUP(C149,'बँक जमा खर्च पासबुक'!$C$9:$R$111,5,0),"")</f>
        <v/>
      </c>
      <c r="H149" s="229" t="str">
        <f>IFERROR(VLOOKUP(C149,'बँक जमा खर्च पासबुक'!$C$9:$R$111,6,0),"")</f>
        <v/>
      </c>
      <c r="I149" s="229" t="str">
        <f>IFERROR(VLOOKUP(C149,'बँक जमा खर्च पासबुक'!$C$9:$R$111,7,0),"")</f>
        <v/>
      </c>
      <c r="J149" s="233">
        <f>SUMIF('बँक जमा खर्च पासबुक'!$C$9:$C$111,'बँक खर्च व्हाउचर पावती'!C149,'बँक जमा खर्च पासबुक'!$J$9:$J$111)</f>
        <v>0</v>
      </c>
      <c r="K149" s="233">
        <f>SUMIF('बँक जमा खर्च पासबुक'!$C$9:$C$111,'बँक खर्च व्हाउचर पावती'!C149,'बँक जमा खर्च पासबुक'!$K$9:$K$111)</f>
        <v>0</v>
      </c>
      <c r="L149" s="233">
        <f ca="1">SUMIF('बँक जमा खर्च पासबुक'!$C$9:$C$111,'बँक खर्च व्हाउचर पावती'!C149,'बँक जमा खर्च पासबुक'!$L$9:$L$110)</f>
        <v>0</v>
      </c>
      <c r="M149" s="228">
        <f>SUMIF('बँक जमा खर्च पासबुक'!$C$9:$C$111,'बँक खर्च व्हाउचर पावती'!C149,'बँक जमा खर्च पासबुक'!$M$9:$M$111)</f>
        <v>0</v>
      </c>
      <c r="N149" s="233">
        <f t="shared" ca="1" si="127"/>
        <v>3000</v>
      </c>
      <c r="O149" s="228">
        <f t="shared" si="128"/>
        <v>3000</v>
      </c>
      <c r="P149" s="228">
        <f t="shared" ca="1" si="126"/>
        <v>6000</v>
      </c>
      <c r="Q149" s="399"/>
      <c r="AM149" s="380"/>
      <c r="AN149" s="380"/>
      <c r="AO149" s="380">
        <v>8</v>
      </c>
      <c r="AP149" s="261">
        <f t="shared" si="141"/>
        <v>0</v>
      </c>
      <c r="AQ149" s="261">
        <f t="shared" si="129"/>
        <v>0</v>
      </c>
      <c r="AR149" s="261">
        <f t="shared" si="130"/>
        <v>0</v>
      </c>
      <c r="AS149" s="261">
        <f t="shared" si="131"/>
        <v>0</v>
      </c>
      <c r="AT149" s="261">
        <f t="shared" si="132"/>
        <v>0</v>
      </c>
      <c r="AU149" s="261">
        <f t="shared" si="133"/>
        <v>0</v>
      </c>
      <c r="AV149" s="261">
        <f t="shared" si="134"/>
        <v>0</v>
      </c>
      <c r="AW149" s="261">
        <f t="shared" si="135"/>
        <v>0</v>
      </c>
      <c r="AX149" s="261">
        <f t="shared" si="136"/>
        <v>0</v>
      </c>
      <c r="AY149" s="261">
        <f t="shared" si="137"/>
        <v>0</v>
      </c>
      <c r="AZ149" s="261">
        <f t="shared" si="138"/>
        <v>0</v>
      </c>
      <c r="BA149" s="261">
        <f t="shared" si="139"/>
        <v>0</v>
      </c>
      <c r="BB149" s="261">
        <f t="shared" si="140"/>
        <v>0</v>
      </c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</row>
    <row r="150" spans="1:72" ht="22.5" customHeight="1" x14ac:dyDescent="0.4">
      <c r="A150" s="399"/>
      <c r="B150" s="376">
        <v>142</v>
      </c>
      <c r="C150" s="310">
        <v>44063</v>
      </c>
      <c r="D150" s="229" t="str">
        <f>IFERROR(VLOOKUP(C150,'बँक जमा खर्च पासबुक'!$C$9:$R$111,2,0),"")</f>
        <v/>
      </c>
      <c r="E150" s="229" t="str">
        <f>IFERROR(VLOOKUP(C150,'बँक जमा खर्च पासबुक'!$C$9:$R$111,3,0),"")</f>
        <v/>
      </c>
      <c r="F150" s="229" t="str">
        <f>IFERROR(VLOOKUP(C150,'बँक जमा खर्च पासबुक'!$C$9:$R$111,4,0),"")</f>
        <v/>
      </c>
      <c r="G150" s="229" t="str">
        <f>IFERROR(VLOOKUP(C150,'बँक जमा खर्च पासबुक'!$C$9:$R$111,5,0),"")</f>
        <v/>
      </c>
      <c r="H150" s="229" t="str">
        <f>IFERROR(VLOOKUP(C150,'बँक जमा खर्च पासबुक'!$C$9:$R$111,6,0),"")</f>
        <v/>
      </c>
      <c r="I150" s="229" t="str">
        <f>IFERROR(VLOOKUP(C150,'बँक जमा खर्च पासबुक'!$C$9:$R$111,7,0),"")</f>
        <v/>
      </c>
      <c r="J150" s="233">
        <f>SUMIF('बँक जमा खर्च पासबुक'!$C$9:$C$111,'बँक खर्च व्हाउचर पावती'!C150,'बँक जमा खर्च पासबुक'!$J$9:$J$111)</f>
        <v>0</v>
      </c>
      <c r="K150" s="233">
        <f>SUMIF('बँक जमा खर्च पासबुक'!$C$9:$C$111,'बँक खर्च व्हाउचर पावती'!C150,'बँक जमा खर्च पासबुक'!$K$9:$K$111)</f>
        <v>0</v>
      </c>
      <c r="L150" s="233">
        <f ca="1">SUMIF('बँक जमा खर्च पासबुक'!$C$9:$C$111,'बँक खर्च व्हाउचर पावती'!C150,'बँक जमा खर्च पासबुक'!$L$9:$L$110)</f>
        <v>0</v>
      </c>
      <c r="M150" s="228">
        <f>SUMIF('बँक जमा खर्च पासबुक'!$C$9:$C$111,'बँक खर्च व्हाउचर पावती'!C150,'बँक जमा खर्च पासबुक'!$M$9:$M$111)</f>
        <v>0</v>
      </c>
      <c r="N150" s="233">
        <f t="shared" ca="1" si="127"/>
        <v>3000</v>
      </c>
      <c r="O150" s="228">
        <f t="shared" si="128"/>
        <v>3000</v>
      </c>
      <c r="P150" s="228">
        <f t="shared" ca="1" si="126"/>
        <v>6000</v>
      </c>
      <c r="Q150" s="399"/>
      <c r="AM150" s="380"/>
      <c r="AN150" s="380"/>
      <c r="AO150" s="380">
        <v>9</v>
      </c>
      <c r="AP150" s="261">
        <f t="shared" si="141"/>
        <v>0</v>
      </c>
      <c r="AQ150" s="261">
        <f t="shared" si="129"/>
        <v>0</v>
      </c>
      <c r="AR150" s="261">
        <f t="shared" si="130"/>
        <v>0</v>
      </c>
      <c r="AS150" s="261">
        <f t="shared" si="131"/>
        <v>0</v>
      </c>
      <c r="AT150" s="261">
        <f t="shared" si="132"/>
        <v>0</v>
      </c>
      <c r="AU150" s="261">
        <f t="shared" si="133"/>
        <v>0</v>
      </c>
      <c r="AV150" s="261">
        <f t="shared" si="134"/>
        <v>0</v>
      </c>
      <c r="AW150" s="261">
        <f t="shared" si="135"/>
        <v>0</v>
      </c>
      <c r="AX150" s="261">
        <f t="shared" si="136"/>
        <v>0</v>
      </c>
      <c r="AY150" s="261">
        <f t="shared" si="137"/>
        <v>0</v>
      </c>
      <c r="AZ150" s="261">
        <f t="shared" si="138"/>
        <v>0</v>
      </c>
      <c r="BA150" s="261">
        <f t="shared" si="139"/>
        <v>0</v>
      </c>
      <c r="BB150" s="261">
        <f t="shared" si="140"/>
        <v>0</v>
      </c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</row>
    <row r="151" spans="1:72" ht="22.5" customHeight="1" x14ac:dyDescent="0.4">
      <c r="A151" s="399"/>
      <c r="B151" s="376">
        <v>143</v>
      </c>
      <c r="C151" s="310">
        <v>44064</v>
      </c>
      <c r="D151" s="229" t="str">
        <f>IFERROR(VLOOKUP(C151,'बँक जमा खर्च पासबुक'!$C$9:$R$111,2,0),"")</f>
        <v/>
      </c>
      <c r="E151" s="229" t="str">
        <f>IFERROR(VLOOKUP(C151,'बँक जमा खर्च पासबुक'!$C$9:$R$111,3,0),"")</f>
        <v/>
      </c>
      <c r="F151" s="229" t="str">
        <f>IFERROR(VLOOKUP(C151,'बँक जमा खर्च पासबुक'!$C$9:$R$111,4,0),"")</f>
        <v/>
      </c>
      <c r="G151" s="229" t="str">
        <f>IFERROR(VLOOKUP(C151,'बँक जमा खर्च पासबुक'!$C$9:$R$111,5,0),"")</f>
        <v/>
      </c>
      <c r="H151" s="229" t="str">
        <f>IFERROR(VLOOKUP(C151,'बँक जमा खर्च पासबुक'!$C$9:$R$111,6,0),"")</f>
        <v/>
      </c>
      <c r="I151" s="229" t="str">
        <f>IFERROR(VLOOKUP(C151,'बँक जमा खर्च पासबुक'!$C$9:$R$111,7,0),"")</f>
        <v/>
      </c>
      <c r="J151" s="233">
        <f>SUMIF('बँक जमा खर्च पासबुक'!$C$9:$C$111,'बँक खर्च व्हाउचर पावती'!C151,'बँक जमा खर्च पासबुक'!$J$9:$J$111)</f>
        <v>0</v>
      </c>
      <c r="K151" s="233">
        <f>SUMIF('बँक जमा खर्च पासबुक'!$C$9:$C$111,'बँक खर्च व्हाउचर पावती'!C151,'बँक जमा खर्च पासबुक'!$K$9:$K$111)</f>
        <v>0</v>
      </c>
      <c r="L151" s="233">
        <f ca="1">SUMIF('बँक जमा खर्च पासबुक'!$C$9:$C$111,'बँक खर्च व्हाउचर पावती'!C151,'बँक जमा खर्च पासबुक'!$L$9:$L$110)</f>
        <v>0</v>
      </c>
      <c r="M151" s="228">
        <f>SUMIF('बँक जमा खर्च पासबुक'!$C$9:$C$111,'बँक खर्च व्हाउचर पावती'!C151,'बँक जमा खर्च पासबुक'!$M$9:$M$111)</f>
        <v>0</v>
      </c>
      <c r="N151" s="233">
        <f t="shared" ca="1" si="127"/>
        <v>3000</v>
      </c>
      <c r="O151" s="228">
        <f t="shared" si="128"/>
        <v>3000</v>
      </c>
      <c r="P151" s="228">
        <f t="shared" ca="1" si="126"/>
        <v>6000</v>
      </c>
      <c r="Q151" s="399"/>
      <c r="AM151" s="380"/>
      <c r="AN151" s="380"/>
      <c r="AO151" s="380">
        <v>10</v>
      </c>
      <c r="AP151" s="261">
        <f t="shared" si="141"/>
        <v>0</v>
      </c>
      <c r="AQ151" s="261">
        <f t="shared" si="129"/>
        <v>0</v>
      </c>
      <c r="AR151" s="261">
        <f t="shared" si="130"/>
        <v>0</v>
      </c>
      <c r="AS151" s="261">
        <f t="shared" si="131"/>
        <v>0</v>
      </c>
      <c r="AT151" s="261">
        <f t="shared" si="132"/>
        <v>0</v>
      </c>
      <c r="AU151" s="261">
        <f t="shared" si="133"/>
        <v>0</v>
      </c>
      <c r="AV151" s="261">
        <f t="shared" si="134"/>
        <v>0</v>
      </c>
      <c r="AW151" s="261">
        <f t="shared" si="135"/>
        <v>0</v>
      </c>
      <c r="AX151" s="261">
        <f t="shared" si="136"/>
        <v>0</v>
      </c>
      <c r="AY151" s="261">
        <f t="shared" si="137"/>
        <v>0</v>
      </c>
      <c r="AZ151" s="261">
        <f t="shared" si="138"/>
        <v>0</v>
      </c>
      <c r="BA151" s="261">
        <f t="shared" si="139"/>
        <v>0</v>
      </c>
      <c r="BB151" s="261">
        <f t="shared" si="140"/>
        <v>0</v>
      </c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</row>
    <row r="152" spans="1:72" ht="22.5" customHeight="1" x14ac:dyDescent="0.4">
      <c r="A152" s="399"/>
      <c r="B152" s="376">
        <v>144</v>
      </c>
      <c r="C152" s="310">
        <v>44065</v>
      </c>
      <c r="D152" s="229" t="str">
        <f>IFERROR(VLOOKUP(C152,'बँक जमा खर्च पासबुक'!$C$9:$R$111,2,0),"")</f>
        <v/>
      </c>
      <c r="E152" s="229" t="str">
        <f>IFERROR(VLOOKUP(C152,'बँक जमा खर्च पासबुक'!$C$9:$R$111,3,0),"")</f>
        <v/>
      </c>
      <c r="F152" s="229" t="str">
        <f>IFERROR(VLOOKUP(C152,'बँक जमा खर्च पासबुक'!$C$9:$R$111,4,0),"")</f>
        <v/>
      </c>
      <c r="G152" s="229" t="str">
        <f>IFERROR(VLOOKUP(C152,'बँक जमा खर्च पासबुक'!$C$9:$R$111,5,0),"")</f>
        <v/>
      </c>
      <c r="H152" s="229" t="str">
        <f>IFERROR(VLOOKUP(C152,'बँक जमा खर्च पासबुक'!$C$9:$R$111,6,0),"")</f>
        <v/>
      </c>
      <c r="I152" s="229" t="str">
        <f>IFERROR(VLOOKUP(C152,'बँक जमा खर्च पासबुक'!$C$9:$R$111,7,0),"")</f>
        <v/>
      </c>
      <c r="J152" s="233">
        <f>SUMIF('बँक जमा खर्च पासबुक'!$C$9:$C$111,'बँक खर्च व्हाउचर पावती'!C152,'बँक जमा खर्च पासबुक'!$J$9:$J$111)</f>
        <v>0</v>
      </c>
      <c r="K152" s="233">
        <f>SUMIF('बँक जमा खर्च पासबुक'!$C$9:$C$111,'बँक खर्च व्हाउचर पावती'!C152,'बँक जमा खर्च पासबुक'!$K$9:$K$111)</f>
        <v>0</v>
      </c>
      <c r="L152" s="233">
        <f ca="1">SUMIF('बँक जमा खर्च पासबुक'!$C$9:$C$111,'बँक खर्च व्हाउचर पावती'!C152,'बँक जमा खर्च पासबुक'!$L$9:$L$110)</f>
        <v>0</v>
      </c>
      <c r="M152" s="228">
        <f>SUMIF('बँक जमा खर्च पासबुक'!$C$9:$C$111,'बँक खर्च व्हाउचर पावती'!C152,'बँक जमा खर्च पासबुक'!$M$9:$M$111)</f>
        <v>0</v>
      </c>
      <c r="N152" s="233">
        <f t="shared" ca="1" si="127"/>
        <v>3000</v>
      </c>
      <c r="O152" s="228">
        <f t="shared" si="128"/>
        <v>3000</v>
      </c>
      <c r="P152" s="228">
        <f t="shared" ca="1" si="126"/>
        <v>6000</v>
      </c>
      <c r="Q152" s="399"/>
      <c r="AM152" s="380"/>
      <c r="AN152" s="380"/>
      <c r="AO152" s="380">
        <v>11</v>
      </c>
      <c r="AP152" s="261">
        <f t="shared" si="141"/>
        <v>0</v>
      </c>
      <c r="AQ152" s="261">
        <f t="shared" si="129"/>
        <v>0</v>
      </c>
      <c r="AR152" s="261">
        <f t="shared" si="130"/>
        <v>0</v>
      </c>
      <c r="AS152" s="261">
        <f t="shared" si="131"/>
        <v>0</v>
      </c>
      <c r="AT152" s="261">
        <f t="shared" si="132"/>
        <v>0</v>
      </c>
      <c r="AU152" s="261">
        <f t="shared" si="133"/>
        <v>0</v>
      </c>
      <c r="AV152" s="261">
        <f t="shared" si="134"/>
        <v>0</v>
      </c>
      <c r="AW152" s="261">
        <f t="shared" si="135"/>
        <v>0</v>
      </c>
      <c r="AX152" s="261">
        <f t="shared" si="136"/>
        <v>0</v>
      </c>
      <c r="AY152" s="261">
        <f t="shared" si="137"/>
        <v>0</v>
      </c>
      <c r="AZ152" s="261">
        <f t="shared" si="138"/>
        <v>0</v>
      </c>
      <c r="BA152" s="261">
        <f t="shared" si="139"/>
        <v>0</v>
      </c>
      <c r="BB152" s="261">
        <f t="shared" si="140"/>
        <v>0</v>
      </c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</row>
    <row r="153" spans="1:72" ht="22.5" customHeight="1" x14ac:dyDescent="0.4">
      <c r="A153" s="399"/>
      <c r="B153" s="376">
        <v>145</v>
      </c>
      <c r="C153" s="310">
        <v>44066</v>
      </c>
      <c r="D153" s="229" t="str">
        <f>IFERROR(VLOOKUP(C153,'बँक जमा खर्च पासबुक'!$C$9:$R$111,2,0),"")</f>
        <v/>
      </c>
      <c r="E153" s="229" t="str">
        <f>IFERROR(VLOOKUP(C153,'बँक जमा खर्च पासबुक'!$C$9:$R$111,3,0),"")</f>
        <v/>
      </c>
      <c r="F153" s="229" t="str">
        <f>IFERROR(VLOOKUP(C153,'बँक जमा खर्च पासबुक'!$C$9:$R$111,4,0),"")</f>
        <v/>
      </c>
      <c r="G153" s="229" t="str">
        <f>IFERROR(VLOOKUP(C153,'बँक जमा खर्च पासबुक'!$C$9:$R$111,5,0),"")</f>
        <v/>
      </c>
      <c r="H153" s="229" t="str">
        <f>IFERROR(VLOOKUP(C153,'बँक जमा खर्च पासबुक'!$C$9:$R$111,6,0),"")</f>
        <v/>
      </c>
      <c r="I153" s="229" t="str">
        <f>IFERROR(VLOOKUP(C153,'बँक जमा खर्च पासबुक'!$C$9:$R$111,7,0),"")</f>
        <v/>
      </c>
      <c r="J153" s="233">
        <f>SUMIF('बँक जमा खर्च पासबुक'!$C$9:$C$111,'बँक खर्च व्हाउचर पावती'!C153,'बँक जमा खर्च पासबुक'!$J$9:$J$111)</f>
        <v>0</v>
      </c>
      <c r="K153" s="233">
        <f>SUMIF('बँक जमा खर्च पासबुक'!$C$9:$C$111,'बँक खर्च व्हाउचर पावती'!C153,'बँक जमा खर्च पासबुक'!$K$9:$K$111)</f>
        <v>0</v>
      </c>
      <c r="L153" s="233">
        <f ca="1">SUMIF('बँक जमा खर्च पासबुक'!$C$9:$C$111,'बँक खर्च व्हाउचर पावती'!C153,'बँक जमा खर्च पासबुक'!$L$9:$L$110)</f>
        <v>0</v>
      </c>
      <c r="M153" s="228">
        <f>SUMIF('बँक जमा खर्च पासबुक'!$C$9:$C$111,'बँक खर्च व्हाउचर पावती'!C153,'बँक जमा खर्च पासबुक'!$M$9:$M$111)</f>
        <v>0</v>
      </c>
      <c r="N153" s="233">
        <f t="shared" ca="1" si="127"/>
        <v>3000</v>
      </c>
      <c r="O153" s="228">
        <f t="shared" si="128"/>
        <v>3000</v>
      </c>
      <c r="P153" s="228">
        <f t="shared" ca="1" si="126"/>
        <v>6000</v>
      </c>
      <c r="Q153" s="399"/>
      <c r="AM153" s="380"/>
      <c r="AN153" s="380"/>
      <c r="AO153" s="380">
        <v>12</v>
      </c>
      <c r="AP153" s="261">
        <f t="shared" si="141"/>
        <v>0</v>
      </c>
      <c r="AQ153" s="261">
        <f t="shared" si="129"/>
        <v>0</v>
      </c>
      <c r="AR153" s="261">
        <f t="shared" si="130"/>
        <v>0</v>
      </c>
      <c r="AS153" s="261">
        <f t="shared" si="131"/>
        <v>0</v>
      </c>
      <c r="AT153" s="261">
        <f t="shared" si="132"/>
        <v>0</v>
      </c>
      <c r="AU153" s="261">
        <f t="shared" si="133"/>
        <v>0</v>
      </c>
      <c r="AV153" s="261">
        <f t="shared" si="134"/>
        <v>0</v>
      </c>
      <c r="AW153" s="261">
        <f t="shared" si="135"/>
        <v>0</v>
      </c>
      <c r="AX153" s="261">
        <f t="shared" si="136"/>
        <v>0</v>
      </c>
      <c r="AY153" s="261">
        <f t="shared" si="137"/>
        <v>0</v>
      </c>
      <c r="AZ153" s="261">
        <f t="shared" si="138"/>
        <v>0</v>
      </c>
      <c r="BA153" s="261">
        <f t="shared" si="139"/>
        <v>0</v>
      </c>
      <c r="BB153" s="261">
        <f t="shared" si="140"/>
        <v>0</v>
      </c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</row>
    <row r="154" spans="1:72" ht="22.5" customHeight="1" x14ac:dyDescent="0.4">
      <c r="A154" s="399"/>
      <c r="B154" s="376">
        <v>146</v>
      </c>
      <c r="C154" s="310">
        <v>44067</v>
      </c>
      <c r="D154" s="229" t="str">
        <f>IFERROR(VLOOKUP(C154,'बँक जमा खर्च पासबुक'!$C$9:$R$111,2,0),"")</f>
        <v/>
      </c>
      <c r="E154" s="229" t="str">
        <f>IFERROR(VLOOKUP(C154,'बँक जमा खर्च पासबुक'!$C$9:$R$111,3,0),"")</f>
        <v/>
      </c>
      <c r="F154" s="229" t="str">
        <f>IFERROR(VLOOKUP(C154,'बँक जमा खर्च पासबुक'!$C$9:$R$111,4,0),"")</f>
        <v/>
      </c>
      <c r="G154" s="229" t="str">
        <f>IFERROR(VLOOKUP(C154,'बँक जमा खर्च पासबुक'!$C$9:$R$111,5,0),"")</f>
        <v/>
      </c>
      <c r="H154" s="229" t="str">
        <f>IFERROR(VLOOKUP(C154,'बँक जमा खर्च पासबुक'!$C$9:$R$111,6,0),"")</f>
        <v/>
      </c>
      <c r="I154" s="229" t="str">
        <f>IFERROR(VLOOKUP(C154,'बँक जमा खर्च पासबुक'!$C$9:$R$111,7,0),"")</f>
        <v/>
      </c>
      <c r="J154" s="233">
        <f>SUMIF('बँक जमा खर्च पासबुक'!$C$9:$C$111,'बँक खर्च व्हाउचर पावती'!C154,'बँक जमा खर्च पासबुक'!$J$9:$J$111)</f>
        <v>0</v>
      </c>
      <c r="K154" s="233">
        <f>SUMIF('बँक जमा खर्च पासबुक'!$C$9:$C$111,'बँक खर्च व्हाउचर पावती'!C154,'बँक जमा खर्च पासबुक'!$K$9:$K$111)</f>
        <v>0</v>
      </c>
      <c r="L154" s="233">
        <f ca="1">SUMIF('बँक जमा खर्च पासबुक'!$C$9:$C$111,'बँक खर्च व्हाउचर पावती'!C154,'बँक जमा खर्च पासबुक'!$L$9:$L$110)</f>
        <v>0</v>
      </c>
      <c r="M154" s="228">
        <f>SUMIF('बँक जमा खर्च पासबुक'!$C$9:$C$111,'बँक खर्च व्हाउचर पावती'!C154,'बँक जमा खर्च पासबुक'!$M$9:$M$111)</f>
        <v>0</v>
      </c>
      <c r="N154" s="233">
        <f t="shared" ca="1" si="127"/>
        <v>3000</v>
      </c>
      <c r="O154" s="228">
        <f t="shared" si="128"/>
        <v>3000</v>
      </c>
      <c r="P154" s="228">
        <f t="shared" ca="1" si="126"/>
        <v>6000</v>
      </c>
      <c r="Q154" s="399"/>
      <c r="AM154" s="380"/>
      <c r="AN154" s="380"/>
      <c r="AO154" s="380">
        <v>13</v>
      </c>
      <c r="AP154" s="261">
        <f t="shared" si="141"/>
        <v>0</v>
      </c>
      <c r="AQ154" s="261">
        <f t="shared" si="129"/>
        <v>0</v>
      </c>
      <c r="AR154" s="261">
        <f t="shared" si="130"/>
        <v>0</v>
      </c>
      <c r="AS154" s="261">
        <f t="shared" si="131"/>
        <v>0</v>
      </c>
      <c r="AT154" s="261">
        <f t="shared" si="132"/>
        <v>0</v>
      </c>
      <c r="AU154" s="261">
        <f t="shared" si="133"/>
        <v>0</v>
      </c>
      <c r="AV154" s="261">
        <f t="shared" si="134"/>
        <v>0</v>
      </c>
      <c r="AW154" s="261">
        <f t="shared" si="135"/>
        <v>0</v>
      </c>
      <c r="AX154" s="261">
        <f t="shared" si="136"/>
        <v>0</v>
      </c>
      <c r="AY154" s="261">
        <f t="shared" si="137"/>
        <v>0</v>
      </c>
      <c r="AZ154" s="261">
        <f t="shared" si="138"/>
        <v>0</v>
      </c>
      <c r="BA154" s="261">
        <f t="shared" si="139"/>
        <v>0</v>
      </c>
      <c r="BB154" s="261">
        <f t="shared" si="140"/>
        <v>0</v>
      </c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</row>
    <row r="155" spans="1:72" ht="22.5" customHeight="1" x14ac:dyDescent="0.4">
      <c r="A155" s="399"/>
      <c r="B155" s="376">
        <v>147</v>
      </c>
      <c r="C155" s="310">
        <v>44068</v>
      </c>
      <c r="D155" s="229" t="str">
        <f>IFERROR(VLOOKUP(C155,'बँक जमा खर्च पासबुक'!$C$9:$R$111,2,0),"")</f>
        <v/>
      </c>
      <c r="E155" s="229" t="str">
        <f>IFERROR(VLOOKUP(C155,'बँक जमा खर्च पासबुक'!$C$9:$R$111,3,0),"")</f>
        <v/>
      </c>
      <c r="F155" s="229" t="str">
        <f>IFERROR(VLOOKUP(C155,'बँक जमा खर्च पासबुक'!$C$9:$R$111,4,0),"")</f>
        <v/>
      </c>
      <c r="G155" s="229" t="str">
        <f>IFERROR(VLOOKUP(C155,'बँक जमा खर्च पासबुक'!$C$9:$R$111,5,0),"")</f>
        <v/>
      </c>
      <c r="H155" s="229" t="str">
        <f>IFERROR(VLOOKUP(C155,'बँक जमा खर्च पासबुक'!$C$9:$R$111,6,0),"")</f>
        <v/>
      </c>
      <c r="I155" s="229" t="str">
        <f>IFERROR(VLOOKUP(C155,'बँक जमा खर्च पासबुक'!$C$9:$R$111,7,0),"")</f>
        <v/>
      </c>
      <c r="J155" s="233">
        <f>SUMIF('बँक जमा खर्च पासबुक'!$C$9:$C$111,'बँक खर्च व्हाउचर पावती'!C155,'बँक जमा खर्च पासबुक'!$J$9:$J$111)</f>
        <v>0</v>
      </c>
      <c r="K155" s="233">
        <f>SUMIF('बँक जमा खर्च पासबुक'!$C$9:$C$111,'बँक खर्च व्हाउचर पावती'!C155,'बँक जमा खर्च पासबुक'!$K$9:$K$111)</f>
        <v>0</v>
      </c>
      <c r="L155" s="233">
        <f ca="1">SUMIF('बँक जमा खर्च पासबुक'!$C$9:$C$111,'बँक खर्च व्हाउचर पावती'!C155,'बँक जमा खर्च पासबुक'!$L$9:$L$110)</f>
        <v>0</v>
      </c>
      <c r="M155" s="228">
        <f>SUMIF('बँक जमा खर्च पासबुक'!$C$9:$C$111,'बँक खर्च व्हाउचर पावती'!C155,'बँक जमा खर्च पासबुक'!$M$9:$M$111)</f>
        <v>0</v>
      </c>
      <c r="N155" s="233">
        <f t="shared" ca="1" si="127"/>
        <v>3000</v>
      </c>
      <c r="O155" s="228">
        <f t="shared" si="128"/>
        <v>3000</v>
      </c>
      <c r="P155" s="228">
        <f t="shared" ca="1" si="126"/>
        <v>6000</v>
      </c>
      <c r="Q155" s="399"/>
      <c r="AM155" s="380"/>
      <c r="AN155" s="380"/>
      <c r="AO155" s="380">
        <v>14</v>
      </c>
      <c r="AP155" s="261">
        <f t="shared" si="141"/>
        <v>0</v>
      </c>
      <c r="AQ155" s="261">
        <f t="shared" si="129"/>
        <v>0</v>
      </c>
      <c r="AR155" s="261">
        <f t="shared" si="130"/>
        <v>0</v>
      </c>
      <c r="AS155" s="261">
        <f t="shared" si="131"/>
        <v>0</v>
      </c>
      <c r="AT155" s="261">
        <f t="shared" si="132"/>
        <v>0</v>
      </c>
      <c r="AU155" s="261">
        <f t="shared" si="133"/>
        <v>0</v>
      </c>
      <c r="AV155" s="261">
        <f t="shared" si="134"/>
        <v>0</v>
      </c>
      <c r="AW155" s="261">
        <f t="shared" si="135"/>
        <v>0</v>
      </c>
      <c r="AX155" s="261">
        <f t="shared" si="136"/>
        <v>0</v>
      </c>
      <c r="AY155" s="261">
        <f t="shared" si="137"/>
        <v>0</v>
      </c>
      <c r="AZ155" s="261">
        <f t="shared" si="138"/>
        <v>0</v>
      </c>
      <c r="BA155" s="261">
        <f t="shared" si="139"/>
        <v>0</v>
      </c>
      <c r="BB155" s="261">
        <f t="shared" si="140"/>
        <v>0</v>
      </c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</row>
    <row r="156" spans="1:72" ht="22.5" customHeight="1" x14ac:dyDescent="0.4">
      <c r="A156" s="399"/>
      <c r="B156" s="376">
        <v>148</v>
      </c>
      <c r="C156" s="310">
        <v>44069</v>
      </c>
      <c r="D156" s="229" t="str">
        <f>IFERROR(VLOOKUP(C156,'बँक जमा खर्च पासबुक'!$C$9:$R$111,2,0),"")</f>
        <v/>
      </c>
      <c r="E156" s="229" t="str">
        <f>IFERROR(VLOOKUP(C156,'बँक जमा खर्च पासबुक'!$C$9:$R$111,3,0),"")</f>
        <v/>
      </c>
      <c r="F156" s="229" t="str">
        <f>IFERROR(VLOOKUP(C156,'बँक जमा खर्च पासबुक'!$C$9:$R$111,4,0),"")</f>
        <v/>
      </c>
      <c r="G156" s="229" t="str">
        <f>IFERROR(VLOOKUP(C156,'बँक जमा खर्च पासबुक'!$C$9:$R$111,5,0),"")</f>
        <v/>
      </c>
      <c r="H156" s="229" t="str">
        <f>IFERROR(VLOOKUP(C156,'बँक जमा खर्च पासबुक'!$C$9:$R$111,6,0),"")</f>
        <v/>
      </c>
      <c r="I156" s="229" t="str">
        <f>IFERROR(VLOOKUP(C156,'बँक जमा खर्च पासबुक'!$C$9:$R$111,7,0),"")</f>
        <v/>
      </c>
      <c r="J156" s="233">
        <f>SUMIF('बँक जमा खर्च पासबुक'!$C$9:$C$111,'बँक खर्च व्हाउचर पावती'!C156,'बँक जमा खर्च पासबुक'!$J$9:$J$111)</f>
        <v>0</v>
      </c>
      <c r="K156" s="233">
        <f>SUMIF('बँक जमा खर्च पासबुक'!$C$9:$C$111,'बँक खर्च व्हाउचर पावती'!C156,'बँक जमा खर्च पासबुक'!$K$9:$K$111)</f>
        <v>0</v>
      </c>
      <c r="L156" s="233">
        <f ca="1">SUMIF('बँक जमा खर्च पासबुक'!$C$9:$C$111,'बँक खर्च व्हाउचर पावती'!C156,'बँक जमा खर्च पासबुक'!$L$9:$L$110)</f>
        <v>0</v>
      </c>
      <c r="M156" s="228">
        <f>SUMIF('बँक जमा खर्च पासबुक'!$C$9:$C$111,'बँक खर्च व्हाउचर पावती'!C156,'बँक जमा खर्च पासबुक'!$M$9:$M$111)</f>
        <v>0</v>
      </c>
      <c r="N156" s="233">
        <f t="shared" ca="1" si="127"/>
        <v>3000</v>
      </c>
      <c r="O156" s="228">
        <f t="shared" si="128"/>
        <v>3000</v>
      </c>
      <c r="P156" s="228">
        <f t="shared" ca="1" si="126"/>
        <v>6000</v>
      </c>
      <c r="Q156" s="399"/>
      <c r="AM156" s="380"/>
      <c r="AN156" s="380"/>
      <c r="AO156" s="380">
        <v>15</v>
      </c>
      <c r="AP156" s="261">
        <f t="shared" si="141"/>
        <v>0</v>
      </c>
      <c r="AQ156" s="261">
        <f t="shared" si="129"/>
        <v>0</v>
      </c>
      <c r="AR156" s="261">
        <f t="shared" si="130"/>
        <v>0</v>
      </c>
      <c r="AS156" s="261">
        <f t="shared" si="131"/>
        <v>0</v>
      </c>
      <c r="AT156" s="261">
        <f t="shared" si="132"/>
        <v>0</v>
      </c>
      <c r="AU156" s="261">
        <f t="shared" si="133"/>
        <v>0</v>
      </c>
      <c r="AV156" s="261">
        <f t="shared" si="134"/>
        <v>0</v>
      </c>
      <c r="AW156" s="261">
        <f t="shared" si="135"/>
        <v>0</v>
      </c>
      <c r="AX156" s="261">
        <f t="shared" si="136"/>
        <v>0</v>
      </c>
      <c r="AY156" s="261">
        <f t="shared" si="137"/>
        <v>0</v>
      </c>
      <c r="AZ156" s="261">
        <f t="shared" si="138"/>
        <v>0</v>
      </c>
      <c r="BA156" s="261">
        <f t="shared" si="139"/>
        <v>0</v>
      </c>
      <c r="BB156" s="261">
        <f t="shared" si="140"/>
        <v>0</v>
      </c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</row>
    <row r="157" spans="1:72" ht="22.5" customHeight="1" x14ac:dyDescent="0.4">
      <c r="A157" s="399"/>
      <c r="B157" s="376">
        <v>149</v>
      </c>
      <c r="C157" s="310">
        <v>44070</v>
      </c>
      <c r="D157" s="229" t="str">
        <f>IFERROR(VLOOKUP(C157,'बँक जमा खर्च पासबुक'!$C$9:$R$111,2,0),"")</f>
        <v/>
      </c>
      <c r="E157" s="229" t="str">
        <f>IFERROR(VLOOKUP(C157,'बँक जमा खर्च पासबुक'!$C$9:$R$111,3,0),"")</f>
        <v/>
      </c>
      <c r="F157" s="229" t="str">
        <f>IFERROR(VLOOKUP(C157,'बँक जमा खर्च पासबुक'!$C$9:$R$111,4,0),"")</f>
        <v/>
      </c>
      <c r="G157" s="229" t="str">
        <f>IFERROR(VLOOKUP(C157,'बँक जमा खर्च पासबुक'!$C$9:$R$111,5,0),"")</f>
        <v/>
      </c>
      <c r="H157" s="229" t="str">
        <f>IFERROR(VLOOKUP(C157,'बँक जमा खर्च पासबुक'!$C$9:$R$111,6,0),"")</f>
        <v/>
      </c>
      <c r="I157" s="229" t="str">
        <f>IFERROR(VLOOKUP(C157,'बँक जमा खर्च पासबुक'!$C$9:$R$111,7,0),"")</f>
        <v/>
      </c>
      <c r="J157" s="233">
        <f>SUMIF('बँक जमा खर्च पासबुक'!$C$9:$C$111,'बँक खर्च व्हाउचर पावती'!C157,'बँक जमा खर्च पासबुक'!$J$9:$J$111)</f>
        <v>0</v>
      </c>
      <c r="K157" s="233">
        <f>SUMIF('बँक जमा खर्च पासबुक'!$C$9:$C$111,'बँक खर्च व्हाउचर पावती'!C157,'बँक जमा खर्च पासबुक'!$K$9:$K$111)</f>
        <v>0</v>
      </c>
      <c r="L157" s="233">
        <f ca="1">SUMIF('बँक जमा खर्च पासबुक'!$C$9:$C$111,'बँक खर्च व्हाउचर पावती'!C157,'बँक जमा खर्च पासबुक'!$L$9:$L$110)</f>
        <v>0</v>
      </c>
      <c r="M157" s="228">
        <f>SUMIF('बँक जमा खर्च पासबुक'!$C$9:$C$111,'बँक खर्च व्हाउचर पावती'!C157,'बँक जमा खर्च पासबुक'!$M$9:$M$111)</f>
        <v>0</v>
      </c>
      <c r="N157" s="233">
        <f t="shared" ca="1" si="127"/>
        <v>3000</v>
      </c>
      <c r="O157" s="228">
        <f t="shared" si="128"/>
        <v>3000</v>
      </c>
      <c r="P157" s="228">
        <f t="shared" ca="1" si="126"/>
        <v>6000</v>
      </c>
      <c r="Q157" s="399"/>
      <c r="AM157" s="380"/>
      <c r="AN157" s="380"/>
      <c r="AO157" s="380">
        <v>16</v>
      </c>
      <c r="AP157" s="261">
        <f t="shared" si="141"/>
        <v>0</v>
      </c>
      <c r="AQ157" s="261">
        <f t="shared" si="129"/>
        <v>0</v>
      </c>
      <c r="AR157" s="261">
        <f t="shared" si="130"/>
        <v>0</v>
      </c>
      <c r="AS157" s="261">
        <f t="shared" si="131"/>
        <v>0</v>
      </c>
      <c r="AT157" s="261">
        <f t="shared" si="132"/>
        <v>0</v>
      </c>
      <c r="AU157" s="261">
        <f t="shared" si="133"/>
        <v>0</v>
      </c>
      <c r="AV157" s="261">
        <f t="shared" si="134"/>
        <v>0</v>
      </c>
      <c r="AW157" s="261">
        <f t="shared" si="135"/>
        <v>0</v>
      </c>
      <c r="AX157" s="261">
        <f t="shared" si="136"/>
        <v>0</v>
      </c>
      <c r="AY157" s="261">
        <f t="shared" si="137"/>
        <v>0</v>
      </c>
      <c r="AZ157" s="261">
        <f t="shared" si="138"/>
        <v>0</v>
      </c>
      <c r="BA157" s="261">
        <f t="shared" si="139"/>
        <v>0</v>
      </c>
      <c r="BB157" s="261">
        <f t="shared" si="140"/>
        <v>0</v>
      </c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</row>
    <row r="158" spans="1:72" ht="22.5" customHeight="1" x14ac:dyDescent="0.4">
      <c r="A158" s="399"/>
      <c r="B158" s="376">
        <v>150</v>
      </c>
      <c r="C158" s="310">
        <v>44071</v>
      </c>
      <c r="D158" s="229" t="str">
        <f>IFERROR(VLOOKUP(C158,'बँक जमा खर्च पासबुक'!$C$9:$R$111,2,0),"")</f>
        <v/>
      </c>
      <c r="E158" s="229" t="str">
        <f>IFERROR(VLOOKUP(C158,'बँक जमा खर्च पासबुक'!$C$9:$R$111,3,0),"")</f>
        <v/>
      </c>
      <c r="F158" s="229" t="str">
        <f>IFERROR(VLOOKUP(C158,'बँक जमा खर्च पासबुक'!$C$9:$R$111,4,0),"")</f>
        <v/>
      </c>
      <c r="G158" s="229" t="str">
        <f>IFERROR(VLOOKUP(C158,'बँक जमा खर्च पासबुक'!$C$9:$R$111,5,0),"")</f>
        <v/>
      </c>
      <c r="H158" s="229" t="str">
        <f>IFERROR(VLOOKUP(C158,'बँक जमा खर्च पासबुक'!$C$9:$R$111,6,0),"")</f>
        <v/>
      </c>
      <c r="I158" s="229" t="str">
        <f>IFERROR(VLOOKUP(C158,'बँक जमा खर्च पासबुक'!$C$9:$R$111,7,0),"")</f>
        <v/>
      </c>
      <c r="J158" s="233">
        <f>SUMIF('बँक जमा खर्च पासबुक'!$C$9:$C$111,'बँक खर्च व्हाउचर पावती'!C158,'बँक जमा खर्च पासबुक'!$J$9:$J$111)</f>
        <v>0</v>
      </c>
      <c r="K158" s="233">
        <f>SUMIF('बँक जमा खर्च पासबुक'!$C$9:$C$111,'बँक खर्च व्हाउचर पावती'!C158,'बँक जमा खर्च पासबुक'!$K$9:$K$111)</f>
        <v>0</v>
      </c>
      <c r="L158" s="233">
        <f ca="1">SUMIF('बँक जमा खर्च पासबुक'!$C$9:$C$111,'बँक खर्च व्हाउचर पावती'!C158,'बँक जमा खर्च पासबुक'!$L$9:$L$110)</f>
        <v>0</v>
      </c>
      <c r="M158" s="228">
        <f>SUMIF('बँक जमा खर्च पासबुक'!$C$9:$C$111,'बँक खर्च व्हाउचर पावती'!C158,'बँक जमा खर्च पासबुक'!$M$9:$M$111)</f>
        <v>0</v>
      </c>
      <c r="N158" s="233">
        <f t="shared" ca="1" si="127"/>
        <v>3000</v>
      </c>
      <c r="O158" s="228">
        <f t="shared" si="128"/>
        <v>3000</v>
      </c>
      <c r="P158" s="228">
        <f t="shared" ca="1" si="126"/>
        <v>6000</v>
      </c>
      <c r="Q158" s="399"/>
      <c r="AM158" s="380"/>
      <c r="AN158" s="380"/>
      <c r="AO158" s="380">
        <v>17</v>
      </c>
      <c r="AP158" s="261">
        <f t="shared" si="141"/>
        <v>0</v>
      </c>
      <c r="AQ158" s="261">
        <f t="shared" si="129"/>
        <v>0</v>
      </c>
      <c r="AR158" s="261">
        <f t="shared" si="130"/>
        <v>0</v>
      </c>
      <c r="AS158" s="261">
        <f t="shared" si="131"/>
        <v>0</v>
      </c>
      <c r="AT158" s="261">
        <f t="shared" si="132"/>
        <v>0</v>
      </c>
      <c r="AU158" s="261">
        <f t="shared" si="133"/>
        <v>0</v>
      </c>
      <c r="AV158" s="261">
        <f t="shared" si="134"/>
        <v>0</v>
      </c>
      <c r="AW158" s="261">
        <f t="shared" si="135"/>
        <v>0</v>
      </c>
      <c r="AX158" s="261">
        <f t="shared" si="136"/>
        <v>0</v>
      </c>
      <c r="AY158" s="261">
        <f t="shared" si="137"/>
        <v>0</v>
      </c>
      <c r="AZ158" s="261">
        <f t="shared" si="138"/>
        <v>0</v>
      </c>
      <c r="BA158" s="261">
        <f t="shared" si="139"/>
        <v>0</v>
      </c>
      <c r="BB158" s="261">
        <f t="shared" si="140"/>
        <v>0</v>
      </c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</row>
    <row r="159" spans="1:72" ht="22.5" customHeight="1" x14ac:dyDescent="0.4">
      <c r="A159" s="399"/>
      <c r="B159" s="376">
        <v>151</v>
      </c>
      <c r="C159" s="310">
        <v>44072</v>
      </c>
      <c r="D159" s="229" t="str">
        <f>IFERROR(VLOOKUP(C159,'बँक जमा खर्च पासबुक'!$C$9:$R$111,2,0),"")</f>
        <v/>
      </c>
      <c r="E159" s="229" t="str">
        <f>IFERROR(VLOOKUP(C159,'बँक जमा खर्च पासबुक'!$C$9:$R$111,3,0),"")</f>
        <v/>
      </c>
      <c r="F159" s="229" t="str">
        <f>IFERROR(VLOOKUP(C159,'बँक जमा खर्च पासबुक'!$C$9:$R$111,4,0),"")</f>
        <v/>
      </c>
      <c r="G159" s="229" t="str">
        <f>IFERROR(VLOOKUP(C159,'बँक जमा खर्च पासबुक'!$C$9:$R$111,5,0),"")</f>
        <v/>
      </c>
      <c r="H159" s="229" t="str">
        <f>IFERROR(VLOOKUP(C159,'बँक जमा खर्च पासबुक'!$C$9:$R$111,6,0),"")</f>
        <v/>
      </c>
      <c r="I159" s="229" t="str">
        <f>IFERROR(VLOOKUP(C159,'बँक जमा खर्च पासबुक'!$C$9:$R$111,7,0),"")</f>
        <v/>
      </c>
      <c r="J159" s="233">
        <f>SUMIF('बँक जमा खर्च पासबुक'!$C$9:$C$111,'बँक खर्च व्हाउचर पावती'!C159,'बँक जमा खर्च पासबुक'!$J$9:$J$111)</f>
        <v>0</v>
      </c>
      <c r="K159" s="233">
        <f>SUMIF('बँक जमा खर्च पासबुक'!$C$9:$C$111,'बँक खर्च व्हाउचर पावती'!C159,'बँक जमा खर्च पासबुक'!$K$9:$K$111)</f>
        <v>0</v>
      </c>
      <c r="L159" s="233">
        <f ca="1">SUMIF('बँक जमा खर्च पासबुक'!$C$9:$C$111,'बँक खर्च व्हाउचर पावती'!C159,'बँक जमा खर्च पासबुक'!$L$9:$L$110)</f>
        <v>0</v>
      </c>
      <c r="M159" s="228">
        <f>SUMIF('बँक जमा खर्च पासबुक'!$C$9:$C$111,'बँक खर्च व्हाउचर पावती'!C159,'बँक जमा खर्च पासबुक'!$M$9:$M$111)</f>
        <v>0</v>
      </c>
      <c r="N159" s="233">
        <f t="shared" ca="1" si="127"/>
        <v>3000</v>
      </c>
      <c r="O159" s="228">
        <f t="shared" si="128"/>
        <v>3000</v>
      </c>
      <c r="P159" s="228">
        <f t="shared" ca="1" si="126"/>
        <v>6000</v>
      </c>
      <c r="Q159" s="399"/>
      <c r="AM159" s="380"/>
      <c r="AN159" s="380"/>
      <c r="AO159" s="380">
        <v>18</v>
      </c>
      <c r="AP159" s="261">
        <f t="shared" si="141"/>
        <v>0</v>
      </c>
      <c r="AQ159" s="261">
        <f t="shared" si="129"/>
        <v>0</v>
      </c>
      <c r="AR159" s="261">
        <f t="shared" si="130"/>
        <v>0</v>
      </c>
      <c r="AS159" s="261">
        <f t="shared" si="131"/>
        <v>0</v>
      </c>
      <c r="AT159" s="261">
        <f t="shared" si="132"/>
        <v>0</v>
      </c>
      <c r="AU159" s="261">
        <f t="shared" si="133"/>
        <v>0</v>
      </c>
      <c r="AV159" s="261">
        <f t="shared" si="134"/>
        <v>0</v>
      </c>
      <c r="AW159" s="261">
        <f t="shared" si="135"/>
        <v>0</v>
      </c>
      <c r="AX159" s="261">
        <f t="shared" si="136"/>
        <v>0</v>
      </c>
      <c r="AY159" s="261">
        <f t="shared" si="137"/>
        <v>0</v>
      </c>
      <c r="AZ159" s="261">
        <f t="shared" si="138"/>
        <v>0</v>
      </c>
      <c r="BA159" s="261">
        <f t="shared" si="139"/>
        <v>0</v>
      </c>
      <c r="BB159" s="261">
        <f t="shared" si="140"/>
        <v>0</v>
      </c>
      <c r="BC159" s="380"/>
      <c r="BD159" s="380"/>
      <c r="BE159" s="380"/>
      <c r="BF159" s="380"/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380"/>
      <c r="BT159" s="380"/>
    </row>
    <row r="160" spans="1:72" ht="22.5" customHeight="1" x14ac:dyDescent="0.4">
      <c r="A160" s="399"/>
      <c r="B160" s="376">
        <v>152</v>
      </c>
      <c r="C160" s="310">
        <v>44073</v>
      </c>
      <c r="D160" s="229" t="str">
        <f>IFERROR(VLOOKUP(C160,'बँक जमा खर्च पासबुक'!$C$9:$R$111,2,0),"")</f>
        <v/>
      </c>
      <c r="E160" s="229" t="str">
        <f>IFERROR(VLOOKUP(C160,'बँक जमा खर्च पासबुक'!$C$9:$R$111,3,0),"")</f>
        <v/>
      </c>
      <c r="F160" s="229" t="str">
        <f>IFERROR(VLOOKUP(C160,'बँक जमा खर्च पासबुक'!$C$9:$R$111,4,0),"")</f>
        <v/>
      </c>
      <c r="G160" s="229" t="str">
        <f>IFERROR(VLOOKUP(C160,'बँक जमा खर्च पासबुक'!$C$9:$R$111,5,0),"")</f>
        <v/>
      </c>
      <c r="H160" s="229" t="str">
        <f>IFERROR(VLOOKUP(C160,'बँक जमा खर्च पासबुक'!$C$9:$R$111,6,0),"")</f>
        <v/>
      </c>
      <c r="I160" s="229" t="str">
        <f>IFERROR(VLOOKUP(C160,'बँक जमा खर्च पासबुक'!$C$9:$R$111,7,0),"")</f>
        <v/>
      </c>
      <c r="J160" s="233">
        <f>SUMIF('बँक जमा खर्च पासबुक'!$C$9:$C$111,'बँक खर्च व्हाउचर पावती'!C160,'बँक जमा खर्च पासबुक'!$J$9:$J$111)</f>
        <v>0</v>
      </c>
      <c r="K160" s="233">
        <f>SUMIF('बँक जमा खर्च पासबुक'!$C$9:$C$111,'बँक खर्च व्हाउचर पावती'!C160,'बँक जमा खर्च पासबुक'!$K$9:$K$111)</f>
        <v>0</v>
      </c>
      <c r="L160" s="233">
        <f ca="1">SUMIF('बँक जमा खर्च पासबुक'!$C$9:$C$111,'बँक खर्च व्हाउचर पावती'!C160,'बँक जमा खर्च पासबुक'!$L$9:$L$110)</f>
        <v>0</v>
      </c>
      <c r="M160" s="228">
        <f>SUMIF('बँक जमा खर्च पासबुक'!$C$9:$C$111,'बँक खर्च व्हाउचर पावती'!C160,'बँक जमा खर्च पासबुक'!$M$9:$M$111)</f>
        <v>0</v>
      </c>
      <c r="N160" s="233">
        <f t="shared" ca="1" si="127"/>
        <v>3000</v>
      </c>
      <c r="O160" s="228">
        <f t="shared" si="128"/>
        <v>3000</v>
      </c>
      <c r="P160" s="228">
        <f t="shared" ca="1" si="126"/>
        <v>6000</v>
      </c>
      <c r="Q160" s="399"/>
      <c r="AM160" s="380"/>
      <c r="AN160" s="380"/>
      <c r="AO160" s="380">
        <v>19</v>
      </c>
      <c r="AP160" s="261">
        <f t="shared" si="141"/>
        <v>0</v>
      </c>
      <c r="AQ160" s="261">
        <f t="shared" si="129"/>
        <v>0</v>
      </c>
      <c r="AR160" s="261">
        <f t="shared" si="130"/>
        <v>0</v>
      </c>
      <c r="AS160" s="261">
        <f t="shared" si="131"/>
        <v>0</v>
      </c>
      <c r="AT160" s="261">
        <f t="shared" si="132"/>
        <v>0</v>
      </c>
      <c r="AU160" s="261">
        <f t="shared" si="133"/>
        <v>0</v>
      </c>
      <c r="AV160" s="261">
        <f t="shared" si="134"/>
        <v>0</v>
      </c>
      <c r="AW160" s="261">
        <f t="shared" si="135"/>
        <v>0</v>
      </c>
      <c r="AX160" s="261">
        <f t="shared" si="136"/>
        <v>0</v>
      </c>
      <c r="AY160" s="261">
        <f t="shared" si="137"/>
        <v>0</v>
      </c>
      <c r="AZ160" s="261">
        <f t="shared" si="138"/>
        <v>0</v>
      </c>
      <c r="BA160" s="261">
        <f t="shared" si="139"/>
        <v>0</v>
      </c>
      <c r="BB160" s="261">
        <f t="shared" si="140"/>
        <v>0</v>
      </c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</row>
    <row r="161" spans="1:72" ht="22.5" customHeight="1" x14ac:dyDescent="0.4">
      <c r="A161" s="399"/>
      <c r="B161" s="376">
        <v>153</v>
      </c>
      <c r="C161" s="310">
        <v>44074</v>
      </c>
      <c r="D161" s="229" t="str">
        <f>IFERROR(VLOOKUP(C161,'बँक जमा खर्च पासबुक'!$C$9:$R$111,2,0),"")</f>
        <v/>
      </c>
      <c r="E161" s="229" t="str">
        <f>IFERROR(VLOOKUP(C161,'बँक जमा खर्च पासबुक'!$C$9:$R$111,3,0),"")</f>
        <v/>
      </c>
      <c r="F161" s="229" t="str">
        <f>IFERROR(VLOOKUP(C161,'बँक जमा खर्च पासबुक'!$C$9:$R$111,4,0),"")</f>
        <v/>
      </c>
      <c r="G161" s="229" t="str">
        <f>IFERROR(VLOOKUP(C161,'बँक जमा खर्च पासबुक'!$C$9:$R$111,5,0),"")</f>
        <v/>
      </c>
      <c r="H161" s="229" t="str">
        <f>IFERROR(VLOOKUP(C161,'बँक जमा खर्च पासबुक'!$C$9:$R$111,6,0),"")</f>
        <v/>
      </c>
      <c r="I161" s="229" t="str">
        <f>IFERROR(VLOOKUP(C161,'बँक जमा खर्च पासबुक'!$C$9:$R$111,7,0),"")</f>
        <v/>
      </c>
      <c r="J161" s="233">
        <f>SUMIF('बँक जमा खर्च पासबुक'!$C$9:$C$111,'बँक खर्च व्हाउचर पावती'!C161,'बँक जमा खर्च पासबुक'!$J$9:$J$111)</f>
        <v>0</v>
      </c>
      <c r="K161" s="233">
        <f>SUMIF('बँक जमा खर्च पासबुक'!$C$9:$C$111,'बँक खर्च व्हाउचर पावती'!C161,'बँक जमा खर्च पासबुक'!$K$9:$K$111)</f>
        <v>0</v>
      </c>
      <c r="L161" s="233">
        <f ca="1">SUMIF('बँक जमा खर्च पासबुक'!$C$9:$C$111,'बँक खर्च व्हाउचर पावती'!C161,'बँक जमा खर्च पासबुक'!$L$9:$L$110)</f>
        <v>0</v>
      </c>
      <c r="M161" s="228">
        <f>SUMIF('बँक जमा खर्च पासबुक'!$C$9:$C$111,'बँक खर्च व्हाउचर पावती'!C161,'बँक जमा खर्च पासबुक'!$M$9:$M$111)</f>
        <v>0</v>
      </c>
      <c r="N161" s="233">
        <f t="shared" ca="1" si="127"/>
        <v>3000</v>
      </c>
      <c r="O161" s="228">
        <f t="shared" si="128"/>
        <v>3000</v>
      </c>
      <c r="P161" s="228">
        <f t="shared" ca="1" si="126"/>
        <v>6000</v>
      </c>
      <c r="Q161" s="399"/>
      <c r="AM161" s="380"/>
      <c r="AN161" s="380"/>
      <c r="AO161" s="380">
        <v>20</v>
      </c>
      <c r="AP161" s="261">
        <f t="shared" si="141"/>
        <v>0</v>
      </c>
      <c r="AQ161" s="261">
        <f t="shared" si="129"/>
        <v>0</v>
      </c>
      <c r="AR161" s="261">
        <f t="shared" si="130"/>
        <v>0</v>
      </c>
      <c r="AS161" s="261">
        <f t="shared" si="131"/>
        <v>0</v>
      </c>
      <c r="AT161" s="261">
        <f t="shared" si="132"/>
        <v>0</v>
      </c>
      <c r="AU161" s="261">
        <f t="shared" si="133"/>
        <v>0</v>
      </c>
      <c r="AV161" s="261">
        <f t="shared" si="134"/>
        <v>0</v>
      </c>
      <c r="AW161" s="261">
        <f t="shared" si="135"/>
        <v>0</v>
      </c>
      <c r="AX161" s="261">
        <f t="shared" si="136"/>
        <v>0</v>
      </c>
      <c r="AY161" s="261">
        <f t="shared" si="137"/>
        <v>0</v>
      </c>
      <c r="AZ161" s="261">
        <f t="shared" si="138"/>
        <v>0</v>
      </c>
      <c r="BA161" s="261">
        <f t="shared" si="139"/>
        <v>0</v>
      </c>
      <c r="BB161" s="261">
        <f t="shared" si="140"/>
        <v>0</v>
      </c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</row>
    <row r="162" spans="1:72" ht="22.5" customHeight="1" x14ac:dyDescent="0.4">
      <c r="A162" s="399" t="s">
        <v>37</v>
      </c>
      <c r="B162" s="376">
        <v>154</v>
      </c>
      <c r="C162" s="310">
        <v>44075</v>
      </c>
      <c r="D162" s="229" t="str">
        <f>IFERROR(VLOOKUP(C162,'बँक जमा खर्च पासबुक'!$C$9:$R$111,2,0),"")</f>
        <v/>
      </c>
      <c r="E162" s="229" t="str">
        <f>IFERROR(VLOOKUP(C162,'बँक जमा खर्च पासबुक'!$C$9:$R$111,3,0),"")</f>
        <v/>
      </c>
      <c r="F162" s="229" t="str">
        <f>IFERROR(VLOOKUP(C162,'बँक जमा खर्च पासबुक'!$C$9:$R$111,4,0),"")</f>
        <v/>
      </c>
      <c r="G162" s="229" t="str">
        <f>IFERROR(VLOOKUP(C162,'बँक जमा खर्च पासबुक'!$C$9:$R$111,5,0),"")</f>
        <v/>
      </c>
      <c r="H162" s="229" t="str">
        <f>IFERROR(VLOOKUP(C162,'बँक जमा खर्च पासबुक'!$C$9:$R$111,6,0),"")</f>
        <v/>
      </c>
      <c r="I162" s="229" t="str">
        <f>IFERROR(VLOOKUP(C162,'बँक जमा खर्च पासबुक'!$C$9:$R$111,7,0),"")</f>
        <v/>
      </c>
      <c r="J162" s="233">
        <f>SUMIF('बँक जमा खर्च पासबुक'!$C$9:$C$111,'बँक खर्च व्हाउचर पावती'!C162,'बँक जमा खर्च पासबुक'!$J$9:$J$111)</f>
        <v>0</v>
      </c>
      <c r="K162" s="233">
        <f>SUMIF('बँक जमा खर्च पासबुक'!$C$9:$C$111,'बँक खर्च व्हाउचर पावती'!C162,'बँक जमा खर्च पासबुक'!$K$9:$K$111)</f>
        <v>0</v>
      </c>
      <c r="L162" s="233">
        <f ca="1">SUMIF('बँक जमा खर्च पासबुक'!$C$9:$C$111,'बँक खर्च व्हाउचर पावती'!C162,'बँक जमा खर्च पासबुक'!$L$9:$L$110)</f>
        <v>0</v>
      </c>
      <c r="M162" s="228">
        <f>SUMIF('बँक जमा खर्च पासबुक'!$C$9:$C$111,'बँक खर्च व्हाउचर पावती'!C162,'बँक जमा खर्च पासबुक'!$M$9:$M$111)</f>
        <v>0</v>
      </c>
      <c r="N162" s="233">
        <f t="shared" ca="1" si="127"/>
        <v>3000</v>
      </c>
      <c r="O162" s="228">
        <f t="shared" si="128"/>
        <v>3000</v>
      </c>
      <c r="P162" s="228">
        <f t="shared" ca="1" si="126"/>
        <v>6000</v>
      </c>
      <c r="Q162" s="399"/>
      <c r="AM162" s="380"/>
      <c r="AN162" s="380"/>
      <c r="AO162" s="380">
        <v>21</v>
      </c>
      <c r="AP162" s="261">
        <f t="shared" si="141"/>
        <v>0</v>
      </c>
      <c r="AQ162" s="261">
        <f t="shared" si="129"/>
        <v>0</v>
      </c>
      <c r="AR162" s="261">
        <f t="shared" si="130"/>
        <v>0</v>
      </c>
      <c r="AS162" s="261">
        <f t="shared" si="131"/>
        <v>0</v>
      </c>
      <c r="AT162" s="261">
        <f t="shared" si="132"/>
        <v>0</v>
      </c>
      <c r="AU162" s="261">
        <f t="shared" si="133"/>
        <v>0</v>
      </c>
      <c r="AV162" s="261">
        <f t="shared" si="134"/>
        <v>0</v>
      </c>
      <c r="AW162" s="261">
        <f t="shared" si="135"/>
        <v>0</v>
      </c>
      <c r="AX162" s="261">
        <f t="shared" si="136"/>
        <v>0</v>
      </c>
      <c r="AY162" s="261">
        <f t="shared" si="137"/>
        <v>0</v>
      </c>
      <c r="AZ162" s="261">
        <f t="shared" si="138"/>
        <v>0</v>
      </c>
      <c r="BA162" s="261">
        <f t="shared" si="139"/>
        <v>0</v>
      </c>
      <c r="BB162" s="261">
        <f t="shared" si="140"/>
        <v>0</v>
      </c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</row>
    <row r="163" spans="1:72" ht="22.5" customHeight="1" x14ac:dyDescent="0.4">
      <c r="A163" s="399"/>
      <c r="B163" s="376">
        <v>155</v>
      </c>
      <c r="C163" s="310">
        <v>44076</v>
      </c>
      <c r="D163" s="229" t="str">
        <f>IFERROR(VLOOKUP(C163,'बँक जमा खर्च पासबुक'!$C$9:$R$111,2,0),"")</f>
        <v/>
      </c>
      <c r="E163" s="229" t="str">
        <f>IFERROR(VLOOKUP(C163,'बँक जमा खर्च पासबुक'!$C$9:$R$111,3,0),"")</f>
        <v/>
      </c>
      <c r="F163" s="229" t="str">
        <f>IFERROR(VLOOKUP(C163,'बँक जमा खर्च पासबुक'!$C$9:$R$111,4,0),"")</f>
        <v/>
      </c>
      <c r="G163" s="229" t="str">
        <f>IFERROR(VLOOKUP(C163,'बँक जमा खर्च पासबुक'!$C$9:$R$111,5,0),"")</f>
        <v/>
      </c>
      <c r="H163" s="229" t="str">
        <f>IFERROR(VLOOKUP(C163,'बँक जमा खर्च पासबुक'!$C$9:$R$111,6,0),"")</f>
        <v/>
      </c>
      <c r="I163" s="229" t="str">
        <f>IFERROR(VLOOKUP(C163,'बँक जमा खर्च पासबुक'!$C$9:$R$111,7,0),"")</f>
        <v/>
      </c>
      <c r="J163" s="233">
        <f>SUMIF('बँक जमा खर्च पासबुक'!$C$9:$C$111,'बँक खर्च व्हाउचर पावती'!C163,'बँक जमा खर्च पासबुक'!$J$9:$J$111)</f>
        <v>0</v>
      </c>
      <c r="K163" s="233">
        <f>SUMIF('बँक जमा खर्च पासबुक'!$C$9:$C$111,'बँक खर्च व्हाउचर पावती'!C163,'बँक जमा खर्च पासबुक'!$K$9:$K$111)</f>
        <v>0</v>
      </c>
      <c r="L163" s="233">
        <f ca="1">SUMIF('बँक जमा खर्च पासबुक'!$C$9:$C$111,'बँक खर्च व्हाउचर पावती'!C163,'बँक जमा खर्च पासबुक'!$L$9:$L$110)</f>
        <v>0</v>
      </c>
      <c r="M163" s="228">
        <f>SUMIF('बँक जमा खर्च पासबुक'!$C$9:$C$111,'बँक खर्च व्हाउचर पावती'!C163,'बँक जमा खर्च पासबुक'!$M$9:$M$111)</f>
        <v>0</v>
      </c>
      <c r="N163" s="233">
        <f t="shared" ca="1" si="127"/>
        <v>3000</v>
      </c>
      <c r="O163" s="228">
        <f t="shared" si="128"/>
        <v>3000</v>
      </c>
      <c r="P163" s="228">
        <f t="shared" ca="1" si="126"/>
        <v>6000</v>
      </c>
      <c r="Q163" s="399"/>
      <c r="AM163" s="380"/>
      <c r="AN163" s="380"/>
      <c r="AO163" s="380">
        <v>22</v>
      </c>
      <c r="AP163" s="261">
        <f t="shared" si="141"/>
        <v>0</v>
      </c>
      <c r="AQ163" s="261">
        <f t="shared" si="129"/>
        <v>0</v>
      </c>
      <c r="AR163" s="261">
        <f t="shared" si="130"/>
        <v>0</v>
      </c>
      <c r="AS163" s="261">
        <f t="shared" si="131"/>
        <v>0</v>
      </c>
      <c r="AT163" s="261">
        <f t="shared" si="132"/>
        <v>0</v>
      </c>
      <c r="AU163" s="261">
        <f t="shared" si="133"/>
        <v>0</v>
      </c>
      <c r="AV163" s="261">
        <f t="shared" si="134"/>
        <v>0</v>
      </c>
      <c r="AW163" s="261">
        <f t="shared" si="135"/>
        <v>0</v>
      </c>
      <c r="AX163" s="261">
        <f t="shared" si="136"/>
        <v>0</v>
      </c>
      <c r="AY163" s="261">
        <f t="shared" si="137"/>
        <v>0</v>
      </c>
      <c r="AZ163" s="261">
        <f t="shared" si="138"/>
        <v>0</v>
      </c>
      <c r="BA163" s="261">
        <f t="shared" si="139"/>
        <v>0</v>
      </c>
      <c r="BB163" s="261">
        <f t="shared" si="140"/>
        <v>0</v>
      </c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</row>
    <row r="164" spans="1:72" ht="22.5" customHeight="1" x14ac:dyDescent="0.4">
      <c r="A164" s="399"/>
      <c r="B164" s="376">
        <v>156</v>
      </c>
      <c r="C164" s="310">
        <v>44077</v>
      </c>
      <c r="D164" s="229" t="str">
        <f>IFERROR(VLOOKUP(C164,'बँक जमा खर्च पासबुक'!$C$9:$R$111,2,0),"")</f>
        <v/>
      </c>
      <c r="E164" s="229" t="str">
        <f>IFERROR(VLOOKUP(C164,'बँक जमा खर्च पासबुक'!$C$9:$R$111,3,0),"")</f>
        <v/>
      </c>
      <c r="F164" s="229" t="str">
        <f>IFERROR(VLOOKUP(C164,'बँक जमा खर्च पासबुक'!$C$9:$R$111,4,0),"")</f>
        <v/>
      </c>
      <c r="G164" s="229" t="str">
        <f>IFERROR(VLOOKUP(C164,'बँक जमा खर्च पासबुक'!$C$9:$R$111,5,0),"")</f>
        <v/>
      </c>
      <c r="H164" s="229" t="str">
        <f>IFERROR(VLOOKUP(C164,'बँक जमा खर्च पासबुक'!$C$9:$R$111,6,0),"")</f>
        <v/>
      </c>
      <c r="I164" s="229" t="str">
        <f>IFERROR(VLOOKUP(C164,'बँक जमा खर्च पासबुक'!$C$9:$R$111,7,0),"")</f>
        <v/>
      </c>
      <c r="J164" s="233">
        <f>SUMIF('बँक जमा खर्च पासबुक'!$C$9:$C$111,'बँक खर्च व्हाउचर पावती'!C164,'बँक जमा खर्च पासबुक'!$J$9:$J$111)</f>
        <v>0</v>
      </c>
      <c r="K164" s="233">
        <f>SUMIF('बँक जमा खर्च पासबुक'!$C$9:$C$111,'बँक खर्च व्हाउचर पावती'!C164,'बँक जमा खर्च पासबुक'!$K$9:$K$111)</f>
        <v>0</v>
      </c>
      <c r="L164" s="233">
        <f ca="1">SUMIF('बँक जमा खर्च पासबुक'!$C$9:$C$111,'बँक खर्च व्हाउचर पावती'!C164,'बँक जमा खर्च पासबुक'!$L$9:$L$110)</f>
        <v>0</v>
      </c>
      <c r="M164" s="228">
        <f>SUMIF('बँक जमा खर्च पासबुक'!$C$9:$C$111,'बँक खर्च व्हाउचर पावती'!C164,'बँक जमा खर्च पासबुक'!$M$9:$M$111)</f>
        <v>0</v>
      </c>
      <c r="N164" s="233">
        <f t="shared" ca="1" si="127"/>
        <v>3000</v>
      </c>
      <c r="O164" s="228">
        <f t="shared" si="128"/>
        <v>3000</v>
      </c>
      <c r="P164" s="228">
        <f t="shared" ca="1" si="126"/>
        <v>6000</v>
      </c>
      <c r="Q164" s="399"/>
      <c r="AM164" s="380"/>
      <c r="AN164" s="380"/>
      <c r="AO164" s="380">
        <v>23</v>
      </c>
      <c r="AP164" s="261">
        <f t="shared" si="141"/>
        <v>0</v>
      </c>
      <c r="AQ164" s="261">
        <f t="shared" si="129"/>
        <v>0</v>
      </c>
      <c r="AR164" s="261">
        <f t="shared" si="130"/>
        <v>0</v>
      </c>
      <c r="AS164" s="261">
        <f t="shared" si="131"/>
        <v>0</v>
      </c>
      <c r="AT164" s="261">
        <f t="shared" si="132"/>
        <v>0</v>
      </c>
      <c r="AU164" s="261">
        <f t="shared" si="133"/>
        <v>0</v>
      </c>
      <c r="AV164" s="261">
        <f t="shared" si="134"/>
        <v>0</v>
      </c>
      <c r="AW164" s="261">
        <f t="shared" si="135"/>
        <v>0</v>
      </c>
      <c r="AX164" s="261">
        <f t="shared" si="136"/>
        <v>0</v>
      </c>
      <c r="AY164" s="261">
        <f t="shared" si="137"/>
        <v>0</v>
      </c>
      <c r="AZ164" s="261">
        <f t="shared" si="138"/>
        <v>0</v>
      </c>
      <c r="BA164" s="261">
        <f t="shared" si="139"/>
        <v>0</v>
      </c>
      <c r="BB164" s="261">
        <f t="shared" si="140"/>
        <v>0</v>
      </c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</row>
    <row r="165" spans="1:72" ht="22.5" customHeight="1" x14ac:dyDescent="0.4">
      <c r="A165" s="399"/>
      <c r="B165" s="376">
        <v>157</v>
      </c>
      <c r="C165" s="310">
        <v>44078</v>
      </c>
      <c r="D165" s="229" t="str">
        <f>IFERROR(VLOOKUP(C165,'बँक जमा खर्च पासबुक'!$C$9:$R$111,2,0),"")</f>
        <v/>
      </c>
      <c r="E165" s="229" t="str">
        <f>IFERROR(VLOOKUP(C165,'बँक जमा खर्च पासबुक'!$C$9:$R$111,3,0),"")</f>
        <v/>
      </c>
      <c r="F165" s="229" t="str">
        <f>IFERROR(VLOOKUP(C165,'बँक जमा खर्च पासबुक'!$C$9:$R$111,4,0),"")</f>
        <v/>
      </c>
      <c r="G165" s="229" t="str">
        <f>IFERROR(VLOOKUP(C165,'बँक जमा खर्च पासबुक'!$C$9:$R$111,5,0),"")</f>
        <v/>
      </c>
      <c r="H165" s="229" t="str">
        <f>IFERROR(VLOOKUP(C165,'बँक जमा खर्च पासबुक'!$C$9:$R$111,6,0),"")</f>
        <v/>
      </c>
      <c r="I165" s="229" t="str">
        <f>IFERROR(VLOOKUP(C165,'बँक जमा खर्च पासबुक'!$C$9:$R$111,7,0),"")</f>
        <v/>
      </c>
      <c r="J165" s="233">
        <f>SUMIF('बँक जमा खर्च पासबुक'!$C$9:$C$111,'बँक खर्च व्हाउचर पावती'!C165,'बँक जमा खर्च पासबुक'!$J$9:$J$111)</f>
        <v>0</v>
      </c>
      <c r="K165" s="233">
        <f>SUMIF('बँक जमा खर्च पासबुक'!$C$9:$C$111,'बँक खर्च व्हाउचर पावती'!C165,'बँक जमा खर्च पासबुक'!$K$9:$K$111)</f>
        <v>0</v>
      </c>
      <c r="L165" s="233">
        <f ca="1">SUMIF('बँक जमा खर्च पासबुक'!$C$9:$C$111,'बँक खर्च व्हाउचर पावती'!C165,'बँक जमा खर्च पासबुक'!$L$9:$L$110)</f>
        <v>0</v>
      </c>
      <c r="M165" s="228">
        <f>SUMIF('बँक जमा खर्च पासबुक'!$C$9:$C$111,'बँक खर्च व्हाउचर पावती'!C165,'बँक जमा खर्च पासबुक'!$M$9:$M$111)</f>
        <v>0</v>
      </c>
      <c r="N165" s="233">
        <f t="shared" ca="1" si="127"/>
        <v>3000</v>
      </c>
      <c r="O165" s="228">
        <f t="shared" si="128"/>
        <v>3000</v>
      </c>
      <c r="P165" s="228">
        <f t="shared" ca="1" si="126"/>
        <v>6000</v>
      </c>
      <c r="Q165" s="399"/>
      <c r="AM165" s="380"/>
      <c r="AN165" s="380"/>
      <c r="AO165" s="380">
        <v>24</v>
      </c>
      <c r="AP165" s="261">
        <f t="shared" si="141"/>
        <v>0</v>
      </c>
      <c r="AQ165" s="261">
        <f t="shared" si="129"/>
        <v>0</v>
      </c>
      <c r="AR165" s="261">
        <f t="shared" si="130"/>
        <v>0</v>
      </c>
      <c r="AS165" s="261">
        <f t="shared" si="131"/>
        <v>0</v>
      </c>
      <c r="AT165" s="261">
        <f t="shared" si="132"/>
        <v>0</v>
      </c>
      <c r="AU165" s="261">
        <f t="shared" si="133"/>
        <v>0</v>
      </c>
      <c r="AV165" s="261">
        <f t="shared" si="134"/>
        <v>0</v>
      </c>
      <c r="AW165" s="261">
        <f t="shared" si="135"/>
        <v>0</v>
      </c>
      <c r="AX165" s="261">
        <f t="shared" si="136"/>
        <v>0</v>
      </c>
      <c r="AY165" s="261">
        <f t="shared" si="137"/>
        <v>0</v>
      </c>
      <c r="AZ165" s="261">
        <f t="shared" si="138"/>
        <v>0</v>
      </c>
      <c r="BA165" s="261">
        <f t="shared" si="139"/>
        <v>0</v>
      </c>
      <c r="BB165" s="261">
        <f t="shared" si="140"/>
        <v>0</v>
      </c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</row>
    <row r="166" spans="1:72" ht="22.5" customHeight="1" x14ac:dyDescent="0.4">
      <c r="A166" s="399"/>
      <c r="B166" s="376">
        <v>158</v>
      </c>
      <c r="C166" s="310">
        <v>44079</v>
      </c>
      <c r="D166" s="229" t="str">
        <f>IFERROR(VLOOKUP(C166,'बँक जमा खर्च पासबुक'!$C$9:$R$111,2,0),"")</f>
        <v/>
      </c>
      <c r="E166" s="229" t="str">
        <f>IFERROR(VLOOKUP(C166,'बँक जमा खर्च पासबुक'!$C$9:$R$111,3,0),"")</f>
        <v/>
      </c>
      <c r="F166" s="229" t="str">
        <f>IFERROR(VLOOKUP(C166,'बँक जमा खर्च पासबुक'!$C$9:$R$111,4,0),"")</f>
        <v/>
      </c>
      <c r="G166" s="229" t="str">
        <f>IFERROR(VLOOKUP(C166,'बँक जमा खर्च पासबुक'!$C$9:$R$111,5,0),"")</f>
        <v/>
      </c>
      <c r="H166" s="229" t="str">
        <f>IFERROR(VLOOKUP(C166,'बँक जमा खर्च पासबुक'!$C$9:$R$111,6,0),"")</f>
        <v/>
      </c>
      <c r="I166" s="229" t="str">
        <f>IFERROR(VLOOKUP(C166,'बँक जमा खर्च पासबुक'!$C$9:$R$111,7,0),"")</f>
        <v/>
      </c>
      <c r="J166" s="233">
        <f>SUMIF('बँक जमा खर्च पासबुक'!$C$9:$C$111,'बँक खर्च व्हाउचर पावती'!C166,'बँक जमा खर्च पासबुक'!$J$9:$J$111)</f>
        <v>0</v>
      </c>
      <c r="K166" s="233">
        <f>SUMIF('बँक जमा खर्च पासबुक'!$C$9:$C$111,'बँक खर्च व्हाउचर पावती'!C166,'बँक जमा खर्च पासबुक'!$K$9:$K$111)</f>
        <v>0</v>
      </c>
      <c r="L166" s="233">
        <f ca="1">SUMIF('बँक जमा खर्च पासबुक'!$C$9:$C$111,'बँक खर्च व्हाउचर पावती'!C166,'बँक जमा खर्च पासबुक'!$L$9:$L$110)</f>
        <v>0</v>
      </c>
      <c r="M166" s="228">
        <f>SUMIF('बँक जमा खर्च पासबुक'!$C$9:$C$111,'बँक खर्च व्हाउचर पावती'!C166,'बँक जमा खर्च पासबुक'!$M$9:$M$111)</f>
        <v>0</v>
      </c>
      <c r="N166" s="233">
        <f t="shared" ca="1" si="127"/>
        <v>3000</v>
      </c>
      <c r="O166" s="228">
        <f t="shared" si="128"/>
        <v>3000</v>
      </c>
      <c r="P166" s="228">
        <f t="shared" ca="1" si="126"/>
        <v>6000</v>
      </c>
      <c r="Q166" s="399"/>
      <c r="AM166" s="380"/>
      <c r="AN166" s="380"/>
      <c r="AO166" s="380">
        <v>25</v>
      </c>
      <c r="AP166" s="261">
        <f t="shared" si="141"/>
        <v>0</v>
      </c>
      <c r="AQ166" s="261">
        <f t="shared" si="129"/>
        <v>0</v>
      </c>
      <c r="AR166" s="261">
        <f t="shared" si="130"/>
        <v>0</v>
      </c>
      <c r="AS166" s="261">
        <f t="shared" si="131"/>
        <v>0</v>
      </c>
      <c r="AT166" s="261">
        <f t="shared" si="132"/>
        <v>0</v>
      </c>
      <c r="AU166" s="261">
        <f t="shared" si="133"/>
        <v>0</v>
      </c>
      <c r="AV166" s="261">
        <f t="shared" si="134"/>
        <v>0</v>
      </c>
      <c r="AW166" s="261">
        <f t="shared" si="135"/>
        <v>0</v>
      </c>
      <c r="AX166" s="261">
        <f t="shared" si="136"/>
        <v>0</v>
      </c>
      <c r="AY166" s="261">
        <f t="shared" si="137"/>
        <v>0</v>
      </c>
      <c r="AZ166" s="261">
        <f t="shared" si="138"/>
        <v>0</v>
      </c>
      <c r="BA166" s="261">
        <f t="shared" si="139"/>
        <v>0</v>
      </c>
      <c r="BB166" s="261">
        <f t="shared" si="140"/>
        <v>0</v>
      </c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</row>
    <row r="167" spans="1:72" ht="22.5" customHeight="1" x14ac:dyDescent="0.4">
      <c r="A167" s="399"/>
      <c r="B167" s="376">
        <v>159</v>
      </c>
      <c r="C167" s="310">
        <v>44080</v>
      </c>
      <c r="D167" s="229" t="str">
        <f>IFERROR(VLOOKUP(C167,'बँक जमा खर्च पासबुक'!$C$9:$R$111,2,0),"")</f>
        <v/>
      </c>
      <c r="E167" s="229" t="str">
        <f>IFERROR(VLOOKUP(C167,'बँक जमा खर्च पासबुक'!$C$9:$R$111,3,0),"")</f>
        <v/>
      </c>
      <c r="F167" s="229" t="str">
        <f>IFERROR(VLOOKUP(C167,'बँक जमा खर्च पासबुक'!$C$9:$R$111,4,0),"")</f>
        <v/>
      </c>
      <c r="G167" s="229" t="str">
        <f>IFERROR(VLOOKUP(C167,'बँक जमा खर्च पासबुक'!$C$9:$R$111,5,0),"")</f>
        <v/>
      </c>
      <c r="H167" s="229" t="str">
        <f>IFERROR(VLOOKUP(C167,'बँक जमा खर्च पासबुक'!$C$9:$R$111,6,0),"")</f>
        <v/>
      </c>
      <c r="I167" s="229" t="str">
        <f>IFERROR(VLOOKUP(C167,'बँक जमा खर्च पासबुक'!$C$9:$R$111,7,0),"")</f>
        <v/>
      </c>
      <c r="J167" s="233">
        <f>SUMIF('बँक जमा खर्च पासबुक'!$C$9:$C$111,'बँक खर्च व्हाउचर पावती'!C167,'बँक जमा खर्च पासबुक'!$J$9:$J$111)</f>
        <v>0</v>
      </c>
      <c r="K167" s="233">
        <f>SUMIF('बँक जमा खर्च पासबुक'!$C$9:$C$111,'बँक खर्च व्हाउचर पावती'!C167,'बँक जमा खर्च पासबुक'!$K$9:$K$111)</f>
        <v>0</v>
      </c>
      <c r="L167" s="233">
        <f ca="1">SUMIF('बँक जमा खर्च पासबुक'!$C$9:$C$111,'बँक खर्च व्हाउचर पावती'!C167,'बँक जमा खर्च पासबुक'!$L$9:$L$110)</f>
        <v>0</v>
      </c>
      <c r="M167" s="228">
        <f>SUMIF('बँक जमा खर्च पासबुक'!$C$9:$C$111,'बँक खर्च व्हाउचर पावती'!C167,'बँक जमा खर्च पासबुक'!$M$9:$M$111)</f>
        <v>0</v>
      </c>
      <c r="N167" s="233">
        <f t="shared" ca="1" si="127"/>
        <v>3000</v>
      </c>
      <c r="O167" s="228">
        <f t="shared" si="128"/>
        <v>3000</v>
      </c>
      <c r="P167" s="228">
        <f t="shared" ca="1" si="126"/>
        <v>6000</v>
      </c>
      <c r="Q167" s="399"/>
      <c r="AM167" s="380"/>
      <c r="AN167" s="380"/>
      <c r="AO167" s="380">
        <v>26</v>
      </c>
      <c r="AP167" s="261">
        <f t="shared" si="141"/>
        <v>0</v>
      </c>
      <c r="AQ167" s="261">
        <f t="shared" si="129"/>
        <v>0</v>
      </c>
      <c r="AR167" s="261">
        <f t="shared" si="130"/>
        <v>0</v>
      </c>
      <c r="AS167" s="261">
        <f t="shared" si="131"/>
        <v>0</v>
      </c>
      <c r="AT167" s="261">
        <f t="shared" si="132"/>
        <v>0</v>
      </c>
      <c r="AU167" s="261">
        <f t="shared" si="133"/>
        <v>0</v>
      </c>
      <c r="AV167" s="261">
        <f t="shared" si="134"/>
        <v>0</v>
      </c>
      <c r="AW167" s="261">
        <f t="shared" si="135"/>
        <v>0</v>
      </c>
      <c r="AX167" s="261">
        <f t="shared" si="136"/>
        <v>0</v>
      </c>
      <c r="AY167" s="261">
        <f t="shared" si="137"/>
        <v>0</v>
      </c>
      <c r="AZ167" s="261">
        <f t="shared" si="138"/>
        <v>0</v>
      </c>
      <c r="BA167" s="261">
        <f t="shared" si="139"/>
        <v>0</v>
      </c>
      <c r="BB167" s="261">
        <f t="shared" si="140"/>
        <v>0</v>
      </c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</row>
    <row r="168" spans="1:72" ht="22.5" customHeight="1" x14ac:dyDescent="0.4">
      <c r="A168" s="399"/>
      <c r="B168" s="376">
        <v>160</v>
      </c>
      <c r="C168" s="310">
        <v>44081</v>
      </c>
      <c r="D168" s="229" t="str">
        <f>IFERROR(VLOOKUP(C168,'बँक जमा खर्च पासबुक'!$C$9:$R$111,2,0),"")</f>
        <v/>
      </c>
      <c r="E168" s="229" t="str">
        <f>IFERROR(VLOOKUP(C168,'बँक जमा खर्च पासबुक'!$C$9:$R$111,3,0),"")</f>
        <v/>
      </c>
      <c r="F168" s="229" t="str">
        <f>IFERROR(VLOOKUP(C168,'बँक जमा खर्च पासबुक'!$C$9:$R$111,4,0),"")</f>
        <v/>
      </c>
      <c r="G168" s="229" t="str">
        <f>IFERROR(VLOOKUP(C168,'बँक जमा खर्च पासबुक'!$C$9:$R$111,5,0),"")</f>
        <v/>
      </c>
      <c r="H168" s="229" t="str">
        <f>IFERROR(VLOOKUP(C168,'बँक जमा खर्च पासबुक'!$C$9:$R$111,6,0),"")</f>
        <v/>
      </c>
      <c r="I168" s="229" t="str">
        <f>IFERROR(VLOOKUP(C168,'बँक जमा खर्च पासबुक'!$C$9:$R$111,7,0),"")</f>
        <v/>
      </c>
      <c r="J168" s="233">
        <f>SUMIF('बँक जमा खर्च पासबुक'!$C$9:$C$111,'बँक खर्च व्हाउचर पावती'!C168,'बँक जमा खर्च पासबुक'!$J$9:$J$111)</f>
        <v>0</v>
      </c>
      <c r="K168" s="233">
        <f>SUMIF('बँक जमा खर्च पासबुक'!$C$9:$C$111,'बँक खर्च व्हाउचर पावती'!C168,'बँक जमा खर्च पासबुक'!$K$9:$K$111)</f>
        <v>0</v>
      </c>
      <c r="L168" s="233">
        <f ca="1">SUMIF('बँक जमा खर्च पासबुक'!$C$9:$C$111,'बँक खर्च व्हाउचर पावती'!C168,'बँक जमा खर्च पासबुक'!$L$9:$L$110)</f>
        <v>0</v>
      </c>
      <c r="M168" s="228">
        <f>SUMIF('बँक जमा खर्च पासबुक'!$C$9:$C$111,'बँक खर्च व्हाउचर पावती'!C168,'बँक जमा खर्च पासबुक'!$M$9:$M$111)</f>
        <v>0</v>
      </c>
      <c r="N168" s="233">
        <f t="shared" ca="1" si="127"/>
        <v>3000</v>
      </c>
      <c r="O168" s="228">
        <f t="shared" si="128"/>
        <v>3000</v>
      </c>
      <c r="P168" s="228">
        <f t="shared" ca="1" si="126"/>
        <v>6000</v>
      </c>
      <c r="Q168" s="399"/>
      <c r="AM168" s="380"/>
      <c r="AN168" s="380"/>
      <c r="AO168" s="380">
        <v>27</v>
      </c>
      <c r="AP168" s="261">
        <f t="shared" si="141"/>
        <v>0</v>
      </c>
      <c r="AQ168" s="261">
        <f t="shared" si="129"/>
        <v>0</v>
      </c>
      <c r="AR168" s="261">
        <f t="shared" si="130"/>
        <v>0</v>
      </c>
      <c r="AS168" s="261">
        <f t="shared" si="131"/>
        <v>0</v>
      </c>
      <c r="AT168" s="261">
        <f t="shared" si="132"/>
        <v>0</v>
      </c>
      <c r="AU168" s="261">
        <f t="shared" si="133"/>
        <v>0</v>
      </c>
      <c r="AV168" s="261">
        <f t="shared" si="134"/>
        <v>0</v>
      </c>
      <c r="AW168" s="261">
        <f t="shared" si="135"/>
        <v>0</v>
      </c>
      <c r="AX168" s="261">
        <f t="shared" si="136"/>
        <v>0</v>
      </c>
      <c r="AY168" s="261">
        <f t="shared" si="137"/>
        <v>0</v>
      </c>
      <c r="AZ168" s="261">
        <f t="shared" si="138"/>
        <v>0</v>
      </c>
      <c r="BA168" s="261">
        <f t="shared" si="139"/>
        <v>0</v>
      </c>
      <c r="BB168" s="261">
        <f t="shared" si="140"/>
        <v>0</v>
      </c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</row>
    <row r="169" spans="1:72" ht="22.5" customHeight="1" x14ac:dyDescent="0.4">
      <c r="A169" s="399"/>
      <c r="B169" s="376">
        <v>161</v>
      </c>
      <c r="C169" s="310">
        <v>44082</v>
      </c>
      <c r="D169" s="229" t="str">
        <f>IFERROR(VLOOKUP(C169,'बँक जमा खर्च पासबुक'!$C$9:$R$111,2,0),"")</f>
        <v/>
      </c>
      <c r="E169" s="229" t="str">
        <f>IFERROR(VLOOKUP(C169,'बँक जमा खर्च पासबुक'!$C$9:$R$111,3,0),"")</f>
        <v/>
      </c>
      <c r="F169" s="229" t="str">
        <f>IFERROR(VLOOKUP(C169,'बँक जमा खर्च पासबुक'!$C$9:$R$111,4,0),"")</f>
        <v/>
      </c>
      <c r="G169" s="229" t="str">
        <f>IFERROR(VLOOKUP(C169,'बँक जमा खर्च पासबुक'!$C$9:$R$111,5,0),"")</f>
        <v/>
      </c>
      <c r="H169" s="229" t="str">
        <f>IFERROR(VLOOKUP(C169,'बँक जमा खर्च पासबुक'!$C$9:$R$111,6,0),"")</f>
        <v/>
      </c>
      <c r="I169" s="229" t="str">
        <f>IFERROR(VLOOKUP(C169,'बँक जमा खर्च पासबुक'!$C$9:$R$111,7,0),"")</f>
        <v/>
      </c>
      <c r="J169" s="233">
        <f>SUMIF('बँक जमा खर्च पासबुक'!$C$9:$C$111,'बँक खर्च व्हाउचर पावती'!C169,'बँक जमा खर्च पासबुक'!$J$9:$J$111)</f>
        <v>0</v>
      </c>
      <c r="K169" s="233">
        <f>SUMIF('बँक जमा खर्च पासबुक'!$C$9:$C$111,'बँक खर्च व्हाउचर पावती'!C169,'बँक जमा खर्च पासबुक'!$K$9:$K$111)</f>
        <v>0</v>
      </c>
      <c r="L169" s="233">
        <f ca="1">SUMIF('बँक जमा खर्च पासबुक'!$C$9:$C$111,'बँक खर्च व्हाउचर पावती'!C169,'बँक जमा खर्च पासबुक'!$L$9:$L$110)</f>
        <v>0</v>
      </c>
      <c r="M169" s="228">
        <f>SUMIF('बँक जमा खर्च पासबुक'!$C$9:$C$111,'बँक खर्च व्हाउचर पावती'!C169,'बँक जमा खर्च पासबुक'!$M$9:$M$111)</f>
        <v>0</v>
      </c>
      <c r="N169" s="233">
        <f t="shared" ca="1" si="127"/>
        <v>3000</v>
      </c>
      <c r="O169" s="228">
        <f t="shared" si="128"/>
        <v>3000</v>
      </c>
      <c r="P169" s="228">
        <f t="shared" ca="1" si="126"/>
        <v>6000</v>
      </c>
      <c r="Q169" s="399"/>
      <c r="AM169" s="380"/>
      <c r="AN169" s="380"/>
      <c r="AO169" s="380">
        <v>28</v>
      </c>
      <c r="AP169" s="261">
        <f t="shared" si="141"/>
        <v>0</v>
      </c>
      <c r="AQ169" s="261">
        <f t="shared" si="129"/>
        <v>0</v>
      </c>
      <c r="AR169" s="261">
        <f t="shared" si="130"/>
        <v>0</v>
      </c>
      <c r="AS169" s="261">
        <f t="shared" si="131"/>
        <v>0</v>
      </c>
      <c r="AT169" s="261">
        <f t="shared" si="132"/>
        <v>0</v>
      </c>
      <c r="AU169" s="261">
        <f t="shared" si="133"/>
        <v>0</v>
      </c>
      <c r="AV169" s="261">
        <f t="shared" si="134"/>
        <v>0</v>
      </c>
      <c r="AW169" s="261">
        <f t="shared" si="135"/>
        <v>0</v>
      </c>
      <c r="AX169" s="261">
        <f t="shared" si="136"/>
        <v>0</v>
      </c>
      <c r="AY169" s="261">
        <f t="shared" si="137"/>
        <v>0</v>
      </c>
      <c r="AZ169" s="261">
        <f t="shared" si="138"/>
        <v>0</v>
      </c>
      <c r="BA169" s="261">
        <f t="shared" si="139"/>
        <v>0</v>
      </c>
      <c r="BB169" s="261">
        <f t="shared" si="140"/>
        <v>0</v>
      </c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</row>
    <row r="170" spans="1:72" ht="22.5" customHeight="1" x14ac:dyDescent="0.4">
      <c r="A170" s="399"/>
      <c r="B170" s="376">
        <v>162</v>
      </c>
      <c r="C170" s="310">
        <v>44083</v>
      </c>
      <c r="D170" s="229" t="str">
        <f>IFERROR(VLOOKUP(C170,'बँक जमा खर्च पासबुक'!$C$9:$R$111,2,0),"")</f>
        <v/>
      </c>
      <c r="E170" s="229" t="str">
        <f>IFERROR(VLOOKUP(C170,'बँक जमा खर्च पासबुक'!$C$9:$R$111,3,0),"")</f>
        <v/>
      </c>
      <c r="F170" s="229" t="str">
        <f>IFERROR(VLOOKUP(C170,'बँक जमा खर्च पासबुक'!$C$9:$R$111,4,0),"")</f>
        <v/>
      </c>
      <c r="G170" s="229" t="str">
        <f>IFERROR(VLOOKUP(C170,'बँक जमा खर्च पासबुक'!$C$9:$R$111,5,0),"")</f>
        <v/>
      </c>
      <c r="H170" s="229" t="str">
        <f>IFERROR(VLOOKUP(C170,'बँक जमा खर्च पासबुक'!$C$9:$R$111,6,0),"")</f>
        <v/>
      </c>
      <c r="I170" s="229" t="str">
        <f>IFERROR(VLOOKUP(C170,'बँक जमा खर्च पासबुक'!$C$9:$R$111,7,0),"")</f>
        <v/>
      </c>
      <c r="J170" s="233">
        <f>SUMIF('बँक जमा खर्च पासबुक'!$C$9:$C$111,'बँक खर्च व्हाउचर पावती'!C170,'बँक जमा खर्च पासबुक'!$J$9:$J$111)</f>
        <v>0</v>
      </c>
      <c r="K170" s="233">
        <f>SUMIF('बँक जमा खर्च पासबुक'!$C$9:$C$111,'बँक खर्च व्हाउचर पावती'!C170,'बँक जमा खर्च पासबुक'!$K$9:$K$111)</f>
        <v>0</v>
      </c>
      <c r="L170" s="233">
        <f ca="1">SUMIF('बँक जमा खर्च पासबुक'!$C$9:$C$111,'बँक खर्च व्हाउचर पावती'!C170,'बँक जमा खर्च पासबुक'!$L$9:$L$110)</f>
        <v>0</v>
      </c>
      <c r="M170" s="228">
        <f>SUMIF('बँक जमा खर्च पासबुक'!$C$9:$C$111,'बँक खर्च व्हाउचर पावती'!C170,'बँक जमा खर्च पासबुक'!$M$9:$M$111)</f>
        <v>0</v>
      </c>
      <c r="N170" s="233">
        <f t="shared" ca="1" si="127"/>
        <v>3000</v>
      </c>
      <c r="O170" s="228">
        <f t="shared" si="128"/>
        <v>3000</v>
      </c>
      <c r="P170" s="228">
        <f t="shared" ca="1" si="126"/>
        <v>6000</v>
      </c>
      <c r="Q170" s="399"/>
      <c r="AM170" s="380"/>
      <c r="AN170" s="380"/>
      <c r="AO170" s="380">
        <v>29</v>
      </c>
      <c r="AP170" s="261">
        <f t="shared" si="141"/>
        <v>0</v>
      </c>
      <c r="AQ170" s="261">
        <f t="shared" si="129"/>
        <v>0</v>
      </c>
      <c r="AR170" s="261">
        <f t="shared" si="130"/>
        <v>0</v>
      </c>
      <c r="AS170" s="261">
        <f t="shared" si="131"/>
        <v>0</v>
      </c>
      <c r="AT170" s="261">
        <f t="shared" si="132"/>
        <v>0</v>
      </c>
      <c r="AU170" s="261">
        <f t="shared" si="133"/>
        <v>0</v>
      </c>
      <c r="AV170" s="261">
        <f t="shared" si="134"/>
        <v>0</v>
      </c>
      <c r="AW170" s="261">
        <f t="shared" si="135"/>
        <v>0</v>
      </c>
      <c r="AX170" s="261">
        <f t="shared" si="136"/>
        <v>0</v>
      </c>
      <c r="AY170" s="261">
        <f t="shared" si="137"/>
        <v>0</v>
      </c>
      <c r="AZ170" s="261">
        <f t="shared" si="138"/>
        <v>0</v>
      </c>
      <c r="BA170" s="261">
        <f t="shared" si="139"/>
        <v>0</v>
      </c>
      <c r="BB170" s="261">
        <f t="shared" si="140"/>
        <v>0</v>
      </c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</row>
    <row r="171" spans="1:72" ht="22.5" customHeight="1" x14ac:dyDescent="0.4">
      <c r="A171" s="399"/>
      <c r="B171" s="376">
        <v>163</v>
      </c>
      <c r="C171" s="310">
        <v>44084</v>
      </c>
      <c r="D171" s="229" t="str">
        <f>IFERROR(VLOOKUP(C171,'बँक जमा खर्च पासबुक'!$C$9:$R$111,2,0),"")</f>
        <v/>
      </c>
      <c r="E171" s="229" t="str">
        <f>IFERROR(VLOOKUP(C171,'बँक जमा खर्च पासबुक'!$C$9:$R$111,3,0),"")</f>
        <v/>
      </c>
      <c r="F171" s="229" t="str">
        <f>IFERROR(VLOOKUP(C171,'बँक जमा खर्च पासबुक'!$C$9:$R$111,4,0),"")</f>
        <v/>
      </c>
      <c r="G171" s="229" t="str">
        <f>IFERROR(VLOOKUP(C171,'बँक जमा खर्च पासबुक'!$C$9:$R$111,5,0),"")</f>
        <v/>
      </c>
      <c r="H171" s="229" t="str">
        <f>IFERROR(VLOOKUP(C171,'बँक जमा खर्च पासबुक'!$C$9:$R$111,6,0),"")</f>
        <v/>
      </c>
      <c r="I171" s="229" t="str">
        <f>IFERROR(VLOOKUP(C171,'बँक जमा खर्च पासबुक'!$C$9:$R$111,7,0),"")</f>
        <v/>
      </c>
      <c r="J171" s="233">
        <f>SUMIF('बँक जमा खर्च पासबुक'!$C$9:$C$111,'बँक खर्च व्हाउचर पावती'!C171,'बँक जमा खर्च पासबुक'!$J$9:$J$111)</f>
        <v>0</v>
      </c>
      <c r="K171" s="233">
        <f>SUMIF('बँक जमा खर्च पासबुक'!$C$9:$C$111,'बँक खर्च व्हाउचर पावती'!C171,'बँक जमा खर्च पासबुक'!$K$9:$K$111)</f>
        <v>0</v>
      </c>
      <c r="L171" s="233">
        <f ca="1">SUMIF('बँक जमा खर्च पासबुक'!$C$9:$C$111,'बँक खर्च व्हाउचर पावती'!C171,'बँक जमा खर्च पासबुक'!$L$9:$L$110)</f>
        <v>0</v>
      </c>
      <c r="M171" s="228">
        <f>SUMIF('बँक जमा खर्च पासबुक'!$C$9:$C$111,'बँक खर्च व्हाउचर पावती'!C171,'बँक जमा खर्च पासबुक'!$M$9:$M$111)</f>
        <v>0</v>
      </c>
      <c r="N171" s="233">
        <f t="shared" ca="1" si="127"/>
        <v>3000</v>
      </c>
      <c r="O171" s="228">
        <f t="shared" si="128"/>
        <v>3000</v>
      </c>
      <c r="P171" s="228">
        <f t="shared" ca="1" si="126"/>
        <v>6000</v>
      </c>
      <c r="Q171" s="399"/>
      <c r="AM171" s="380"/>
      <c r="AN171" s="380"/>
      <c r="AO171" s="380">
        <v>30</v>
      </c>
      <c r="AP171" s="261">
        <f t="shared" si="141"/>
        <v>0</v>
      </c>
      <c r="AQ171" s="261">
        <f t="shared" si="129"/>
        <v>0</v>
      </c>
      <c r="AR171" s="261">
        <f t="shared" si="130"/>
        <v>0</v>
      </c>
      <c r="AS171" s="261">
        <f t="shared" si="131"/>
        <v>0</v>
      </c>
      <c r="AT171" s="261">
        <f t="shared" si="132"/>
        <v>0</v>
      </c>
      <c r="AU171" s="261">
        <f t="shared" si="133"/>
        <v>0</v>
      </c>
      <c r="AV171" s="261">
        <f t="shared" si="134"/>
        <v>0</v>
      </c>
      <c r="AW171" s="261">
        <f t="shared" si="135"/>
        <v>0</v>
      </c>
      <c r="AX171" s="261">
        <f t="shared" si="136"/>
        <v>0</v>
      </c>
      <c r="AY171" s="261">
        <f t="shared" si="137"/>
        <v>0</v>
      </c>
      <c r="AZ171" s="826"/>
      <c r="BA171" s="261">
        <f t="shared" si="139"/>
        <v>0</v>
      </c>
      <c r="BB171" s="261">
        <f t="shared" si="140"/>
        <v>0</v>
      </c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</row>
    <row r="172" spans="1:72" ht="22.5" customHeight="1" x14ac:dyDescent="0.4">
      <c r="A172" s="399"/>
      <c r="B172" s="376">
        <v>164</v>
      </c>
      <c r="C172" s="310">
        <v>44085</v>
      </c>
      <c r="D172" s="229" t="str">
        <f>IFERROR(VLOOKUP(C172,'बँक जमा खर्च पासबुक'!$C$9:$R$111,2,0),"")</f>
        <v/>
      </c>
      <c r="E172" s="229" t="str">
        <f>IFERROR(VLOOKUP(C172,'बँक जमा खर्च पासबुक'!$C$9:$R$111,3,0),"")</f>
        <v/>
      </c>
      <c r="F172" s="229" t="str">
        <f>IFERROR(VLOOKUP(C172,'बँक जमा खर्च पासबुक'!$C$9:$R$111,4,0),"")</f>
        <v/>
      </c>
      <c r="G172" s="229" t="str">
        <f>IFERROR(VLOOKUP(C172,'बँक जमा खर्च पासबुक'!$C$9:$R$111,5,0),"")</f>
        <v/>
      </c>
      <c r="H172" s="229" t="str">
        <f>IFERROR(VLOOKUP(C172,'बँक जमा खर्च पासबुक'!$C$9:$R$111,6,0),"")</f>
        <v/>
      </c>
      <c r="I172" s="229" t="str">
        <f>IFERROR(VLOOKUP(C172,'बँक जमा खर्च पासबुक'!$C$9:$R$111,7,0),"")</f>
        <v/>
      </c>
      <c r="J172" s="233">
        <f>SUMIF('बँक जमा खर्च पासबुक'!$C$9:$C$111,'बँक खर्च व्हाउचर पावती'!C172,'बँक जमा खर्च पासबुक'!$J$9:$J$111)</f>
        <v>0</v>
      </c>
      <c r="K172" s="233">
        <f>SUMIF('बँक जमा खर्च पासबुक'!$C$9:$C$111,'बँक खर्च व्हाउचर पावती'!C172,'बँक जमा खर्च पासबुक'!$K$9:$K$111)</f>
        <v>0</v>
      </c>
      <c r="L172" s="233">
        <f ca="1">SUMIF('बँक जमा खर्च पासबुक'!$C$9:$C$111,'बँक खर्च व्हाउचर पावती'!C172,'बँक जमा खर्च पासबुक'!$L$9:$L$110)</f>
        <v>0</v>
      </c>
      <c r="M172" s="228">
        <f>SUMIF('बँक जमा खर्च पासबुक'!$C$9:$C$111,'बँक खर्च व्हाउचर पावती'!C172,'बँक जमा खर्च पासबुक'!$M$9:$M$111)</f>
        <v>0</v>
      </c>
      <c r="N172" s="233">
        <f t="shared" ca="1" si="127"/>
        <v>3000</v>
      </c>
      <c r="O172" s="228">
        <f t="shared" si="128"/>
        <v>3000</v>
      </c>
      <c r="P172" s="228">
        <f t="shared" ca="1" si="126"/>
        <v>6000</v>
      </c>
      <c r="Q172" s="399"/>
      <c r="AM172" s="380"/>
      <c r="AN172" s="380"/>
      <c r="AO172" s="380">
        <v>31</v>
      </c>
      <c r="AP172" s="826"/>
      <c r="AQ172" s="261">
        <f t="shared" si="129"/>
        <v>0</v>
      </c>
      <c r="AR172" s="826"/>
      <c r="AS172" s="261">
        <f t="shared" si="131"/>
        <v>0</v>
      </c>
      <c r="AT172" s="261">
        <f t="shared" si="132"/>
        <v>0</v>
      </c>
      <c r="AU172" s="826"/>
      <c r="AV172" s="261">
        <f t="shared" si="134"/>
        <v>0</v>
      </c>
      <c r="AW172" s="826"/>
      <c r="AX172" s="261">
        <f t="shared" si="136"/>
        <v>0</v>
      </c>
      <c r="AY172" s="261">
        <f t="shared" si="137"/>
        <v>0</v>
      </c>
      <c r="AZ172" s="826"/>
      <c r="BA172" s="261">
        <f t="shared" si="139"/>
        <v>0</v>
      </c>
      <c r="BB172" s="261">
        <f t="shared" si="140"/>
        <v>0</v>
      </c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</row>
    <row r="173" spans="1:72" ht="22.5" customHeight="1" x14ac:dyDescent="0.4">
      <c r="A173" s="399"/>
      <c r="B173" s="376">
        <v>165</v>
      </c>
      <c r="C173" s="310">
        <v>44086</v>
      </c>
      <c r="D173" s="229" t="str">
        <f>IFERROR(VLOOKUP(C173,'बँक जमा खर्च पासबुक'!$C$9:$R$111,2,0),"")</f>
        <v/>
      </c>
      <c r="E173" s="229" t="str">
        <f>IFERROR(VLOOKUP(C173,'बँक जमा खर्च पासबुक'!$C$9:$R$111,3,0),"")</f>
        <v/>
      </c>
      <c r="F173" s="229" t="str">
        <f>IFERROR(VLOOKUP(C173,'बँक जमा खर्च पासबुक'!$C$9:$R$111,4,0),"")</f>
        <v/>
      </c>
      <c r="G173" s="229" t="str">
        <f>IFERROR(VLOOKUP(C173,'बँक जमा खर्च पासबुक'!$C$9:$R$111,5,0),"")</f>
        <v/>
      </c>
      <c r="H173" s="229" t="str">
        <f>IFERROR(VLOOKUP(C173,'बँक जमा खर्च पासबुक'!$C$9:$R$111,6,0),"")</f>
        <v/>
      </c>
      <c r="I173" s="229" t="str">
        <f>IFERROR(VLOOKUP(C173,'बँक जमा खर्च पासबुक'!$C$9:$R$111,7,0),"")</f>
        <v/>
      </c>
      <c r="J173" s="233">
        <f>SUMIF('बँक जमा खर्च पासबुक'!$C$9:$C$111,'बँक खर्च व्हाउचर पावती'!C173,'बँक जमा खर्च पासबुक'!$J$9:$J$111)</f>
        <v>0</v>
      </c>
      <c r="K173" s="233">
        <f>SUMIF('बँक जमा खर्च पासबुक'!$C$9:$C$111,'बँक खर्च व्हाउचर पावती'!C173,'बँक जमा खर्च पासबुक'!$K$9:$K$111)</f>
        <v>0</v>
      </c>
      <c r="L173" s="233">
        <f ca="1">SUMIF('बँक जमा खर्च पासबुक'!$C$9:$C$111,'बँक खर्च व्हाउचर पावती'!C173,'बँक जमा खर्च पासबुक'!$L$9:$L$110)</f>
        <v>0</v>
      </c>
      <c r="M173" s="228">
        <f>SUMIF('बँक जमा खर्च पासबुक'!$C$9:$C$111,'बँक खर्च व्हाउचर पावती'!C173,'बँक जमा खर्च पासबुक'!$M$9:$M$111)</f>
        <v>0</v>
      </c>
      <c r="N173" s="233">
        <f t="shared" ca="1" si="127"/>
        <v>3000</v>
      </c>
      <c r="O173" s="228">
        <f t="shared" si="128"/>
        <v>3000</v>
      </c>
      <c r="P173" s="228">
        <f t="shared" ca="1" si="126"/>
        <v>6000</v>
      </c>
      <c r="Q173" s="399"/>
      <c r="AM173" s="380"/>
      <c r="AN173" s="380"/>
      <c r="AO173" s="192" t="s">
        <v>35</v>
      </c>
      <c r="AP173" s="261">
        <f t="shared" ref="AP173:BA173" si="142">SUM(AP142:AP172)</f>
        <v>0</v>
      </c>
      <c r="AQ173" s="261">
        <f t="shared" si="142"/>
        <v>0</v>
      </c>
      <c r="AR173" s="261">
        <f t="shared" si="142"/>
        <v>0</v>
      </c>
      <c r="AS173" s="261">
        <f t="shared" si="142"/>
        <v>0</v>
      </c>
      <c r="AT173" s="261">
        <f t="shared" si="142"/>
        <v>0</v>
      </c>
      <c r="AU173" s="261">
        <f t="shared" si="142"/>
        <v>0</v>
      </c>
      <c r="AV173" s="261">
        <f t="shared" si="142"/>
        <v>0</v>
      </c>
      <c r="AW173" s="261">
        <f t="shared" si="142"/>
        <v>0</v>
      </c>
      <c r="AX173" s="261">
        <f t="shared" si="142"/>
        <v>0</v>
      </c>
      <c r="AY173" s="261">
        <f t="shared" si="142"/>
        <v>0</v>
      </c>
      <c r="AZ173" s="261">
        <f t="shared" si="142"/>
        <v>0</v>
      </c>
      <c r="BA173" s="261">
        <f t="shared" si="142"/>
        <v>0</v>
      </c>
      <c r="BB173" s="261">
        <f t="shared" si="140"/>
        <v>0</v>
      </c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</row>
    <row r="174" spans="1:72" ht="22.5" customHeight="1" x14ac:dyDescent="0.4">
      <c r="A174" s="399"/>
      <c r="B174" s="376">
        <v>166</v>
      </c>
      <c r="C174" s="310">
        <v>44087</v>
      </c>
      <c r="D174" s="229" t="str">
        <f>IFERROR(VLOOKUP(C174,'बँक जमा खर्च पासबुक'!$C$9:$R$111,2,0),"")</f>
        <v/>
      </c>
      <c r="E174" s="229" t="str">
        <f>IFERROR(VLOOKUP(C174,'बँक जमा खर्च पासबुक'!$C$9:$R$111,3,0),"")</f>
        <v/>
      </c>
      <c r="F174" s="229" t="str">
        <f>IFERROR(VLOOKUP(C174,'बँक जमा खर्च पासबुक'!$C$9:$R$111,4,0),"")</f>
        <v/>
      </c>
      <c r="G174" s="229" t="str">
        <f>IFERROR(VLOOKUP(C174,'बँक जमा खर्च पासबुक'!$C$9:$R$111,5,0),"")</f>
        <v/>
      </c>
      <c r="H174" s="229" t="str">
        <f>IFERROR(VLOOKUP(C174,'बँक जमा खर्च पासबुक'!$C$9:$R$111,6,0),"")</f>
        <v/>
      </c>
      <c r="I174" s="229" t="str">
        <f>IFERROR(VLOOKUP(C174,'बँक जमा खर्च पासबुक'!$C$9:$R$111,7,0),"")</f>
        <v/>
      </c>
      <c r="J174" s="233">
        <f>SUMIF('बँक जमा खर्च पासबुक'!$C$9:$C$111,'बँक खर्च व्हाउचर पावती'!C174,'बँक जमा खर्च पासबुक'!$J$9:$J$111)</f>
        <v>0</v>
      </c>
      <c r="K174" s="233">
        <f>SUMIF('बँक जमा खर्च पासबुक'!$C$9:$C$111,'बँक खर्च व्हाउचर पावती'!C174,'बँक जमा खर्च पासबुक'!$K$9:$K$111)</f>
        <v>0</v>
      </c>
      <c r="L174" s="233">
        <f ca="1">SUMIF('बँक जमा खर्च पासबुक'!$C$9:$C$111,'बँक खर्च व्हाउचर पावती'!C174,'बँक जमा खर्च पासबुक'!$L$9:$L$110)</f>
        <v>0</v>
      </c>
      <c r="M174" s="228">
        <f>SUMIF('बँक जमा खर्च पासबुक'!$C$9:$C$111,'बँक खर्च व्हाउचर पावती'!C174,'बँक जमा खर्च पासबुक'!$M$9:$M$111)</f>
        <v>0</v>
      </c>
      <c r="N174" s="233">
        <f t="shared" ca="1" si="127"/>
        <v>3000</v>
      </c>
      <c r="O174" s="228">
        <f t="shared" si="128"/>
        <v>3000</v>
      </c>
      <c r="P174" s="228">
        <f t="shared" ca="1" si="126"/>
        <v>6000</v>
      </c>
      <c r="Q174" s="399"/>
      <c r="AM174" s="380"/>
      <c r="AN174" s="380"/>
      <c r="AO174" s="380"/>
      <c r="AP174" s="380"/>
      <c r="AQ174" s="380"/>
      <c r="AR174" s="380"/>
      <c r="AS174" s="380"/>
      <c r="AT174" s="380"/>
      <c r="AU174" s="380" t="s">
        <v>593</v>
      </c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</row>
    <row r="175" spans="1:72" ht="22.5" customHeight="1" x14ac:dyDescent="0.4">
      <c r="A175" s="399"/>
      <c r="B175" s="376">
        <v>167</v>
      </c>
      <c r="C175" s="310">
        <v>44088</v>
      </c>
      <c r="D175" s="229" t="str">
        <f>IFERROR(VLOOKUP(C175,'बँक जमा खर्च पासबुक'!$C$9:$R$111,2,0),"")</f>
        <v/>
      </c>
      <c r="E175" s="229" t="str">
        <f>IFERROR(VLOOKUP(C175,'बँक जमा खर्च पासबुक'!$C$9:$R$111,3,0),"")</f>
        <v/>
      </c>
      <c r="F175" s="229" t="str">
        <f>IFERROR(VLOOKUP(C175,'बँक जमा खर्च पासबुक'!$C$9:$R$111,4,0),"")</f>
        <v/>
      </c>
      <c r="G175" s="229" t="str">
        <f>IFERROR(VLOOKUP(C175,'बँक जमा खर्च पासबुक'!$C$9:$R$111,5,0),"")</f>
        <v/>
      </c>
      <c r="H175" s="229" t="str">
        <f>IFERROR(VLOOKUP(C175,'बँक जमा खर्च पासबुक'!$C$9:$R$111,6,0),"")</f>
        <v/>
      </c>
      <c r="I175" s="229" t="str">
        <f>IFERROR(VLOOKUP(C175,'बँक जमा खर्च पासबुक'!$C$9:$R$111,7,0),"")</f>
        <v/>
      </c>
      <c r="J175" s="233">
        <f>SUMIF('बँक जमा खर्च पासबुक'!$C$9:$C$111,'बँक खर्च व्हाउचर पावती'!C175,'बँक जमा खर्च पासबुक'!$J$9:$J$111)</f>
        <v>0</v>
      </c>
      <c r="K175" s="233">
        <f>SUMIF('बँक जमा खर्च पासबुक'!$C$9:$C$111,'बँक खर्च व्हाउचर पावती'!C175,'बँक जमा खर्च पासबुक'!$K$9:$K$111)</f>
        <v>0</v>
      </c>
      <c r="L175" s="233">
        <f ca="1">SUMIF('बँक जमा खर्च पासबुक'!$C$9:$C$111,'बँक खर्च व्हाउचर पावती'!C175,'बँक जमा खर्च पासबुक'!$L$9:$L$110)</f>
        <v>0</v>
      </c>
      <c r="M175" s="228">
        <f>SUMIF('बँक जमा खर्च पासबुक'!$C$9:$C$111,'बँक खर्च व्हाउचर पावती'!C175,'बँक जमा खर्च पासबुक'!$M$9:$M$111)</f>
        <v>0</v>
      </c>
      <c r="N175" s="233">
        <f t="shared" ca="1" si="127"/>
        <v>3000</v>
      </c>
      <c r="O175" s="228">
        <f t="shared" si="128"/>
        <v>3000</v>
      </c>
      <c r="P175" s="228">
        <f t="shared" ca="1" si="126"/>
        <v>6000</v>
      </c>
      <c r="Q175" s="399"/>
      <c r="AM175" s="380"/>
      <c r="AN175" s="380"/>
      <c r="AO175" s="380"/>
      <c r="AP175" s="380" t="s">
        <v>42</v>
      </c>
      <c r="AQ175" s="380" t="s">
        <v>44</v>
      </c>
      <c r="AR175" s="380" t="s">
        <v>94</v>
      </c>
      <c r="AS175" s="380" t="s">
        <v>46</v>
      </c>
      <c r="AT175" s="380" t="s">
        <v>34</v>
      </c>
      <c r="AU175" s="380" t="s">
        <v>37</v>
      </c>
      <c r="AV175" s="380" t="s">
        <v>47</v>
      </c>
      <c r="AW175" s="380" t="s">
        <v>38</v>
      </c>
      <c r="AX175" s="380" t="s">
        <v>39</v>
      </c>
      <c r="AY175" s="380" t="s">
        <v>33</v>
      </c>
      <c r="AZ175" s="380" t="s">
        <v>40</v>
      </c>
      <c r="BA175" s="380" t="s">
        <v>41</v>
      </c>
      <c r="BB175" s="380" t="s">
        <v>35</v>
      </c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</row>
    <row r="176" spans="1:72" ht="22.5" customHeight="1" x14ac:dyDescent="0.4">
      <c r="A176" s="399"/>
      <c r="B176" s="376">
        <v>168</v>
      </c>
      <c r="C176" s="310">
        <v>44089</v>
      </c>
      <c r="D176" s="229" t="str">
        <f>IFERROR(VLOOKUP(C176,'बँक जमा खर्च पासबुक'!$C$9:$R$111,2,0),"")</f>
        <v/>
      </c>
      <c r="E176" s="229" t="str">
        <f>IFERROR(VLOOKUP(C176,'बँक जमा खर्च पासबुक'!$C$9:$R$111,3,0),"")</f>
        <v/>
      </c>
      <c r="F176" s="229" t="str">
        <f>IFERROR(VLOOKUP(C176,'बँक जमा खर्च पासबुक'!$C$9:$R$111,4,0),"")</f>
        <v/>
      </c>
      <c r="G176" s="229" t="str">
        <f>IFERROR(VLOOKUP(C176,'बँक जमा खर्च पासबुक'!$C$9:$R$111,5,0),"")</f>
        <v/>
      </c>
      <c r="H176" s="229" t="str">
        <f>IFERROR(VLOOKUP(C176,'बँक जमा खर्च पासबुक'!$C$9:$R$111,6,0),"")</f>
        <v/>
      </c>
      <c r="I176" s="229" t="str">
        <f>IFERROR(VLOOKUP(C176,'बँक जमा खर्च पासबुक'!$C$9:$R$111,7,0),"")</f>
        <v/>
      </c>
      <c r="J176" s="233">
        <f>SUMIF('बँक जमा खर्च पासबुक'!$C$9:$C$111,'बँक खर्च व्हाउचर पावती'!C176,'बँक जमा खर्च पासबुक'!$J$9:$J$111)</f>
        <v>0</v>
      </c>
      <c r="K176" s="233">
        <f>SUMIF('बँक जमा खर्च पासबुक'!$C$9:$C$111,'बँक खर्च व्हाउचर पावती'!C176,'बँक जमा खर्च पासबुक'!$K$9:$K$111)</f>
        <v>0</v>
      </c>
      <c r="L176" s="233">
        <f ca="1">SUMIF('बँक जमा खर्च पासबुक'!$C$9:$C$111,'बँक खर्च व्हाउचर पावती'!C176,'बँक जमा खर्च पासबुक'!$L$9:$L$110)</f>
        <v>0</v>
      </c>
      <c r="M176" s="228">
        <f>SUMIF('बँक जमा खर्च पासबुक'!$C$9:$C$111,'बँक खर्च व्हाउचर पावती'!C176,'बँक जमा खर्च पासबुक'!$M$9:$M$111)</f>
        <v>0</v>
      </c>
      <c r="N176" s="233">
        <f t="shared" ca="1" si="127"/>
        <v>3000</v>
      </c>
      <c r="O176" s="228">
        <f t="shared" si="128"/>
        <v>3000</v>
      </c>
      <c r="P176" s="228">
        <f t="shared" ca="1" si="126"/>
        <v>6000</v>
      </c>
      <c r="Q176" s="399"/>
      <c r="AM176" s="380"/>
      <c r="AN176" s="380"/>
      <c r="AO176" s="380">
        <v>1</v>
      </c>
      <c r="AP176" s="261">
        <f>K9</f>
        <v>0</v>
      </c>
      <c r="AQ176" s="261">
        <f t="shared" ref="AQ176:AQ206" si="143">K39</f>
        <v>0</v>
      </c>
      <c r="AR176" s="261">
        <f t="shared" ref="AR176:AR205" si="144">K70</f>
        <v>0</v>
      </c>
      <c r="AS176" s="261">
        <f t="shared" ref="AS176:AS206" si="145">K100</f>
        <v>0</v>
      </c>
      <c r="AT176" s="261">
        <f t="shared" ref="AT176:AT206" si="146">K131</f>
        <v>0</v>
      </c>
      <c r="AU176" s="261">
        <f t="shared" ref="AU176:AU205" si="147">K162</f>
        <v>0</v>
      </c>
      <c r="AV176" s="261">
        <f t="shared" ref="AV176:AV206" si="148">K192</f>
        <v>0</v>
      </c>
      <c r="AW176" s="261">
        <f t="shared" ref="AW176:AW205" si="149">K223</f>
        <v>0</v>
      </c>
      <c r="AX176" s="261">
        <f t="shared" ref="AX176:AX206" si="150">K253</f>
        <v>0</v>
      </c>
      <c r="AY176" s="261">
        <f t="shared" ref="AY176:AY206" si="151">K284</f>
        <v>0</v>
      </c>
      <c r="AZ176" s="261">
        <f t="shared" ref="AZ176:AZ204" si="152">K315</f>
        <v>0</v>
      </c>
      <c r="BA176" s="261">
        <f t="shared" ref="BA176:BA206" si="153">K344</f>
        <v>0</v>
      </c>
      <c r="BB176" s="261">
        <f t="shared" ref="BB176:BB207" si="154">SUM(AP176:BA176)</f>
        <v>0</v>
      </c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</row>
    <row r="177" spans="1:72" ht="22.5" customHeight="1" x14ac:dyDescent="0.4">
      <c r="A177" s="399"/>
      <c r="B177" s="376">
        <v>169</v>
      </c>
      <c r="C177" s="310">
        <v>44090</v>
      </c>
      <c r="D177" s="229" t="str">
        <f>IFERROR(VLOOKUP(C177,'बँक जमा खर्च पासबुक'!$C$9:$R$111,2,0),"")</f>
        <v/>
      </c>
      <c r="E177" s="229" t="str">
        <f>IFERROR(VLOOKUP(C177,'बँक जमा खर्च पासबुक'!$C$9:$R$111,3,0),"")</f>
        <v/>
      </c>
      <c r="F177" s="229" t="str">
        <f>IFERROR(VLOOKUP(C177,'बँक जमा खर्च पासबुक'!$C$9:$R$111,4,0),"")</f>
        <v/>
      </c>
      <c r="G177" s="229" t="str">
        <f>IFERROR(VLOOKUP(C177,'बँक जमा खर्च पासबुक'!$C$9:$R$111,5,0),"")</f>
        <v/>
      </c>
      <c r="H177" s="229" t="str">
        <f>IFERROR(VLOOKUP(C177,'बँक जमा खर्च पासबुक'!$C$9:$R$111,6,0),"")</f>
        <v/>
      </c>
      <c r="I177" s="229" t="str">
        <f>IFERROR(VLOOKUP(C177,'बँक जमा खर्च पासबुक'!$C$9:$R$111,7,0),"")</f>
        <v/>
      </c>
      <c r="J177" s="233">
        <f>SUMIF('बँक जमा खर्च पासबुक'!$C$9:$C$111,'बँक खर्च व्हाउचर पावती'!C177,'बँक जमा खर्च पासबुक'!$J$9:$J$111)</f>
        <v>0</v>
      </c>
      <c r="K177" s="233">
        <f>SUMIF('बँक जमा खर्च पासबुक'!$C$9:$C$111,'बँक खर्च व्हाउचर पावती'!C177,'बँक जमा खर्च पासबुक'!$K$9:$K$111)</f>
        <v>0</v>
      </c>
      <c r="L177" s="233">
        <f ca="1">SUMIF('बँक जमा खर्च पासबुक'!$C$9:$C$111,'बँक खर्च व्हाउचर पावती'!C177,'बँक जमा खर्च पासबुक'!$L$9:$L$110)</f>
        <v>0</v>
      </c>
      <c r="M177" s="228">
        <f>SUMIF('बँक जमा खर्च पासबुक'!$C$9:$C$111,'बँक खर्च व्हाउचर पावती'!C177,'बँक जमा खर्च पासबुक'!$M$9:$M$111)</f>
        <v>0</v>
      </c>
      <c r="N177" s="233">
        <f t="shared" ca="1" si="127"/>
        <v>3000</v>
      </c>
      <c r="O177" s="228">
        <f t="shared" si="128"/>
        <v>3000</v>
      </c>
      <c r="P177" s="228">
        <f t="shared" ca="1" si="126"/>
        <v>6000</v>
      </c>
      <c r="Q177" s="399"/>
      <c r="AM177" s="380"/>
      <c r="AN177" s="380"/>
      <c r="AO177" s="380">
        <v>2</v>
      </c>
      <c r="AP177" s="261">
        <f>K10</f>
        <v>0</v>
      </c>
      <c r="AQ177" s="261">
        <f t="shared" si="143"/>
        <v>0</v>
      </c>
      <c r="AR177" s="261">
        <f t="shared" si="144"/>
        <v>0</v>
      </c>
      <c r="AS177" s="261">
        <f t="shared" si="145"/>
        <v>0</v>
      </c>
      <c r="AT177" s="261">
        <f t="shared" si="146"/>
        <v>0</v>
      </c>
      <c r="AU177" s="261">
        <f t="shared" si="147"/>
        <v>0</v>
      </c>
      <c r="AV177" s="261">
        <f t="shared" si="148"/>
        <v>0</v>
      </c>
      <c r="AW177" s="261">
        <f t="shared" si="149"/>
        <v>0</v>
      </c>
      <c r="AX177" s="261">
        <f t="shared" si="150"/>
        <v>0</v>
      </c>
      <c r="AY177" s="261">
        <f t="shared" si="151"/>
        <v>0</v>
      </c>
      <c r="AZ177" s="261">
        <f t="shared" si="152"/>
        <v>0</v>
      </c>
      <c r="BA177" s="261">
        <f t="shared" si="153"/>
        <v>0</v>
      </c>
      <c r="BB177" s="261">
        <f t="shared" si="154"/>
        <v>0</v>
      </c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</row>
    <row r="178" spans="1:72" ht="22.5" customHeight="1" x14ac:dyDescent="0.4">
      <c r="A178" s="399"/>
      <c r="B178" s="376">
        <v>170</v>
      </c>
      <c r="C178" s="310">
        <v>44091</v>
      </c>
      <c r="D178" s="229" t="str">
        <f>IFERROR(VLOOKUP(C178,'बँक जमा खर्च पासबुक'!$C$9:$R$111,2,0),"")</f>
        <v/>
      </c>
      <c r="E178" s="229" t="str">
        <f>IFERROR(VLOOKUP(C178,'बँक जमा खर्च पासबुक'!$C$9:$R$111,3,0),"")</f>
        <v/>
      </c>
      <c r="F178" s="229" t="str">
        <f>IFERROR(VLOOKUP(C178,'बँक जमा खर्च पासबुक'!$C$9:$R$111,4,0),"")</f>
        <v/>
      </c>
      <c r="G178" s="229" t="str">
        <f>IFERROR(VLOOKUP(C178,'बँक जमा खर्च पासबुक'!$C$9:$R$111,5,0),"")</f>
        <v/>
      </c>
      <c r="H178" s="229" t="str">
        <f>IFERROR(VLOOKUP(C178,'बँक जमा खर्च पासबुक'!$C$9:$R$111,6,0),"")</f>
        <v/>
      </c>
      <c r="I178" s="229" t="str">
        <f>IFERROR(VLOOKUP(C178,'बँक जमा खर्च पासबुक'!$C$9:$R$111,7,0),"")</f>
        <v/>
      </c>
      <c r="J178" s="233">
        <f>SUMIF('बँक जमा खर्च पासबुक'!$C$9:$C$111,'बँक खर्च व्हाउचर पावती'!C178,'बँक जमा खर्च पासबुक'!$J$9:$J$111)</f>
        <v>0</v>
      </c>
      <c r="K178" s="233">
        <f>SUMIF('बँक जमा खर्च पासबुक'!$C$9:$C$111,'बँक खर्च व्हाउचर पावती'!C178,'बँक जमा खर्च पासबुक'!$K$9:$K$111)</f>
        <v>0</v>
      </c>
      <c r="L178" s="233">
        <f ca="1">SUMIF('बँक जमा खर्च पासबुक'!$C$9:$C$111,'बँक खर्च व्हाउचर पावती'!C178,'बँक जमा खर्च पासबुक'!$L$9:$L$110)</f>
        <v>0</v>
      </c>
      <c r="M178" s="228">
        <f>SUMIF('बँक जमा खर्च पासबुक'!$C$9:$C$111,'बँक खर्च व्हाउचर पावती'!C178,'बँक जमा खर्च पासबुक'!$M$9:$M$111)</f>
        <v>0</v>
      </c>
      <c r="N178" s="233">
        <f t="shared" ca="1" si="127"/>
        <v>3000</v>
      </c>
      <c r="O178" s="228">
        <f t="shared" si="128"/>
        <v>3000</v>
      </c>
      <c r="P178" s="228">
        <f t="shared" ca="1" si="126"/>
        <v>6000</v>
      </c>
      <c r="Q178" s="399"/>
      <c r="AM178" s="380"/>
      <c r="AN178" s="380"/>
      <c r="AO178" s="380">
        <v>3</v>
      </c>
      <c r="AP178" s="261">
        <f>K11</f>
        <v>0</v>
      </c>
      <c r="AQ178" s="261">
        <f t="shared" si="143"/>
        <v>0</v>
      </c>
      <c r="AR178" s="261">
        <f t="shared" si="144"/>
        <v>0</v>
      </c>
      <c r="AS178" s="261">
        <f t="shared" si="145"/>
        <v>0</v>
      </c>
      <c r="AT178" s="261">
        <f t="shared" si="146"/>
        <v>0</v>
      </c>
      <c r="AU178" s="261">
        <f t="shared" si="147"/>
        <v>0</v>
      </c>
      <c r="AV178" s="261">
        <f t="shared" si="148"/>
        <v>0</v>
      </c>
      <c r="AW178" s="261">
        <f t="shared" si="149"/>
        <v>0</v>
      </c>
      <c r="AX178" s="261">
        <f t="shared" si="150"/>
        <v>0</v>
      </c>
      <c r="AY178" s="261">
        <f t="shared" si="151"/>
        <v>0</v>
      </c>
      <c r="AZ178" s="261">
        <f t="shared" si="152"/>
        <v>0</v>
      </c>
      <c r="BA178" s="261">
        <f t="shared" si="153"/>
        <v>0</v>
      </c>
      <c r="BB178" s="261">
        <f t="shared" si="154"/>
        <v>0</v>
      </c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</row>
    <row r="179" spans="1:72" ht="22.5" customHeight="1" x14ac:dyDescent="0.4">
      <c r="A179" s="399"/>
      <c r="B179" s="376">
        <v>171</v>
      </c>
      <c r="C179" s="310">
        <v>44092</v>
      </c>
      <c r="D179" s="229" t="str">
        <f>IFERROR(VLOOKUP(C179,'बँक जमा खर्च पासबुक'!$C$9:$R$111,2,0),"")</f>
        <v/>
      </c>
      <c r="E179" s="229" t="str">
        <f>IFERROR(VLOOKUP(C179,'बँक जमा खर्च पासबुक'!$C$9:$R$111,3,0),"")</f>
        <v/>
      </c>
      <c r="F179" s="229" t="str">
        <f>IFERROR(VLOOKUP(C179,'बँक जमा खर्च पासबुक'!$C$9:$R$111,4,0),"")</f>
        <v/>
      </c>
      <c r="G179" s="229" t="str">
        <f>IFERROR(VLOOKUP(C179,'बँक जमा खर्च पासबुक'!$C$9:$R$111,5,0),"")</f>
        <v/>
      </c>
      <c r="H179" s="229" t="str">
        <f>IFERROR(VLOOKUP(C179,'बँक जमा खर्च पासबुक'!$C$9:$R$111,6,0),"")</f>
        <v/>
      </c>
      <c r="I179" s="229" t="str">
        <f>IFERROR(VLOOKUP(C179,'बँक जमा खर्च पासबुक'!$C$9:$R$111,7,0),"")</f>
        <v/>
      </c>
      <c r="J179" s="233">
        <f>SUMIF('बँक जमा खर्च पासबुक'!$C$9:$C$111,'बँक खर्च व्हाउचर पावती'!C179,'बँक जमा खर्च पासबुक'!$J$9:$J$111)</f>
        <v>0</v>
      </c>
      <c r="K179" s="233">
        <f>SUMIF('बँक जमा खर्च पासबुक'!$C$9:$C$111,'बँक खर्च व्हाउचर पावती'!C179,'बँक जमा खर्च पासबुक'!$K$9:$K$111)</f>
        <v>0</v>
      </c>
      <c r="L179" s="233">
        <f ca="1">SUMIF('बँक जमा खर्च पासबुक'!$C$9:$C$111,'बँक खर्च व्हाउचर पावती'!C179,'बँक जमा खर्च पासबुक'!$L$9:$L$110)</f>
        <v>0</v>
      </c>
      <c r="M179" s="228">
        <f>SUMIF('बँक जमा खर्च पासबुक'!$C$9:$C$111,'बँक खर्च व्हाउचर पावती'!C179,'बँक जमा खर्च पासबुक'!$M$9:$M$111)</f>
        <v>0</v>
      </c>
      <c r="N179" s="233">
        <f t="shared" ca="1" si="127"/>
        <v>3000</v>
      </c>
      <c r="O179" s="228">
        <f t="shared" si="128"/>
        <v>3000</v>
      </c>
      <c r="P179" s="228">
        <f t="shared" ca="1" si="126"/>
        <v>6000</v>
      </c>
      <c r="Q179" s="399"/>
      <c r="AM179" s="380"/>
      <c r="AN179" s="380"/>
      <c r="AO179" s="380">
        <v>4</v>
      </c>
      <c r="AP179" s="261">
        <f>K12</f>
        <v>0</v>
      </c>
      <c r="AQ179" s="261">
        <f t="shared" si="143"/>
        <v>0</v>
      </c>
      <c r="AR179" s="261">
        <f t="shared" si="144"/>
        <v>0</v>
      </c>
      <c r="AS179" s="261">
        <f t="shared" si="145"/>
        <v>0</v>
      </c>
      <c r="AT179" s="261">
        <f t="shared" si="146"/>
        <v>0</v>
      </c>
      <c r="AU179" s="261">
        <f t="shared" si="147"/>
        <v>0</v>
      </c>
      <c r="AV179" s="261">
        <f t="shared" si="148"/>
        <v>0</v>
      </c>
      <c r="AW179" s="261">
        <f t="shared" si="149"/>
        <v>0</v>
      </c>
      <c r="AX179" s="261">
        <f t="shared" si="150"/>
        <v>0</v>
      </c>
      <c r="AY179" s="261">
        <f t="shared" si="151"/>
        <v>0</v>
      </c>
      <c r="AZ179" s="261">
        <f t="shared" si="152"/>
        <v>0</v>
      </c>
      <c r="BA179" s="261">
        <f t="shared" si="153"/>
        <v>0</v>
      </c>
      <c r="BB179" s="261">
        <f t="shared" si="154"/>
        <v>0</v>
      </c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</row>
    <row r="180" spans="1:72" ht="22.5" customHeight="1" x14ac:dyDescent="0.4">
      <c r="A180" s="399"/>
      <c r="B180" s="376">
        <v>172</v>
      </c>
      <c r="C180" s="310">
        <v>44093</v>
      </c>
      <c r="D180" s="229" t="str">
        <f>IFERROR(VLOOKUP(C180,'बँक जमा खर्च पासबुक'!$C$9:$R$111,2,0),"")</f>
        <v/>
      </c>
      <c r="E180" s="229" t="str">
        <f>IFERROR(VLOOKUP(C180,'बँक जमा खर्च पासबुक'!$C$9:$R$111,3,0),"")</f>
        <v/>
      </c>
      <c r="F180" s="229" t="str">
        <f>IFERROR(VLOOKUP(C180,'बँक जमा खर्च पासबुक'!$C$9:$R$111,4,0),"")</f>
        <v/>
      </c>
      <c r="G180" s="229" t="str">
        <f>IFERROR(VLOOKUP(C180,'बँक जमा खर्च पासबुक'!$C$9:$R$111,5,0),"")</f>
        <v/>
      </c>
      <c r="H180" s="229" t="str">
        <f>IFERROR(VLOOKUP(C180,'बँक जमा खर्च पासबुक'!$C$9:$R$111,6,0),"")</f>
        <v/>
      </c>
      <c r="I180" s="229" t="str">
        <f>IFERROR(VLOOKUP(C180,'बँक जमा खर्च पासबुक'!$C$9:$R$111,7,0),"")</f>
        <v/>
      </c>
      <c r="J180" s="233">
        <f>SUMIF('बँक जमा खर्च पासबुक'!$C$9:$C$111,'बँक खर्च व्हाउचर पावती'!C180,'बँक जमा खर्च पासबुक'!$J$9:$J$111)</f>
        <v>0</v>
      </c>
      <c r="K180" s="233">
        <f>SUMIF('बँक जमा खर्च पासबुक'!$C$9:$C$111,'बँक खर्च व्हाउचर पावती'!C180,'बँक जमा खर्च पासबुक'!$K$9:$K$111)</f>
        <v>0</v>
      </c>
      <c r="L180" s="233">
        <f ca="1">SUMIF('बँक जमा खर्च पासबुक'!$C$9:$C$111,'बँक खर्च व्हाउचर पावती'!C180,'बँक जमा खर्च पासबुक'!$L$9:$L$110)</f>
        <v>0</v>
      </c>
      <c r="M180" s="228">
        <f>SUMIF('बँक जमा खर्च पासबुक'!$C$9:$C$111,'बँक खर्च व्हाउचर पावती'!C180,'बँक जमा खर्च पासबुक'!$M$9:$M$111)</f>
        <v>0</v>
      </c>
      <c r="N180" s="233">
        <f t="shared" ca="1" si="127"/>
        <v>3000</v>
      </c>
      <c r="O180" s="228">
        <f t="shared" si="128"/>
        <v>3000</v>
      </c>
      <c r="P180" s="228">
        <f t="shared" ca="1" si="126"/>
        <v>6000</v>
      </c>
      <c r="Q180" s="399"/>
      <c r="AM180" s="380"/>
      <c r="AN180" s="380"/>
      <c r="AO180" s="380">
        <v>5</v>
      </c>
      <c r="AP180" s="261">
        <f>K13</f>
        <v>0</v>
      </c>
      <c r="AQ180" s="261">
        <f t="shared" si="143"/>
        <v>0</v>
      </c>
      <c r="AR180" s="261">
        <f t="shared" si="144"/>
        <v>0</v>
      </c>
      <c r="AS180" s="261">
        <f t="shared" si="145"/>
        <v>0</v>
      </c>
      <c r="AT180" s="261">
        <f t="shared" si="146"/>
        <v>0</v>
      </c>
      <c r="AU180" s="261">
        <f t="shared" si="147"/>
        <v>0</v>
      </c>
      <c r="AV180" s="261">
        <f t="shared" si="148"/>
        <v>0</v>
      </c>
      <c r="AW180" s="261">
        <f t="shared" si="149"/>
        <v>0</v>
      </c>
      <c r="AX180" s="261">
        <f t="shared" si="150"/>
        <v>0</v>
      </c>
      <c r="AY180" s="261">
        <f t="shared" si="151"/>
        <v>0</v>
      </c>
      <c r="AZ180" s="261">
        <f t="shared" si="152"/>
        <v>0</v>
      </c>
      <c r="BA180" s="261">
        <f t="shared" si="153"/>
        <v>0</v>
      </c>
      <c r="BB180" s="261">
        <f t="shared" si="154"/>
        <v>0</v>
      </c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</row>
    <row r="181" spans="1:72" ht="22.5" customHeight="1" x14ac:dyDescent="0.4">
      <c r="A181" s="399"/>
      <c r="B181" s="376">
        <v>173</v>
      </c>
      <c r="C181" s="310">
        <v>44094</v>
      </c>
      <c r="D181" s="229" t="str">
        <f>IFERROR(VLOOKUP(C181,'बँक जमा खर्च पासबुक'!$C$9:$R$111,2,0),"")</f>
        <v/>
      </c>
      <c r="E181" s="229" t="str">
        <f>IFERROR(VLOOKUP(C181,'बँक जमा खर्च पासबुक'!$C$9:$R$111,3,0),"")</f>
        <v/>
      </c>
      <c r="F181" s="229" t="str">
        <f>IFERROR(VLOOKUP(C181,'बँक जमा खर्च पासबुक'!$C$9:$R$111,4,0),"")</f>
        <v/>
      </c>
      <c r="G181" s="229" t="str">
        <f>IFERROR(VLOOKUP(C181,'बँक जमा खर्च पासबुक'!$C$9:$R$111,5,0),"")</f>
        <v/>
      </c>
      <c r="H181" s="229" t="str">
        <f>IFERROR(VLOOKUP(C181,'बँक जमा खर्च पासबुक'!$C$9:$R$111,6,0),"")</f>
        <v/>
      </c>
      <c r="I181" s="229" t="str">
        <f>IFERROR(VLOOKUP(C181,'बँक जमा खर्च पासबुक'!$C$9:$R$111,7,0),"")</f>
        <v/>
      </c>
      <c r="J181" s="233">
        <f>SUMIF('बँक जमा खर्च पासबुक'!$C$9:$C$111,'बँक खर्च व्हाउचर पावती'!C181,'बँक जमा खर्च पासबुक'!$J$9:$J$111)</f>
        <v>0</v>
      </c>
      <c r="K181" s="233">
        <f>SUMIF('बँक जमा खर्च पासबुक'!$C$9:$C$111,'बँक खर्च व्हाउचर पावती'!C181,'बँक जमा खर्च पासबुक'!$K$9:$K$111)</f>
        <v>0</v>
      </c>
      <c r="L181" s="233">
        <f ca="1">SUMIF('बँक जमा खर्च पासबुक'!$C$9:$C$111,'बँक खर्च व्हाउचर पावती'!C181,'बँक जमा खर्च पासबुक'!$L$9:$L$110)</f>
        <v>0</v>
      </c>
      <c r="M181" s="228">
        <f>SUMIF('बँक जमा खर्च पासबुक'!$C$9:$C$111,'बँक खर्च व्हाउचर पावती'!C181,'बँक जमा खर्च पासबुक'!$M$9:$M$111)</f>
        <v>0</v>
      </c>
      <c r="N181" s="233">
        <f t="shared" ca="1" si="127"/>
        <v>3000</v>
      </c>
      <c r="O181" s="228">
        <f t="shared" si="128"/>
        <v>3000</v>
      </c>
      <c r="P181" s="228">
        <f t="shared" ca="1" si="126"/>
        <v>6000</v>
      </c>
      <c r="Q181" s="399"/>
      <c r="AM181" s="380"/>
      <c r="AN181" s="380"/>
      <c r="AO181" s="380">
        <v>6</v>
      </c>
      <c r="AP181" s="261">
        <f t="shared" ref="AP181:AP205" si="155">K14</f>
        <v>0</v>
      </c>
      <c r="AQ181" s="261">
        <f t="shared" si="143"/>
        <v>0</v>
      </c>
      <c r="AR181" s="261">
        <f t="shared" si="144"/>
        <v>0</v>
      </c>
      <c r="AS181" s="261">
        <f t="shared" si="145"/>
        <v>0</v>
      </c>
      <c r="AT181" s="261">
        <f t="shared" si="146"/>
        <v>0</v>
      </c>
      <c r="AU181" s="261">
        <f t="shared" si="147"/>
        <v>0</v>
      </c>
      <c r="AV181" s="261">
        <f t="shared" si="148"/>
        <v>0</v>
      </c>
      <c r="AW181" s="261">
        <f t="shared" si="149"/>
        <v>0</v>
      </c>
      <c r="AX181" s="261">
        <f t="shared" si="150"/>
        <v>0</v>
      </c>
      <c r="AY181" s="261">
        <f t="shared" si="151"/>
        <v>0</v>
      </c>
      <c r="AZ181" s="261">
        <f t="shared" si="152"/>
        <v>0</v>
      </c>
      <c r="BA181" s="261">
        <f t="shared" si="153"/>
        <v>0</v>
      </c>
      <c r="BB181" s="261">
        <f t="shared" si="154"/>
        <v>0</v>
      </c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</row>
    <row r="182" spans="1:72" ht="22.5" customHeight="1" x14ac:dyDescent="0.4">
      <c r="A182" s="399"/>
      <c r="B182" s="376">
        <v>174</v>
      </c>
      <c r="C182" s="310">
        <v>44095</v>
      </c>
      <c r="D182" s="229" t="str">
        <f>IFERROR(VLOOKUP(C182,'बँक जमा खर्च पासबुक'!$C$9:$R$111,2,0),"")</f>
        <v/>
      </c>
      <c r="E182" s="229" t="str">
        <f>IFERROR(VLOOKUP(C182,'बँक जमा खर्च पासबुक'!$C$9:$R$111,3,0),"")</f>
        <v/>
      </c>
      <c r="F182" s="229" t="str">
        <f>IFERROR(VLOOKUP(C182,'बँक जमा खर्च पासबुक'!$C$9:$R$111,4,0),"")</f>
        <v/>
      </c>
      <c r="G182" s="229" t="str">
        <f>IFERROR(VLOOKUP(C182,'बँक जमा खर्च पासबुक'!$C$9:$R$111,5,0),"")</f>
        <v/>
      </c>
      <c r="H182" s="229" t="str">
        <f>IFERROR(VLOOKUP(C182,'बँक जमा खर्च पासबुक'!$C$9:$R$111,6,0),"")</f>
        <v/>
      </c>
      <c r="I182" s="229" t="str">
        <f>IFERROR(VLOOKUP(C182,'बँक जमा खर्च पासबुक'!$C$9:$R$111,7,0),"")</f>
        <v/>
      </c>
      <c r="J182" s="233">
        <f>SUMIF('बँक जमा खर्च पासबुक'!$C$9:$C$111,'बँक खर्च व्हाउचर पावती'!C182,'बँक जमा खर्च पासबुक'!$J$9:$J$111)</f>
        <v>0</v>
      </c>
      <c r="K182" s="233">
        <f>SUMIF('बँक जमा खर्च पासबुक'!$C$9:$C$111,'बँक खर्च व्हाउचर पावती'!C182,'बँक जमा खर्च पासबुक'!$K$9:$K$111)</f>
        <v>0</v>
      </c>
      <c r="L182" s="233">
        <f ca="1">SUMIF('बँक जमा खर्च पासबुक'!$C$9:$C$111,'बँक खर्च व्हाउचर पावती'!C182,'बँक जमा खर्च पासबुक'!$L$9:$L$110)</f>
        <v>0</v>
      </c>
      <c r="M182" s="228">
        <f>SUMIF('बँक जमा खर्च पासबुक'!$C$9:$C$111,'बँक खर्च व्हाउचर पावती'!C182,'बँक जमा खर्च पासबुक'!$M$9:$M$111)</f>
        <v>0</v>
      </c>
      <c r="N182" s="233">
        <f t="shared" ca="1" si="127"/>
        <v>3000</v>
      </c>
      <c r="O182" s="228">
        <f t="shared" si="128"/>
        <v>3000</v>
      </c>
      <c r="P182" s="228">
        <f t="shared" ca="1" si="126"/>
        <v>6000</v>
      </c>
      <c r="Q182" s="399"/>
      <c r="AM182" s="380"/>
      <c r="AN182" s="380"/>
      <c r="AO182" s="380">
        <v>7</v>
      </c>
      <c r="AP182" s="261">
        <f t="shared" si="155"/>
        <v>0</v>
      </c>
      <c r="AQ182" s="261">
        <f t="shared" si="143"/>
        <v>0</v>
      </c>
      <c r="AR182" s="261">
        <f t="shared" si="144"/>
        <v>0</v>
      </c>
      <c r="AS182" s="261">
        <f t="shared" si="145"/>
        <v>0</v>
      </c>
      <c r="AT182" s="261">
        <f t="shared" si="146"/>
        <v>0</v>
      </c>
      <c r="AU182" s="261">
        <f t="shared" si="147"/>
        <v>0</v>
      </c>
      <c r="AV182" s="261">
        <f t="shared" si="148"/>
        <v>0</v>
      </c>
      <c r="AW182" s="261">
        <f t="shared" si="149"/>
        <v>0</v>
      </c>
      <c r="AX182" s="261">
        <f t="shared" si="150"/>
        <v>0</v>
      </c>
      <c r="AY182" s="261">
        <f t="shared" si="151"/>
        <v>0</v>
      </c>
      <c r="AZ182" s="261">
        <f t="shared" si="152"/>
        <v>0</v>
      </c>
      <c r="BA182" s="261">
        <f t="shared" si="153"/>
        <v>0</v>
      </c>
      <c r="BB182" s="261">
        <f t="shared" si="154"/>
        <v>0</v>
      </c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</row>
    <row r="183" spans="1:72" ht="22.5" customHeight="1" x14ac:dyDescent="0.4">
      <c r="A183" s="399"/>
      <c r="B183" s="376">
        <v>175</v>
      </c>
      <c r="C183" s="310">
        <v>44096</v>
      </c>
      <c r="D183" s="229" t="str">
        <f>IFERROR(VLOOKUP(C183,'बँक जमा खर्च पासबुक'!$C$9:$R$111,2,0),"")</f>
        <v/>
      </c>
      <c r="E183" s="229" t="str">
        <f>IFERROR(VLOOKUP(C183,'बँक जमा खर्च पासबुक'!$C$9:$R$111,3,0),"")</f>
        <v/>
      </c>
      <c r="F183" s="229" t="str">
        <f>IFERROR(VLOOKUP(C183,'बँक जमा खर्च पासबुक'!$C$9:$R$111,4,0),"")</f>
        <v/>
      </c>
      <c r="G183" s="229" t="str">
        <f>IFERROR(VLOOKUP(C183,'बँक जमा खर्च पासबुक'!$C$9:$R$111,5,0),"")</f>
        <v/>
      </c>
      <c r="H183" s="229" t="str">
        <f>IFERROR(VLOOKUP(C183,'बँक जमा खर्च पासबुक'!$C$9:$R$111,6,0),"")</f>
        <v/>
      </c>
      <c r="I183" s="229" t="str">
        <f>IFERROR(VLOOKUP(C183,'बँक जमा खर्च पासबुक'!$C$9:$R$111,7,0),"")</f>
        <v/>
      </c>
      <c r="J183" s="233">
        <f>SUMIF('बँक जमा खर्च पासबुक'!$C$9:$C$111,'बँक खर्च व्हाउचर पावती'!C183,'बँक जमा खर्च पासबुक'!$J$9:$J$111)</f>
        <v>0</v>
      </c>
      <c r="K183" s="233">
        <f>SUMIF('बँक जमा खर्च पासबुक'!$C$9:$C$111,'बँक खर्च व्हाउचर पावती'!C183,'बँक जमा खर्च पासबुक'!$K$9:$K$111)</f>
        <v>0</v>
      </c>
      <c r="L183" s="233">
        <f ca="1">SUMIF('बँक जमा खर्च पासबुक'!$C$9:$C$111,'बँक खर्च व्हाउचर पावती'!C183,'बँक जमा खर्च पासबुक'!$L$9:$L$110)</f>
        <v>0</v>
      </c>
      <c r="M183" s="228">
        <f>SUMIF('बँक जमा खर्च पासबुक'!$C$9:$C$111,'बँक खर्च व्हाउचर पावती'!C183,'बँक जमा खर्च पासबुक'!$M$9:$M$111)</f>
        <v>0</v>
      </c>
      <c r="N183" s="233">
        <f t="shared" ca="1" si="127"/>
        <v>3000</v>
      </c>
      <c r="O183" s="228">
        <f t="shared" si="128"/>
        <v>3000</v>
      </c>
      <c r="P183" s="228">
        <f t="shared" ca="1" si="126"/>
        <v>6000</v>
      </c>
      <c r="Q183" s="399"/>
      <c r="AM183" s="380"/>
      <c r="AN183" s="380"/>
      <c r="AO183" s="380">
        <v>8</v>
      </c>
      <c r="AP183" s="261">
        <f t="shared" si="155"/>
        <v>0</v>
      </c>
      <c r="AQ183" s="261">
        <f t="shared" si="143"/>
        <v>0</v>
      </c>
      <c r="AR183" s="261">
        <f t="shared" si="144"/>
        <v>0</v>
      </c>
      <c r="AS183" s="261">
        <f t="shared" si="145"/>
        <v>0</v>
      </c>
      <c r="AT183" s="261">
        <f t="shared" si="146"/>
        <v>0</v>
      </c>
      <c r="AU183" s="261">
        <f t="shared" si="147"/>
        <v>0</v>
      </c>
      <c r="AV183" s="261">
        <f t="shared" si="148"/>
        <v>0</v>
      </c>
      <c r="AW183" s="261">
        <f t="shared" si="149"/>
        <v>0</v>
      </c>
      <c r="AX183" s="261">
        <f t="shared" si="150"/>
        <v>0</v>
      </c>
      <c r="AY183" s="261">
        <f t="shared" si="151"/>
        <v>0</v>
      </c>
      <c r="AZ183" s="261">
        <f t="shared" si="152"/>
        <v>0</v>
      </c>
      <c r="BA183" s="261">
        <f t="shared" si="153"/>
        <v>0</v>
      </c>
      <c r="BB183" s="261">
        <f t="shared" si="154"/>
        <v>0</v>
      </c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</row>
    <row r="184" spans="1:72" ht="22.5" customHeight="1" x14ac:dyDescent="0.4">
      <c r="A184" s="399"/>
      <c r="B184" s="376">
        <v>176</v>
      </c>
      <c r="C184" s="310">
        <v>44097</v>
      </c>
      <c r="D184" s="229" t="str">
        <f>IFERROR(VLOOKUP(C184,'बँक जमा खर्च पासबुक'!$C$9:$R$111,2,0),"")</f>
        <v/>
      </c>
      <c r="E184" s="229" t="str">
        <f>IFERROR(VLOOKUP(C184,'बँक जमा खर्च पासबुक'!$C$9:$R$111,3,0),"")</f>
        <v/>
      </c>
      <c r="F184" s="229" t="str">
        <f>IFERROR(VLOOKUP(C184,'बँक जमा खर्च पासबुक'!$C$9:$R$111,4,0),"")</f>
        <v/>
      </c>
      <c r="G184" s="229" t="str">
        <f>IFERROR(VLOOKUP(C184,'बँक जमा खर्च पासबुक'!$C$9:$R$111,5,0),"")</f>
        <v/>
      </c>
      <c r="H184" s="229" t="str">
        <f>IFERROR(VLOOKUP(C184,'बँक जमा खर्च पासबुक'!$C$9:$R$111,6,0),"")</f>
        <v/>
      </c>
      <c r="I184" s="229" t="str">
        <f>IFERROR(VLOOKUP(C184,'बँक जमा खर्च पासबुक'!$C$9:$R$111,7,0),"")</f>
        <v/>
      </c>
      <c r="J184" s="233">
        <f>SUMIF('बँक जमा खर्च पासबुक'!$C$9:$C$111,'बँक खर्च व्हाउचर पावती'!C184,'बँक जमा खर्च पासबुक'!$J$9:$J$111)</f>
        <v>0</v>
      </c>
      <c r="K184" s="233">
        <f>SUMIF('बँक जमा खर्च पासबुक'!$C$9:$C$111,'बँक खर्च व्हाउचर पावती'!C184,'बँक जमा खर्च पासबुक'!$K$9:$K$111)</f>
        <v>0</v>
      </c>
      <c r="L184" s="233">
        <f ca="1">SUMIF('बँक जमा खर्च पासबुक'!$C$9:$C$111,'बँक खर्च व्हाउचर पावती'!C184,'बँक जमा खर्च पासबुक'!$L$9:$L$110)</f>
        <v>0</v>
      </c>
      <c r="M184" s="228">
        <f>SUMIF('बँक जमा खर्च पासबुक'!$C$9:$C$111,'बँक खर्च व्हाउचर पावती'!C184,'बँक जमा खर्च पासबुक'!$M$9:$M$111)</f>
        <v>0</v>
      </c>
      <c r="N184" s="233">
        <f t="shared" ca="1" si="127"/>
        <v>3000</v>
      </c>
      <c r="O184" s="228">
        <f t="shared" si="128"/>
        <v>3000</v>
      </c>
      <c r="P184" s="228">
        <f t="shared" ca="1" si="126"/>
        <v>6000</v>
      </c>
      <c r="Q184" s="399"/>
      <c r="AM184" s="380"/>
      <c r="AN184" s="380"/>
      <c r="AO184" s="380">
        <v>9</v>
      </c>
      <c r="AP184" s="261">
        <f t="shared" si="155"/>
        <v>0</v>
      </c>
      <c r="AQ184" s="261">
        <f t="shared" si="143"/>
        <v>0</v>
      </c>
      <c r="AR184" s="261">
        <f t="shared" si="144"/>
        <v>0</v>
      </c>
      <c r="AS184" s="261">
        <f t="shared" si="145"/>
        <v>0</v>
      </c>
      <c r="AT184" s="261">
        <f t="shared" si="146"/>
        <v>0</v>
      </c>
      <c r="AU184" s="261">
        <f t="shared" si="147"/>
        <v>0</v>
      </c>
      <c r="AV184" s="261">
        <f t="shared" si="148"/>
        <v>0</v>
      </c>
      <c r="AW184" s="261">
        <f t="shared" si="149"/>
        <v>0</v>
      </c>
      <c r="AX184" s="261">
        <f t="shared" si="150"/>
        <v>0</v>
      </c>
      <c r="AY184" s="261">
        <f t="shared" si="151"/>
        <v>0</v>
      </c>
      <c r="AZ184" s="261">
        <f t="shared" si="152"/>
        <v>0</v>
      </c>
      <c r="BA184" s="261">
        <f t="shared" si="153"/>
        <v>0</v>
      </c>
      <c r="BB184" s="261">
        <f t="shared" si="154"/>
        <v>0</v>
      </c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</row>
    <row r="185" spans="1:72" ht="22.5" customHeight="1" x14ac:dyDescent="0.4">
      <c r="A185" s="399"/>
      <c r="B185" s="376">
        <v>177</v>
      </c>
      <c r="C185" s="310">
        <v>44098</v>
      </c>
      <c r="D185" s="229" t="str">
        <f>IFERROR(VLOOKUP(C185,'बँक जमा खर्च पासबुक'!$C$9:$R$111,2,0),"")</f>
        <v/>
      </c>
      <c r="E185" s="229" t="str">
        <f>IFERROR(VLOOKUP(C185,'बँक जमा खर्च पासबुक'!$C$9:$R$111,3,0),"")</f>
        <v/>
      </c>
      <c r="F185" s="229" t="str">
        <f>IFERROR(VLOOKUP(C185,'बँक जमा खर्च पासबुक'!$C$9:$R$111,4,0),"")</f>
        <v/>
      </c>
      <c r="G185" s="229" t="str">
        <f>IFERROR(VLOOKUP(C185,'बँक जमा खर्च पासबुक'!$C$9:$R$111,5,0),"")</f>
        <v/>
      </c>
      <c r="H185" s="229" t="str">
        <f>IFERROR(VLOOKUP(C185,'बँक जमा खर्च पासबुक'!$C$9:$R$111,6,0),"")</f>
        <v/>
      </c>
      <c r="I185" s="229" t="str">
        <f>IFERROR(VLOOKUP(C185,'बँक जमा खर्च पासबुक'!$C$9:$R$111,7,0),"")</f>
        <v/>
      </c>
      <c r="J185" s="233">
        <f>SUMIF('बँक जमा खर्च पासबुक'!$C$9:$C$111,'बँक खर्च व्हाउचर पावती'!C185,'बँक जमा खर्च पासबुक'!$J$9:$J$111)</f>
        <v>0</v>
      </c>
      <c r="K185" s="233">
        <f>SUMIF('बँक जमा खर्च पासबुक'!$C$9:$C$111,'बँक खर्च व्हाउचर पावती'!C185,'बँक जमा खर्च पासबुक'!$K$9:$K$111)</f>
        <v>0</v>
      </c>
      <c r="L185" s="233">
        <f ca="1">SUMIF('बँक जमा खर्च पासबुक'!$C$9:$C$111,'बँक खर्च व्हाउचर पावती'!C185,'बँक जमा खर्च पासबुक'!$L$9:$L$110)</f>
        <v>0</v>
      </c>
      <c r="M185" s="228">
        <f>SUMIF('बँक जमा खर्च पासबुक'!$C$9:$C$111,'बँक खर्च व्हाउचर पावती'!C185,'बँक जमा खर्च पासबुक'!$M$9:$M$111)</f>
        <v>0</v>
      </c>
      <c r="N185" s="233">
        <f t="shared" ca="1" si="127"/>
        <v>3000</v>
      </c>
      <c r="O185" s="228">
        <f t="shared" si="128"/>
        <v>3000</v>
      </c>
      <c r="P185" s="228">
        <f t="shared" ca="1" si="126"/>
        <v>6000</v>
      </c>
      <c r="Q185" s="399"/>
      <c r="AM185" s="380"/>
      <c r="AN185" s="380"/>
      <c r="AO185" s="380">
        <v>10</v>
      </c>
      <c r="AP185" s="261">
        <f t="shared" si="155"/>
        <v>0</v>
      </c>
      <c r="AQ185" s="261">
        <f t="shared" si="143"/>
        <v>0</v>
      </c>
      <c r="AR185" s="261">
        <f t="shared" si="144"/>
        <v>0</v>
      </c>
      <c r="AS185" s="261">
        <f t="shared" si="145"/>
        <v>0</v>
      </c>
      <c r="AT185" s="261">
        <f t="shared" si="146"/>
        <v>0</v>
      </c>
      <c r="AU185" s="261">
        <f t="shared" si="147"/>
        <v>0</v>
      </c>
      <c r="AV185" s="261">
        <f t="shared" si="148"/>
        <v>0</v>
      </c>
      <c r="AW185" s="261">
        <f t="shared" si="149"/>
        <v>0</v>
      </c>
      <c r="AX185" s="261">
        <f t="shared" si="150"/>
        <v>0</v>
      </c>
      <c r="AY185" s="261">
        <f t="shared" si="151"/>
        <v>0</v>
      </c>
      <c r="AZ185" s="261">
        <f t="shared" si="152"/>
        <v>0</v>
      </c>
      <c r="BA185" s="261">
        <f t="shared" si="153"/>
        <v>0</v>
      </c>
      <c r="BB185" s="261">
        <f t="shared" si="154"/>
        <v>0</v>
      </c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</row>
    <row r="186" spans="1:72" ht="22.5" customHeight="1" x14ac:dyDescent="0.4">
      <c r="A186" s="399"/>
      <c r="B186" s="376">
        <v>178</v>
      </c>
      <c r="C186" s="310">
        <v>44099</v>
      </c>
      <c r="D186" s="229" t="str">
        <f>IFERROR(VLOOKUP(C186,'बँक जमा खर्च पासबुक'!$C$9:$R$111,2,0),"")</f>
        <v/>
      </c>
      <c r="E186" s="229" t="str">
        <f>IFERROR(VLOOKUP(C186,'बँक जमा खर्च पासबुक'!$C$9:$R$111,3,0),"")</f>
        <v/>
      </c>
      <c r="F186" s="229" t="str">
        <f>IFERROR(VLOOKUP(C186,'बँक जमा खर्च पासबुक'!$C$9:$R$111,4,0),"")</f>
        <v/>
      </c>
      <c r="G186" s="229" t="str">
        <f>IFERROR(VLOOKUP(C186,'बँक जमा खर्च पासबुक'!$C$9:$R$111,5,0),"")</f>
        <v/>
      </c>
      <c r="H186" s="229" t="str">
        <f>IFERROR(VLOOKUP(C186,'बँक जमा खर्च पासबुक'!$C$9:$R$111,6,0),"")</f>
        <v/>
      </c>
      <c r="I186" s="229" t="str">
        <f>IFERROR(VLOOKUP(C186,'बँक जमा खर्च पासबुक'!$C$9:$R$111,7,0),"")</f>
        <v/>
      </c>
      <c r="J186" s="233">
        <f>SUMIF('बँक जमा खर्च पासबुक'!$C$9:$C$111,'बँक खर्च व्हाउचर पावती'!C186,'बँक जमा खर्च पासबुक'!$J$9:$J$111)</f>
        <v>0</v>
      </c>
      <c r="K186" s="233">
        <f>SUMIF('बँक जमा खर्च पासबुक'!$C$9:$C$111,'बँक खर्च व्हाउचर पावती'!C186,'बँक जमा खर्च पासबुक'!$K$9:$K$111)</f>
        <v>0</v>
      </c>
      <c r="L186" s="233">
        <f ca="1">SUMIF('बँक जमा खर्च पासबुक'!$C$9:$C$111,'बँक खर्च व्हाउचर पावती'!C186,'बँक जमा खर्च पासबुक'!$L$9:$L$110)</f>
        <v>0</v>
      </c>
      <c r="M186" s="228">
        <f>SUMIF('बँक जमा खर्च पासबुक'!$C$9:$C$111,'बँक खर्च व्हाउचर पावती'!C186,'बँक जमा खर्च पासबुक'!$M$9:$M$111)</f>
        <v>0</v>
      </c>
      <c r="N186" s="233">
        <f t="shared" ca="1" si="127"/>
        <v>3000</v>
      </c>
      <c r="O186" s="228">
        <f t="shared" si="128"/>
        <v>3000</v>
      </c>
      <c r="P186" s="228">
        <f t="shared" ca="1" si="126"/>
        <v>6000</v>
      </c>
      <c r="Q186" s="399"/>
      <c r="AM186" s="380"/>
      <c r="AN186" s="380"/>
      <c r="AO186" s="380">
        <v>11</v>
      </c>
      <c r="AP186" s="261">
        <f t="shared" si="155"/>
        <v>0</v>
      </c>
      <c r="AQ186" s="261">
        <f t="shared" si="143"/>
        <v>0</v>
      </c>
      <c r="AR186" s="261">
        <f t="shared" si="144"/>
        <v>0</v>
      </c>
      <c r="AS186" s="261">
        <f t="shared" si="145"/>
        <v>0</v>
      </c>
      <c r="AT186" s="261">
        <f t="shared" si="146"/>
        <v>0</v>
      </c>
      <c r="AU186" s="261">
        <f t="shared" si="147"/>
        <v>0</v>
      </c>
      <c r="AV186" s="261">
        <f t="shared" si="148"/>
        <v>0</v>
      </c>
      <c r="AW186" s="261">
        <f t="shared" si="149"/>
        <v>0</v>
      </c>
      <c r="AX186" s="261">
        <f t="shared" si="150"/>
        <v>0</v>
      </c>
      <c r="AY186" s="261">
        <f t="shared" si="151"/>
        <v>0</v>
      </c>
      <c r="AZ186" s="261">
        <f t="shared" si="152"/>
        <v>0</v>
      </c>
      <c r="BA186" s="261">
        <f t="shared" si="153"/>
        <v>0</v>
      </c>
      <c r="BB186" s="261">
        <f t="shared" si="154"/>
        <v>0</v>
      </c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</row>
    <row r="187" spans="1:72" ht="22.5" customHeight="1" x14ac:dyDescent="0.4">
      <c r="A187" s="399"/>
      <c r="B187" s="376">
        <v>179</v>
      </c>
      <c r="C187" s="310">
        <v>44100</v>
      </c>
      <c r="D187" s="229" t="str">
        <f>IFERROR(VLOOKUP(C187,'बँक जमा खर्च पासबुक'!$C$9:$R$111,2,0),"")</f>
        <v/>
      </c>
      <c r="E187" s="229" t="str">
        <f>IFERROR(VLOOKUP(C187,'बँक जमा खर्च पासबुक'!$C$9:$R$111,3,0),"")</f>
        <v/>
      </c>
      <c r="F187" s="229" t="str">
        <f>IFERROR(VLOOKUP(C187,'बँक जमा खर्च पासबुक'!$C$9:$R$111,4,0),"")</f>
        <v/>
      </c>
      <c r="G187" s="229" t="str">
        <f>IFERROR(VLOOKUP(C187,'बँक जमा खर्च पासबुक'!$C$9:$R$111,5,0),"")</f>
        <v/>
      </c>
      <c r="H187" s="229" t="str">
        <f>IFERROR(VLOOKUP(C187,'बँक जमा खर्च पासबुक'!$C$9:$R$111,6,0),"")</f>
        <v/>
      </c>
      <c r="I187" s="229" t="str">
        <f>IFERROR(VLOOKUP(C187,'बँक जमा खर्च पासबुक'!$C$9:$R$111,7,0),"")</f>
        <v/>
      </c>
      <c r="J187" s="233">
        <f>SUMIF('बँक जमा खर्च पासबुक'!$C$9:$C$111,'बँक खर्च व्हाउचर पावती'!C187,'बँक जमा खर्च पासबुक'!$J$9:$J$111)</f>
        <v>0</v>
      </c>
      <c r="K187" s="233">
        <f>SUMIF('बँक जमा खर्च पासबुक'!$C$9:$C$111,'बँक खर्च व्हाउचर पावती'!C187,'बँक जमा खर्च पासबुक'!$K$9:$K$111)</f>
        <v>0</v>
      </c>
      <c r="L187" s="233">
        <f ca="1">SUMIF('बँक जमा खर्च पासबुक'!$C$9:$C$111,'बँक खर्च व्हाउचर पावती'!C187,'बँक जमा खर्च पासबुक'!$L$9:$L$110)</f>
        <v>0</v>
      </c>
      <c r="M187" s="228">
        <f>SUMIF('बँक जमा खर्च पासबुक'!$C$9:$C$111,'बँक खर्च व्हाउचर पावती'!C187,'बँक जमा खर्च पासबुक'!$M$9:$M$111)</f>
        <v>0</v>
      </c>
      <c r="N187" s="233">
        <f t="shared" ca="1" si="127"/>
        <v>3000</v>
      </c>
      <c r="O187" s="228">
        <f t="shared" si="128"/>
        <v>3000</v>
      </c>
      <c r="P187" s="228">
        <f t="shared" ca="1" si="126"/>
        <v>6000</v>
      </c>
      <c r="Q187" s="399"/>
      <c r="AM187" s="380"/>
      <c r="AN187" s="380"/>
      <c r="AO187" s="380">
        <v>12</v>
      </c>
      <c r="AP187" s="261">
        <f t="shared" si="155"/>
        <v>0</v>
      </c>
      <c r="AQ187" s="261">
        <f t="shared" si="143"/>
        <v>0</v>
      </c>
      <c r="AR187" s="261">
        <f t="shared" si="144"/>
        <v>0</v>
      </c>
      <c r="AS187" s="261">
        <f t="shared" si="145"/>
        <v>0</v>
      </c>
      <c r="AT187" s="261">
        <f t="shared" si="146"/>
        <v>0</v>
      </c>
      <c r="AU187" s="261">
        <f t="shared" si="147"/>
        <v>0</v>
      </c>
      <c r="AV187" s="261">
        <f t="shared" si="148"/>
        <v>0</v>
      </c>
      <c r="AW187" s="261">
        <f t="shared" si="149"/>
        <v>0</v>
      </c>
      <c r="AX187" s="261">
        <f t="shared" si="150"/>
        <v>0</v>
      </c>
      <c r="AY187" s="261">
        <f t="shared" si="151"/>
        <v>0</v>
      </c>
      <c r="AZ187" s="261">
        <f t="shared" si="152"/>
        <v>0</v>
      </c>
      <c r="BA187" s="261">
        <f t="shared" si="153"/>
        <v>0</v>
      </c>
      <c r="BB187" s="261">
        <f t="shared" si="154"/>
        <v>0</v>
      </c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</row>
    <row r="188" spans="1:72" ht="22.5" customHeight="1" x14ac:dyDescent="0.4">
      <c r="A188" s="399"/>
      <c r="B188" s="376">
        <v>180</v>
      </c>
      <c r="C188" s="310">
        <v>44101</v>
      </c>
      <c r="D188" s="229" t="str">
        <f>IFERROR(VLOOKUP(C188,'बँक जमा खर्च पासबुक'!$C$9:$R$111,2,0),"")</f>
        <v/>
      </c>
      <c r="E188" s="229" t="str">
        <f>IFERROR(VLOOKUP(C188,'बँक जमा खर्च पासबुक'!$C$9:$R$111,3,0),"")</f>
        <v/>
      </c>
      <c r="F188" s="229" t="str">
        <f>IFERROR(VLOOKUP(C188,'बँक जमा खर्च पासबुक'!$C$9:$R$111,4,0),"")</f>
        <v/>
      </c>
      <c r="G188" s="229" t="str">
        <f>IFERROR(VLOOKUP(C188,'बँक जमा खर्च पासबुक'!$C$9:$R$111,5,0),"")</f>
        <v/>
      </c>
      <c r="H188" s="229" t="str">
        <f>IFERROR(VLOOKUP(C188,'बँक जमा खर्च पासबुक'!$C$9:$R$111,6,0),"")</f>
        <v/>
      </c>
      <c r="I188" s="229" t="str">
        <f>IFERROR(VLOOKUP(C188,'बँक जमा खर्च पासबुक'!$C$9:$R$111,7,0),"")</f>
        <v/>
      </c>
      <c r="J188" s="233">
        <f>SUMIF('बँक जमा खर्च पासबुक'!$C$9:$C$111,'बँक खर्च व्हाउचर पावती'!C188,'बँक जमा खर्च पासबुक'!$J$9:$J$111)</f>
        <v>0</v>
      </c>
      <c r="K188" s="233">
        <f>SUMIF('बँक जमा खर्च पासबुक'!$C$9:$C$111,'बँक खर्च व्हाउचर पावती'!C188,'बँक जमा खर्च पासबुक'!$K$9:$K$111)</f>
        <v>0</v>
      </c>
      <c r="L188" s="233">
        <f ca="1">SUMIF('बँक जमा खर्च पासबुक'!$C$9:$C$111,'बँक खर्च व्हाउचर पावती'!C188,'बँक जमा खर्च पासबुक'!$L$9:$L$110)</f>
        <v>0</v>
      </c>
      <c r="M188" s="228">
        <f>SUMIF('बँक जमा खर्च पासबुक'!$C$9:$C$111,'बँक खर्च व्हाउचर पावती'!C188,'बँक जमा खर्च पासबुक'!$M$9:$M$111)</f>
        <v>0</v>
      </c>
      <c r="N188" s="233">
        <f t="shared" ca="1" si="127"/>
        <v>3000</v>
      </c>
      <c r="O188" s="228">
        <f t="shared" si="128"/>
        <v>3000</v>
      </c>
      <c r="P188" s="228">
        <f t="shared" ca="1" si="126"/>
        <v>6000</v>
      </c>
      <c r="Q188" s="399"/>
      <c r="AM188" s="380"/>
      <c r="AN188" s="380"/>
      <c r="AO188" s="380">
        <v>13</v>
      </c>
      <c r="AP188" s="261">
        <f t="shared" si="155"/>
        <v>0</v>
      </c>
      <c r="AQ188" s="261">
        <f t="shared" si="143"/>
        <v>0</v>
      </c>
      <c r="AR188" s="261">
        <f t="shared" si="144"/>
        <v>0</v>
      </c>
      <c r="AS188" s="261">
        <f t="shared" si="145"/>
        <v>0</v>
      </c>
      <c r="AT188" s="261">
        <f t="shared" si="146"/>
        <v>0</v>
      </c>
      <c r="AU188" s="261">
        <f t="shared" si="147"/>
        <v>0</v>
      </c>
      <c r="AV188" s="261">
        <f t="shared" si="148"/>
        <v>0</v>
      </c>
      <c r="AW188" s="261">
        <f t="shared" si="149"/>
        <v>0</v>
      </c>
      <c r="AX188" s="261">
        <f t="shared" si="150"/>
        <v>0</v>
      </c>
      <c r="AY188" s="261">
        <f t="shared" si="151"/>
        <v>0</v>
      </c>
      <c r="AZ188" s="261">
        <f t="shared" si="152"/>
        <v>0</v>
      </c>
      <c r="BA188" s="261">
        <f t="shared" si="153"/>
        <v>0</v>
      </c>
      <c r="BB188" s="261">
        <f t="shared" si="154"/>
        <v>0</v>
      </c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</row>
    <row r="189" spans="1:72" ht="22.5" customHeight="1" x14ac:dyDescent="0.4">
      <c r="A189" s="399"/>
      <c r="B189" s="376">
        <v>181</v>
      </c>
      <c r="C189" s="310">
        <v>44102</v>
      </c>
      <c r="D189" s="229" t="str">
        <f>IFERROR(VLOOKUP(C189,'बँक जमा खर्च पासबुक'!$C$9:$R$111,2,0),"")</f>
        <v/>
      </c>
      <c r="E189" s="229" t="str">
        <f>IFERROR(VLOOKUP(C189,'बँक जमा खर्च पासबुक'!$C$9:$R$111,3,0),"")</f>
        <v/>
      </c>
      <c r="F189" s="229" t="str">
        <f>IFERROR(VLOOKUP(C189,'बँक जमा खर्च पासबुक'!$C$9:$R$111,4,0),"")</f>
        <v/>
      </c>
      <c r="G189" s="229" t="str">
        <f>IFERROR(VLOOKUP(C189,'बँक जमा खर्च पासबुक'!$C$9:$R$111,5,0),"")</f>
        <v/>
      </c>
      <c r="H189" s="229" t="str">
        <f>IFERROR(VLOOKUP(C189,'बँक जमा खर्च पासबुक'!$C$9:$R$111,6,0),"")</f>
        <v/>
      </c>
      <c r="I189" s="229" t="str">
        <f>IFERROR(VLOOKUP(C189,'बँक जमा खर्च पासबुक'!$C$9:$R$111,7,0),"")</f>
        <v/>
      </c>
      <c r="J189" s="233">
        <f>SUMIF('बँक जमा खर्च पासबुक'!$C$9:$C$111,'बँक खर्च व्हाउचर पावती'!C189,'बँक जमा खर्च पासबुक'!$J$9:$J$111)</f>
        <v>0</v>
      </c>
      <c r="K189" s="233">
        <f>SUMIF('बँक जमा खर्च पासबुक'!$C$9:$C$111,'बँक खर्च व्हाउचर पावती'!C189,'बँक जमा खर्च पासबुक'!$K$9:$K$111)</f>
        <v>0</v>
      </c>
      <c r="L189" s="233">
        <f ca="1">SUMIF('बँक जमा खर्च पासबुक'!$C$9:$C$111,'बँक खर्च व्हाउचर पावती'!C189,'बँक जमा खर्च पासबुक'!$L$9:$L$110)</f>
        <v>0</v>
      </c>
      <c r="M189" s="228">
        <f>SUMIF('बँक जमा खर्च पासबुक'!$C$9:$C$111,'बँक खर्च व्हाउचर पावती'!C189,'बँक जमा खर्च पासबुक'!$M$9:$M$111)</f>
        <v>0</v>
      </c>
      <c r="N189" s="233">
        <f t="shared" ca="1" si="127"/>
        <v>3000</v>
      </c>
      <c r="O189" s="228">
        <f t="shared" si="128"/>
        <v>3000</v>
      </c>
      <c r="P189" s="228">
        <f t="shared" ca="1" si="126"/>
        <v>6000</v>
      </c>
      <c r="Q189" s="399"/>
      <c r="AM189" s="380"/>
      <c r="AN189" s="380"/>
      <c r="AO189" s="380">
        <v>14</v>
      </c>
      <c r="AP189" s="261">
        <f t="shared" si="155"/>
        <v>0</v>
      </c>
      <c r="AQ189" s="261">
        <f t="shared" si="143"/>
        <v>0</v>
      </c>
      <c r="AR189" s="261">
        <f t="shared" si="144"/>
        <v>0</v>
      </c>
      <c r="AS189" s="261">
        <f t="shared" si="145"/>
        <v>0</v>
      </c>
      <c r="AT189" s="261">
        <f t="shared" si="146"/>
        <v>0</v>
      </c>
      <c r="AU189" s="261">
        <f t="shared" si="147"/>
        <v>0</v>
      </c>
      <c r="AV189" s="261">
        <f t="shared" si="148"/>
        <v>0</v>
      </c>
      <c r="AW189" s="261">
        <f t="shared" si="149"/>
        <v>0</v>
      </c>
      <c r="AX189" s="261">
        <f t="shared" si="150"/>
        <v>0</v>
      </c>
      <c r="AY189" s="261">
        <f t="shared" si="151"/>
        <v>0</v>
      </c>
      <c r="AZ189" s="261">
        <f t="shared" si="152"/>
        <v>0</v>
      </c>
      <c r="BA189" s="261">
        <f t="shared" si="153"/>
        <v>0</v>
      </c>
      <c r="BB189" s="261">
        <f t="shared" si="154"/>
        <v>0</v>
      </c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</row>
    <row r="190" spans="1:72" ht="22.5" customHeight="1" x14ac:dyDescent="0.4">
      <c r="A190" s="399"/>
      <c r="B190" s="376">
        <v>182</v>
      </c>
      <c r="C190" s="310">
        <v>44103</v>
      </c>
      <c r="D190" s="229" t="str">
        <f>IFERROR(VLOOKUP(C190,'बँक जमा खर्च पासबुक'!$C$9:$R$111,2,0),"")</f>
        <v/>
      </c>
      <c r="E190" s="229" t="str">
        <f>IFERROR(VLOOKUP(C190,'बँक जमा खर्च पासबुक'!$C$9:$R$111,3,0),"")</f>
        <v/>
      </c>
      <c r="F190" s="229" t="str">
        <f>IFERROR(VLOOKUP(C190,'बँक जमा खर्च पासबुक'!$C$9:$R$111,4,0),"")</f>
        <v/>
      </c>
      <c r="G190" s="229" t="str">
        <f>IFERROR(VLOOKUP(C190,'बँक जमा खर्च पासबुक'!$C$9:$R$111,5,0),"")</f>
        <v/>
      </c>
      <c r="H190" s="229" t="str">
        <f>IFERROR(VLOOKUP(C190,'बँक जमा खर्च पासबुक'!$C$9:$R$111,6,0),"")</f>
        <v/>
      </c>
      <c r="I190" s="229" t="str">
        <f>IFERROR(VLOOKUP(C190,'बँक जमा खर्च पासबुक'!$C$9:$R$111,7,0),"")</f>
        <v/>
      </c>
      <c r="J190" s="233">
        <f>SUMIF('बँक जमा खर्च पासबुक'!$C$9:$C$111,'बँक खर्च व्हाउचर पावती'!C190,'बँक जमा खर्च पासबुक'!$J$9:$J$111)</f>
        <v>0</v>
      </c>
      <c r="K190" s="233">
        <f>SUMIF('बँक जमा खर्च पासबुक'!$C$9:$C$111,'बँक खर्च व्हाउचर पावती'!C190,'बँक जमा खर्च पासबुक'!$K$9:$K$111)</f>
        <v>0</v>
      </c>
      <c r="L190" s="233">
        <f ca="1">SUMIF('बँक जमा खर्च पासबुक'!$C$9:$C$111,'बँक खर्च व्हाउचर पावती'!C190,'बँक जमा खर्च पासबुक'!$L$9:$L$110)</f>
        <v>0</v>
      </c>
      <c r="M190" s="228">
        <f>SUMIF('बँक जमा खर्च पासबुक'!$C$9:$C$111,'बँक खर्च व्हाउचर पावती'!C190,'बँक जमा खर्च पासबुक'!$M$9:$M$111)</f>
        <v>0</v>
      </c>
      <c r="N190" s="233">
        <f t="shared" ca="1" si="127"/>
        <v>3000</v>
      </c>
      <c r="O190" s="228">
        <f t="shared" si="128"/>
        <v>3000</v>
      </c>
      <c r="P190" s="228">
        <f t="shared" ca="1" si="126"/>
        <v>6000</v>
      </c>
      <c r="Q190" s="399"/>
      <c r="AM190" s="380"/>
      <c r="AN190" s="380"/>
      <c r="AO190" s="380">
        <v>15</v>
      </c>
      <c r="AP190" s="261">
        <f t="shared" si="155"/>
        <v>0</v>
      </c>
      <c r="AQ190" s="261">
        <f t="shared" si="143"/>
        <v>0</v>
      </c>
      <c r="AR190" s="261">
        <f t="shared" si="144"/>
        <v>0</v>
      </c>
      <c r="AS190" s="261">
        <f t="shared" si="145"/>
        <v>0</v>
      </c>
      <c r="AT190" s="261">
        <f t="shared" si="146"/>
        <v>0</v>
      </c>
      <c r="AU190" s="261">
        <f t="shared" si="147"/>
        <v>0</v>
      </c>
      <c r="AV190" s="261">
        <f t="shared" si="148"/>
        <v>0</v>
      </c>
      <c r="AW190" s="261">
        <f t="shared" si="149"/>
        <v>0</v>
      </c>
      <c r="AX190" s="261">
        <f t="shared" si="150"/>
        <v>0</v>
      </c>
      <c r="AY190" s="261">
        <f t="shared" si="151"/>
        <v>0</v>
      </c>
      <c r="AZ190" s="261">
        <f t="shared" si="152"/>
        <v>0</v>
      </c>
      <c r="BA190" s="261">
        <f t="shared" si="153"/>
        <v>0</v>
      </c>
      <c r="BB190" s="261">
        <f t="shared" si="154"/>
        <v>0</v>
      </c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</row>
    <row r="191" spans="1:72" ht="22.5" customHeight="1" x14ac:dyDescent="0.4">
      <c r="A191" s="399"/>
      <c r="B191" s="376">
        <v>183</v>
      </c>
      <c r="C191" s="310">
        <v>44104</v>
      </c>
      <c r="D191" s="229" t="str">
        <f>IFERROR(VLOOKUP(C191,'बँक जमा खर्च पासबुक'!$C$9:$R$111,2,0),"")</f>
        <v/>
      </c>
      <c r="E191" s="229" t="str">
        <f>IFERROR(VLOOKUP(C191,'बँक जमा खर्च पासबुक'!$C$9:$R$111,3,0),"")</f>
        <v/>
      </c>
      <c r="F191" s="229" t="str">
        <f>IFERROR(VLOOKUP(C191,'बँक जमा खर्च पासबुक'!$C$9:$R$111,4,0),"")</f>
        <v/>
      </c>
      <c r="G191" s="229" t="str">
        <f>IFERROR(VLOOKUP(C191,'बँक जमा खर्च पासबुक'!$C$9:$R$111,5,0),"")</f>
        <v/>
      </c>
      <c r="H191" s="229" t="str">
        <f>IFERROR(VLOOKUP(C191,'बँक जमा खर्च पासबुक'!$C$9:$R$111,6,0),"")</f>
        <v/>
      </c>
      <c r="I191" s="229" t="str">
        <f>IFERROR(VLOOKUP(C191,'बँक जमा खर्च पासबुक'!$C$9:$R$111,7,0),"")</f>
        <v/>
      </c>
      <c r="J191" s="233">
        <f>SUMIF('बँक जमा खर्च पासबुक'!$C$9:$C$111,'बँक खर्च व्हाउचर पावती'!C191,'बँक जमा खर्च पासबुक'!$J$9:$J$111)</f>
        <v>0</v>
      </c>
      <c r="K191" s="233">
        <f>SUMIF('बँक जमा खर्च पासबुक'!$C$9:$C$111,'बँक खर्च व्हाउचर पावती'!C191,'बँक जमा खर्च पासबुक'!$K$9:$K$111)</f>
        <v>0</v>
      </c>
      <c r="L191" s="233">
        <f ca="1">SUMIF('बँक जमा खर्च पासबुक'!$C$9:$C$111,'बँक खर्च व्हाउचर पावती'!C191,'बँक जमा खर्च पासबुक'!$L$9:$L$110)</f>
        <v>0</v>
      </c>
      <c r="M191" s="228">
        <f>SUMIF('बँक जमा खर्च पासबुक'!$C$9:$C$111,'बँक खर्च व्हाउचर पावती'!C191,'बँक जमा खर्च पासबुक'!$M$9:$M$111)</f>
        <v>0</v>
      </c>
      <c r="N191" s="233">
        <f t="shared" ca="1" si="127"/>
        <v>3000</v>
      </c>
      <c r="O191" s="228">
        <f t="shared" si="128"/>
        <v>3000</v>
      </c>
      <c r="P191" s="228">
        <f t="shared" ca="1" si="126"/>
        <v>6000</v>
      </c>
      <c r="Q191" s="399"/>
      <c r="AM191" s="380"/>
      <c r="AN191" s="380"/>
      <c r="AO191" s="380">
        <v>16</v>
      </c>
      <c r="AP191" s="261">
        <f t="shared" si="155"/>
        <v>0</v>
      </c>
      <c r="AQ191" s="261">
        <f t="shared" si="143"/>
        <v>0</v>
      </c>
      <c r="AR191" s="261">
        <f t="shared" si="144"/>
        <v>0</v>
      </c>
      <c r="AS191" s="261">
        <f t="shared" si="145"/>
        <v>0</v>
      </c>
      <c r="AT191" s="261">
        <f t="shared" si="146"/>
        <v>0</v>
      </c>
      <c r="AU191" s="261">
        <f t="shared" si="147"/>
        <v>0</v>
      </c>
      <c r="AV191" s="261">
        <f t="shared" si="148"/>
        <v>0</v>
      </c>
      <c r="AW191" s="261">
        <f t="shared" si="149"/>
        <v>0</v>
      </c>
      <c r="AX191" s="261">
        <f t="shared" si="150"/>
        <v>0</v>
      </c>
      <c r="AY191" s="261">
        <f t="shared" si="151"/>
        <v>0</v>
      </c>
      <c r="AZ191" s="261">
        <f t="shared" si="152"/>
        <v>0</v>
      </c>
      <c r="BA191" s="261">
        <f t="shared" si="153"/>
        <v>0</v>
      </c>
      <c r="BB191" s="261">
        <f t="shared" si="154"/>
        <v>0</v>
      </c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</row>
    <row r="192" spans="1:72" ht="22.5" customHeight="1" x14ac:dyDescent="0.4">
      <c r="A192" s="399" t="s">
        <v>47</v>
      </c>
      <c r="B192" s="376">
        <v>184</v>
      </c>
      <c r="C192" s="310">
        <v>44105</v>
      </c>
      <c r="D192" s="229" t="str">
        <f>IFERROR(VLOOKUP(C192,'बँक जमा खर्च पासबुक'!$C$9:$R$111,2,0),"")</f>
        <v/>
      </c>
      <c r="E192" s="229" t="str">
        <f>IFERROR(VLOOKUP(C192,'बँक जमा खर्च पासबुक'!$C$9:$R$111,3,0),"")</f>
        <v/>
      </c>
      <c r="F192" s="229" t="str">
        <f>IFERROR(VLOOKUP(C192,'बँक जमा खर्च पासबुक'!$C$9:$R$111,4,0),"")</f>
        <v/>
      </c>
      <c r="G192" s="229" t="str">
        <f>IFERROR(VLOOKUP(C192,'बँक जमा खर्च पासबुक'!$C$9:$R$111,5,0),"")</f>
        <v/>
      </c>
      <c r="H192" s="229" t="str">
        <f>IFERROR(VLOOKUP(C192,'बँक जमा खर्च पासबुक'!$C$9:$R$111,6,0),"")</f>
        <v/>
      </c>
      <c r="I192" s="229" t="str">
        <f>IFERROR(VLOOKUP(C192,'बँक जमा खर्च पासबुक'!$C$9:$R$111,7,0),"")</f>
        <v/>
      </c>
      <c r="J192" s="233">
        <f>SUMIF('बँक जमा खर्च पासबुक'!$C$9:$C$111,'बँक खर्च व्हाउचर पावती'!C192,'बँक जमा खर्च पासबुक'!$J$9:$J$111)</f>
        <v>0</v>
      </c>
      <c r="K192" s="233">
        <f>SUMIF('बँक जमा खर्च पासबुक'!$C$9:$C$111,'बँक खर्च व्हाउचर पावती'!C192,'बँक जमा खर्च पासबुक'!$K$9:$K$111)</f>
        <v>0</v>
      </c>
      <c r="L192" s="233">
        <f ca="1">SUMIF('बँक जमा खर्च पासबुक'!$C$9:$C$111,'बँक खर्च व्हाउचर पावती'!C192,'बँक जमा खर्च पासबुक'!$L$9:$L$110)</f>
        <v>0</v>
      </c>
      <c r="M192" s="228">
        <f>SUMIF('बँक जमा खर्च पासबुक'!$C$9:$C$111,'बँक खर्च व्हाउचर पावती'!C192,'बँक जमा खर्च पासबुक'!$M$9:$M$111)</f>
        <v>0</v>
      </c>
      <c r="N192" s="233">
        <f t="shared" ca="1" si="127"/>
        <v>3000</v>
      </c>
      <c r="O192" s="228">
        <f t="shared" si="128"/>
        <v>3000</v>
      </c>
      <c r="P192" s="228">
        <f t="shared" ca="1" si="126"/>
        <v>6000</v>
      </c>
      <c r="Q192" s="399"/>
      <c r="AM192" s="380"/>
      <c r="AN192" s="380"/>
      <c r="AO192" s="380">
        <v>17</v>
      </c>
      <c r="AP192" s="261">
        <f t="shared" si="155"/>
        <v>0</v>
      </c>
      <c r="AQ192" s="261">
        <f t="shared" si="143"/>
        <v>0</v>
      </c>
      <c r="AR192" s="261">
        <f t="shared" si="144"/>
        <v>0</v>
      </c>
      <c r="AS192" s="261">
        <f t="shared" si="145"/>
        <v>0</v>
      </c>
      <c r="AT192" s="261">
        <f t="shared" si="146"/>
        <v>0</v>
      </c>
      <c r="AU192" s="261">
        <f t="shared" si="147"/>
        <v>0</v>
      </c>
      <c r="AV192" s="261">
        <f t="shared" si="148"/>
        <v>0</v>
      </c>
      <c r="AW192" s="261">
        <f t="shared" si="149"/>
        <v>0</v>
      </c>
      <c r="AX192" s="261">
        <f t="shared" si="150"/>
        <v>0</v>
      </c>
      <c r="AY192" s="261">
        <f t="shared" si="151"/>
        <v>0</v>
      </c>
      <c r="AZ192" s="261">
        <f t="shared" si="152"/>
        <v>0</v>
      </c>
      <c r="BA192" s="261">
        <f t="shared" si="153"/>
        <v>0</v>
      </c>
      <c r="BB192" s="261">
        <f t="shared" si="154"/>
        <v>0</v>
      </c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</row>
    <row r="193" spans="1:72" ht="22.5" customHeight="1" x14ac:dyDescent="0.4">
      <c r="A193" s="399"/>
      <c r="B193" s="376">
        <v>185</v>
      </c>
      <c r="C193" s="310">
        <v>44106</v>
      </c>
      <c r="D193" s="229" t="str">
        <f>IFERROR(VLOOKUP(C193,'बँक जमा खर्च पासबुक'!$C$9:$R$111,2,0),"")</f>
        <v/>
      </c>
      <c r="E193" s="229" t="str">
        <f>IFERROR(VLOOKUP(C193,'बँक जमा खर्च पासबुक'!$C$9:$R$111,3,0),"")</f>
        <v/>
      </c>
      <c r="F193" s="229" t="str">
        <f>IFERROR(VLOOKUP(C193,'बँक जमा खर्च पासबुक'!$C$9:$R$111,4,0),"")</f>
        <v/>
      </c>
      <c r="G193" s="229" t="str">
        <f>IFERROR(VLOOKUP(C193,'बँक जमा खर्च पासबुक'!$C$9:$R$111,5,0),"")</f>
        <v/>
      </c>
      <c r="H193" s="229" t="str">
        <f>IFERROR(VLOOKUP(C193,'बँक जमा खर्च पासबुक'!$C$9:$R$111,6,0),"")</f>
        <v/>
      </c>
      <c r="I193" s="229" t="str">
        <f>IFERROR(VLOOKUP(C193,'बँक जमा खर्च पासबुक'!$C$9:$R$111,7,0),"")</f>
        <v/>
      </c>
      <c r="J193" s="233">
        <f>SUMIF('बँक जमा खर्च पासबुक'!$C$9:$C$111,'बँक खर्च व्हाउचर पावती'!C193,'बँक जमा खर्च पासबुक'!$J$9:$J$111)</f>
        <v>0</v>
      </c>
      <c r="K193" s="233">
        <f>SUMIF('बँक जमा खर्च पासबुक'!$C$9:$C$111,'बँक खर्च व्हाउचर पावती'!C193,'बँक जमा खर्च पासबुक'!$K$9:$K$111)</f>
        <v>0</v>
      </c>
      <c r="L193" s="233">
        <f ca="1">SUMIF('बँक जमा खर्च पासबुक'!$C$9:$C$111,'बँक खर्च व्हाउचर पावती'!C193,'बँक जमा खर्च पासबुक'!$L$9:$L$110)</f>
        <v>0</v>
      </c>
      <c r="M193" s="228">
        <f>SUMIF('बँक जमा खर्च पासबुक'!$C$9:$C$111,'बँक खर्च व्हाउचर पावती'!C193,'बँक जमा खर्च पासबुक'!$M$9:$M$111)</f>
        <v>0</v>
      </c>
      <c r="N193" s="233">
        <f t="shared" ca="1" si="127"/>
        <v>3000</v>
      </c>
      <c r="O193" s="228">
        <f t="shared" si="128"/>
        <v>3000</v>
      </c>
      <c r="P193" s="228">
        <f t="shared" ca="1" si="126"/>
        <v>6000</v>
      </c>
      <c r="Q193" s="399"/>
      <c r="AM193" s="380"/>
      <c r="AN193" s="380"/>
      <c r="AO193" s="380">
        <v>18</v>
      </c>
      <c r="AP193" s="261">
        <f t="shared" si="155"/>
        <v>0</v>
      </c>
      <c r="AQ193" s="261">
        <f t="shared" si="143"/>
        <v>0</v>
      </c>
      <c r="AR193" s="261">
        <f t="shared" si="144"/>
        <v>0</v>
      </c>
      <c r="AS193" s="261">
        <f t="shared" si="145"/>
        <v>0</v>
      </c>
      <c r="AT193" s="261">
        <f t="shared" si="146"/>
        <v>0</v>
      </c>
      <c r="AU193" s="261">
        <f t="shared" si="147"/>
        <v>0</v>
      </c>
      <c r="AV193" s="261">
        <f t="shared" si="148"/>
        <v>0</v>
      </c>
      <c r="AW193" s="261">
        <f t="shared" si="149"/>
        <v>0</v>
      </c>
      <c r="AX193" s="261">
        <f t="shared" si="150"/>
        <v>0</v>
      </c>
      <c r="AY193" s="261">
        <f t="shared" si="151"/>
        <v>0</v>
      </c>
      <c r="AZ193" s="261">
        <f t="shared" si="152"/>
        <v>0</v>
      </c>
      <c r="BA193" s="261">
        <f t="shared" si="153"/>
        <v>0</v>
      </c>
      <c r="BB193" s="261">
        <f t="shared" si="154"/>
        <v>0</v>
      </c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</row>
    <row r="194" spans="1:72" ht="22.5" customHeight="1" x14ac:dyDescent="0.4">
      <c r="A194" s="399"/>
      <c r="B194" s="376">
        <v>186</v>
      </c>
      <c r="C194" s="310">
        <v>44107</v>
      </c>
      <c r="D194" s="229" t="str">
        <f>IFERROR(VLOOKUP(C194,'बँक जमा खर्च पासबुक'!$C$9:$R$111,2,0),"")</f>
        <v/>
      </c>
      <c r="E194" s="229" t="str">
        <f>IFERROR(VLOOKUP(C194,'बँक जमा खर्च पासबुक'!$C$9:$R$111,3,0),"")</f>
        <v/>
      </c>
      <c r="F194" s="229" t="str">
        <f>IFERROR(VLOOKUP(C194,'बँक जमा खर्च पासबुक'!$C$9:$R$111,4,0),"")</f>
        <v/>
      </c>
      <c r="G194" s="229" t="str">
        <f>IFERROR(VLOOKUP(C194,'बँक जमा खर्च पासबुक'!$C$9:$R$111,5,0),"")</f>
        <v/>
      </c>
      <c r="H194" s="229" t="str">
        <f>IFERROR(VLOOKUP(C194,'बँक जमा खर्च पासबुक'!$C$9:$R$111,6,0),"")</f>
        <v/>
      </c>
      <c r="I194" s="229" t="str">
        <f>IFERROR(VLOOKUP(C194,'बँक जमा खर्च पासबुक'!$C$9:$R$111,7,0),"")</f>
        <v/>
      </c>
      <c r="J194" s="233">
        <f>SUMIF('बँक जमा खर्च पासबुक'!$C$9:$C$111,'बँक खर्च व्हाउचर पावती'!C194,'बँक जमा खर्च पासबुक'!$J$9:$J$111)</f>
        <v>0</v>
      </c>
      <c r="K194" s="233">
        <f>SUMIF('बँक जमा खर्च पासबुक'!$C$9:$C$111,'बँक खर्च व्हाउचर पावती'!C194,'बँक जमा खर्च पासबुक'!$K$9:$K$111)</f>
        <v>0</v>
      </c>
      <c r="L194" s="233">
        <f ca="1">SUMIF('बँक जमा खर्च पासबुक'!$C$9:$C$111,'बँक खर्च व्हाउचर पावती'!C194,'बँक जमा खर्च पासबुक'!$L$9:$L$110)</f>
        <v>0</v>
      </c>
      <c r="M194" s="228">
        <f>SUMIF('बँक जमा खर्च पासबुक'!$C$9:$C$111,'बँक खर्च व्हाउचर पावती'!C194,'बँक जमा खर्च पासबुक'!$M$9:$M$111)</f>
        <v>0</v>
      </c>
      <c r="N194" s="233">
        <f t="shared" ca="1" si="127"/>
        <v>3000</v>
      </c>
      <c r="O194" s="228">
        <f t="shared" si="128"/>
        <v>3000</v>
      </c>
      <c r="P194" s="228">
        <f t="shared" ca="1" si="126"/>
        <v>6000</v>
      </c>
      <c r="Q194" s="399"/>
      <c r="AM194" s="380"/>
      <c r="AN194" s="380"/>
      <c r="AO194" s="380">
        <v>19</v>
      </c>
      <c r="AP194" s="261">
        <f t="shared" si="155"/>
        <v>0</v>
      </c>
      <c r="AQ194" s="261">
        <f t="shared" si="143"/>
        <v>0</v>
      </c>
      <c r="AR194" s="261">
        <f t="shared" si="144"/>
        <v>0</v>
      </c>
      <c r="AS194" s="261">
        <f t="shared" si="145"/>
        <v>0</v>
      </c>
      <c r="AT194" s="261">
        <f t="shared" si="146"/>
        <v>0</v>
      </c>
      <c r="AU194" s="261">
        <f t="shared" si="147"/>
        <v>0</v>
      </c>
      <c r="AV194" s="261">
        <f t="shared" si="148"/>
        <v>0</v>
      </c>
      <c r="AW194" s="261">
        <f t="shared" si="149"/>
        <v>0</v>
      </c>
      <c r="AX194" s="261">
        <f t="shared" si="150"/>
        <v>0</v>
      </c>
      <c r="AY194" s="261">
        <f t="shared" si="151"/>
        <v>0</v>
      </c>
      <c r="AZ194" s="261">
        <f t="shared" si="152"/>
        <v>0</v>
      </c>
      <c r="BA194" s="261">
        <f t="shared" si="153"/>
        <v>0</v>
      </c>
      <c r="BB194" s="261">
        <f t="shared" si="154"/>
        <v>0</v>
      </c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</row>
    <row r="195" spans="1:72" ht="22.5" customHeight="1" x14ac:dyDescent="0.4">
      <c r="A195" s="399"/>
      <c r="B195" s="376">
        <v>187</v>
      </c>
      <c r="C195" s="310">
        <v>44108</v>
      </c>
      <c r="D195" s="229" t="str">
        <f>IFERROR(VLOOKUP(C195,'बँक जमा खर्च पासबुक'!$C$9:$R$111,2,0),"")</f>
        <v/>
      </c>
      <c r="E195" s="229" t="str">
        <f>IFERROR(VLOOKUP(C195,'बँक जमा खर्च पासबुक'!$C$9:$R$111,3,0),"")</f>
        <v/>
      </c>
      <c r="F195" s="229" t="str">
        <f>IFERROR(VLOOKUP(C195,'बँक जमा खर्च पासबुक'!$C$9:$R$111,4,0),"")</f>
        <v/>
      </c>
      <c r="G195" s="229" t="str">
        <f>IFERROR(VLOOKUP(C195,'बँक जमा खर्च पासबुक'!$C$9:$R$111,5,0),"")</f>
        <v/>
      </c>
      <c r="H195" s="229" t="str">
        <f>IFERROR(VLOOKUP(C195,'बँक जमा खर्च पासबुक'!$C$9:$R$111,6,0),"")</f>
        <v/>
      </c>
      <c r="I195" s="229" t="str">
        <f>IFERROR(VLOOKUP(C195,'बँक जमा खर्च पासबुक'!$C$9:$R$111,7,0),"")</f>
        <v/>
      </c>
      <c r="J195" s="233">
        <f>SUMIF('बँक जमा खर्च पासबुक'!$C$9:$C$111,'बँक खर्च व्हाउचर पावती'!C195,'बँक जमा खर्च पासबुक'!$J$9:$J$111)</f>
        <v>0</v>
      </c>
      <c r="K195" s="233">
        <f>SUMIF('बँक जमा खर्च पासबुक'!$C$9:$C$111,'बँक खर्च व्हाउचर पावती'!C195,'बँक जमा खर्च पासबुक'!$K$9:$K$111)</f>
        <v>0</v>
      </c>
      <c r="L195" s="233">
        <f ca="1">SUMIF('बँक जमा खर्च पासबुक'!$C$9:$C$111,'बँक खर्च व्हाउचर पावती'!C195,'बँक जमा खर्च पासबुक'!$L$9:$L$110)</f>
        <v>0</v>
      </c>
      <c r="M195" s="228">
        <f>SUMIF('बँक जमा खर्च पासबुक'!$C$9:$C$111,'बँक खर्च व्हाउचर पावती'!C195,'बँक जमा खर्च पासबुक'!$M$9:$M$111)</f>
        <v>0</v>
      </c>
      <c r="N195" s="233">
        <f t="shared" ca="1" si="127"/>
        <v>3000</v>
      </c>
      <c r="O195" s="228">
        <f t="shared" si="128"/>
        <v>3000</v>
      </c>
      <c r="P195" s="228">
        <f t="shared" ca="1" si="126"/>
        <v>6000</v>
      </c>
      <c r="Q195" s="399"/>
      <c r="AM195" s="380"/>
      <c r="AN195" s="380"/>
      <c r="AO195" s="380">
        <v>20</v>
      </c>
      <c r="AP195" s="261">
        <f t="shared" si="155"/>
        <v>0</v>
      </c>
      <c r="AQ195" s="261">
        <f t="shared" si="143"/>
        <v>0</v>
      </c>
      <c r="AR195" s="261">
        <f t="shared" si="144"/>
        <v>0</v>
      </c>
      <c r="AS195" s="261">
        <f t="shared" si="145"/>
        <v>0</v>
      </c>
      <c r="AT195" s="261">
        <f t="shared" si="146"/>
        <v>0</v>
      </c>
      <c r="AU195" s="261">
        <f t="shared" si="147"/>
        <v>0</v>
      </c>
      <c r="AV195" s="261">
        <f t="shared" si="148"/>
        <v>0</v>
      </c>
      <c r="AW195" s="261">
        <f t="shared" si="149"/>
        <v>0</v>
      </c>
      <c r="AX195" s="261">
        <f t="shared" si="150"/>
        <v>0</v>
      </c>
      <c r="AY195" s="261">
        <f t="shared" si="151"/>
        <v>0</v>
      </c>
      <c r="AZ195" s="261">
        <f t="shared" si="152"/>
        <v>0</v>
      </c>
      <c r="BA195" s="261">
        <f t="shared" si="153"/>
        <v>0</v>
      </c>
      <c r="BB195" s="261">
        <f t="shared" si="154"/>
        <v>0</v>
      </c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</row>
    <row r="196" spans="1:72" ht="22.5" customHeight="1" x14ac:dyDescent="0.4">
      <c r="A196" s="399"/>
      <c r="B196" s="376">
        <v>188</v>
      </c>
      <c r="C196" s="310">
        <v>44109</v>
      </c>
      <c r="D196" s="229" t="str">
        <f>IFERROR(VLOOKUP(C196,'बँक जमा खर्च पासबुक'!$C$9:$R$111,2,0),"")</f>
        <v/>
      </c>
      <c r="E196" s="229" t="str">
        <f>IFERROR(VLOOKUP(C196,'बँक जमा खर्च पासबुक'!$C$9:$R$111,3,0),"")</f>
        <v/>
      </c>
      <c r="F196" s="229" t="str">
        <f>IFERROR(VLOOKUP(C196,'बँक जमा खर्च पासबुक'!$C$9:$R$111,4,0),"")</f>
        <v/>
      </c>
      <c r="G196" s="229" t="str">
        <f>IFERROR(VLOOKUP(C196,'बँक जमा खर्च पासबुक'!$C$9:$R$111,5,0),"")</f>
        <v/>
      </c>
      <c r="H196" s="229" t="str">
        <f>IFERROR(VLOOKUP(C196,'बँक जमा खर्च पासबुक'!$C$9:$R$111,6,0),"")</f>
        <v/>
      </c>
      <c r="I196" s="229" t="str">
        <f>IFERROR(VLOOKUP(C196,'बँक जमा खर्च पासबुक'!$C$9:$R$111,7,0),"")</f>
        <v/>
      </c>
      <c r="J196" s="233">
        <f>SUMIF('बँक जमा खर्च पासबुक'!$C$9:$C$111,'बँक खर्च व्हाउचर पावती'!C196,'बँक जमा खर्च पासबुक'!$J$9:$J$111)</f>
        <v>0</v>
      </c>
      <c r="K196" s="233">
        <f>SUMIF('बँक जमा खर्च पासबुक'!$C$9:$C$111,'बँक खर्च व्हाउचर पावती'!C196,'बँक जमा खर्च पासबुक'!$K$9:$K$111)</f>
        <v>0</v>
      </c>
      <c r="L196" s="233">
        <f ca="1">SUMIF('बँक जमा खर्च पासबुक'!$C$9:$C$111,'बँक खर्च व्हाउचर पावती'!C196,'बँक जमा खर्च पासबुक'!$L$9:$L$110)</f>
        <v>0</v>
      </c>
      <c r="M196" s="228">
        <f>SUMIF('बँक जमा खर्च पासबुक'!$C$9:$C$111,'बँक खर्च व्हाउचर पावती'!C196,'बँक जमा खर्च पासबुक'!$M$9:$M$111)</f>
        <v>0</v>
      </c>
      <c r="N196" s="233">
        <f t="shared" ca="1" si="127"/>
        <v>3000</v>
      </c>
      <c r="O196" s="228">
        <f t="shared" si="128"/>
        <v>3000</v>
      </c>
      <c r="P196" s="228">
        <f t="shared" ca="1" si="126"/>
        <v>6000</v>
      </c>
      <c r="Q196" s="399"/>
      <c r="AM196" s="380"/>
      <c r="AN196" s="380"/>
      <c r="AO196" s="380">
        <v>21</v>
      </c>
      <c r="AP196" s="261">
        <f t="shared" si="155"/>
        <v>0</v>
      </c>
      <c r="AQ196" s="261">
        <f t="shared" si="143"/>
        <v>0</v>
      </c>
      <c r="AR196" s="261">
        <f t="shared" si="144"/>
        <v>0</v>
      </c>
      <c r="AS196" s="261">
        <f t="shared" si="145"/>
        <v>0</v>
      </c>
      <c r="AT196" s="261">
        <f t="shared" si="146"/>
        <v>0</v>
      </c>
      <c r="AU196" s="261">
        <f t="shared" si="147"/>
        <v>0</v>
      </c>
      <c r="AV196" s="261">
        <f t="shared" si="148"/>
        <v>0</v>
      </c>
      <c r="AW196" s="261">
        <f t="shared" si="149"/>
        <v>0</v>
      </c>
      <c r="AX196" s="261">
        <f t="shared" si="150"/>
        <v>0</v>
      </c>
      <c r="AY196" s="261">
        <f t="shared" si="151"/>
        <v>0</v>
      </c>
      <c r="AZ196" s="261">
        <f t="shared" si="152"/>
        <v>0</v>
      </c>
      <c r="BA196" s="261">
        <f t="shared" si="153"/>
        <v>0</v>
      </c>
      <c r="BB196" s="261">
        <f t="shared" si="154"/>
        <v>0</v>
      </c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</row>
    <row r="197" spans="1:72" ht="22.5" customHeight="1" x14ac:dyDescent="0.4">
      <c r="A197" s="399"/>
      <c r="B197" s="376">
        <v>189</v>
      </c>
      <c r="C197" s="310">
        <v>44110</v>
      </c>
      <c r="D197" s="229" t="str">
        <f>IFERROR(VLOOKUP(C197,'बँक जमा खर्च पासबुक'!$C$9:$R$111,2,0),"")</f>
        <v/>
      </c>
      <c r="E197" s="229" t="str">
        <f>IFERROR(VLOOKUP(C197,'बँक जमा खर्च पासबुक'!$C$9:$R$111,3,0),"")</f>
        <v/>
      </c>
      <c r="F197" s="229" t="str">
        <f>IFERROR(VLOOKUP(C197,'बँक जमा खर्च पासबुक'!$C$9:$R$111,4,0),"")</f>
        <v/>
      </c>
      <c r="G197" s="229" t="str">
        <f>IFERROR(VLOOKUP(C197,'बँक जमा खर्च पासबुक'!$C$9:$R$111,5,0),"")</f>
        <v/>
      </c>
      <c r="H197" s="229" t="str">
        <f>IFERROR(VLOOKUP(C197,'बँक जमा खर्च पासबुक'!$C$9:$R$111,6,0),"")</f>
        <v/>
      </c>
      <c r="I197" s="229" t="str">
        <f>IFERROR(VLOOKUP(C197,'बँक जमा खर्च पासबुक'!$C$9:$R$111,7,0),"")</f>
        <v/>
      </c>
      <c r="J197" s="233">
        <f>SUMIF('बँक जमा खर्च पासबुक'!$C$9:$C$111,'बँक खर्च व्हाउचर पावती'!C197,'बँक जमा खर्च पासबुक'!$J$9:$J$111)</f>
        <v>0</v>
      </c>
      <c r="K197" s="233">
        <f>SUMIF('बँक जमा खर्च पासबुक'!$C$9:$C$111,'बँक खर्च व्हाउचर पावती'!C197,'बँक जमा खर्च पासबुक'!$K$9:$K$111)</f>
        <v>0</v>
      </c>
      <c r="L197" s="233">
        <f ca="1">SUMIF('बँक जमा खर्च पासबुक'!$C$9:$C$111,'बँक खर्च व्हाउचर पावती'!C197,'बँक जमा खर्च पासबुक'!$L$9:$L$110)</f>
        <v>0</v>
      </c>
      <c r="M197" s="228">
        <f>SUMIF('बँक जमा खर्च पासबुक'!$C$9:$C$111,'बँक खर्च व्हाउचर पावती'!C197,'बँक जमा खर्च पासबुक'!$M$9:$M$111)</f>
        <v>0</v>
      </c>
      <c r="N197" s="233">
        <f t="shared" ca="1" si="127"/>
        <v>3000</v>
      </c>
      <c r="O197" s="228">
        <f t="shared" si="128"/>
        <v>3000</v>
      </c>
      <c r="P197" s="228">
        <f t="shared" ca="1" si="126"/>
        <v>6000</v>
      </c>
      <c r="Q197" s="399"/>
      <c r="AM197" s="380"/>
      <c r="AN197" s="380"/>
      <c r="AO197" s="380">
        <v>22</v>
      </c>
      <c r="AP197" s="261">
        <f t="shared" si="155"/>
        <v>0</v>
      </c>
      <c r="AQ197" s="261">
        <f t="shared" si="143"/>
        <v>0</v>
      </c>
      <c r="AR197" s="261">
        <f t="shared" si="144"/>
        <v>0</v>
      </c>
      <c r="AS197" s="261">
        <f t="shared" si="145"/>
        <v>0</v>
      </c>
      <c r="AT197" s="261">
        <f t="shared" si="146"/>
        <v>0</v>
      </c>
      <c r="AU197" s="261">
        <f t="shared" si="147"/>
        <v>0</v>
      </c>
      <c r="AV197" s="261">
        <f t="shared" si="148"/>
        <v>0</v>
      </c>
      <c r="AW197" s="261">
        <f t="shared" si="149"/>
        <v>0</v>
      </c>
      <c r="AX197" s="261">
        <f t="shared" si="150"/>
        <v>0</v>
      </c>
      <c r="AY197" s="261">
        <f t="shared" si="151"/>
        <v>0</v>
      </c>
      <c r="AZ197" s="261">
        <f t="shared" si="152"/>
        <v>0</v>
      </c>
      <c r="BA197" s="261">
        <f t="shared" si="153"/>
        <v>0</v>
      </c>
      <c r="BB197" s="261">
        <f t="shared" si="154"/>
        <v>0</v>
      </c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</row>
    <row r="198" spans="1:72" ht="22.5" customHeight="1" x14ac:dyDescent="0.4">
      <c r="A198" s="399"/>
      <c r="B198" s="376">
        <v>190</v>
      </c>
      <c r="C198" s="310">
        <v>44111</v>
      </c>
      <c r="D198" s="229" t="str">
        <f>IFERROR(VLOOKUP(C198,'बँक जमा खर्च पासबुक'!$C$9:$R$111,2,0),"")</f>
        <v/>
      </c>
      <c r="E198" s="229" t="str">
        <f>IFERROR(VLOOKUP(C198,'बँक जमा खर्च पासबुक'!$C$9:$R$111,3,0),"")</f>
        <v/>
      </c>
      <c r="F198" s="229" t="str">
        <f>IFERROR(VLOOKUP(C198,'बँक जमा खर्च पासबुक'!$C$9:$R$111,4,0),"")</f>
        <v/>
      </c>
      <c r="G198" s="229" t="str">
        <f>IFERROR(VLOOKUP(C198,'बँक जमा खर्च पासबुक'!$C$9:$R$111,5,0),"")</f>
        <v/>
      </c>
      <c r="H198" s="229" t="str">
        <f>IFERROR(VLOOKUP(C198,'बँक जमा खर्च पासबुक'!$C$9:$R$111,6,0),"")</f>
        <v/>
      </c>
      <c r="I198" s="229" t="str">
        <f>IFERROR(VLOOKUP(C198,'बँक जमा खर्च पासबुक'!$C$9:$R$111,7,0),"")</f>
        <v/>
      </c>
      <c r="J198" s="233">
        <f>SUMIF('बँक जमा खर्च पासबुक'!$C$9:$C$111,'बँक खर्च व्हाउचर पावती'!C198,'बँक जमा खर्च पासबुक'!$J$9:$J$111)</f>
        <v>0</v>
      </c>
      <c r="K198" s="233">
        <f>SUMIF('बँक जमा खर्च पासबुक'!$C$9:$C$111,'बँक खर्च व्हाउचर पावती'!C198,'बँक जमा खर्च पासबुक'!$K$9:$K$111)</f>
        <v>0</v>
      </c>
      <c r="L198" s="233">
        <f ca="1">SUMIF('बँक जमा खर्च पासबुक'!$C$9:$C$111,'बँक खर्च व्हाउचर पावती'!C198,'बँक जमा खर्च पासबुक'!$L$9:$L$110)</f>
        <v>0</v>
      </c>
      <c r="M198" s="228">
        <f>SUMIF('बँक जमा खर्च पासबुक'!$C$9:$C$111,'बँक खर्च व्हाउचर पावती'!C198,'बँक जमा खर्च पासबुक'!$M$9:$M$111)</f>
        <v>0</v>
      </c>
      <c r="N198" s="233">
        <f t="shared" ca="1" si="127"/>
        <v>3000</v>
      </c>
      <c r="O198" s="228">
        <f t="shared" si="128"/>
        <v>3000</v>
      </c>
      <c r="P198" s="228">
        <f t="shared" ca="1" si="126"/>
        <v>6000</v>
      </c>
      <c r="Q198" s="399"/>
      <c r="AM198" s="380"/>
      <c r="AN198" s="380"/>
      <c r="AO198" s="380">
        <v>23</v>
      </c>
      <c r="AP198" s="261">
        <f t="shared" si="155"/>
        <v>0</v>
      </c>
      <c r="AQ198" s="261">
        <f t="shared" si="143"/>
        <v>0</v>
      </c>
      <c r="AR198" s="261">
        <f t="shared" si="144"/>
        <v>0</v>
      </c>
      <c r="AS198" s="261">
        <f t="shared" si="145"/>
        <v>0</v>
      </c>
      <c r="AT198" s="261">
        <f t="shared" si="146"/>
        <v>0</v>
      </c>
      <c r="AU198" s="261">
        <f t="shared" si="147"/>
        <v>0</v>
      </c>
      <c r="AV198" s="261">
        <f t="shared" si="148"/>
        <v>0</v>
      </c>
      <c r="AW198" s="261">
        <f t="shared" si="149"/>
        <v>0</v>
      </c>
      <c r="AX198" s="261">
        <f t="shared" si="150"/>
        <v>0</v>
      </c>
      <c r="AY198" s="261">
        <f t="shared" si="151"/>
        <v>0</v>
      </c>
      <c r="AZ198" s="261">
        <f t="shared" si="152"/>
        <v>0</v>
      </c>
      <c r="BA198" s="261">
        <f t="shared" si="153"/>
        <v>0</v>
      </c>
      <c r="BB198" s="261">
        <f t="shared" si="154"/>
        <v>0</v>
      </c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</row>
    <row r="199" spans="1:72" ht="22.5" customHeight="1" x14ac:dyDescent="0.4">
      <c r="A199" s="399"/>
      <c r="B199" s="376">
        <v>191</v>
      </c>
      <c r="C199" s="310">
        <v>44112</v>
      </c>
      <c r="D199" s="229" t="str">
        <f>IFERROR(VLOOKUP(C199,'बँक जमा खर्च पासबुक'!$C$9:$R$111,2,0),"")</f>
        <v/>
      </c>
      <c r="E199" s="229" t="str">
        <f>IFERROR(VLOOKUP(C199,'बँक जमा खर्च पासबुक'!$C$9:$R$111,3,0),"")</f>
        <v/>
      </c>
      <c r="F199" s="229" t="str">
        <f>IFERROR(VLOOKUP(C199,'बँक जमा खर्च पासबुक'!$C$9:$R$111,4,0),"")</f>
        <v/>
      </c>
      <c r="G199" s="229" t="str">
        <f>IFERROR(VLOOKUP(C199,'बँक जमा खर्च पासबुक'!$C$9:$R$111,5,0),"")</f>
        <v/>
      </c>
      <c r="H199" s="229" t="str">
        <f>IFERROR(VLOOKUP(C199,'बँक जमा खर्च पासबुक'!$C$9:$R$111,6,0),"")</f>
        <v/>
      </c>
      <c r="I199" s="229" t="str">
        <f>IFERROR(VLOOKUP(C199,'बँक जमा खर्च पासबुक'!$C$9:$R$111,7,0),"")</f>
        <v/>
      </c>
      <c r="J199" s="233">
        <f>SUMIF('बँक जमा खर्च पासबुक'!$C$9:$C$111,'बँक खर्च व्हाउचर पावती'!C199,'बँक जमा खर्च पासबुक'!$J$9:$J$111)</f>
        <v>0</v>
      </c>
      <c r="K199" s="233">
        <f>SUMIF('बँक जमा खर्च पासबुक'!$C$9:$C$111,'बँक खर्च व्हाउचर पावती'!C199,'बँक जमा खर्च पासबुक'!$K$9:$K$111)</f>
        <v>0</v>
      </c>
      <c r="L199" s="233">
        <f ca="1">SUMIF('बँक जमा खर्च पासबुक'!$C$9:$C$111,'बँक खर्च व्हाउचर पावती'!C199,'बँक जमा खर्च पासबुक'!$L$9:$L$110)</f>
        <v>0</v>
      </c>
      <c r="M199" s="228">
        <f>SUMIF('बँक जमा खर्च पासबुक'!$C$9:$C$111,'बँक खर्च व्हाउचर पावती'!C199,'बँक जमा खर्च पासबुक'!$M$9:$M$111)</f>
        <v>0</v>
      </c>
      <c r="N199" s="233">
        <f t="shared" ca="1" si="127"/>
        <v>3000</v>
      </c>
      <c r="O199" s="228">
        <f t="shared" si="128"/>
        <v>3000</v>
      </c>
      <c r="P199" s="228">
        <f t="shared" ca="1" si="126"/>
        <v>6000</v>
      </c>
      <c r="Q199" s="399"/>
      <c r="AM199" s="380"/>
      <c r="AN199" s="380"/>
      <c r="AO199" s="380">
        <v>24</v>
      </c>
      <c r="AP199" s="261">
        <f t="shared" si="155"/>
        <v>0</v>
      </c>
      <c r="AQ199" s="261">
        <f t="shared" si="143"/>
        <v>0</v>
      </c>
      <c r="AR199" s="261">
        <f t="shared" si="144"/>
        <v>0</v>
      </c>
      <c r="AS199" s="261">
        <f t="shared" si="145"/>
        <v>0</v>
      </c>
      <c r="AT199" s="261">
        <f t="shared" si="146"/>
        <v>0</v>
      </c>
      <c r="AU199" s="261">
        <f t="shared" si="147"/>
        <v>0</v>
      </c>
      <c r="AV199" s="261">
        <f t="shared" si="148"/>
        <v>0</v>
      </c>
      <c r="AW199" s="261">
        <f t="shared" si="149"/>
        <v>0</v>
      </c>
      <c r="AX199" s="261">
        <f t="shared" si="150"/>
        <v>0</v>
      </c>
      <c r="AY199" s="261">
        <f t="shared" si="151"/>
        <v>0</v>
      </c>
      <c r="AZ199" s="261">
        <f t="shared" si="152"/>
        <v>0</v>
      </c>
      <c r="BA199" s="261">
        <f t="shared" si="153"/>
        <v>0</v>
      </c>
      <c r="BB199" s="261">
        <f t="shared" si="154"/>
        <v>0</v>
      </c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</row>
    <row r="200" spans="1:72" ht="22.5" customHeight="1" x14ac:dyDescent="0.4">
      <c r="A200" s="399"/>
      <c r="B200" s="376">
        <v>192</v>
      </c>
      <c r="C200" s="310">
        <v>44113</v>
      </c>
      <c r="D200" s="229" t="str">
        <f>IFERROR(VLOOKUP(C200,'बँक जमा खर्च पासबुक'!$C$9:$R$111,2,0),"")</f>
        <v/>
      </c>
      <c r="E200" s="229" t="str">
        <f>IFERROR(VLOOKUP(C200,'बँक जमा खर्च पासबुक'!$C$9:$R$111,3,0),"")</f>
        <v/>
      </c>
      <c r="F200" s="229" t="str">
        <f>IFERROR(VLOOKUP(C200,'बँक जमा खर्च पासबुक'!$C$9:$R$111,4,0),"")</f>
        <v/>
      </c>
      <c r="G200" s="229" t="str">
        <f>IFERROR(VLOOKUP(C200,'बँक जमा खर्च पासबुक'!$C$9:$R$111,5,0),"")</f>
        <v/>
      </c>
      <c r="H200" s="229" t="str">
        <f>IFERROR(VLOOKUP(C200,'बँक जमा खर्च पासबुक'!$C$9:$R$111,6,0),"")</f>
        <v/>
      </c>
      <c r="I200" s="229" t="str">
        <f>IFERROR(VLOOKUP(C200,'बँक जमा खर्च पासबुक'!$C$9:$R$111,7,0),"")</f>
        <v/>
      </c>
      <c r="J200" s="233">
        <f>SUMIF('बँक जमा खर्च पासबुक'!$C$9:$C$111,'बँक खर्च व्हाउचर पावती'!C200,'बँक जमा खर्च पासबुक'!$J$9:$J$111)</f>
        <v>0</v>
      </c>
      <c r="K200" s="233">
        <f>SUMIF('बँक जमा खर्च पासबुक'!$C$9:$C$111,'बँक खर्च व्हाउचर पावती'!C200,'बँक जमा खर्च पासबुक'!$K$9:$K$111)</f>
        <v>0</v>
      </c>
      <c r="L200" s="233">
        <f ca="1">SUMIF('बँक जमा खर्च पासबुक'!$C$9:$C$111,'बँक खर्च व्हाउचर पावती'!C200,'बँक जमा खर्च पासबुक'!$L$9:$L$110)</f>
        <v>0</v>
      </c>
      <c r="M200" s="228">
        <f>SUMIF('बँक जमा खर्च पासबुक'!$C$9:$C$111,'बँक खर्च व्हाउचर पावती'!C200,'बँक जमा खर्च पासबुक'!$M$9:$M$111)</f>
        <v>0</v>
      </c>
      <c r="N200" s="233">
        <f t="shared" ca="1" si="127"/>
        <v>3000</v>
      </c>
      <c r="O200" s="228">
        <f t="shared" si="128"/>
        <v>3000</v>
      </c>
      <c r="P200" s="228">
        <f t="shared" ca="1" si="126"/>
        <v>6000</v>
      </c>
      <c r="Q200" s="399"/>
      <c r="AM200" s="380"/>
      <c r="AN200" s="380"/>
      <c r="AO200" s="380">
        <v>25</v>
      </c>
      <c r="AP200" s="261">
        <f t="shared" si="155"/>
        <v>0</v>
      </c>
      <c r="AQ200" s="261">
        <f t="shared" si="143"/>
        <v>0</v>
      </c>
      <c r="AR200" s="261">
        <f t="shared" si="144"/>
        <v>0</v>
      </c>
      <c r="AS200" s="261">
        <f t="shared" si="145"/>
        <v>0</v>
      </c>
      <c r="AT200" s="261">
        <f t="shared" si="146"/>
        <v>0</v>
      </c>
      <c r="AU200" s="261">
        <f t="shared" si="147"/>
        <v>0</v>
      </c>
      <c r="AV200" s="261">
        <f t="shared" si="148"/>
        <v>0</v>
      </c>
      <c r="AW200" s="261">
        <f t="shared" si="149"/>
        <v>0</v>
      </c>
      <c r="AX200" s="261">
        <f t="shared" si="150"/>
        <v>0</v>
      </c>
      <c r="AY200" s="261">
        <f t="shared" si="151"/>
        <v>0</v>
      </c>
      <c r="AZ200" s="261">
        <f t="shared" si="152"/>
        <v>0</v>
      </c>
      <c r="BA200" s="261">
        <f t="shared" si="153"/>
        <v>0</v>
      </c>
      <c r="BB200" s="261">
        <f t="shared" si="154"/>
        <v>0</v>
      </c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</row>
    <row r="201" spans="1:72" ht="22.5" customHeight="1" x14ac:dyDescent="0.4">
      <c r="A201" s="399"/>
      <c r="B201" s="376">
        <v>193</v>
      </c>
      <c r="C201" s="310">
        <v>44114</v>
      </c>
      <c r="D201" s="229" t="str">
        <f>IFERROR(VLOOKUP(C201,'बँक जमा खर्च पासबुक'!$C$9:$R$111,2,0),"")</f>
        <v/>
      </c>
      <c r="E201" s="229" t="str">
        <f>IFERROR(VLOOKUP(C201,'बँक जमा खर्च पासबुक'!$C$9:$R$111,3,0),"")</f>
        <v/>
      </c>
      <c r="F201" s="229" t="str">
        <f>IFERROR(VLOOKUP(C201,'बँक जमा खर्च पासबुक'!$C$9:$R$111,4,0),"")</f>
        <v/>
      </c>
      <c r="G201" s="229" t="str">
        <f>IFERROR(VLOOKUP(C201,'बँक जमा खर्च पासबुक'!$C$9:$R$111,5,0),"")</f>
        <v/>
      </c>
      <c r="H201" s="229" t="str">
        <f>IFERROR(VLOOKUP(C201,'बँक जमा खर्च पासबुक'!$C$9:$R$111,6,0),"")</f>
        <v/>
      </c>
      <c r="I201" s="229" t="str">
        <f>IFERROR(VLOOKUP(C201,'बँक जमा खर्च पासबुक'!$C$9:$R$111,7,0),"")</f>
        <v/>
      </c>
      <c r="J201" s="233">
        <f>SUMIF('बँक जमा खर्च पासबुक'!$C$9:$C$111,'बँक खर्च व्हाउचर पावती'!C201,'बँक जमा खर्च पासबुक'!$J$9:$J$111)</f>
        <v>0</v>
      </c>
      <c r="K201" s="233">
        <f>SUMIF('बँक जमा खर्च पासबुक'!$C$9:$C$111,'बँक खर्च व्हाउचर पावती'!C201,'बँक जमा खर्च पासबुक'!$K$9:$K$111)</f>
        <v>0</v>
      </c>
      <c r="L201" s="233">
        <f ca="1">SUMIF('बँक जमा खर्च पासबुक'!$C$9:$C$111,'बँक खर्च व्हाउचर पावती'!C201,'बँक जमा खर्च पासबुक'!$L$9:$L$110)</f>
        <v>0</v>
      </c>
      <c r="M201" s="228">
        <f>SUMIF('बँक जमा खर्च पासबुक'!$C$9:$C$111,'बँक खर्च व्हाउचर पावती'!C201,'बँक जमा खर्च पासबुक'!$M$9:$M$111)</f>
        <v>0</v>
      </c>
      <c r="N201" s="233">
        <f t="shared" ca="1" si="127"/>
        <v>3000</v>
      </c>
      <c r="O201" s="228">
        <f t="shared" si="128"/>
        <v>3000</v>
      </c>
      <c r="P201" s="228">
        <f t="shared" ref="P201:P264" ca="1" si="156">N201+O201</f>
        <v>6000</v>
      </c>
      <c r="Q201" s="399"/>
      <c r="AM201" s="380"/>
      <c r="AN201" s="380"/>
      <c r="AO201" s="380">
        <v>26</v>
      </c>
      <c r="AP201" s="261">
        <f t="shared" si="155"/>
        <v>0</v>
      </c>
      <c r="AQ201" s="261">
        <f t="shared" si="143"/>
        <v>0</v>
      </c>
      <c r="AR201" s="261">
        <f t="shared" si="144"/>
        <v>0</v>
      </c>
      <c r="AS201" s="261">
        <f t="shared" si="145"/>
        <v>0</v>
      </c>
      <c r="AT201" s="261">
        <f t="shared" si="146"/>
        <v>0</v>
      </c>
      <c r="AU201" s="261">
        <f t="shared" si="147"/>
        <v>0</v>
      </c>
      <c r="AV201" s="261">
        <f t="shared" si="148"/>
        <v>0</v>
      </c>
      <c r="AW201" s="261">
        <f t="shared" si="149"/>
        <v>0</v>
      </c>
      <c r="AX201" s="261">
        <f t="shared" si="150"/>
        <v>0</v>
      </c>
      <c r="AY201" s="261">
        <f t="shared" si="151"/>
        <v>0</v>
      </c>
      <c r="AZ201" s="261">
        <f t="shared" si="152"/>
        <v>0</v>
      </c>
      <c r="BA201" s="261">
        <f t="shared" si="153"/>
        <v>0</v>
      </c>
      <c r="BB201" s="261">
        <f t="shared" si="154"/>
        <v>0</v>
      </c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</row>
    <row r="202" spans="1:72" ht="22.5" customHeight="1" x14ac:dyDescent="0.4">
      <c r="A202" s="399"/>
      <c r="B202" s="376">
        <v>194</v>
      </c>
      <c r="C202" s="310">
        <v>44115</v>
      </c>
      <c r="D202" s="229" t="str">
        <f>IFERROR(VLOOKUP(C202,'बँक जमा खर्च पासबुक'!$C$9:$R$111,2,0),"")</f>
        <v/>
      </c>
      <c r="E202" s="229" t="str">
        <f>IFERROR(VLOOKUP(C202,'बँक जमा खर्च पासबुक'!$C$9:$R$111,3,0),"")</f>
        <v/>
      </c>
      <c r="F202" s="229" t="str">
        <f>IFERROR(VLOOKUP(C202,'बँक जमा खर्च पासबुक'!$C$9:$R$111,4,0),"")</f>
        <v/>
      </c>
      <c r="G202" s="229" t="str">
        <f>IFERROR(VLOOKUP(C202,'बँक जमा खर्च पासबुक'!$C$9:$R$111,5,0),"")</f>
        <v/>
      </c>
      <c r="H202" s="229" t="str">
        <f>IFERROR(VLOOKUP(C202,'बँक जमा खर्च पासबुक'!$C$9:$R$111,6,0),"")</f>
        <v/>
      </c>
      <c r="I202" s="229" t="str">
        <f>IFERROR(VLOOKUP(C202,'बँक जमा खर्च पासबुक'!$C$9:$R$111,7,0),"")</f>
        <v/>
      </c>
      <c r="J202" s="233">
        <f>SUMIF('बँक जमा खर्च पासबुक'!$C$9:$C$111,'बँक खर्च व्हाउचर पावती'!C202,'बँक जमा खर्च पासबुक'!$J$9:$J$111)</f>
        <v>0</v>
      </c>
      <c r="K202" s="233">
        <f>SUMIF('बँक जमा खर्च पासबुक'!$C$9:$C$111,'बँक खर्च व्हाउचर पावती'!C202,'बँक जमा खर्च पासबुक'!$K$9:$K$111)</f>
        <v>0</v>
      </c>
      <c r="L202" s="233">
        <f ca="1">SUMIF('बँक जमा खर्च पासबुक'!$C$9:$C$111,'बँक खर्च व्हाउचर पावती'!C202,'बँक जमा खर्च पासबुक'!$L$9:$L$110)</f>
        <v>0</v>
      </c>
      <c r="M202" s="228">
        <f>SUMIF('बँक जमा खर्च पासबुक'!$C$9:$C$111,'बँक खर्च व्हाउचर पावती'!C202,'बँक जमा खर्च पासबुक'!$M$9:$M$111)</f>
        <v>0</v>
      </c>
      <c r="N202" s="233">
        <f t="shared" ref="N202:N265" ca="1" si="157">N201+J202-L202</f>
        <v>3000</v>
      </c>
      <c r="O202" s="228">
        <f t="shared" ref="O202:O265" si="158">O201+K202-M202</f>
        <v>3000</v>
      </c>
      <c r="P202" s="228">
        <f t="shared" ca="1" si="156"/>
        <v>6000</v>
      </c>
      <c r="Q202" s="399"/>
      <c r="AM202" s="380"/>
      <c r="AN202" s="380"/>
      <c r="AO202" s="380">
        <v>27</v>
      </c>
      <c r="AP202" s="261">
        <f t="shared" si="155"/>
        <v>0</v>
      </c>
      <c r="AQ202" s="261">
        <f t="shared" si="143"/>
        <v>0</v>
      </c>
      <c r="AR202" s="261">
        <f t="shared" si="144"/>
        <v>0</v>
      </c>
      <c r="AS202" s="261">
        <f t="shared" si="145"/>
        <v>0</v>
      </c>
      <c r="AT202" s="261">
        <f t="shared" si="146"/>
        <v>0</v>
      </c>
      <c r="AU202" s="261">
        <f t="shared" si="147"/>
        <v>0</v>
      </c>
      <c r="AV202" s="261">
        <f t="shared" si="148"/>
        <v>0</v>
      </c>
      <c r="AW202" s="261">
        <f t="shared" si="149"/>
        <v>0</v>
      </c>
      <c r="AX202" s="261">
        <f t="shared" si="150"/>
        <v>0</v>
      </c>
      <c r="AY202" s="261">
        <f t="shared" si="151"/>
        <v>0</v>
      </c>
      <c r="AZ202" s="261">
        <f t="shared" si="152"/>
        <v>0</v>
      </c>
      <c r="BA202" s="261">
        <f t="shared" si="153"/>
        <v>0</v>
      </c>
      <c r="BB202" s="261">
        <f t="shared" si="154"/>
        <v>0</v>
      </c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</row>
    <row r="203" spans="1:72" ht="22.5" customHeight="1" x14ac:dyDescent="0.4">
      <c r="A203" s="399"/>
      <c r="B203" s="376">
        <v>195</v>
      </c>
      <c r="C203" s="310">
        <v>44116</v>
      </c>
      <c r="D203" s="229" t="str">
        <f>IFERROR(VLOOKUP(C203,'बँक जमा खर्च पासबुक'!$C$9:$R$111,2,0),"")</f>
        <v/>
      </c>
      <c r="E203" s="229" t="str">
        <f>IFERROR(VLOOKUP(C203,'बँक जमा खर्च पासबुक'!$C$9:$R$111,3,0),"")</f>
        <v/>
      </c>
      <c r="F203" s="229" t="str">
        <f>IFERROR(VLOOKUP(C203,'बँक जमा खर्च पासबुक'!$C$9:$R$111,4,0),"")</f>
        <v/>
      </c>
      <c r="G203" s="229" t="str">
        <f>IFERROR(VLOOKUP(C203,'बँक जमा खर्च पासबुक'!$C$9:$R$111,5,0),"")</f>
        <v/>
      </c>
      <c r="H203" s="229" t="str">
        <f>IFERROR(VLOOKUP(C203,'बँक जमा खर्च पासबुक'!$C$9:$R$111,6,0),"")</f>
        <v/>
      </c>
      <c r="I203" s="229" t="str">
        <f>IFERROR(VLOOKUP(C203,'बँक जमा खर्च पासबुक'!$C$9:$R$111,7,0),"")</f>
        <v/>
      </c>
      <c r="J203" s="233">
        <f>SUMIF('बँक जमा खर्च पासबुक'!$C$9:$C$111,'बँक खर्च व्हाउचर पावती'!C203,'बँक जमा खर्च पासबुक'!$J$9:$J$111)</f>
        <v>0</v>
      </c>
      <c r="K203" s="233">
        <f>SUMIF('बँक जमा खर्च पासबुक'!$C$9:$C$111,'बँक खर्च व्हाउचर पावती'!C203,'बँक जमा खर्च पासबुक'!$K$9:$K$111)</f>
        <v>0</v>
      </c>
      <c r="L203" s="233">
        <f ca="1">SUMIF('बँक जमा खर्च पासबुक'!$C$9:$C$111,'बँक खर्च व्हाउचर पावती'!C203,'बँक जमा खर्च पासबुक'!$L$9:$L$110)</f>
        <v>0</v>
      </c>
      <c r="M203" s="228">
        <f>SUMIF('बँक जमा खर्च पासबुक'!$C$9:$C$111,'बँक खर्च व्हाउचर पावती'!C203,'बँक जमा खर्च पासबुक'!$M$9:$M$111)</f>
        <v>0</v>
      </c>
      <c r="N203" s="233">
        <f t="shared" ca="1" si="157"/>
        <v>3000</v>
      </c>
      <c r="O203" s="228">
        <f t="shared" si="158"/>
        <v>3000</v>
      </c>
      <c r="P203" s="228">
        <f t="shared" ca="1" si="156"/>
        <v>6000</v>
      </c>
      <c r="Q203" s="399"/>
      <c r="AM203" s="380"/>
      <c r="AN203" s="380"/>
      <c r="AO203" s="380">
        <v>28</v>
      </c>
      <c r="AP203" s="261">
        <f t="shared" si="155"/>
        <v>0</v>
      </c>
      <c r="AQ203" s="261">
        <f t="shared" si="143"/>
        <v>0</v>
      </c>
      <c r="AR203" s="261">
        <f t="shared" si="144"/>
        <v>0</v>
      </c>
      <c r="AS203" s="261">
        <f t="shared" si="145"/>
        <v>0</v>
      </c>
      <c r="AT203" s="261">
        <f t="shared" si="146"/>
        <v>0</v>
      </c>
      <c r="AU203" s="261">
        <f t="shared" si="147"/>
        <v>0</v>
      </c>
      <c r="AV203" s="261">
        <f t="shared" si="148"/>
        <v>0</v>
      </c>
      <c r="AW203" s="261">
        <f t="shared" si="149"/>
        <v>0</v>
      </c>
      <c r="AX203" s="261">
        <f t="shared" si="150"/>
        <v>0</v>
      </c>
      <c r="AY203" s="261">
        <f t="shared" si="151"/>
        <v>0</v>
      </c>
      <c r="AZ203" s="261">
        <f t="shared" si="152"/>
        <v>0</v>
      </c>
      <c r="BA203" s="261">
        <f t="shared" si="153"/>
        <v>0</v>
      </c>
      <c r="BB203" s="261">
        <f t="shared" si="154"/>
        <v>0</v>
      </c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</row>
    <row r="204" spans="1:72" ht="22.5" customHeight="1" x14ac:dyDescent="0.4">
      <c r="A204" s="399"/>
      <c r="B204" s="376">
        <v>196</v>
      </c>
      <c r="C204" s="310">
        <v>44117</v>
      </c>
      <c r="D204" s="229" t="str">
        <f>IFERROR(VLOOKUP(C204,'बँक जमा खर्च पासबुक'!$C$9:$R$111,2,0),"")</f>
        <v/>
      </c>
      <c r="E204" s="229" t="str">
        <f>IFERROR(VLOOKUP(C204,'बँक जमा खर्च पासबुक'!$C$9:$R$111,3,0),"")</f>
        <v/>
      </c>
      <c r="F204" s="229" t="str">
        <f>IFERROR(VLOOKUP(C204,'बँक जमा खर्च पासबुक'!$C$9:$R$111,4,0),"")</f>
        <v/>
      </c>
      <c r="G204" s="229" t="str">
        <f>IFERROR(VLOOKUP(C204,'बँक जमा खर्च पासबुक'!$C$9:$R$111,5,0),"")</f>
        <v/>
      </c>
      <c r="H204" s="229" t="str">
        <f>IFERROR(VLOOKUP(C204,'बँक जमा खर्च पासबुक'!$C$9:$R$111,6,0),"")</f>
        <v/>
      </c>
      <c r="I204" s="229" t="str">
        <f>IFERROR(VLOOKUP(C204,'बँक जमा खर्च पासबुक'!$C$9:$R$111,7,0),"")</f>
        <v/>
      </c>
      <c r="J204" s="233">
        <f>SUMIF('बँक जमा खर्च पासबुक'!$C$9:$C$111,'बँक खर्च व्हाउचर पावती'!C204,'बँक जमा खर्च पासबुक'!$J$9:$J$111)</f>
        <v>0</v>
      </c>
      <c r="K204" s="233">
        <f>SUMIF('बँक जमा खर्च पासबुक'!$C$9:$C$111,'बँक खर्च व्हाउचर पावती'!C204,'बँक जमा खर्च पासबुक'!$K$9:$K$111)</f>
        <v>0</v>
      </c>
      <c r="L204" s="233">
        <f ca="1">SUMIF('बँक जमा खर्च पासबुक'!$C$9:$C$111,'बँक खर्च व्हाउचर पावती'!C204,'बँक जमा खर्च पासबुक'!$L$9:$L$110)</f>
        <v>0</v>
      </c>
      <c r="M204" s="228">
        <f>SUMIF('बँक जमा खर्च पासबुक'!$C$9:$C$111,'बँक खर्च व्हाउचर पावती'!C204,'बँक जमा खर्च पासबुक'!$M$9:$M$111)</f>
        <v>0</v>
      </c>
      <c r="N204" s="233">
        <f t="shared" ca="1" si="157"/>
        <v>3000</v>
      </c>
      <c r="O204" s="228">
        <f t="shared" si="158"/>
        <v>3000</v>
      </c>
      <c r="P204" s="228">
        <f t="shared" ca="1" si="156"/>
        <v>6000</v>
      </c>
      <c r="Q204" s="399"/>
      <c r="AM204" s="380"/>
      <c r="AN204" s="380"/>
      <c r="AO204" s="380">
        <v>29</v>
      </c>
      <c r="AP204" s="261">
        <f t="shared" si="155"/>
        <v>0</v>
      </c>
      <c r="AQ204" s="261">
        <f t="shared" si="143"/>
        <v>0</v>
      </c>
      <c r="AR204" s="261">
        <f t="shared" si="144"/>
        <v>0</v>
      </c>
      <c r="AS204" s="261">
        <f t="shared" si="145"/>
        <v>0</v>
      </c>
      <c r="AT204" s="261">
        <f t="shared" si="146"/>
        <v>0</v>
      </c>
      <c r="AU204" s="261">
        <f t="shared" si="147"/>
        <v>0</v>
      </c>
      <c r="AV204" s="261">
        <f t="shared" si="148"/>
        <v>0</v>
      </c>
      <c r="AW204" s="261">
        <f t="shared" si="149"/>
        <v>0</v>
      </c>
      <c r="AX204" s="261">
        <f t="shared" si="150"/>
        <v>0</v>
      </c>
      <c r="AY204" s="261">
        <f t="shared" si="151"/>
        <v>0</v>
      </c>
      <c r="AZ204" s="261">
        <f t="shared" si="152"/>
        <v>0</v>
      </c>
      <c r="BA204" s="261">
        <f t="shared" si="153"/>
        <v>0</v>
      </c>
      <c r="BB204" s="261">
        <f t="shared" si="154"/>
        <v>0</v>
      </c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</row>
    <row r="205" spans="1:72" ht="22.5" customHeight="1" x14ac:dyDescent="0.4">
      <c r="A205" s="399"/>
      <c r="B205" s="376">
        <v>197</v>
      </c>
      <c r="C205" s="310">
        <v>44118</v>
      </c>
      <c r="D205" s="229" t="str">
        <f>IFERROR(VLOOKUP(C205,'बँक जमा खर्च पासबुक'!$C$9:$R$111,2,0),"")</f>
        <v/>
      </c>
      <c r="E205" s="229" t="str">
        <f>IFERROR(VLOOKUP(C205,'बँक जमा खर्च पासबुक'!$C$9:$R$111,3,0),"")</f>
        <v/>
      </c>
      <c r="F205" s="229" t="str">
        <f>IFERROR(VLOOKUP(C205,'बँक जमा खर्च पासबुक'!$C$9:$R$111,4,0),"")</f>
        <v/>
      </c>
      <c r="G205" s="229" t="str">
        <f>IFERROR(VLOOKUP(C205,'बँक जमा खर्च पासबुक'!$C$9:$R$111,5,0),"")</f>
        <v/>
      </c>
      <c r="H205" s="229" t="str">
        <f>IFERROR(VLOOKUP(C205,'बँक जमा खर्च पासबुक'!$C$9:$R$111,6,0),"")</f>
        <v/>
      </c>
      <c r="I205" s="229" t="str">
        <f>IFERROR(VLOOKUP(C205,'बँक जमा खर्च पासबुक'!$C$9:$R$111,7,0),"")</f>
        <v/>
      </c>
      <c r="J205" s="233">
        <f>SUMIF('बँक जमा खर्च पासबुक'!$C$9:$C$111,'बँक खर्च व्हाउचर पावती'!C205,'बँक जमा खर्च पासबुक'!$J$9:$J$111)</f>
        <v>0</v>
      </c>
      <c r="K205" s="233">
        <f>SUMIF('बँक जमा खर्च पासबुक'!$C$9:$C$111,'बँक खर्च व्हाउचर पावती'!C205,'बँक जमा खर्च पासबुक'!$K$9:$K$111)</f>
        <v>0</v>
      </c>
      <c r="L205" s="233">
        <f ca="1">SUMIF('बँक जमा खर्च पासबुक'!$C$9:$C$111,'बँक खर्च व्हाउचर पावती'!C205,'बँक जमा खर्च पासबुक'!$L$9:$L$110)</f>
        <v>0</v>
      </c>
      <c r="M205" s="228">
        <f>SUMIF('बँक जमा खर्च पासबुक'!$C$9:$C$111,'बँक खर्च व्हाउचर पावती'!C205,'बँक जमा खर्च पासबुक'!$M$9:$M$111)</f>
        <v>0</v>
      </c>
      <c r="N205" s="233">
        <f t="shared" ca="1" si="157"/>
        <v>3000</v>
      </c>
      <c r="O205" s="228">
        <f t="shared" si="158"/>
        <v>3000</v>
      </c>
      <c r="P205" s="228">
        <f t="shared" ca="1" si="156"/>
        <v>6000</v>
      </c>
      <c r="Q205" s="399"/>
      <c r="AM205" s="380"/>
      <c r="AN205" s="380"/>
      <c r="AO205" s="380">
        <v>30</v>
      </c>
      <c r="AP205" s="261">
        <f t="shared" si="155"/>
        <v>0</v>
      </c>
      <c r="AQ205" s="261">
        <f t="shared" si="143"/>
        <v>0</v>
      </c>
      <c r="AR205" s="261">
        <f t="shared" si="144"/>
        <v>0</v>
      </c>
      <c r="AS205" s="261">
        <f t="shared" si="145"/>
        <v>0</v>
      </c>
      <c r="AT205" s="261">
        <f t="shared" si="146"/>
        <v>0</v>
      </c>
      <c r="AU205" s="261">
        <f t="shared" si="147"/>
        <v>0</v>
      </c>
      <c r="AV205" s="261">
        <f t="shared" si="148"/>
        <v>0</v>
      </c>
      <c r="AW205" s="261">
        <f t="shared" si="149"/>
        <v>0</v>
      </c>
      <c r="AX205" s="261">
        <f t="shared" si="150"/>
        <v>0</v>
      </c>
      <c r="AY205" s="261">
        <f t="shared" si="151"/>
        <v>0</v>
      </c>
      <c r="AZ205" s="826"/>
      <c r="BA205" s="261">
        <f t="shared" si="153"/>
        <v>0</v>
      </c>
      <c r="BB205" s="261">
        <f t="shared" si="154"/>
        <v>0</v>
      </c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</row>
    <row r="206" spans="1:72" ht="22.5" customHeight="1" x14ac:dyDescent="0.4">
      <c r="A206" s="399"/>
      <c r="B206" s="376">
        <v>198</v>
      </c>
      <c r="C206" s="310">
        <v>44119</v>
      </c>
      <c r="D206" s="229" t="str">
        <f>IFERROR(VLOOKUP(C206,'बँक जमा खर्च पासबुक'!$C$9:$R$111,2,0),"")</f>
        <v/>
      </c>
      <c r="E206" s="229" t="str">
        <f>IFERROR(VLOOKUP(C206,'बँक जमा खर्च पासबुक'!$C$9:$R$111,3,0),"")</f>
        <v/>
      </c>
      <c r="F206" s="229" t="str">
        <f>IFERROR(VLOOKUP(C206,'बँक जमा खर्च पासबुक'!$C$9:$R$111,4,0),"")</f>
        <v/>
      </c>
      <c r="G206" s="229" t="str">
        <f>IFERROR(VLOOKUP(C206,'बँक जमा खर्च पासबुक'!$C$9:$R$111,5,0),"")</f>
        <v/>
      </c>
      <c r="H206" s="229" t="str">
        <f>IFERROR(VLOOKUP(C206,'बँक जमा खर्च पासबुक'!$C$9:$R$111,6,0),"")</f>
        <v/>
      </c>
      <c r="I206" s="229" t="str">
        <f>IFERROR(VLOOKUP(C206,'बँक जमा खर्च पासबुक'!$C$9:$R$111,7,0),"")</f>
        <v/>
      </c>
      <c r="J206" s="233">
        <f>SUMIF('बँक जमा खर्च पासबुक'!$C$9:$C$111,'बँक खर्च व्हाउचर पावती'!C206,'बँक जमा खर्च पासबुक'!$J$9:$J$111)</f>
        <v>0</v>
      </c>
      <c r="K206" s="233">
        <f>SUMIF('बँक जमा खर्च पासबुक'!$C$9:$C$111,'बँक खर्च व्हाउचर पावती'!C206,'बँक जमा खर्च पासबुक'!$K$9:$K$111)</f>
        <v>0</v>
      </c>
      <c r="L206" s="233">
        <f ca="1">SUMIF('बँक जमा खर्च पासबुक'!$C$9:$C$111,'बँक खर्च व्हाउचर पावती'!C206,'बँक जमा खर्च पासबुक'!$L$9:$L$110)</f>
        <v>0</v>
      </c>
      <c r="M206" s="228">
        <f>SUMIF('बँक जमा खर्च पासबुक'!$C$9:$C$111,'बँक खर्च व्हाउचर पावती'!C206,'बँक जमा खर्च पासबुक'!$M$9:$M$111)</f>
        <v>0</v>
      </c>
      <c r="N206" s="233">
        <f t="shared" ca="1" si="157"/>
        <v>3000</v>
      </c>
      <c r="O206" s="228">
        <f t="shared" si="158"/>
        <v>3000</v>
      </c>
      <c r="P206" s="228">
        <f t="shared" ca="1" si="156"/>
        <v>6000</v>
      </c>
      <c r="Q206" s="399"/>
      <c r="AM206" s="380"/>
      <c r="AN206" s="380"/>
      <c r="AO206" s="380">
        <v>31</v>
      </c>
      <c r="AP206" s="826"/>
      <c r="AQ206" s="261">
        <f t="shared" si="143"/>
        <v>0</v>
      </c>
      <c r="AR206" s="826"/>
      <c r="AS206" s="261">
        <f t="shared" si="145"/>
        <v>0</v>
      </c>
      <c r="AT206" s="261">
        <f t="shared" si="146"/>
        <v>0</v>
      </c>
      <c r="AU206" s="826"/>
      <c r="AV206" s="261">
        <f t="shared" si="148"/>
        <v>0</v>
      </c>
      <c r="AW206" s="826"/>
      <c r="AX206" s="261">
        <f t="shared" si="150"/>
        <v>0</v>
      </c>
      <c r="AY206" s="261">
        <f t="shared" si="151"/>
        <v>0</v>
      </c>
      <c r="AZ206" s="826"/>
      <c r="BA206" s="261">
        <f t="shared" si="153"/>
        <v>0</v>
      </c>
      <c r="BB206" s="261">
        <f t="shared" si="154"/>
        <v>0</v>
      </c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</row>
    <row r="207" spans="1:72" ht="22.5" customHeight="1" x14ac:dyDescent="0.4">
      <c r="A207" s="399"/>
      <c r="B207" s="376">
        <v>199</v>
      </c>
      <c r="C207" s="310">
        <v>44120</v>
      </c>
      <c r="D207" s="229" t="str">
        <f>IFERROR(VLOOKUP(C207,'बँक जमा खर्च पासबुक'!$C$9:$R$111,2,0),"")</f>
        <v/>
      </c>
      <c r="E207" s="229" t="str">
        <f>IFERROR(VLOOKUP(C207,'बँक जमा खर्च पासबुक'!$C$9:$R$111,3,0),"")</f>
        <v/>
      </c>
      <c r="F207" s="229" t="str">
        <f>IFERROR(VLOOKUP(C207,'बँक जमा खर्च पासबुक'!$C$9:$R$111,4,0),"")</f>
        <v/>
      </c>
      <c r="G207" s="229" t="str">
        <f>IFERROR(VLOOKUP(C207,'बँक जमा खर्च पासबुक'!$C$9:$R$111,5,0),"")</f>
        <v/>
      </c>
      <c r="H207" s="229" t="str">
        <f>IFERROR(VLOOKUP(C207,'बँक जमा खर्च पासबुक'!$C$9:$R$111,6,0),"")</f>
        <v/>
      </c>
      <c r="I207" s="229" t="str">
        <f>IFERROR(VLOOKUP(C207,'बँक जमा खर्च पासबुक'!$C$9:$R$111,7,0),"")</f>
        <v/>
      </c>
      <c r="J207" s="233">
        <f>SUMIF('बँक जमा खर्च पासबुक'!$C$9:$C$111,'बँक खर्च व्हाउचर पावती'!C207,'बँक जमा खर्च पासबुक'!$J$9:$J$111)</f>
        <v>0</v>
      </c>
      <c r="K207" s="233">
        <f>SUMIF('बँक जमा खर्च पासबुक'!$C$9:$C$111,'बँक खर्च व्हाउचर पावती'!C207,'बँक जमा खर्च पासबुक'!$K$9:$K$111)</f>
        <v>0</v>
      </c>
      <c r="L207" s="233">
        <f ca="1">SUMIF('बँक जमा खर्च पासबुक'!$C$9:$C$111,'बँक खर्च व्हाउचर पावती'!C207,'बँक जमा खर्च पासबुक'!$L$9:$L$110)</f>
        <v>0</v>
      </c>
      <c r="M207" s="228">
        <f>SUMIF('बँक जमा खर्च पासबुक'!$C$9:$C$111,'बँक खर्च व्हाउचर पावती'!C207,'बँक जमा खर्च पासबुक'!$M$9:$M$111)</f>
        <v>0</v>
      </c>
      <c r="N207" s="233">
        <f t="shared" ca="1" si="157"/>
        <v>3000</v>
      </c>
      <c r="O207" s="228">
        <f t="shared" si="158"/>
        <v>3000</v>
      </c>
      <c r="P207" s="228">
        <f t="shared" ca="1" si="156"/>
        <v>6000</v>
      </c>
      <c r="Q207" s="399"/>
      <c r="AM207" s="380"/>
      <c r="AN207" s="380"/>
      <c r="AO207" s="192" t="s">
        <v>35</v>
      </c>
      <c r="AP207" s="261">
        <f t="shared" ref="AP207:BA207" si="159">SUM(AP176:AP206)</f>
        <v>0</v>
      </c>
      <c r="AQ207" s="261">
        <f t="shared" si="159"/>
        <v>0</v>
      </c>
      <c r="AR207" s="261">
        <f t="shared" si="159"/>
        <v>0</v>
      </c>
      <c r="AS207" s="261">
        <f t="shared" si="159"/>
        <v>0</v>
      </c>
      <c r="AT207" s="261">
        <f t="shared" si="159"/>
        <v>0</v>
      </c>
      <c r="AU207" s="261">
        <f t="shared" si="159"/>
        <v>0</v>
      </c>
      <c r="AV207" s="261">
        <f t="shared" si="159"/>
        <v>0</v>
      </c>
      <c r="AW207" s="261">
        <f t="shared" si="159"/>
        <v>0</v>
      </c>
      <c r="AX207" s="261">
        <f t="shared" si="159"/>
        <v>0</v>
      </c>
      <c r="AY207" s="261">
        <f t="shared" si="159"/>
        <v>0</v>
      </c>
      <c r="AZ207" s="261">
        <f t="shared" si="159"/>
        <v>0</v>
      </c>
      <c r="BA207" s="261">
        <f t="shared" si="159"/>
        <v>0</v>
      </c>
      <c r="BB207" s="261">
        <f t="shared" si="154"/>
        <v>0</v>
      </c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</row>
    <row r="208" spans="1:72" ht="22.5" customHeight="1" x14ac:dyDescent="0.4">
      <c r="A208" s="399"/>
      <c r="B208" s="376">
        <v>200</v>
      </c>
      <c r="C208" s="310">
        <v>44121</v>
      </c>
      <c r="D208" s="229" t="str">
        <f>IFERROR(VLOOKUP(C208,'बँक जमा खर्च पासबुक'!$C$9:$R$111,2,0),"")</f>
        <v/>
      </c>
      <c r="E208" s="229" t="str">
        <f>IFERROR(VLOOKUP(C208,'बँक जमा खर्च पासबुक'!$C$9:$R$111,3,0),"")</f>
        <v/>
      </c>
      <c r="F208" s="229" t="str">
        <f>IFERROR(VLOOKUP(C208,'बँक जमा खर्च पासबुक'!$C$9:$R$111,4,0),"")</f>
        <v/>
      </c>
      <c r="G208" s="229" t="str">
        <f>IFERROR(VLOOKUP(C208,'बँक जमा खर्च पासबुक'!$C$9:$R$111,5,0),"")</f>
        <v/>
      </c>
      <c r="H208" s="229" t="str">
        <f>IFERROR(VLOOKUP(C208,'बँक जमा खर्च पासबुक'!$C$9:$R$111,6,0),"")</f>
        <v/>
      </c>
      <c r="I208" s="229" t="str">
        <f>IFERROR(VLOOKUP(C208,'बँक जमा खर्च पासबुक'!$C$9:$R$111,7,0),"")</f>
        <v/>
      </c>
      <c r="J208" s="233">
        <f>SUMIF('बँक जमा खर्च पासबुक'!$C$9:$C$111,'बँक खर्च व्हाउचर पावती'!C208,'बँक जमा खर्च पासबुक'!$J$9:$J$111)</f>
        <v>0</v>
      </c>
      <c r="K208" s="233">
        <f>SUMIF('बँक जमा खर्च पासबुक'!$C$9:$C$111,'बँक खर्च व्हाउचर पावती'!C208,'बँक जमा खर्च पासबुक'!$K$9:$K$111)</f>
        <v>0</v>
      </c>
      <c r="L208" s="233">
        <f ca="1">SUMIF('बँक जमा खर्च पासबुक'!$C$9:$C$111,'बँक खर्च व्हाउचर पावती'!C208,'बँक जमा खर्च पासबुक'!$L$9:$L$110)</f>
        <v>0</v>
      </c>
      <c r="M208" s="228">
        <f>SUMIF('बँक जमा खर्च पासबुक'!$C$9:$C$111,'बँक खर्च व्हाउचर पावती'!C208,'बँक जमा खर्च पासबुक'!$M$9:$M$111)</f>
        <v>0</v>
      </c>
      <c r="N208" s="233">
        <f t="shared" ca="1" si="157"/>
        <v>3000</v>
      </c>
      <c r="O208" s="228">
        <f t="shared" si="158"/>
        <v>3000</v>
      </c>
      <c r="P208" s="228">
        <f t="shared" ca="1" si="156"/>
        <v>6000</v>
      </c>
      <c r="Q208" s="399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</row>
    <row r="209" spans="1:72" ht="22.5" customHeight="1" x14ac:dyDescent="0.4">
      <c r="A209" s="399"/>
      <c r="B209" s="376">
        <v>201</v>
      </c>
      <c r="C209" s="310">
        <v>44122</v>
      </c>
      <c r="D209" s="229" t="str">
        <f>IFERROR(VLOOKUP(C209,'बँक जमा खर्च पासबुक'!$C$9:$R$111,2,0),"")</f>
        <v/>
      </c>
      <c r="E209" s="229" t="str">
        <f>IFERROR(VLOOKUP(C209,'बँक जमा खर्च पासबुक'!$C$9:$R$111,3,0),"")</f>
        <v/>
      </c>
      <c r="F209" s="229" t="str">
        <f>IFERROR(VLOOKUP(C209,'बँक जमा खर्च पासबुक'!$C$9:$R$111,4,0),"")</f>
        <v/>
      </c>
      <c r="G209" s="229" t="str">
        <f>IFERROR(VLOOKUP(C209,'बँक जमा खर्च पासबुक'!$C$9:$R$111,5,0),"")</f>
        <v/>
      </c>
      <c r="H209" s="229" t="str">
        <f>IFERROR(VLOOKUP(C209,'बँक जमा खर्च पासबुक'!$C$9:$R$111,6,0),"")</f>
        <v/>
      </c>
      <c r="I209" s="229" t="str">
        <f>IFERROR(VLOOKUP(C209,'बँक जमा खर्च पासबुक'!$C$9:$R$111,7,0),"")</f>
        <v/>
      </c>
      <c r="J209" s="233">
        <f>SUMIF('बँक जमा खर्च पासबुक'!$C$9:$C$111,'बँक खर्च व्हाउचर पावती'!C209,'बँक जमा खर्च पासबुक'!$J$9:$J$111)</f>
        <v>0</v>
      </c>
      <c r="K209" s="233">
        <f>SUMIF('बँक जमा खर्च पासबुक'!$C$9:$C$111,'बँक खर्च व्हाउचर पावती'!C209,'बँक जमा खर्च पासबुक'!$K$9:$K$111)</f>
        <v>0</v>
      </c>
      <c r="L209" s="233">
        <f ca="1">SUMIF('बँक जमा खर्च पासबुक'!$C$9:$C$111,'बँक खर्च व्हाउचर पावती'!C209,'बँक जमा खर्च पासबुक'!$L$9:$L$110)</f>
        <v>0</v>
      </c>
      <c r="M209" s="228">
        <f>SUMIF('बँक जमा खर्च पासबुक'!$C$9:$C$111,'बँक खर्च व्हाउचर पावती'!C209,'बँक जमा खर्च पासबुक'!$M$9:$M$111)</f>
        <v>0</v>
      </c>
      <c r="N209" s="233">
        <f t="shared" ca="1" si="157"/>
        <v>3000</v>
      </c>
      <c r="O209" s="228">
        <f t="shared" si="158"/>
        <v>3000</v>
      </c>
      <c r="P209" s="228">
        <f t="shared" ca="1" si="156"/>
        <v>6000</v>
      </c>
      <c r="Q209" s="399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</row>
    <row r="210" spans="1:72" ht="22.5" customHeight="1" x14ac:dyDescent="0.4">
      <c r="A210" s="399"/>
      <c r="B210" s="376">
        <v>202</v>
      </c>
      <c r="C210" s="310">
        <v>44123</v>
      </c>
      <c r="D210" s="229" t="str">
        <f>IFERROR(VLOOKUP(C210,'बँक जमा खर्च पासबुक'!$C$9:$R$111,2,0),"")</f>
        <v/>
      </c>
      <c r="E210" s="229" t="str">
        <f>IFERROR(VLOOKUP(C210,'बँक जमा खर्च पासबुक'!$C$9:$R$111,3,0),"")</f>
        <v/>
      </c>
      <c r="F210" s="229" t="str">
        <f>IFERROR(VLOOKUP(C210,'बँक जमा खर्च पासबुक'!$C$9:$R$111,4,0),"")</f>
        <v/>
      </c>
      <c r="G210" s="229" t="str">
        <f>IFERROR(VLOOKUP(C210,'बँक जमा खर्च पासबुक'!$C$9:$R$111,5,0),"")</f>
        <v/>
      </c>
      <c r="H210" s="229" t="str">
        <f>IFERROR(VLOOKUP(C210,'बँक जमा खर्च पासबुक'!$C$9:$R$111,6,0),"")</f>
        <v/>
      </c>
      <c r="I210" s="229" t="str">
        <f>IFERROR(VLOOKUP(C210,'बँक जमा खर्च पासबुक'!$C$9:$R$111,7,0),"")</f>
        <v/>
      </c>
      <c r="J210" s="233">
        <f>SUMIF('बँक जमा खर्च पासबुक'!$C$9:$C$111,'बँक खर्च व्हाउचर पावती'!C210,'बँक जमा खर्च पासबुक'!$J$9:$J$111)</f>
        <v>0</v>
      </c>
      <c r="K210" s="233">
        <f>SUMIF('बँक जमा खर्च पासबुक'!$C$9:$C$111,'बँक खर्च व्हाउचर पावती'!C210,'बँक जमा खर्च पासबुक'!$K$9:$K$111)</f>
        <v>0</v>
      </c>
      <c r="L210" s="233">
        <f ca="1">SUMIF('बँक जमा खर्च पासबुक'!$C$9:$C$111,'बँक खर्च व्हाउचर पावती'!C210,'बँक जमा खर्च पासबुक'!$L$9:$L$110)</f>
        <v>0</v>
      </c>
      <c r="M210" s="228">
        <f>SUMIF('बँक जमा खर्च पासबुक'!$C$9:$C$111,'बँक खर्च व्हाउचर पावती'!C210,'बँक जमा खर्च पासबुक'!$M$9:$M$111)</f>
        <v>0</v>
      </c>
      <c r="N210" s="233">
        <f t="shared" ca="1" si="157"/>
        <v>3000</v>
      </c>
      <c r="O210" s="228">
        <f t="shared" si="158"/>
        <v>3000</v>
      </c>
      <c r="P210" s="228">
        <f t="shared" ca="1" si="156"/>
        <v>6000</v>
      </c>
      <c r="Q210" s="399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</row>
    <row r="211" spans="1:72" ht="22.5" customHeight="1" x14ac:dyDescent="0.4">
      <c r="A211" s="399"/>
      <c r="B211" s="376">
        <v>203</v>
      </c>
      <c r="C211" s="310">
        <v>44124</v>
      </c>
      <c r="D211" s="229" t="str">
        <f>IFERROR(VLOOKUP(C211,'बँक जमा खर्च पासबुक'!$C$9:$R$111,2,0),"")</f>
        <v/>
      </c>
      <c r="E211" s="229" t="str">
        <f>IFERROR(VLOOKUP(C211,'बँक जमा खर्च पासबुक'!$C$9:$R$111,3,0),"")</f>
        <v/>
      </c>
      <c r="F211" s="229" t="str">
        <f>IFERROR(VLOOKUP(C211,'बँक जमा खर्च पासबुक'!$C$9:$R$111,4,0),"")</f>
        <v/>
      </c>
      <c r="G211" s="229" t="str">
        <f>IFERROR(VLOOKUP(C211,'बँक जमा खर्च पासबुक'!$C$9:$R$111,5,0),"")</f>
        <v/>
      </c>
      <c r="H211" s="229" t="str">
        <f>IFERROR(VLOOKUP(C211,'बँक जमा खर्च पासबुक'!$C$9:$R$111,6,0),"")</f>
        <v/>
      </c>
      <c r="I211" s="229" t="str">
        <f>IFERROR(VLOOKUP(C211,'बँक जमा खर्च पासबुक'!$C$9:$R$111,7,0),"")</f>
        <v/>
      </c>
      <c r="J211" s="233">
        <f>SUMIF('बँक जमा खर्च पासबुक'!$C$9:$C$111,'बँक खर्च व्हाउचर पावती'!C211,'बँक जमा खर्च पासबुक'!$J$9:$J$111)</f>
        <v>0</v>
      </c>
      <c r="K211" s="233">
        <f>SUMIF('बँक जमा खर्च पासबुक'!$C$9:$C$111,'बँक खर्च व्हाउचर पावती'!C211,'बँक जमा खर्च पासबुक'!$K$9:$K$111)</f>
        <v>0</v>
      </c>
      <c r="L211" s="233">
        <f ca="1">SUMIF('बँक जमा खर्च पासबुक'!$C$9:$C$111,'बँक खर्च व्हाउचर पावती'!C211,'बँक जमा खर्च पासबुक'!$L$9:$L$110)</f>
        <v>0</v>
      </c>
      <c r="M211" s="228">
        <f>SUMIF('बँक जमा खर्च पासबुक'!$C$9:$C$111,'बँक खर्च व्हाउचर पावती'!C211,'बँक जमा खर्च पासबुक'!$M$9:$M$111)</f>
        <v>0</v>
      </c>
      <c r="N211" s="233">
        <f t="shared" ca="1" si="157"/>
        <v>3000</v>
      </c>
      <c r="O211" s="228">
        <f t="shared" si="158"/>
        <v>3000</v>
      </c>
      <c r="P211" s="228">
        <f t="shared" ca="1" si="156"/>
        <v>6000</v>
      </c>
      <c r="Q211" s="399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 t="s">
        <v>594</v>
      </c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</row>
    <row r="212" spans="1:72" ht="22.5" customHeight="1" x14ac:dyDescent="0.4">
      <c r="A212" s="399"/>
      <c r="B212" s="376">
        <v>204</v>
      </c>
      <c r="C212" s="310">
        <v>44125</v>
      </c>
      <c r="D212" s="229" t="str">
        <f>IFERROR(VLOOKUP(C212,'बँक जमा खर्च पासबुक'!$C$9:$R$111,2,0),"")</f>
        <v/>
      </c>
      <c r="E212" s="229" t="str">
        <f>IFERROR(VLOOKUP(C212,'बँक जमा खर्च पासबुक'!$C$9:$R$111,3,0),"")</f>
        <v/>
      </c>
      <c r="F212" s="229" t="str">
        <f>IFERROR(VLOOKUP(C212,'बँक जमा खर्च पासबुक'!$C$9:$R$111,4,0),"")</f>
        <v/>
      </c>
      <c r="G212" s="229" t="str">
        <f>IFERROR(VLOOKUP(C212,'बँक जमा खर्च पासबुक'!$C$9:$R$111,5,0),"")</f>
        <v/>
      </c>
      <c r="H212" s="229" t="str">
        <f>IFERROR(VLOOKUP(C212,'बँक जमा खर्च पासबुक'!$C$9:$R$111,6,0),"")</f>
        <v/>
      </c>
      <c r="I212" s="229" t="str">
        <f>IFERROR(VLOOKUP(C212,'बँक जमा खर्च पासबुक'!$C$9:$R$111,7,0),"")</f>
        <v/>
      </c>
      <c r="J212" s="233">
        <f>SUMIF('बँक जमा खर्च पासबुक'!$C$9:$C$111,'बँक खर्च व्हाउचर पावती'!C212,'बँक जमा खर्च पासबुक'!$J$9:$J$111)</f>
        <v>0</v>
      </c>
      <c r="K212" s="233">
        <f>SUMIF('बँक जमा खर्च पासबुक'!$C$9:$C$111,'बँक खर्च व्हाउचर पावती'!C212,'बँक जमा खर्च पासबुक'!$K$9:$K$111)</f>
        <v>0</v>
      </c>
      <c r="L212" s="233">
        <f ca="1">SUMIF('बँक जमा खर्च पासबुक'!$C$9:$C$111,'बँक खर्च व्हाउचर पावती'!C212,'बँक जमा खर्च पासबुक'!$L$9:$L$110)</f>
        <v>0</v>
      </c>
      <c r="M212" s="228">
        <f>SUMIF('बँक जमा खर्च पासबुक'!$C$9:$C$111,'बँक खर्च व्हाउचर पावती'!C212,'बँक जमा खर्च पासबुक'!$M$9:$M$111)</f>
        <v>0</v>
      </c>
      <c r="N212" s="233">
        <f t="shared" ca="1" si="157"/>
        <v>3000</v>
      </c>
      <c r="O212" s="228">
        <f t="shared" si="158"/>
        <v>3000</v>
      </c>
      <c r="P212" s="228">
        <f t="shared" ca="1" si="156"/>
        <v>6000</v>
      </c>
      <c r="Q212" s="399"/>
      <c r="AM212" s="380"/>
      <c r="AN212" s="380"/>
      <c r="AO212" s="380"/>
      <c r="AP212" s="380" t="s">
        <v>42</v>
      </c>
      <c r="AQ212" s="380" t="s">
        <v>44</v>
      </c>
      <c r="AR212" s="380" t="s">
        <v>94</v>
      </c>
      <c r="AS212" s="380" t="s">
        <v>46</v>
      </c>
      <c r="AT212" s="380" t="s">
        <v>34</v>
      </c>
      <c r="AU212" s="380" t="s">
        <v>37</v>
      </c>
      <c r="AV212" s="380" t="s">
        <v>47</v>
      </c>
      <c r="AW212" s="380" t="s">
        <v>38</v>
      </c>
      <c r="AX212" s="380" t="s">
        <v>39</v>
      </c>
      <c r="AY212" s="380" t="s">
        <v>33</v>
      </c>
      <c r="AZ212" s="380" t="s">
        <v>40</v>
      </c>
      <c r="BA212" s="380" t="s">
        <v>41</v>
      </c>
      <c r="BB212" s="380" t="s">
        <v>35</v>
      </c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</row>
    <row r="213" spans="1:72" ht="22.5" customHeight="1" x14ac:dyDescent="0.4">
      <c r="A213" s="399"/>
      <c r="B213" s="376">
        <v>205</v>
      </c>
      <c r="C213" s="310">
        <v>44126</v>
      </c>
      <c r="D213" s="229" t="str">
        <f>IFERROR(VLOOKUP(C213,'बँक जमा खर्च पासबुक'!$C$9:$R$111,2,0),"")</f>
        <v/>
      </c>
      <c r="E213" s="229" t="str">
        <f>IFERROR(VLOOKUP(C213,'बँक जमा खर्च पासबुक'!$C$9:$R$111,3,0),"")</f>
        <v/>
      </c>
      <c r="F213" s="229" t="str">
        <f>IFERROR(VLOOKUP(C213,'बँक जमा खर्च पासबुक'!$C$9:$R$111,4,0),"")</f>
        <v/>
      </c>
      <c r="G213" s="229" t="str">
        <f>IFERROR(VLOOKUP(C213,'बँक जमा खर्च पासबुक'!$C$9:$R$111,5,0),"")</f>
        <v/>
      </c>
      <c r="H213" s="229" t="str">
        <f>IFERROR(VLOOKUP(C213,'बँक जमा खर्च पासबुक'!$C$9:$R$111,6,0),"")</f>
        <v/>
      </c>
      <c r="I213" s="229" t="str">
        <f>IFERROR(VLOOKUP(C213,'बँक जमा खर्च पासबुक'!$C$9:$R$111,7,0),"")</f>
        <v/>
      </c>
      <c r="J213" s="233">
        <f>SUMIF('बँक जमा खर्च पासबुक'!$C$9:$C$111,'बँक खर्च व्हाउचर पावती'!C213,'बँक जमा खर्च पासबुक'!$J$9:$J$111)</f>
        <v>0</v>
      </c>
      <c r="K213" s="233">
        <f>SUMIF('बँक जमा खर्च पासबुक'!$C$9:$C$111,'बँक खर्च व्हाउचर पावती'!C213,'बँक जमा खर्च पासबुक'!$K$9:$K$111)</f>
        <v>0</v>
      </c>
      <c r="L213" s="233">
        <f ca="1">SUMIF('बँक जमा खर्च पासबुक'!$C$9:$C$111,'बँक खर्च व्हाउचर पावती'!C213,'बँक जमा खर्च पासबुक'!$L$9:$L$110)</f>
        <v>0</v>
      </c>
      <c r="M213" s="228">
        <f>SUMIF('बँक जमा खर्च पासबुक'!$C$9:$C$111,'बँक खर्च व्हाउचर पावती'!C213,'बँक जमा खर्च पासबुक'!$M$9:$M$111)</f>
        <v>0</v>
      </c>
      <c r="N213" s="233">
        <f t="shared" ca="1" si="157"/>
        <v>3000</v>
      </c>
      <c r="O213" s="228">
        <f t="shared" si="158"/>
        <v>3000</v>
      </c>
      <c r="P213" s="228">
        <f t="shared" ca="1" si="156"/>
        <v>6000</v>
      </c>
      <c r="Q213" s="399"/>
      <c r="AM213" s="380"/>
      <c r="AN213" s="380"/>
      <c r="AO213" s="380">
        <v>1</v>
      </c>
      <c r="AP213" s="261">
        <f ca="1">L9</f>
        <v>0</v>
      </c>
      <c r="AQ213" s="261">
        <f t="shared" ref="AQ213:AQ243" ca="1" si="160">L39</f>
        <v>0</v>
      </c>
      <c r="AR213" s="261">
        <f t="shared" ref="AR213:AR242" ca="1" si="161">L70</f>
        <v>0</v>
      </c>
      <c r="AS213" s="261">
        <f t="shared" ref="AS213:AS243" ca="1" si="162">L100</f>
        <v>0</v>
      </c>
      <c r="AT213" s="261">
        <f t="shared" ref="AT213:AT243" ca="1" si="163">L131</f>
        <v>0</v>
      </c>
      <c r="AU213" s="261">
        <f t="shared" ref="AU213:AU242" ca="1" si="164">L162</f>
        <v>0</v>
      </c>
      <c r="AV213" s="261">
        <f t="shared" ref="AV213:AV243" ca="1" si="165">L192</f>
        <v>0</v>
      </c>
      <c r="AW213" s="261">
        <f t="shared" ref="AW213:AW242" ca="1" si="166">L223</f>
        <v>0</v>
      </c>
      <c r="AX213" s="261">
        <f t="shared" ref="AX213:AX243" ca="1" si="167">L253</f>
        <v>0</v>
      </c>
      <c r="AY213" s="261">
        <f t="shared" ref="AY213:AY243" ca="1" si="168">L284</f>
        <v>0</v>
      </c>
      <c r="AZ213" s="261">
        <f t="shared" ref="AZ213:AZ241" ca="1" si="169">L315</f>
        <v>0</v>
      </c>
      <c r="BA213" s="261">
        <f t="shared" ref="BA213:BA243" ca="1" si="170">L344</f>
        <v>0</v>
      </c>
      <c r="BB213" s="261">
        <f t="shared" ref="BB213:BB244" ca="1" si="171">SUM(AP213:BA213)</f>
        <v>0</v>
      </c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</row>
    <row r="214" spans="1:72" ht="22.5" customHeight="1" x14ac:dyDescent="0.4">
      <c r="A214" s="399"/>
      <c r="B214" s="376">
        <v>206</v>
      </c>
      <c r="C214" s="310">
        <v>44127</v>
      </c>
      <c r="D214" s="229" t="str">
        <f>IFERROR(VLOOKUP(C214,'बँक जमा खर्च पासबुक'!$C$9:$R$111,2,0),"")</f>
        <v/>
      </c>
      <c r="E214" s="229" t="str">
        <f>IFERROR(VLOOKUP(C214,'बँक जमा खर्च पासबुक'!$C$9:$R$111,3,0),"")</f>
        <v/>
      </c>
      <c r="F214" s="229" t="str">
        <f>IFERROR(VLOOKUP(C214,'बँक जमा खर्च पासबुक'!$C$9:$R$111,4,0),"")</f>
        <v/>
      </c>
      <c r="G214" s="229" t="str">
        <f>IFERROR(VLOOKUP(C214,'बँक जमा खर्च पासबुक'!$C$9:$R$111,5,0),"")</f>
        <v/>
      </c>
      <c r="H214" s="229" t="str">
        <f>IFERROR(VLOOKUP(C214,'बँक जमा खर्च पासबुक'!$C$9:$R$111,6,0),"")</f>
        <v/>
      </c>
      <c r="I214" s="229" t="str">
        <f>IFERROR(VLOOKUP(C214,'बँक जमा खर्च पासबुक'!$C$9:$R$111,7,0),"")</f>
        <v/>
      </c>
      <c r="J214" s="233">
        <f>SUMIF('बँक जमा खर्च पासबुक'!$C$9:$C$111,'बँक खर्च व्हाउचर पावती'!C214,'बँक जमा खर्च पासबुक'!$J$9:$J$111)</f>
        <v>0</v>
      </c>
      <c r="K214" s="233">
        <f>SUMIF('बँक जमा खर्च पासबुक'!$C$9:$C$111,'बँक खर्च व्हाउचर पावती'!C214,'बँक जमा खर्च पासबुक'!$K$9:$K$111)</f>
        <v>0</v>
      </c>
      <c r="L214" s="233">
        <f ca="1">SUMIF('बँक जमा खर्च पासबुक'!$C$9:$C$111,'बँक खर्च व्हाउचर पावती'!C214,'बँक जमा खर्च पासबुक'!$L$9:$L$110)</f>
        <v>0</v>
      </c>
      <c r="M214" s="228">
        <f>SUMIF('बँक जमा खर्च पासबुक'!$C$9:$C$111,'बँक खर्च व्हाउचर पावती'!C214,'बँक जमा खर्च पासबुक'!$M$9:$M$111)</f>
        <v>0</v>
      </c>
      <c r="N214" s="233">
        <f t="shared" ca="1" si="157"/>
        <v>3000</v>
      </c>
      <c r="O214" s="228">
        <f t="shared" si="158"/>
        <v>3000</v>
      </c>
      <c r="P214" s="228">
        <f t="shared" ca="1" si="156"/>
        <v>6000</v>
      </c>
      <c r="Q214" s="399"/>
      <c r="AM214" s="380"/>
      <c r="AN214" s="380"/>
      <c r="AO214" s="380">
        <v>2</v>
      </c>
      <c r="AP214" s="261">
        <f ca="1">L10</f>
        <v>0</v>
      </c>
      <c r="AQ214" s="261">
        <f t="shared" ca="1" si="160"/>
        <v>0</v>
      </c>
      <c r="AR214" s="261">
        <f t="shared" ca="1" si="161"/>
        <v>0</v>
      </c>
      <c r="AS214" s="261">
        <f t="shared" ca="1" si="162"/>
        <v>0</v>
      </c>
      <c r="AT214" s="261">
        <f t="shared" ca="1" si="163"/>
        <v>0</v>
      </c>
      <c r="AU214" s="261">
        <f t="shared" ca="1" si="164"/>
        <v>0</v>
      </c>
      <c r="AV214" s="261">
        <f t="shared" ca="1" si="165"/>
        <v>0</v>
      </c>
      <c r="AW214" s="261">
        <f t="shared" ca="1" si="166"/>
        <v>0</v>
      </c>
      <c r="AX214" s="261">
        <f t="shared" ca="1" si="167"/>
        <v>0</v>
      </c>
      <c r="AY214" s="261">
        <f t="shared" ca="1" si="168"/>
        <v>0</v>
      </c>
      <c r="AZ214" s="261">
        <f t="shared" ca="1" si="169"/>
        <v>0</v>
      </c>
      <c r="BA214" s="261">
        <f t="shared" ca="1" si="170"/>
        <v>0</v>
      </c>
      <c r="BB214" s="261">
        <f t="shared" ca="1" si="171"/>
        <v>0</v>
      </c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</row>
    <row r="215" spans="1:72" ht="22.5" customHeight="1" x14ac:dyDescent="0.4">
      <c r="A215" s="399"/>
      <c r="B215" s="376">
        <v>207</v>
      </c>
      <c r="C215" s="310">
        <v>44128</v>
      </c>
      <c r="D215" s="229" t="str">
        <f>IFERROR(VLOOKUP(C215,'बँक जमा खर्च पासबुक'!$C$9:$R$111,2,0),"")</f>
        <v/>
      </c>
      <c r="E215" s="229" t="str">
        <f>IFERROR(VLOOKUP(C215,'बँक जमा खर्च पासबुक'!$C$9:$R$111,3,0),"")</f>
        <v/>
      </c>
      <c r="F215" s="229" t="str">
        <f>IFERROR(VLOOKUP(C215,'बँक जमा खर्च पासबुक'!$C$9:$R$111,4,0),"")</f>
        <v/>
      </c>
      <c r="G215" s="229" t="str">
        <f>IFERROR(VLOOKUP(C215,'बँक जमा खर्च पासबुक'!$C$9:$R$111,5,0),"")</f>
        <v/>
      </c>
      <c r="H215" s="229" t="str">
        <f>IFERROR(VLOOKUP(C215,'बँक जमा खर्च पासबुक'!$C$9:$R$111,6,0),"")</f>
        <v/>
      </c>
      <c r="I215" s="229" t="str">
        <f>IFERROR(VLOOKUP(C215,'बँक जमा खर्च पासबुक'!$C$9:$R$111,7,0),"")</f>
        <v/>
      </c>
      <c r="J215" s="233">
        <f>SUMIF('बँक जमा खर्च पासबुक'!$C$9:$C$111,'बँक खर्च व्हाउचर पावती'!C215,'बँक जमा खर्च पासबुक'!$J$9:$J$111)</f>
        <v>0</v>
      </c>
      <c r="K215" s="233">
        <f>SUMIF('बँक जमा खर्च पासबुक'!$C$9:$C$111,'बँक खर्च व्हाउचर पावती'!C215,'बँक जमा खर्च पासबुक'!$K$9:$K$111)</f>
        <v>0</v>
      </c>
      <c r="L215" s="233">
        <f ca="1">SUMIF('बँक जमा खर्च पासबुक'!$C$9:$C$111,'बँक खर्च व्हाउचर पावती'!C215,'बँक जमा खर्च पासबुक'!$L$9:$L$110)</f>
        <v>0</v>
      </c>
      <c r="M215" s="228">
        <f>SUMIF('बँक जमा खर्च पासबुक'!$C$9:$C$111,'बँक खर्च व्हाउचर पावती'!C215,'बँक जमा खर्च पासबुक'!$M$9:$M$111)</f>
        <v>0</v>
      </c>
      <c r="N215" s="233">
        <f t="shared" ca="1" si="157"/>
        <v>3000</v>
      </c>
      <c r="O215" s="228">
        <f t="shared" si="158"/>
        <v>3000</v>
      </c>
      <c r="P215" s="228">
        <f t="shared" ca="1" si="156"/>
        <v>6000</v>
      </c>
      <c r="Q215" s="399"/>
      <c r="AM215" s="380"/>
      <c r="AN215" s="380"/>
      <c r="AO215" s="380">
        <v>3</v>
      </c>
      <c r="AP215" s="261">
        <f ca="1">L11</f>
        <v>0</v>
      </c>
      <c r="AQ215" s="261">
        <f t="shared" ca="1" si="160"/>
        <v>0</v>
      </c>
      <c r="AR215" s="261">
        <f t="shared" ca="1" si="161"/>
        <v>0</v>
      </c>
      <c r="AS215" s="261">
        <f t="shared" ca="1" si="162"/>
        <v>0</v>
      </c>
      <c r="AT215" s="261">
        <f t="shared" ca="1" si="163"/>
        <v>0</v>
      </c>
      <c r="AU215" s="261">
        <f t="shared" ca="1" si="164"/>
        <v>0</v>
      </c>
      <c r="AV215" s="261">
        <f t="shared" ca="1" si="165"/>
        <v>0</v>
      </c>
      <c r="AW215" s="261">
        <f t="shared" ca="1" si="166"/>
        <v>0</v>
      </c>
      <c r="AX215" s="261">
        <f t="shared" ca="1" si="167"/>
        <v>0</v>
      </c>
      <c r="AY215" s="261">
        <f t="shared" ca="1" si="168"/>
        <v>0</v>
      </c>
      <c r="AZ215" s="261">
        <f t="shared" ca="1" si="169"/>
        <v>0</v>
      </c>
      <c r="BA215" s="261">
        <f t="shared" ca="1" si="170"/>
        <v>0</v>
      </c>
      <c r="BB215" s="261">
        <f t="shared" ca="1" si="171"/>
        <v>0</v>
      </c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</row>
    <row r="216" spans="1:72" ht="22.5" customHeight="1" x14ac:dyDescent="0.4">
      <c r="A216" s="399"/>
      <c r="B216" s="376">
        <v>208</v>
      </c>
      <c r="C216" s="310">
        <v>44129</v>
      </c>
      <c r="D216" s="229" t="str">
        <f>IFERROR(VLOOKUP(C216,'बँक जमा खर्च पासबुक'!$C$9:$R$111,2,0),"")</f>
        <v/>
      </c>
      <c r="E216" s="229" t="str">
        <f>IFERROR(VLOOKUP(C216,'बँक जमा खर्च पासबुक'!$C$9:$R$111,3,0),"")</f>
        <v/>
      </c>
      <c r="F216" s="229" t="str">
        <f>IFERROR(VLOOKUP(C216,'बँक जमा खर्च पासबुक'!$C$9:$R$111,4,0),"")</f>
        <v/>
      </c>
      <c r="G216" s="229" t="str">
        <f>IFERROR(VLOOKUP(C216,'बँक जमा खर्च पासबुक'!$C$9:$R$111,5,0),"")</f>
        <v/>
      </c>
      <c r="H216" s="229" t="str">
        <f>IFERROR(VLOOKUP(C216,'बँक जमा खर्च पासबुक'!$C$9:$R$111,6,0),"")</f>
        <v/>
      </c>
      <c r="I216" s="229" t="str">
        <f>IFERROR(VLOOKUP(C216,'बँक जमा खर्च पासबुक'!$C$9:$R$111,7,0),"")</f>
        <v/>
      </c>
      <c r="J216" s="233">
        <f>SUMIF('बँक जमा खर्च पासबुक'!$C$9:$C$111,'बँक खर्च व्हाउचर पावती'!C216,'बँक जमा खर्च पासबुक'!$J$9:$J$111)</f>
        <v>0</v>
      </c>
      <c r="K216" s="233">
        <f>SUMIF('बँक जमा खर्च पासबुक'!$C$9:$C$111,'बँक खर्च व्हाउचर पावती'!C216,'बँक जमा खर्च पासबुक'!$K$9:$K$111)</f>
        <v>0</v>
      </c>
      <c r="L216" s="233">
        <f ca="1">SUMIF('बँक जमा खर्च पासबुक'!$C$9:$C$111,'बँक खर्च व्हाउचर पावती'!C216,'बँक जमा खर्च पासबुक'!$L$9:$L$110)</f>
        <v>0</v>
      </c>
      <c r="M216" s="228">
        <f>SUMIF('बँक जमा खर्च पासबुक'!$C$9:$C$111,'बँक खर्च व्हाउचर पावती'!C216,'बँक जमा खर्च पासबुक'!$M$9:$M$111)</f>
        <v>0</v>
      </c>
      <c r="N216" s="233">
        <f t="shared" ca="1" si="157"/>
        <v>3000</v>
      </c>
      <c r="O216" s="228">
        <f t="shared" si="158"/>
        <v>3000</v>
      </c>
      <c r="P216" s="228">
        <f t="shared" ca="1" si="156"/>
        <v>6000</v>
      </c>
      <c r="Q216" s="399"/>
      <c r="AM216" s="380"/>
      <c r="AN216" s="380"/>
      <c r="AO216" s="380">
        <v>4</v>
      </c>
      <c r="AP216" s="261">
        <f ca="1">L12</f>
        <v>0</v>
      </c>
      <c r="AQ216" s="261">
        <f t="shared" ca="1" si="160"/>
        <v>0</v>
      </c>
      <c r="AR216" s="261">
        <f t="shared" ca="1" si="161"/>
        <v>0</v>
      </c>
      <c r="AS216" s="261">
        <f t="shared" ca="1" si="162"/>
        <v>0</v>
      </c>
      <c r="AT216" s="261">
        <f t="shared" ca="1" si="163"/>
        <v>0</v>
      </c>
      <c r="AU216" s="261">
        <f t="shared" ca="1" si="164"/>
        <v>0</v>
      </c>
      <c r="AV216" s="261">
        <f t="shared" ca="1" si="165"/>
        <v>0</v>
      </c>
      <c r="AW216" s="261">
        <f t="shared" ca="1" si="166"/>
        <v>0</v>
      </c>
      <c r="AX216" s="261">
        <f t="shared" ca="1" si="167"/>
        <v>0</v>
      </c>
      <c r="AY216" s="261">
        <f t="shared" ca="1" si="168"/>
        <v>0</v>
      </c>
      <c r="AZ216" s="261">
        <f t="shared" ca="1" si="169"/>
        <v>0</v>
      </c>
      <c r="BA216" s="261">
        <f t="shared" ca="1" si="170"/>
        <v>0</v>
      </c>
      <c r="BB216" s="261">
        <f t="shared" ca="1" si="171"/>
        <v>0</v>
      </c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</row>
    <row r="217" spans="1:72" ht="22.5" customHeight="1" x14ac:dyDescent="0.4">
      <c r="A217" s="399"/>
      <c r="B217" s="376">
        <v>209</v>
      </c>
      <c r="C217" s="310">
        <v>44130</v>
      </c>
      <c r="D217" s="229" t="str">
        <f>IFERROR(VLOOKUP(C217,'बँक जमा खर्च पासबुक'!$C$9:$R$111,2,0),"")</f>
        <v/>
      </c>
      <c r="E217" s="229" t="str">
        <f>IFERROR(VLOOKUP(C217,'बँक जमा खर्च पासबुक'!$C$9:$R$111,3,0),"")</f>
        <v/>
      </c>
      <c r="F217" s="229" t="str">
        <f>IFERROR(VLOOKUP(C217,'बँक जमा खर्च पासबुक'!$C$9:$R$111,4,0),"")</f>
        <v/>
      </c>
      <c r="G217" s="229" t="str">
        <f>IFERROR(VLOOKUP(C217,'बँक जमा खर्च पासबुक'!$C$9:$R$111,5,0),"")</f>
        <v/>
      </c>
      <c r="H217" s="229" t="str">
        <f>IFERROR(VLOOKUP(C217,'बँक जमा खर्च पासबुक'!$C$9:$R$111,6,0),"")</f>
        <v/>
      </c>
      <c r="I217" s="229" t="str">
        <f>IFERROR(VLOOKUP(C217,'बँक जमा खर्च पासबुक'!$C$9:$R$111,7,0),"")</f>
        <v/>
      </c>
      <c r="J217" s="233">
        <f>SUMIF('बँक जमा खर्च पासबुक'!$C$9:$C$111,'बँक खर्च व्हाउचर पावती'!C217,'बँक जमा खर्च पासबुक'!$J$9:$J$111)</f>
        <v>0</v>
      </c>
      <c r="K217" s="233">
        <f>SUMIF('बँक जमा खर्च पासबुक'!$C$9:$C$111,'बँक खर्च व्हाउचर पावती'!C217,'बँक जमा खर्च पासबुक'!$K$9:$K$111)</f>
        <v>0</v>
      </c>
      <c r="L217" s="233">
        <f ca="1">SUMIF('बँक जमा खर्च पासबुक'!$C$9:$C$111,'बँक खर्च व्हाउचर पावती'!C217,'बँक जमा खर्च पासबुक'!$L$9:$L$110)</f>
        <v>0</v>
      </c>
      <c r="M217" s="228">
        <f>SUMIF('बँक जमा खर्च पासबुक'!$C$9:$C$111,'बँक खर्च व्हाउचर पावती'!C217,'बँक जमा खर्च पासबुक'!$M$9:$M$111)</f>
        <v>0</v>
      </c>
      <c r="N217" s="233">
        <f t="shared" ca="1" si="157"/>
        <v>3000</v>
      </c>
      <c r="O217" s="228">
        <f t="shared" si="158"/>
        <v>3000</v>
      </c>
      <c r="P217" s="228">
        <f t="shared" ca="1" si="156"/>
        <v>6000</v>
      </c>
      <c r="Q217" s="399"/>
      <c r="AM217" s="380"/>
      <c r="AN217" s="380"/>
      <c r="AO217" s="380">
        <v>5</v>
      </c>
      <c r="AP217" s="261">
        <f ca="1">L13</f>
        <v>0</v>
      </c>
      <c r="AQ217" s="261">
        <f t="shared" ca="1" si="160"/>
        <v>0</v>
      </c>
      <c r="AR217" s="261">
        <f t="shared" ca="1" si="161"/>
        <v>0</v>
      </c>
      <c r="AS217" s="261">
        <f t="shared" ca="1" si="162"/>
        <v>0</v>
      </c>
      <c r="AT217" s="261">
        <f t="shared" ca="1" si="163"/>
        <v>0</v>
      </c>
      <c r="AU217" s="261">
        <f t="shared" ca="1" si="164"/>
        <v>0</v>
      </c>
      <c r="AV217" s="261">
        <f t="shared" ca="1" si="165"/>
        <v>0</v>
      </c>
      <c r="AW217" s="261">
        <f t="shared" ca="1" si="166"/>
        <v>0</v>
      </c>
      <c r="AX217" s="261">
        <f t="shared" ca="1" si="167"/>
        <v>0</v>
      </c>
      <c r="AY217" s="261">
        <f t="shared" ca="1" si="168"/>
        <v>0</v>
      </c>
      <c r="AZ217" s="261">
        <f t="shared" ca="1" si="169"/>
        <v>0</v>
      </c>
      <c r="BA217" s="261">
        <f t="shared" ca="1" si="170"/>
        <v>0</v>
      </c>
      <c r="BB217" s="261">
        <f t="shared" ca="1" si="171"/>
        <v>0</v>
      </c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</row>
    <row r="218" spans="1:72" ht="22.5" customHeight="1" x14ac:dyDescent="0.4">
      <c r="A218" s="399"/>
      <c r="B218" s="376">
        <v>210</v>
      </c>
      <c r="C218" s="310">
        <v>44131</v>
      </c>
      <c r="D218" s="229" t="str">
        <f>IFERROR(VLOOKUP(C218,'बँक जमा खर्च पासबुक'!$C$9:$R$111,2,0),"")</f>
        <v/>
      </c>
      <c r="E218" s="229" t="str">
        <f>IFERROR(VLOOKUP(C218,'बँक जमा खर्च पासबुक'!$C$9:$R$111,3,0),"")</f>
        <v/>
      </c>
      <c r="F218" s="229" t="str">
        <f>IFERROR(VLOOKUP(C218,'बँक जमा खर्च पासबुक'!$C$9:$R$111,4,0),"")</f>
        <v/>
      </c>
      <c r="G218" s="229" t="str">
        <f>IFERROR(VLOOKUP(C218,'बँक जमा खर्च पासबुक'!$C$9:$R$111,5,0),"")</f>
        <v/>
      </c>
      <c r="H218" s="229" t="str">
        <f>IFERROR(VLOOKUP(C218,'बँक जमा खर्च पासबुक'!$C$9:$R$111,6,0),"")</f>
        <v/>
      </c>
      <c r="I218" s="229" t="str">
        <f>IFERROR(VLOOKUP(C218,'बँक जमा खर्च पासबुक'!$C$9:$R$111,7,0),"")</f>
        <v/>
      </c>
      <c r="J218" s="233">
        <f>SUMIF('बँक जमा खर्च पासबुक'!$C$9:$C$111,'बँक खर्च व्हाउचर पावती'!C218,'बँक जमा खर्च पासबुक'!$J$9:$J$111)</f>
        <v>0</v>
      </c>
      <c r="K218" s="233">
        <f>SUMIF('बँक जमा खर्च पासबुक'!$C$9:$C$111,'बँक खर्च व्हाउचर पावती'!C218,'बँक जमा खर्च पासबुक'!$K$9:$K$111)</f>
        <v>0</v>
      </c>
      <c r="L218" s="233">
        <f ca="1">SUMIF('बँक जमा खर्च पासबुक'!$C$9:$C$111,'बँक खर्च व्हाउचर पावती'!C218,'बँक जमा खर्च पासबुक'!$L$9:$L$110)</f>
        <v>0</v>
      </c>
      <c r="M218" s="228">
        <f>SUMIF('बँक जमा खर्च पासबुक'!$C$9:$C$111,'बँक खर्च व्हाउचर पावती'!C218,'बँक जमा खर्च पासबुक'!$M$9:$M$111)</f>
        <v>0</v>
      </c>
      <c r="N218" s="233">
        <f t="shared" ca="1" si="157"/>
        <v>3000</v>
      </c>
      <c r="O218" s="228">
        <f t="shared" si="158"/>
        <v>3000</v>
      </c>
      <c r="P218" s="228">
        <f t="shared" ca="1" si="156"/>
        <v>6000</v>
      </c>
      <c r="Q218" s="399"/>
      <c r="AM218" s="380"/>
      <c r="AN218" s="380"/>
      <c r="AO218" s="380">
        <v>6</v>
      </c>
      <c r="AP218" s="261">
        <f t="shared" ref="AP218:AP242" ca="1" si="172">L14</f>
        <v>0</v>
      </c>
      <c r="AQ218" s="261">
        <f t="shared" ca="1" si="160"/>
        <v>0</v>
      </c>
      <c r="AR218" s="261">
        <f t="shared" ca="1" si="161"/>
        <v>0</v>
      </c>
      <c r="AS218" s="261">
        <f t="shared" ca="1" si="162"/>
        <v>0</v>
      </c>
      <c r="AT218" s="261">
        <f t="shared" ca="1" si="163"/>
        <v>0</v>
      </c>
      <c r="AU218" s="261">
        <f t="shared" ca="1" si="164"/>
        <v>0</v>
      </c>
      <c r="AV218" s="261">
        <f t="shared" ca="1" si="165"/>
        <v>0</v>
      </c>
      <c r="AW218" s="261">
        <f t="shared" ca="1" si="166"/>
        <v>0</v>
      </c>
      <c r="AX218" s="261">
        <f t="shared" ca="1" si="167"/>
        <v>0</v>
      </c>
      <c r="AY218" s="261">
        <f t="shared" ca="1" si="168"/>
        <v>0</v>
      </c>
      <c r="AZ218" s="261">
        <f t="shared" ca="1" si="169"/>
        <v>0</v>
      </c>
      <c r="BA218" s="261">
        <f t="shared" ca="1" si="170"/>
        <v>0</v>
      </c>
      <c r="BB218" s="261">
        <f t="shared" ca="1" si="171"/>
        <v>0</v>
      </c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</row>
    <row r="219" spans="1:72" ht="22.5" customHeight="1" x14ac:dyDescent="0.4">
      <c r="A219" s="399"/>
      <c r="B219" s="376">
        <v>211</v>
      </c>
      <c r="C219" s="310">
        <v>44132</v>
      </c>
      <c r="D219" s="229" t="str">
        <f>IFERROR(VLOOKUP(C219,'बँक जमा खर्च पासबुक'!$C$9:$R$111,2,0),"")</f>
        <v/>
      </c>
      <c r="E219" s="229" t="str">
        <f>IFERROR(VLOOKUP(C219,'बँक जमा खर्च पासबुक'!$C$9:$R$111,3,0),"")</f>
        <v/>
      </c>
      <c r="F219" s="229" t="str">
        <f>IFERROR(VLOOKUP(C219,'बँक जमा खर्च पासबुक'!$C$9:$R$111,4,0),"")</f>
        <v/>
      </c>
      <c r="G219" s="229" t="str">
        <f>IFERROR(VLOOKUP(C219,'बँक जमा खर्च पासबुक'!$C$9:$R$111,5,0),"")</f>
        <v/>
      </c>
      <c r="H219" s="229" t="str">
        <f>IFERROR(VLOOKUP(C219,'बँक जमा खर्च पासबुक'!$C$9:$R$111,6,0),"")</f>
        <v/>
      </c>
      <c r="I219" s="229" t="str">
        <f>IFERROR(VLOOKUP(C219,'बँक जमा खर्च पासबुक'!$C$9:$R$111,7,0),"")</f>
        <v/>
      </c>
      <c r="J219" s="233">
        <f>SUMIF('बँक जमा खर्च पासबुक'!$C$9:$C$111,'बँक खर्च व्हाउचर पावती'!C219,'बँक जमा खर्च पासबुक'!$J$9:$J$111)</f>
        <v>0</v>
      </c>
      <c r="K219" s="233">
        <f>SUMIF('बँक जमा खर्च पासबुक'!$C$9:$C$111,'बँक खर्च व्हाउचर पावती'!C219,'बँक जमा खर्च पासबुक'!$K$9:$K$111)</f>
        <v>0</v>
      </c>
      <c r="L219" s="233">
        <f ca="1">SUMIF('बँक जमा खर्च पासबुक'!$C$9:$C$111,'बँक खर्च व्हाउचर पावती'!C219,'बँक जमा खर्च पासबुक'!$L$9:$L$110)</f>
        <v>0</v>
      </c>
      <c r="M219" s="228">
        <f>SUMIF('बँक जमा खर्च पासबुक'!$C$9:$C$111,'बँक खर्च व्हाउचर पावती'!C219,'बँक जमा खर्च पासबुक'!$M$9:$M$111)</f>
        <v>0</v>
      </c>
      <c r="N219" s="233">
        <f t="shared" ca="1" si="157"/>
        <v>3000</v>
      </c>
      <c r="O219" s="228">
        <f t="shared" si="158"/>
        <v>3000</v>
      </c>
      <c r="P219" s="228">
        <f t="shared" ca="1" si="156"/>
        <v>6000</v>
      </c>
      <c r="Q219" s="399"/>
      <c r="AM219" s="380"/>
      <c r="AN219" s="380"/>
      <c r="AO219" s="380">
        <v>7</v>
      </c>
      <c r="AP219" s="261">
        <f t="shared" ca="1" si="172"/>
        <v>0</v>
      </c>
      <c r="AQ219" s="261">
        <f t="shared" ca="1" si="160"/>
        <v>0</v>
      </c>
      <c r="AR219" s="261">
        <f t="shared" ca="1" si="161"/>
        <v>0</v>
      </c>
      <c r="AS219" s="261">
        <f t="shared" ca="1" si="162"/>
        <v>0</v>
      </c>
      <c r="AT219" s="261">
        <f t="shared" ca="1" si="163"/>
        <v>0</v>
      </c>
      <c r="AU219" s="261">
        <f t="shared" ca="1" si="164"/>
        <v>0</v>
      </c>
      <c r="AV219" s="261">
        <f t="shared" ca="1" si="165"/>
        <v>0</v>
      </c>
      <c r="AW219" s="261">
        <f t="shared" ca="1" si="166"/>
        <v>0</v>
      </c>
      <c r="AX219" s="261">
        <f t="shared" ca="1" si="167"/>
        <v>0</v>
      </c>
      <c r="AY219" s="261">
        <f t="shared" ca="1" si="168"/>
        <v>0</v>
      </c>
      <c r="AZ219" s="261">
        <f t="shared" ca="1" si="169"/>
        <v>0</v>
      </c>
      <c r="BA219" s="261">
        <f t="shared" ca="1" si="170"/>
        <v>0</v>
      </c>
      <c r="BB219" s="261">
        <f t="shared" ca="1" si="171"/>
        <v>0</v>
      </c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</row>
    <row r="220" spans="1:72" ht="22.5" customHeight="1" x14ac:dyDescent="0.4">
      <c r="A220" s="399"/>
      <c r="B220" s="376">
        <v>212</v>
      </c>
      <c r="C220" s="310">
        <v>44133</v>
      </c>
      <c r="D220" s="229" t="str">
        <f>IFERROR(VLOOKUP(C220,'बँक जमा खर्च पासबुक'!$C$9:$R$111,2,0),"")</f>
        <v/>
      </c>
      <c r="E220" s="229" t="str">
        <f>IFERROR(VLOOKUP(C220,'बँक जमा खर्च पासबुक'!$C$9:$R$111,3,0),"")</f>
        <v/>
      </c>
      <c r="F220" s="229" t="str">
        <f>IFERROR(VLOOKUP(C220,'बँक जमा खर्च पासबुक'!$C$9:$R$111,4,0),"")</f>
        <v/>
      </c>
      <c r="G220" s="229" t="str">
        <f>IFERROR(VLOOKUP(C220,'बँक जमा खर्च पासबुक'!$C$9:$R$111,5,0),"")</f>
        <v/>
      </c>
      <c r="H220" s="229" t="str">
        <f>IFERROR(VLOOKUP(C220,'बँक जमा खर्च पासबुक'!$C$9:$R$111,6,0),"")</f>
        <v/>
      </c>
      <c r="I220" s="229" t="str">
        <f>IFERROR(VLOOKUP(C220,'बँक जमा खर्च पासबुक'!$C$9:$R$111,7,0),"")</f>
        <v/>
      </c>
      <c r="J220" s="233">
        <f>SUMIF('बँक जमा खर्च पासबुक'!$C$9:$C$111,'बँक खर्च व्हाउचर पावती'!C220,'बँक जमा खर्च पासबुक'!$J$9:$J$111)</f>
        <v>0</v>
      </c>
      <c r="K220" s="233">
        <f>SUMIF('बँक जमा खर्च पासबुक'!$C$9:$C$111,'बँक खर्च व्हाउचर पावती'!C220,'बँक जमा खर्च पासबुक'!$K$9:$K$111)</f>
        <v>0</v>
      </c>
      <c r="L220" s="233">
        <f ca="1">SUMIF('बँक जमा खर्च पासबुक'!$C$9:$C$111,'बँक खर्च व्हाउचर पावती'!C220,'बँक जमा खर्च पासबुक'!$L$9:$L$110)</f>
        <v>0</v>
      </c>
      <c r="M220" s="228">
        <f>SUMIF('बँक जमा खर्च पासबुक'!$C$9:$C$111,'बँक खर्च व्हाउचर पावती'!C220,'बँक जमा खर्च पासबुक'!$M$9:$M$111)</f>
        <v>0</v>
      </c>
      <c r="N220" s="233">
        <f t="shared" ca="1" si="157"/>
        <v>3000</v>
      </c>
      <c r="O220" s="228">
        <f t="shared" si="158"/>
        <v>3000</v>
      </c>
      <c r="P220" s="228">
        <f t="shared" ca="1" si="156"/>
        <v>6000</v>
      </c>
      <c r="Q220" s="399"/>
      <c r="AM220" s="380"/>
      <c r="AN220" s="380"/>
      <c r="AO220" s="380">
        <v>8</v>
      </c>
      <c r="AP220" s="261">
        <f t="shared" ca="1" si="172"/>
        <v>0</v>
      </c>
      <c r="AQ220" s="261">
        <f t="shared" ca="1" si="160"/>
        <v>0</v>
      </c>
      <c r="AR220" s="261">
        <f t="shared" ca="1" si="161"/>
        <v>0</v>
      </c>
      <c r="AS220" s="261">
        <f t="shared" ca="1" si="162"/>
        <v>0</v>
      </c>
      <c r="AT220" s="261">
        <f t="shared" ca="1" si="163"/>
        <v>0</v>
      </c>
      <c r="AU220" s="261">
        <f t="shared" ca="1" si="164"/>
        <v>0</v>
      </c>
      <c r="AV220" s="261">
        <f t="shared" ca="1" si="165"/>
        <v>0</v>
      </c>
      <c r="AW220" s="261">
        <f t="shared" ca="1" si="166"/>
        <v>0</v>
      </c>
      <c r="AX220" s="261">
        <f t="shared" ca="1" si="167"/>
        <v>0</v>
      </c>
      <c r="AY220" s="261">
        <f t="shared" ca="1" si="168"/>
        <v>0</v>
      </c>
      <c r="AZ220" s="261">
        <f t="shared" ca="1" si="169"/>
        <v>0</v>
      </c>
      <c r="BA220" s="261">
        <f t="shared" ca="1" si="170"/>
        <v>0</v>
      </c>
      <c r="BB220" s="261">
        <f t="shared" ca="1" si="171"/>
        <v>0</v>
      </c>
      <c r="BC220" s="380"/>
      <c r="BD220" s="380"/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</row>
    <row r="221" spans="1:72" ht="22.5" customHeight="1" x14ac:dyDescent="0.4">
      <c r="A221" s="399"/>
      <c r="B221" s="376">
        <v>213</v>
      </c>
      <c r="C221" s="310">
        <v>44134</v>
      </c>
      <c r="D221" s="229" t="str">
        <f>IFERROR(VLOOKUP(C221,'बँक जमा खर्च पासबुक'!$C$9:$R$111,2,0),"")</f>
        <v/>
      </c>
      <c r="E221" s="229" t="str">
        <f>IFERROR(VLOOKUP(C221,'बँक जमा खर्च पासबुक'!$C$9:$R$111,3,0),"")</f>
        <v/>
      </c>
      <c r="F221" s="229" t="str">
        <f>IFERROR(VLOOKUP(C221,'बँक जमा खर्च पासबुक'!$C$9:$R$111,4,0),"")</f>
        <v/>
      </c>
      <c r="G221" s="229" t="str">
        <f>IFERROR(VLOOKUP(C221,'बँक जमा खर्च पासबुक'!$C$9:$R$111,5,0),"")</f>
        <v/>
      </c>
      <c r="H221" s="229" t="str">
        <f>IFERROR(VLOOKUP(C221,'बँक जमा खर्च पासबुक'!$C$9:$R$111,6,0),"")</f>
        <v/>
      </c>
      <c r="I221" s="229" t="str">
        <f>IFERROR(VLOOKUP(C221,'बँक जमा खर्च पासबुक'!$C$9:$R$111,7,0),"")</f>
        <v/>
      </c>
      <c r="J221" s="233">
        <f>SUMIF('बँक जमा खर्च पासबुक'!$C$9:$C$111,'बँक खर्च व्हाउचर पावती'!C221,'बँक जमा खर्च पासबुक'!$J$9:$J$111)</f>
        <v>0</v>
      </c>
      <c r="K221" s="233">
        <f>SUMIF('बँक जमा खर्च पासबुक'!$C$9:$C$111,'बँक खर्च व्हाउचर पावती'!C221,'बँक जमा खर्च पासबुक'!$K$9:$K$111)</f>
        <v>0</v>
      </c>
      <c r="L221" s="233">
        <f ca="1">SUMIF('बँक जमा खर्च पासबुक'!$C$9:$C$111,'बँक खर्च व्हाउचर पावती'!C221,'बँक जमा खर्च पासबुक'!$L$9:$L$110)</f>
        <v>0</v>
      </c>
      <c r="M221" s="228">
        <f>SUMIF('बँक जमा खर्च पासबुक'!$C$9:$C$111,'बँक खर्च व्हाउचर पावती'!C221,'बँक जमा खर्च पासबुक'!$M$9:$M$111)</f>
        <v>0</v>
      </c>
      <c r="N221" s="233">
        <f t="shared" ca="1" si="157"/>
        <v>3000</v>
      </c>
      <c r="O221" s="228">
        <f t="shared" si="158"/>
        <v>3000</v>
      </c>
      <c r="P221" s="228">
        <f t="shared" ca="1" si="156"/>
        <v>6000</v>
      </c>
      <c r="Q221" s="399"/>
      <c r="AM221" s="380"/>
      <c r="AN221" s="380"/>
      <c r="AO221" s="380">
        <v>9</v>
      </c>
      <c r="AP221" s="261">
        <f t="shared" ca="1" si="172"/>
        <v>0</v>
      </c>
      <c r="AQ221" s="261">
        <f t="shared" ca="1" si="160"/>
        <v>0</v>
      </c>
      <c r="AR221" s="261">
        <f t="shared" ca="1" si="161"/>
        <v>0</v>
      </c>
      <c r="AS221" s="261">
        <f t="shared" ca="1" si="162"/>
        <v>0</v>
      </c>
      <c r="AT221" s="261">
        <f t="shared" ca="1" si="163"/>
        <v>0</v>
      </c>
      <c r="AU221" s="261">
        <f t="shared" ca="1" si="164"/>
        <v>0</v>
      </c>
      <c r="AV221" s="261">
        <f t="shared" ca="1" si="165"/>
        <v>0</v>
      </c>
      <c r="AW221" s="261">
        <f t="shared" ca="1" si="166"/>
        <v>0</v>
      </c>
      <c r="AX221" s="261">
        <f t="shared" ca="1" si="167"/>
        <v>0</v>
      </c>
      <c r="AY221" s="261">
        <f t="shared" ca="1" si="168"/>
        <v>0</v>
      </c>
      <c r="AZ221" s="261">
        <f t="shared" ca="1" si="169"/>
        <v>0</v>
      </c>
      <c r="BA221" s="261">
        <f t="shared" ca="1" si="170"/>
        <v>0</v>
      </c>
      <c r="BB221" s="261">
        <f t="shared" ca="1" si="171"/>
        <v>0</v>
      </c>
      <c r="BC221" s="380"/>
      <c r="BD221" s="380"/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</row>
    <row r="222" spans="1:72" ht="22.5" customHeight="1" x14ac:dyDescent="0.4">
      <c r="A222" s="399"/>
      <c r="B222" s="376">
        <v>214</v>
      </c>
      <c r="C222" s="310">
        <v>44135</v>
      </c>
      <c r="D222" s="229" t="str">
        <f>IFERROR(VLOOKUP(C222,'बँक जमा खर्च पासबुक'!$C$9:$R$111,2,0),"")</f>
        <v/>
      </c>
      <c r="E222" s="229" t="str">
        <f>IFERROR(VLOOKUP(C222,'बँक जमा खर्च पासबुक'!$C$9:$R$111,3,0),"")</f>
        <v/>
      </c>
      <c r="F222" s="229" t="str">
        <f>IFERROR(VLOOKUP(C222,'बँक जमा खर्च पासबुक'!$C$9:$R$111,4,0),"")</f>
        <v/>
      </c>
      <c r="G222" s="229" t="str">
        <f>IFERROR(VLOOKUP(C222,'बँक जमा खर्च पासबुक'!$C$9:$R$111,5,0),"")</f>
        <v/>
      </c>
      <c r="H222" s="229" t="str">
        <f>IFERROR(VLOOKUP(C222,'बँक जमा खर्च पासबुक'!$C$9:$R$111,6,0),"")</f>
        <v/>
      </c>
      <c r="I222" s="229" t="str">
        <f>IFERROR(VLOOKUP(C222,'बँक जमा खर्च पासबुक'!$C$9:$R$111,7,0),"")</f>
        <v/>
      </c>
      <c r="J222" s="233">
        <f>SUMIF('बँक जमा खर्च पासबुक'!$C$9:$C$111,'बँक खर्च व्हाउचर पावती'!C222,'बँक जमा खर्च पासबुक'!$J$9:$J$111)</f>
        <v>0</v>
      </c>
      <c r="K222" s="233">
        <f>SUMIF('बँक जमा खर्च पासबुक'!$C$9:$C$111,'बँक खर्च व्हाउचर पावती'!C222,'बँक जमा खर्च पासबुक'!$K$9:$K$111)</f>
        <v>0</v>
      </c>
      <c r="L222" s="233">
        <f ca="1">SUMIF('बँक जमा खर्च पासबुक'!$C$9:$C$111,'बँक खर्च व्हाउचर पावती'!C222,'बँक जमा खर्च पासबुक'!$L$9:$L$110)</f>
        <v>0</v>
      </c>
      <c r="M222" s="228">
        <f>SUMIF('बँक जमा खर्च पासबुक'!$C$9:$C$111,'बँक खर्च व्हाउचर पावती'!C222,'बँक जमा खर्च पासबुक'!$M$9:$M$111)</f>
        <v>0</v>
      </c>
      <c r="N222" s="233">
        <f t="shared" ca="1" si="157"/>
        <v>3000</v>
      </c>
      <c r="O222" s="228">
        <f t="shared" si="158"/>
        <v>3000</v>
      </c>
      <c r="P222" s="228">
        <f t="shared" ca="1" si="156"/>
        <v>6000</v>
      </c>
      <c r="Q222" s="399"/>
      <c r="AM222" s="380"/>
      <c r="AN222" s="380"/>
      <c r="AO222" s="380">
        <v>10</v>
      </c>
      <c r="AP222" s="261">
        <f t="shared" ca="1" si="172"/>
        <v>0</v>
      </c>
      <c r="AQ222" s="261">
        <f t="shared" ca="1" si="160"/>
        <v>0</v>
      </c>
      <c r="AR222" s="261">
        <f t="shared" ca="1" si="161"/>
        <v>0</v>
      </c>
      <c r="AS222" s="261">
        <f t="shared" ca="1" si="162"/>
        <v>0</v>
      </c>
      <c r="AT222" s="261">
        <f t="shared" ca="1" si="163"/>
        <v>0</v>
      </c>
      <c r="AU222" s="261">
        <f t="shared" ca="1" si="164"/>
        <v>0</v>
      </c>
      <c r="AV222" s="261">
        <f t="shared" ca="1" si="165"/>
        <v>0</v>
      </c>
      <c r="AW222" s="261">
        <f t="shared" ca="1" si="166"/>
        <v>0</v>
      </c>
      <c r="AX222" s="261">
        <f t="shared" ca="1" si="167"/>
        <v>0</v>
      </c>
      <c r="AY222" s="261">
        <f t="shared" ca="1" si="168"/>
        <v>0</v>
      </c>
      <c r="AZ222" s="261">
        <f t="shared" ca="1" si="169"/>
        <v>0</v>
      </c>
      <c r="BA222" s="261">
        <f t="shared" ca="1" si="170"/>
        <v>0</v>
      </c>
      <c r="BB222" s="261">
        <f t="shared" ca="1" si="171"/>
        <v>0</v>
      </c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</row>
    <row r="223" spans="1:72" ht="22.5" customHeight="1" x14ac:dyDescent="0.4">
      <c r="A223" s="399" t="s">
        <v>38</v>
      </c>
      <c r="B223" s="376">
        <v>215</v>
      </c>
      <c r="C223" s="310">
        <v>44136</v>
      </c>
      <c r="D223" s="229" t="str">
        <f>IFERROR(VLOOKUP(C223,'बँक जमा खर्च पासबुक'!$C$9:$R$111,2,0),"")</f>
        <v/>
      </c>
      <c r="E223" s="229" t="str">
        <f>IFERROR(VLOOKUP(C223,'बँक जमा खर्च पासबुक'!$C$9:$R$111,3,0),"")</f>
        <v/>
      </c>
      <c r="F223" s="229" t="str">
        <f>IFERROR(VLOOKUP(C223,'बँक जमा खर्च पासबुक'!$C$9:$R$111,4,0),"")</f>
        <v/>
      </c>
      <c r="G223" s="229" t="str">
        <f>IFERROR(VLOOKUP(C223,'बँक जमा खर्च पासबुक'!$C$9:$R$111,5,0),"")</f>
        <v/>
      </c>
      <c r="H223" s="229" t="str">
        <f>IFERROR(VLOOKUP(C223,'बँक जमा खर्च पासबुक'!$C$9:$R$111,6,0),"")</f>
        <v/>
      </c>
      <c r="I223" s="229" t="str">
        <f>IFERROR(VLOOKUP(C223,'बँक जमा खर्च पासबुक'!$C$9:$R$111,7,0),"")</f>
        <v/>
      </c>
      <c r="J223" s="233">
        <f>SUMIF('बँक जमा खर्च पासबुक'!$C$9:$C$111,'बँक खर्च व्हाउचर पावती'!C223,'बँक जमा खर्च पासबुक'!$J$9:$J$111)</f>
        <v>0</v>
      </c>
      <c r="K223" s="233">
        <f>SUMIF('बँक जमा खर्च पासबुक'!$C$9:$C$111,'बँक खर्च व्हाउचर पावती'!C223,'बँक जमा खर्च पासबुक'!$K$9:$K$111)</f>
        <v>0</v>
      </c>
      <c r="L223" s="233">
        <f ca="1">SUMIF('बँक जमा खर्च पासबुक'!$C$9:$C$111,'बँक खर्च व्हाउचर पावती'!C223,'बँक जमा खर्च पासबुक'!$L$9:$L$110)</f>
        <v>0</v>
      </c>
      <c r="M223" s="228">
        <f>SUMIF('बँक जमा खर्च पासबुक'!$C$9:$C$111,'बँक खर्च व्हाउचर पावती'!C223,'बँक जमा खर्च पासबुक'!$M$9:$M$111)</f>
        <v>0</v>
      </c>
      <c r="N223" s="233">
        <f t="shared" ca="1" si="157"/>
        <v>3000</v>
      </c>
      <c r="O223" s="228">
        <f t="shared" si="158"/>
        <v>3000</v>
      </c>
      <c r="P223" s="228">
        <f t="shared" ca="1" si="156"/>
        <v>6000</v>
      </c>
      <c r="Q223" s="399"/>
      <c r="AM223" s="380"/>
      <c r="AN223" s="380"/>
      <c r="AO223" s="380">
        <v>11</v>
      </c>
      <c r="AP223" s="261">
        <f t="shared" ca="1" si="172"/>
        <v>0</v>
      </c>
      <c r="AQ223" s="261">
        <f t="shared" ca="1" si="160"/>
        <v>0</v>
      </c>
      <c r="AR223" s="261">
        <f t="shared" ca="1" si="161"/>
        <v>0</v>
      </c>
      <c r="AS223" s="261">
        <f t="shared" ca="1" si="162"/>
        <v>0</v>
      </c>
      <c r="AT223" s="261">
        <f t="shared" ca="1" si="163"/>
        <v>0</v>
      </c>
      <c r="AU223" s="261">
        <f t="shared" ca="1" si="164"/>
        <v>0</v>
      </c>
      <c r="AV223" s="261">
        <f t="shared" ca="1" si="165"/>
        <v>0</v>
      </c>
      <c r="AW223" s="261">
        <f t="shared" ca="1" si="166"/>
        <v>0</v>
      </c>
      <c r="AX223" s="261">
        <f t="shared" ca="1" si="167"/>
        <v>0</v>
      </c>
      <c r="AY223" s="261">
        <f t="shared" ca="1" si="168"/>
        <v>0</v>
      </c>
      <c r="AZ223" s="261">
        <f t="shared" ca="1" si="169"/>
        <v>0</v>
      </c>
      <c r="BA223" s="261">
        <f t="shared" ca="1" si="170"/>
        <v>0</v>
      </c>
      <c r="BB223" s="261">
        <f t="shared" ca="1" si="171"/>
        <v>0</v>
      </c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</row>
    <row r="224" spans="1:72" ht="22.5" customHeight="1" x14ac:dyDescent="0.4">
      <c r="A224" s="399"/>
      <c r="B224" s="376">
        <v>216</v>
      </c>
      <c r="C224" s="310">
        <v>44137</v>
      </c>
      <c r="D224" s="229" t="str">
        <f>IFERROR(VLOOKUP(C224,'बँक जमा खर्च पासबुक'!$C$9:$R$111,2,0),"")</f>
        <v/>
      </c>
      <c r="E224" s="229" t="str">
        <f>IFERROR(VLOOKUP(C224,'बँक जमा खर्च पासबुक'!$C$9:$R$111,3,0),"")</f>
        <v/>
      </c>
      <c r="F224" s="229" t="str">
        <f>IFERROR(VLOOKUP(C224,'बँक जमा खर्च पासबुक'!$C$9:$R$111,4,0),"")</f>
        <v/>
      </c>
      <c r="G224" s="229" t="str">
        <f>IFERROR(VLOOKUP(C224,'बँक जमा खर्च पासबुक'!$C$9:$R$111,5,0),"")</f>
        <v/>
      </c>
      <c r="H224" s="229" t="str">
        <f>IFERROR(VLOOKUP(C224,'बँक जमा खर्च पासबुक'!$C$9:$R$111,6,0),"")</f>
        <v/>
      </c>
      <c r="I224" s="229" t="str">
        <f>IFERROR(VLOOKUP(C224,'बँक जमा खर्च पासबुक'!$C$9:$R$111,7,0),"")</f>
        <v/>
      </c>
      <c r="J224" s="233">
        <f>SUMIF('बँक जमा खर्च पासबुक'!$C$9:$C$111,'बँक खर्च व्हाउचर पावती'!C224,'बँक जमा खर्च पासबुक'!$J$9:$J$111)</f>
        <v>0</v>
      </c>
      <c r="K224" s="233">
        <f>SUMIF('बँक जमा खर्च पासबुक'!$C$9:$C$111,'बँक खर्च व्हाउचर पावती'!C224,'बँक जमा खर्च पासबुक'!$K$9:$K$111)</f>
        <v>0</v>
      </c>
      <c r="L224" s="233">
        <f ca="1">SUMIF('बँक जमा खर्च पासबुक'!$C$9:$C$111,'बँक खर्च व्हाउचर पावती'!C224,'बँक जमा खर्च पासबुक'!$L$9:$L$110)</f>
        <v>0</v>
      </c>
      <c r="M224" s="228">
        <f>SUMIF('बँक जमा खर्च पासबुक'!$C$9:$C$111,'बँक खर्च व्हाउचर पावती'!C224,'बँक जमा खर्च पासबुक'!$M$9:$M$111)</f>
        <v>0</v>
      </c>
      <c r="N224" s="233">
        <f t="shared" ca="1" si="157"/>
        <v>3000</v>
      </c>
      <c r="O224" s="228">
        <f t="shared" si="158"/>
        <v>3000</v>
      </c>
      <c r="P224" s="228">
        <f t="shared" ca="1" si="156"/>
        <v>6000</v>
      </c>
      <c r="Q224" s="399"/>
      <c r="AM224" s="380"/>
      <c r="AN224" s="380"/>
      <c r="AO224" s="380">
        <v>12</v>
      </c>
      <c r="AP224" s="261">
        <f t="shared" ca="1" si="172"/>
        <v>0</v>
      </c>
      <c r="AQ224" s="261">
        <f t="shared" ca="1" si="160"/>
        <v>0</v>
      </c>
      <c r="AR224" s="261">
        <f t="shared" ca="1" si="161"/>
        <v>0</v>
      </c>
      <c r="AS224" s="261">
        <f t="shared" ca="1" si="162"/>
        <v>0</v>
      </c>
      <c r="AT224" s="261">
        <f t="shared" ca="1" si="163"/>
        <v>0</v>
      </c>
      <c r="AU224" s="261">
        <f t="shared" ca="1" si="164"/>
        <v>0</v>
      </c>
      <c r="AV224" s="261">
        <f t="shared" ca="1" si="165"/>
        <v>0</v>
      </c>
      <c r="AW224" s="261">
        <f t="shared" ca="1" si="166"/>
        <v>0</v>
      </c>
      <c r="AX224" s="261">
        <f t="shared" ca="1" si="167"/>
        <v>0</v>
      </c>
      <c r="AY224" s="261">
        <f t="shared" ca="1" si="168"/>
        <v>0</v>
      </c>
      <c r="AZ224" s="261">
        <f t="shared" ca="1" si="169"/>
        <v>0</v>
      </c>
      <c r="BA224" s="261">
        <f t="shared" ca="1" si="170"/>
        <v>0</v>
      </c>
      <c r="BB224" s="261">
        <f t="shared" ca="1" si="171"/>
        <v>0</v>
      </c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</row>
    <row r="225" spans="1:72" ht="22.5" customHeight="1" x14ac:dyDescent="0.4">
      <c r="A225" s="399"/>
      <c r="B225" s="376">
        <v>217</v>
      </c>
      <c r="C225" s="310">
        <v>44138</v>
      </c>
      <c r="D225" s="229" t="str">
        <f>IFERROR(VLOOKUP(C225,'बँक जमा खर्च पासबुक'!$C$9:$R$111,2,0),"")</f>
        <v/>
      </c>
      <c r="E225" s="229" t="str">
        <f>IFERROR(VLOOKUP(C225,'बँक जमा खर्च पासबुक'!$C$9:$R$111,3,0),"")</f>
        <v/>
      </c>
      <c r="F225" s="229" t="str">
        <f>IFERROR(VLOOKUP(C225,'बँक जमा खर्च पासबुक'!$C$9:$R$111,4,0),"")</f>
        <v/>
      </c>
      <c r="G225" s="229" t="str">
        <f>IFERROR(VLOOKUP(C225,'बँक जमा खर्च पासबुक'!$C$9:$R$111,5,0),"")</f>
        <v/>
      </c>
      <c r="H225" s="229" t="str">
        <f>IFERROR(VLOOKUP(C225,'बँक जमा खर्च पासबुक'!$C$9:$R$111,6,0),"")</f>
        <v/>
      </c>
      <c r="I225" s="229" t="str">
        <f>IFERROR(VLOOKUP(C225,'बँक जमा खर्च पासबुक'!$C$9:$R$111,7,0),"")</f>
        <v/>
      </c>
      <c r="J225" s="233">
        <f>SUMIF('बँक जमा खर्च पासबुक'!$C$9:$C$111,'बँक खर्च व्हाउचर पावती'!C225,'बँक जमा खर्च पासबुक'!$J$9:$J$111)</f>
        <v>0</v>
      </c>
      <c r="K225" s="233">
        <f>SUMIF('बँक जमा खर्च पासबुक'!$C$9:$C$111,'बँक खर्च व्हाउचर पावती'!C225,'बँक जमा खर्च पासबुक'!$K$9:$K$111)</f>
        <v>0</v>
      </c>
      <c r="L225" s="233">
        <f ca="1">SUMIF('बँक जमा खर्च पासबुक'!$C$9:$C$111,'बँक खर्च व्हाउचर पावती'!C225,'बँक जमा खर्च पासबुक'!$L$9:$L$110)</f>
        <v>0</v>
      </c>
      <c r="M225" s="228">
        <f>SUMIF('बँक जमा खर्च पासबुक'!$C$9:$C$111,'बँक खर्च व्हाउचर पावती'!C225,'बँक जमा खर्च पासबुक'!$M$9:$M$111)</f>
        <v>0</v>
      </c>
      <c r="N225" s="233">
        <f t="shared" ca="1" si="157"/>
        <v>3000</v>
      </c>
      <c r="O225" s="228">
        <f t="shared" si="158"/>
        <v>3000</v>
      </c>
      <c r="P225" s="228">
        <f t="shared" ca="1" si="156"/>
        <v>6000</v>
      </c>
      <c r="Q225" s="399"/>
      <c r="AM225" s="380"/>
      <c r="AN225" s="380"/>
      <c r="AO225" s="380">
        <v>13</v>
      </c>
      <c r="AP225" s="261">
        <f t="shared" ca="1" si="172"/>
        <v>0</v>
      </c>
      <c r="AQ225" s="261">
        <f t="shared" ca="1" si="160"/>
        <v>0</v>
      </c>
      <c r="AR225" s="261">
        <f t="shared" ca="1" si="161"/>
        <v>0</v>
      </c>
      <c r="AS225" s="261">
        <f t="shared" ca="1" si="162"/>
        <v>0</v>
      </c>
      <c r="AT225" s="261">
        <f t="shared" ca="1" si="163"/>
        <v>0</v>
      </c>
      <c r="AU225" s="261">
        <f t="shared" ca="1" si="164"/>
        <v>0</v>
      </c>
      <c r="AV225" s="261">
        <f t="shared" ca="1" si="165"/>
        <v>0</v>
      </c>
      <c r="AW225" s="261">
        <f t="shared" ca="1" si="166"/>
        <v>0</v>
      </c>
      <c r="AX225" s="261">
        <f t="shared" ca="1" si="167"/>
        <v>0</v>
      </c>
      <c r="AY225" s="261">
        <f t="shared" ca="1" si="168"/>
        <v>0</v>
      </c>
      <c r="AZ225" s="261">
        <f t="shared" ca="1" si="169"/>
        <v>0</v>
      </c>
      <c r="BA225" s="261">
        <f t="shared" ca="1" si="170"/>
        <v>0</v>
      </c>
      <c r="BB225" s="261">
        <f t="shared" ca="1" si="171"/>
        <v>0</v>
      </c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</row>
    <row r="226" spans="1:72" ht="22.5" customHeight="1" x14ac:dyDescent="0.4">
      <c r="A226" s="399"/>
      <c r="B226" s="376">
        <v>218</v>
      </c>
      <c r="C226" s="310">
        <v>44139</v>
      </c>
      <c r="D226" s="229" t="str">
        <f>IFERROR(VLOOKUP(C226,'बँक जमा खर्च पासबुक'!$C$9:$R$111,2,0),"")</f>
        <v/>
      </c>
      <c r="E226" s="229" t="str">
        <f>IFERROR(VLOOKUP(C226,'बँक जमा खर्च पासबुक'!$C$9:$R$111,3,0),"")</f>
        <v/>
      </c>
      <c r="F226" s="229" t="str">
        <f>IFERROR(VLOOKUP(C226,'बँक जमा खर्च पासबुक'!$C$9:$R$111,4,0),"")</f>
        <v/>
      </c>
      <c r="G226" s="229" t="str">
        <f>IFERROR(VLOOKUP(C226,'बँक जमा खर्च पासबुक'!$C$9:$R$111,5,0),"")</f>
        <v/>
      </c>
      <c r="H226" s="229" t="str">
        <f>IFERROR(VLOOKUP(C226,'बँक जमा खर्च पासबुक'!$C$9:$R$111,6,0),"")</f>
        <v/>
      </c>
      <c r="I226" s="229" t="str">
        <f>IFERROR(VLOOKUP(C226,'बँक जमा खर्च पासबुक'!$C$9:$R$111,7,0),"")</f>
        <v/>
      </c>
      <c r="J226" s="233">
        <f>SUMIF('बँक जमा खर्च पासबुक'!$C$9:$C$111,'बँक खर्च व्हाउचर पावती'!C226,'बँक जमा खर्च पासबुक'!$J$9:$J$111)</f>
        <v>0</v>
      </c>
      <c r="K226" s="233">
        <f>SUMIF('बँक जमा खर्च पासबुक'!$C$9:$C$111,'बँक खर्च व्हाउचर पावती'!C226,'बँक जमा खर्च पासबुक'!$K$9:$K$111)</f>
        <v>0</v>
      </c>
      <c r="L226" s="233">
        <f ca="1">SUMIF('बँक जमा खर्च पासबुक'!$C$9:$C$111,'बँक खर्च व्हाउचर पावती'!C226,'बँक जमा खर्च पासबुक'!$L$9:$L$110)</f>
        <v>0</v>
      </c>
      <c r="M226" s="228">
        <f>SUMIF('बँक जमा खर्च पासबुक'!$C$9:$C$111,'बँक खर्च व्हाउचर पावती'!C226,'बँक जमा खर्च पासबुक'!$M$9:$M$111)</f>
        <v>0</v>
      </c>
      <c r="N226" s="233">
        <f t="shared" ca="1" si="157"/>
        <v>3000</v>
      </c>
      <c r="O226" s="228">
        <f t="shared" si="158"/>
        <v>3000</v>
      </c>
      <c r="P226" s="228">
        <f t="shared" ca="1" si="156"/>
        <v>6000</v>
      </c>
      <c r="Q226" s="399"/>
      <c r="AM226" s="380"/>
      <c r="AN226" s="380"/>
      <c r="AO226" s="380">
        <v>14</v>
      </c>
      <c r="AP226" s="261">
        <f t="shared" ca="1" si="172"/>
        <v>0</v>
      </c>
      <c r="AQ226" s="261">
        <f t="shared" ca="1" si="160"/>
        <v>0</v>
      </c>
      <c r="AR226" s="261">
        <f t="shared" ca="1" si="161"/>
        <v>0</v>
      </c>
      <c r="AS226" s="261">
        <f t="shared" ca="1" si="162"/>
        <v>0</v>
      </c>
      <c r="AT226" s="261">
        <f t="shared" ca="1" si="163"/>
        <v>0</v>
      </c>
      <c r="AU226" s="261">
        <f t="shared" ca="1" si="164"/>
        <v>0</v>
      </c>
      <c r="AV226" s="261">
        <f t="shared" ca="1" si="165"/>
        <v>0</v>
      </c>
      <c r="AW226" s="261">
        <f t="shared" ca="1" si="166"/>
        <v>0</v>
      </c>
      <c r="AX226" s="261">
        <f t="shared" ca="1" si="167"/>
        <v>0</v>
      </c>
      <c r="AY226" s="261">
        <f t="shared" ca="1" si="168"/>
        <v>0</v>
      </c>
      <c r="AZ226" s="261">
        <f t="shared" ca="1" si="169"/>
        <v>0</v>
      </c>
      <c r="BA226" s="261">
        <f t="shared" ca="1" si="170"/>
        <v>0</v>
      </c>
      <c r="BB226" s="261">
        <f t="shared" ca="1" si="171"/>
        <v>0</v>
      </c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</row>
    <row r="227" spans="1:72" ht="22.5" customHeight="1" x14ac:dyDescent="0.4">
      <c r="A227" s="399"/>
      <c r="B227" s="376">
        <v>219</v>
      </c>
      <c r="C227" s="310">
        <v>44140</v>
      </c>
      <c r="D227" s="229" t="str">
        <f>IFERROR(VLOOKUP(C227,'बँक जमा खर्च पासबुक'!$C$9:$R$111,2,0),"")</f>
        <v/>
      </c>
      <c r="E227" s="229" t="str">
        <f>IFERROR(VLOOKUP(C227,'बँक जमा खर्च पासबुक'!$C$9:$R$111,3,0),"")</f>
        <v/>
      </c>
      <c r="F227" s="229" t="str">
        <f>IFERROR(VLOOKUP(C227,'बँक जमा खर्च पासबुक'!$C$9:$R$111,4,0),"")</f>
        <v/>
      </c>
      <c r="G227" s="229" t="str">
        <f>IFERROR(VLOOKUP(C227,'बँक जमा खर्च पासबुक'!$C$9:$R$111,5,0),"")</f>
        <v/>
      </c>
      <c r="H227" s="229" t="str">
        <f>IFERROR(VLOOKUP(C227,'बँक जमा खर्च पासबुक'!$C$9:$R$111,6,0),"")</f>
        <v/>
      </c>
      <c r="I227" s="229" t="str">
        <f>IFERROR(VLOOKUP(C227,'बँक जमा खर्च पासबुक'!$C$9:$R$111,7,0),"")</f>
        <v/>
      </c>
      <c r="J227" s="233">
        <f>SUMIF('बँक जमा खर्च पासबुक'!$C$9:$C$111,'बँक खर्च व्हाउचर पावती'!C227,'बँक जमा खर्च पासबुक'!$J$9:$J$111)</f>
        <v>0</v>
      </c>
      <c r="K227" s="233">
        <f>SUMIF('बँक जमा खर्च पासबुक'!$C$9:$C$111,'बँक खर्च व्हाउचर पावती'!C227,'बँक जमा खर्च पासबुक'!$K$9:$K$111)</f>
        <v>0</v>
      </c>
      <c r="L227" s="233">
        <f ca="1">SUMIF('बँक जमा खर्च पासबुक'!$C$9:$C$111,'बँक खर्च व्हाउचर पावती'!C227,'बँक जमा खर्च पासबुक'!$L$9:$L$110)</f>
        <v>0</v>
      </c>
      <c r="M227" s="228">
        <f>SUMIF('बँक जमा खर्च पासबुक'!$C$9:$C$111,'बँक खर्च व्हाउचर पावती'!C227,'बँक जमा खर्च पासबुक'!$M$9:$M$111)</f>
        <v>0</v>
      </c>
      <c r="N227" s="233">
        <f t="shared" ca="1" si="157"/>
        <v>3000</v>
      </c>
      <c r="O227" s="228">
        <f t="shared" si="158"/>
        <v>3000</v>
      </c>
      <c r="P227" s="228">
        <f t="shared" ca="1" si="156"/>
        <v>6000</v>
      </c>
      <c r="Q227" s="399"/>
      <c r="AM227" s="380"/>
      <c r="AN227" s="380"/>
      <c r="AO227" s="380">
        <v>15</v>
      </c>
      <c r="AP227" s="261">
        <f t="shared" ca="1" si="172"/>
        <v>0</v>
      </c>
      <c r="AQ227" s="261">
        <f t="shared" ca="1" si="160"/>
        <v>0</v>
      </c>
      <c r="AR227" s="261">
        <f t="shared" ca="1" si="161"/>
        <v>0</v>
      </c>
      <c r="AS227" s="261">
        <f t="shared" ca="1" si="162"/>
        <v>0</v>
      </c>
      <c r="AT227" s="261">
        <f t="shared" ca="1" si="163"/>
        <v>0</v>
      </c>
      <c r="AU227" s="261">
        <f t="shared" ca="1" si="164"/>
        <v>0</v>
      </c>
      <c r="AV227" s="261">
        <f t="shared" ca="1" si="165"/>
        <v>0</v>
      </c>
      <c r="AW227" s="261">
        <f t="shared" ca="1" si="166"/>
        <v>0</v>
      </c>
      <c r="AX227" s="261">
        <f t="shared" ca="1" si="167"/>
        <v>0</v>
      </c>
      <c r="AY227" s="261">
        <f t="shared" ca="1" si="168"/>
        <v>0</v>
      </c>
      <c r="AZ227" s="261">
        <f t="shared" ca="1" si="169"/>
        <v>0</v>
      </c>
      <c r="BA227" s="261">
        <f t="shared" ca="1" si="170"/>
        <v>0</v>
      </c>
      <c r="BB227" s="261">
        <f t="shared" ca="1" si="171"/>
        <v>0</v>
      </c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</row>
    <row r="228" spans="1:72" ht="22.5" customHeight="1" x14ac:dyDescent="0.4">
      <c r="A228" s="399"/>
      <c r="B228" s="376">
        <v>220</v>
      </c>
      <c r="C228" s="310">
        <v>44141</v>
      </c>
      <c r="D228" s="229" t="str">
        <f>IFERROR(VLOOKUP(C228,'बँक जमा खर्च पासबुक'!$C$9:$R$111,2,0),"")</f>
        <v/>
      </c>
      <c r="E228" s="229" t="str">
        <f>IFERROR(VLOOKUP(C228,'बँक जमा खर्च पासबुक'!$C$9:$R$111,3,0),"")</f>
        <v/>
      </c>
      <c r="F228" s="229" t="str">
        <f>IFERROR(VLOOKUP(C228,'बँक जमा खर्च पासबुक'!$C$9:$R$111,4,0),"")</f>
        <v/>
      </c>
      <c r="G228" s="229" t="str">
        <f>IFERROR(VLOOKUP(C228,'बँक जमा खर्च पासबुक'!$C$9:$R$111,5,0),"")</f>
        <v/>
      </c>
      <c r="H228" s="229" t="str">
        <f>IFERROR(VLOOKUP(C228,'बँक जमा खर्च पासबुक'!$C$9:$R$111,6,0),"")</f>
        <v/>
      </c>
      <c r="I228" s="229" t="str">
        <f>IFERROR(VLOOKUP(C228,'बँक जमा खर्च पासबुक'!$C$9:$R$111,7,0),"")</f>
        <v/>
      </c>
      <c r="J228" s="233">
        <f>SUMIF('बँक जमा खर्च पासबुक'!$C$9:$C$111,'बँक खर्च व्हाउचर पावती'!C228,'बँक जमा खर्च पासबुक'!$J$9:$J$111)</f>
        <v>0</v>
      </c>
      <c r="K228" s="233">
        <f>SUMIF('बँक जमा खर्च पासबुक'!$C$9:$C$111,'बँक खर्च व्हाउचर पावती'!C228,'बँक जमा खर्च पासबुक'!$K$9:$K$111)</f>
        <v>0</v>
      </c>
      <c r="L228" s="233">
        <f ca="1">SUMIF('बँक जमा खर्च पासबुक'!$C$9:$C$111,'बँक खर्च व्हाउचर पावती'!C228,'बँक जमा खर्च पासबुक'!$L$9:$L$110)</f>
        <v>0</v>
      </c>
      <c r="M228" s="228">
        <f>SUMIF('बँक जमा खर्च पासबुक'!$C$9:$C$111,'बँक खर्च व्हाउचर पावती'!C228,'बँक जमा खर्च पासबुक'!$M$9:$M$111)</f>
        <v>0</v>
      </c>
      <c r="N228" s="233">
        <f t="shared" ca="1" si="157"/>
        <v>3000</v>
      </c>
      <c r="O228" s="228">
        <f t="shared" si="158"/>
        <v>3000</v>
      </c>
      <c r="P228" s="228">
        <f t="shared" ca="1" si="156"/>
        <v>6000</v>
      </c>
      <c r="Q228" s="399"/>
      <c r="AM228" s="380"/>
      <c r="AN228" s="380"/>
      <c r="AO228" s="380">
        <v>16</v>
      </c>
      <c r="AP228" s="261">
        <f t="shared" ca="1" si="172"/>
        <v>0</v>
      </c>
      <c r="AQ228" s="261">
        <f t="shared" ca="1" si="160"/>
        <v>0</v>
      </c>
      <c r="AR228" s="261">
        <f t="shared" ca="1" si="161"/>
        <v>0</v>
      </c>
      <c r="AS228" s="261">
        <f t="shared" ca="1" si="162"/>
        <v>0</v>
      </c>
      <c r="AT228" s="261">
        <f t="shared" ca="1" si="163"/>
        <v>0</v>
      </c>
      <c r="AU228" s="261">
        <f t="shared" ca="1" si="164"/>
        <v>0</v>
      </c>
      <c r="AV228" s="261">
        <f t="shared" ca="1" si="165"/>
        <v>0</v>
      </c>
      <c r="AW228" s="261">
        <f t="shared" ca="1" si="166"/>
        <v>0</v>
      </c>
      <c r="AX228" s="261">
        <f t="shared" ca="1" si="167"/>
        <v>0</v>
      </c>
      <c r="AY228" s="261">
        <f t="shared" ca="1" si="168"/>
        <v>0</v>
      </c>
      <c r="AZ228" s="261">
        <f t="shared" ca="1" si="169"/>
        <v>0</v>
      </c>
      <c r="BA228" s="261">
        <f t="shared" ca="1" si="170"/>
        <v>0</v>
      </c>
      <c r="BB228" s="261">
        <f t="shared" ca="1" si="171"/>
        <v>0</v>
      </c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</row>
    <row r="229" spans="1:72" ht="22.5" customHeight="1" x14ac:dyDescent="0.4">
      <c r="A229" s="399"/>
      <c r="B229" s="376">
        <v>221</v>
      </c>
      <c r="C229" s="310">
        <v>44142</v>
      </c>
      <c r="D229" s="229" t="str">
        <f>IFERROR(VLOOKUP(C229,'बँक जमा खर्च पासबुक'!$C$9:$R$111,2,0),"")</f>
        <v/>
      </c>
      <c r="E229" s="229" t="str">
        <f>IFERROR(VLOOKUP(C229,'बँक जमा खर्च पासबुक'!$C$9:$R$111,3,0),"")</f>
        <v/>
      </c>
      <c r="F229" s="229" t="str">
        <f>IFERROR(VLOOKUP(C229,'बँक जमा खर्च पासबुक'!$C$9:$R$111,4,0),"")</f>
        <v/>
      </c>
      <c r="G229" s="229" t="str">
        <f>IFERROR(VLOOKUP(C229,'बँक जमा खर्च पासबुक'!$C$9:$R$111,5,0),"")</f>
        <v/>
      </c>
      <c r="H229" s="229" t="str">
        <f>IFERROR(VLOOKUP(C229,'बँक जमा खर्च पासबुक'!$C$9:$R$111,6,0),"")</f>
        <v/>
      </c>
      <c r="I229" s="229" t="str">
        <f>IFERROR(VLOOKUP(C229,'बँक जमा खर्च पासबुक'!$C$9:$R$111,7,0),"")</f>
        <v/>
      </c>
      <c r="J229" s="233">
        <f>SUMIF('बँक जमा खर्च पासबुक'!$C$9:$C$111,'बँक खर्च व्हाउचर पावती'!C229,'बँक जमा खर्च पासबुक'!$J$9:$J$111)</f>
        <v>0</v>
      </c>
      <c r="K229" s="233">
        <f>SUMIF('बँक जमा खर्च पासबुक'!$C$9:$C$111,'बँक खर्च व्हाउचर पावती'!C229,'बँक जमा खर्च पासबुक'!$K$9:$K$111)</f>
        <v>0</v>
      </c>
      <c r="L229" s="233">
        <f ca="1">SUMIF('बँक जमा खर्च पासबुक'!$C$9:$C$111,'बँक खर्च व्हाउचर पावती'!C229,'बँक जमा खर्च पासबुक'!$L$9:$L$110)</f>
        <v>0</v>
      </c>
      <c r="M229" s="228">
        <f>SUMIF('बँक जमा खर्च पासबुक'!$C$9:$C$111,'बँक खर्च व्हाउचर पावती'!C229,'बँक जमा खर्च पासबुक'!$M$9:$M$111)</f>
        <v>0</v>
      </c>
      <c r="N229" s="233">
        <f t="shared" ca="1" si="157"/>
        <v>3000</v>
      </c>
      <c r="O229" s="228">
        <f t="shared" si="158"/>
        <v>3000</v>
      </c>
      <c r="P229" s="228">
        <f t="shared" ca="1" si="156"/>
        <v>6000</v>
      </c>
      <c r="Q229" s="399"/>
      <c r="AM229" s="380"/>
      <c r="AN229" s="380"/>
      <c r="AO229" s="380">
        <v>17</v>
      </c>
      <c r="AP229" s="261">
        <f t="shared" ca="1" si="172"/>
        <v>0</v>
      </c>
      <c r="AQ229" s="261">
        <f t="shared" ca="1" si="160"/>
        <v>0</v>
      </c>
      <c r="AR229" s="261">
        <f t="shared" ca="1" si="161"/>
        <v>0</v>
      </c>
      <c r="AS229" s="261">
        <f t="shared" ca="1" si="162"/>
        <v>0</v>
      </c>
      <c r="AT229" s="261">
        <f t="shared" ca="1" si="163"/>
        <v>0</v>
      </c>
      <c r="AU229" s="261">
        <f t="shared" ca="1" si="164"/>
        <v>0</v>
      </c>
      <c r="AV229" s="261">
        <f t="shared" ca="1" si="165"/>
        <v>0</v>
      </c>
      <c r="AW229" s="261">
        <f t="shared" ca="1" si="166"/>
        <v>0</v>
      </c>
      <c r="AX229" s="261">
        <f t="shared" ca="1" si="167"/>
        <v>0</v>
      </c>
      <c r="AY229" s="261">
        <f t="shared" ca="1" si="168"/>
        <v>0</v>
      </c>
      <c r="AZ229" s="261">
        <f t="shared" ca="1" si="169"/>
        <v>0</v>
      </c>
      <c r="BA229" s="261">
        <f t="shared" ca="1" si="170"/>
        <v>0</v>
      </c>
      <c r="BB229" s="261">
        <f t="shared" ca="1" si="171"/>
        <v>0</v>
      </c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</row>
    <row r="230" spans="1:72" ht="22.5" customHeight="1" x14ac:dyDescent="0.4">
      <c r="A230" s="399"/>
      <c r="B230" s="376">
        <v>222</v>
      </c>
      <c r="C230" s="310">
        <v>44143</v>
      </c>
      <c r="D230" s="229" t="str">
        <f>IFERROR(VLOOKUP(C230,'बँक जमा खर्च पासबुक'!$C$9:$R$111,2,0),"")</f>
        <v/>
      </c>
      <c r="E230" s="229" t="str">
        <f>IFERROR(VLOOKUP(C230,'बँक जमा खर्च पासबुक'!$C$9:$R$111,3,0),"")</f>
        <v/>
      </c>
      <c r="F230" s="229" t="str">
        <f>IFERROR(VLOOKUP(C230,'बँक जमा खर्च पासबुक'!$C$9:$R$111,4,0),"")</f>
        <v/>
      </c>
      <c r="G230" s="229" t="str">
        <f>IFERROR(VLOOKUP(C230,'बँक जमा खर्च पासबुक'!$C$9:$R$111,5,0),"")</f>
        <v/>
      </c>
      <c r="H230" s="229" t="str">
        <f>IFERROR(VLOOKUP(C230,'बँक जमा खर्च पासबुक'!$C$9:$R$111,6,0),"")</f>
        <v/>
      </c>
      <c r="I230" s="229" t="str">
        <f>IFERROR(VLOOKUP(C230,'बँक जमा खर्च पासबुक'!$C$9:$R$111,7,0),"")</f>
        <v/>
      </c>
      <c r="J230" s="233">
        <f>SUMIF('बँक जमा खर्च पासबुक'!$C$9:$C$111,'बँक खर्च व्हाउचर पावती'!C230,'बँक जमा खर्च पासबुक'!$J$9:$J$111)</f>
        <v>0</v>
      </c>
      <c r="K230" s="233">
        <f>SUMIF('बँक जमा खर्च पासबुक'!$C$9:$C$111,'बँक खर्च व्हाउचर पावती'!C230,'बँक जमा खर्च पासबुक'!$K$9:$K$111)</f>
        <v>0</v>
      </c>
      <c r="L230" s="233">
        <f ca="1">SUMIF('बँक जमा खर्च पासबुक'!$C$9:$C$111,'बँक खर्च व्हाउचर पावती'!C230,'बँक जमा खर्च पासबुक'!$L$9:$L$110)</f>
        <v>0</v>
      </c>
      <c r="M230" s="228">
        <f>SUMIF('बँक जमा खर्च पासबुक'!$C$9:$C$111,'बँक खर्च व्हाउचर पावती'!C230,'बँक जमा खर्च पासबुक'!$M$9:$M$111)</f>
        <v>0</v>
      </c>
      <c r="N230" s="233">
        <f t="shared" ca="1" si="157"/>
        <v>3000</v>
      </c>
      <c r="O230" s="228">
        <f t="shared" si="158"/>
        <v>3000</v>
      </c>
      <c r="P230" s="228">
        <f t="shared" ca="1" si="156"/>
        <v>6000</v>
      </c>
      <c r="Q230" s="399"/>
      <c r="AM230" s="380"/>
      <c r="AN230" s="380"/>
      <c r="AO230" s="380">
        <v>18</v>
      </c>
      <c r="AP230" s="261">
        <f t="shared" ca="1" si="172"/>
        <v>0</v>
      </c>
      <c r="AQ230" s="261">
        <f t="shared" ca="1" si="160"/>
        <v>0</v>
      </c>
      <c r="AR230" s="261">
        <f t="shared" ca="1" si="161"/>
        <v>0</v>
      </c>
      <c r="AS230" s="261">
        <f t="shared" ca="1" si="162"/>
        <v>0</v>
      </c>
      <c r="AT230" s="261">
        <f t="shared" ca="1" si="163"/>
        <v>0</v>
      </c>
      <c r="AU230" s="261">
        <f t="shared" ca="1" si="164"/>
        <v>0</v>
      </c>
      <c r="AV230" s="261">
        <f t="shared" ca="1" si="165"/>
        <v>0</v>
      </c>
      <c r="AW230" s="261">
        <f t="shared" ca="1" si="166"/>
        <v>0</v>
      </c>
      <c r="AX230" s="261">
        <f t="shared" ca="1" si="167"/>
        <v>0</v>
      </c>
      <c r="AY230" s="261">
        <f t="shared" ca="1" si="168"/>
        <v>0</v>
      </c>
      <c r="AZ230" s="261">
        <f t="shared" ca="1" si="169"/>
        <v>0</v>
      </c>
      <c r="BA230" s="261">
        <f t="shared" ca="1" si="170"/>
        <v>0</v>
      </c>
      <c r="BB230" s="261">
        <f t="shared" ca="1" si="171"/>
        <v>0</v>
      </c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</row>
    <row r="231" spans="1:72" ht="22.5" customHeight="1" x14ac:dyDescent="0.4">
      <c r="A231" s="399"/>
      <c r="B231" s="376">
        <v>223</v>
      </c>
      <c r="C231" s="310">
        <v>44144</v>
      </c>
      <c r="D231" s="229" t="str">
        <f>IFERROR(VLOOKUP(C231,'बँक जमा खर्च पासबुक'!$C$9:$R$111,2,0),"")</f>
        <v/>
      </c>
      <c r="E231" s="229" t="str">
        <f>IFERROR(VLOOKUP(C231,'बँक जमा खर्च पासबुक'!$C$9:$R$111,3,0),"")</f>
        <v/>
      </c>
      <c r="F231" s="229" t="str">
        <f>IFERROR(VLOOKUP(C231,'बँक जमा खर्च पासबुक'!$C$9:$R$111,4,0),"")</f>
        <v/>
      </c>
      <c r="G231" s="229" t="str">
        <f>IFERROR(VLOOKUP(C231,'बँक जमा खर्च पासबुक'!$C$9:$R$111,5,0),"")</f>
        <v/>
      </c>
      <c r="H231" s="229" t="str">
        <f>IFERROR(VLOOKUP(C231,'बँक जमा खर्च पासबुक'!$C$9:$R$111,6,0),"")</f>
        <v/>
      </c>
      <c r="I231" s="229" t="str">
        <f>IFERROR(VLOOKUP(C231,'बँक जमा खर्च पासबुक'!$C$9:$R$111,7,0),"")</f>
        <v/>
      </c>
      <c r="J231" s="233">
        <f>SUMIF('बँक जमा खर्च पासबुक'!$C$9:$C$111,'बँक खर्च व्हाउचर पावती'!C231,'बँक जमा खर्च पासबुक'!$J$9:$J$111)</f>
        <v>0</v>
      </c>
      <c r="K231" s="233">
        <f>SUMIF('बँक जमा खर्च पासबुक'!$C$9:$C$111,'बँक खर्च व्हाउचर पावती'!C231,'बँक जमा खर्च पासबुक'!$K$9:$K$111)</f>
        <v>0</v>
      </c>
      <c r="L231" s="233">
        <f ca="1">SUMIF('बँक जमा खर्च पासबुक'!$C$9:$C$111,'बँक खर्च व्हाउचर पावती'!C231,'बँक जमा खर्च पासबुक'!$L$9:$L$110)</f>
        <v>0</v>
      </c>
      <c r="M231" s="228">
        <f>SUMIF('बँक जमा खर्च पासबुक'!$C$9:$C$111,'बँक खर्च व्हाउचर पावती'!C231,'बँक जमा खर्च पासबुक'!$M$9:$M$111)</f>
        <v>0</v>
      </c>
      <c r="N231" s="233">
        <f t="shared" ca="1" si="157"/>
        <v>3000</v>
      </c>
      <c r="O231" s="228">
        <f t="shared" si="158"/>
        <v>3000</v>
      </c>
      <c r="P231" s="228">
        <f t="shared" ca="1" si="156"/>
        <v>6000</v>
      </c>
      <c r="Q231" s="399"/>
      <c r="AM231" s="380"/>
      <c r="AN231" s="380"/>
      <c r="AO231" s="380">
        <v>19</v>
      </c>
      <c r="AP231" s="261">
        <f t="shared" ca="1" si="172"/>
        <v>0</v>
      </c>
      <c r="AQ231" s="261">
        <f t="shared" ca="1" si="160"/>
        <v>0</v>
      </c>
      <c r="AR231" s="261">
        <f t="shared" ca="1" si="161"/>
        <v>0</v>
      </c>
      <c r="AS231" s="261">
        <f t="shared" ca="1" si="162"/>
        <v>0</v>
      </c>
      <c r="AT231" s="261">
        <f t="shared" ca="1" si="163"/>
        <v>0</v>
      </c>
      <c r="AU231" s="261">
        <f t="shared" ca="1" si="164"/>
        <v>0</v>
      </c>
      <c r="AV231" s="261">
        <f t="shared" ca="1" si="165"/>
        <v>0</v>
      </c>
      <c r="AW231" s="261">
        <f t="shared" ca="1" si="166"/>
        <v>0</v>
      </c>
      <c r="AX231" s="261">
        <f t="shared" ca="1" si="167"/>
        <v>0</v>
      </c>
      <c r="AY231" s="261">
        <f t="shared" ca="1" si="168"/>
        <v>0</v>
      </c>
      <c r="AZ231" s="261">
        <f t="shared" ca="1" si="169"/>
        <v>0</v>
      </c>
      <c r="BA231" s="261">
        <f t="shared" ca="1" si="170"/>
        <v>0</v>
      </c>
      <c r="BB231" s="261">
        <f t="shared" ca="1" si="171"/>
        <v>0</v>
      </c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</row>
    <row r="232" spans="1:72" ht="22.5" customHeight="1" x14ac:dyDescent="0.4">
      <c r="A232" s="399"/>
      <c r="B232" s="376">
        <v>224</v>
      </c>
      <c r="C232" s="310">
        <v>44145</v>
      </c>
      <c r="D232" s="229" t="str">
        <f>IFERROR(VLOOKUP(C232,'बँक जमा खर्च पासबुक'!$C$9:$R$111,2,0),"")</f>
        <v/>
      </c>
      <c r="E232" s="229" t="str">
        <f>IFERROR(VLOOKUP(C232,'बँक जमा खर्च पासबुक'!$C$9:$R$111,3,0),"")</f>
        <v/>
      </c>
      <c r="F232" s="229" t="str">
        <f>IFERROR(VLOOKUP(C232,'बँक जमा खर्च पासबुक'!$C$9:$R$111,4,0),"")</f>
        <v/>
      </c>
      <c r="G232" s="229" t="str">
        <f>IFERROR(VLOOKUP(C232,'बँक जमा खर्च पासबुक'!$C$9:$R$111,5,0),"")</f>
        <v/>
      </c>
      <c r="H232" s="229" t="str">
        <f>IFERROR(VLOOKUP(C232,'बँक जमा खर्च पासबुक'!$C$9:$R$111,6,0),"")</f>
        <v/>
      </c>
      <c r="I232" s="229" t="str">
        <f>IFERROR(VLOOKUP(C232,'बँक जमा खर्च पासबुक'!$C$9:$R$111,7,0),"")</f>
        <v/>
      </c>
      <c r="J232" s="233">
        <f>SUMIF('बँक जमा खर्च पासबुक'!$C$9:$C$111,'बँक खर्च व्हाउचर पावती'!C232,'बँक जमा खर्च पासबुक'!$J$9:$J$111)</f>
        <v>0</v>
      </c>
      <c r="K232" s="233">
        <f>SUMIF('बँक जमा खर्च पासबुक'!$C$9:$C$111,'बँक खर्च व्हाउचर पावती'!C232,'बँक जमा खर्च पासबुक'!$K$9:$K$111)</f>
        <v>0</v>
      </c>
      <c r="L232" s="233">
        <f ca="1">SUMIF('बँक जमा खर्च पासबुक'!$C$9:$C$111,'बँक खर्च व्हाउचर पावती'!C232,'बँक जमा खर्च पासबुक'!$L$9:$L$110)</f>
        <v>0</v>
      </c>
      <c r="M232" s="228">
        <f>SUMIF('बँक जमा खर्च पासबुक'!$C$9:$C$111,'बँक खर्च व्हाउचर पावती'!C232,'बँक जमा खर्च पासबुक'!$M$9:$M$111)</f>
        <v>0</v>
      </c>
      <c r="N232" s="233">
        <f t="shared" ca="1" si="157"/>
        <v>3000</v>
      </c>
      <c r="O232" s="228">
        <f t="shared" si="158"/>
        <v>3000</v>
      </c>
      <c r="P232" s="228">
        <f t="shared" ca="1" si="156"/>
        <v>6000</v>
      </c>
      <c r="Q232" s="399"/>
      <c r="AM232" s="380"/>
      <c r="AN232" s="380"/>
      <c r="AO232" s="380">
        <v>20</v>
      </c>
      <c r="AP232" s="261">
        <f t="shared" ca="1" si="172"/>
        <v>0</v>
      </c>
      <c r="AQ232" s="261">
        <f t="shared" ca="1" si="160"/>
        <v>0</v>
      </c>
      <c r="AR232" s="261">
        <f t="shared" ca="1" si="161"/>
        <v>0</v>
      </c>
      <c r="AS232" s="261">
        <f t="shared" ca="1" si="162"/>
        <v>0</v>
      </c>
      <c r="AT232" s="261">
        <f t="shared" ca="1" si="163"/>
        <v>0</v>
      </c>
      <c r="AU232" s="261">
        <f t="shared" ca="1" si="164"/>
        <v>0</v>
      </c>
      <c r="AV232" s="261">
        <f t="shared" ca="1" si="165"/>
        <v>0</v>
      </c>
      <c r="AW232" s="261">
        <f t="shared" ca="1" si="166"/>
        <v>0</v>
      </c>
      <c r="AX232" s="261">
        <f t="shared" ca="1" si="167"/>
        <v>0</v>
      </c>
      <c r="AY232" s="261">
        <f t="shared" ca="1" si="168"/>
        <v>0</v>
      </c>
      <c r="AZ232" s="261">
        <f t="shared" ca="1" si="169"/>
        <v>0</v>
      </c>
      <c r="BA232" s="261">
        <f t="shared" ca="1" si="170"/>
        <v>0</v>
      </c>
      <c r="BB232" s="261">
        <f t="shared" ca="1" si="171"/>
        <v>0</v>
      </c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</row>
    <row r="233" spans="1:72" ht="22.5" customHeight="1" x14ac:dyDescent="0.4">
      <c r="A233" s="399"/>
      <c r="B233" s="376">
        <v>225</v>
      </c>
      <c r="C233" s="310">
        <v>44146</v>
      </c>
      <c r="D233" s="229" t="str">
        <f>IFERROR(VLOOKUP(C233,'बँक जमा खर्च पासबुक'!$C$9:$R$111,2,0),"")</f>
        <v/>
      </c>
      <c r="E233" s="229" t="str">
        <f>IFERROR(VLOOKUP(C233,'बँक जमा खर्च पासबुक'!$C$9:$R$111,3,0),"")</f>
        <v/>
      </c>
      <c r="F233" s="229" t="str">
        <f>IFERROR(VLOOKUP(C233,'बँक जमा खर्च पासबुक'!$C$9:$R$111,4,0),"")</f>
        <v/>
      </c>
      <c r="G233" s="229" t="str">
        <f>IFERROR(VLOOKUP(C233,'बँक जमा खर्च पासबुक'!$C$9:$R$111,5,0),"")</f>
        <v/>
      </c>
      <c r="H233" s="229" t="str">
        <f>IFERROR(VLOOKUP(C233,'बँक जमा खर्च पासबुक'!$C$9:$R$111,6,0),"")</f>
        <v/>
      </c>
      <c r="I233" s="229" t="str">
        <f>IFERROR(VLOOKUP(C233,'बँक जमा खर्च पासबुक'!$C$9:$R$111,7,0),"")</f>
        <v/>
      </c>
      <c r="J233" s="233">
        <f>SUMIF('बँक जमा खर्च पासबुक'!$C$9:$C$111,'बँक खर्च व्हाउचर पावती'!C233,'बँक जमा खर्च पासबुक'!$J$9:$J$111)</f>
        <v>0</v>
      </c>
      <c r="K233" s="233">
        <f>SUMIF('बँक जमा खर्च पासबुक'!$C$9:$C$111,'बँक खर्च व्हाउचर पावती'!C233,'बँक जमा खर्च पासबुक'!$K$9:$K$111)</f>
        <v>0</v>
      </c>
      <c r="L233" s="233">
        <f ca="1">SUMIF('बँक जमा खर्च पासबुक'!$C$9:$C$111,'बँक खर्च व्हाउचर पावती'!C233,'बँक जमा खर्च पासबुक'!$L$9:$L$110)</f>
        <v>0</v>
      </c>
      <c r="M233" s="228">
        <f>SUMIF('बँक जमा खर्च पासबुक'!$C$9:$C$111,'बँक खर्च व्हाउचर पावती'!C233,'बँक जमा खर्च पासबुक'!$M$9:$M$111)</f>
        <v>0</v>
      </c>
      <c r="N233" s="233">
        <f t="shared" ca="1" si="157"/>
        <v>3000</v>
      </c>
      <c r="O233" s="228">
        <f t="shared" si="158"/>
        <v>3000</v>
      </c>
      <c r="P233" s="228">
        <f t="shared" ca="1" si="156"/>
        <v>6000</v>
      </c>
      <c r="Q233" s="399"/>
      <c r="AM233" s="380"/>
      <c r="AN233" s="380"/>
      <c r="AO233" s="380">
        <v>21</v>
      </c>
      <c r="AP233" s="261">
        <f t="shared" ca="1" si="172"/>
        <v>0</v>
      </c>
      <c r="AQ233" s="261">
        <f t="shared" ca="1" si="160"/>
        <v>0</v>
      </c>
      <c r="AR233" s="261">
        <f t="shared" ca="1" si="161"/>
        <v>0</v>
      </c>
      <c r="AS233" s="261">
        <f t="shared" ca="1" si="162"/>
        <v>0</v>
      </c>
      <c r="AT233" s="261">
        <f t="shared" ca="1" si="163"/>
        <v>0</v>
      </c>
      <c r="AU233" s="261">
        <f t="shared" ca="1" si="164"/>
        <v>0</v>
      </c>
      <c r="AV233" s="261">
        <f t="shared" ca="1" si="165"/>
        <v>0</v>
      </c>
      <c r="AW233" s="261">
        <f t="shared" ca="1" si="166"/>
        <v>0</v>
      </c>
      <c r="AX233" s="261">
        <f t="shared" ca="1" si="167"/>
        <v>0</v>
      </c>
      <c r="AY233" s="261">
        <f t="shared" ca="1" si="168"/>
        <v>0</v>
      </c>
      <c r="AZ233" s="261">
        <f t="shared" ca="1" si="169"/>
        <v>0</v>
      </c>
      <c r="BA233" s="261">
        <f t="shared" ca="1" si="170"/>
        <v>0</v>
      </c>
      <c r="BB233" s="261">
        <f t="shared" ca="1" si="171"/>
        <v>0</v>
      </c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</row>
    <row r="234" spans="1:72" ht="22.5" customHeight="1" x14ac:dyDescent="0.4">
      <c r="A234" s="399"/>
      <c r="B234" s="376">
        <v>226</v>
      </c>
      <c r="C234" s="310">
        <v>44147</v>
      </c>
      <c r="D234" s="229" t="str">
        <f>IFERROR(VLOOKUP(C234,'बँक जमा खर्च पासबुक'!$C$9:$R$111,2,0),"")</f>
        <v/>
      </c>
      <c r="E234" s="229" t="str">
        <f>IFERROR(VLOOKUP(C234,'बँक जमा खर्च पासबुक'!$C$9:$R$111,3,0),"")</f>
        <v/>
      </c>
      <c r="F234" s="229" t="str">
        <f>IFERROR(VLOOKUP(C234,'बँक जमा खर्च पासबुक'!$C$9:$R$111,4,0),"")</f>
        <v/>
      </c>
      <c r="G234" s="229" t="str">
        <f>IFERROR(VLOOKUP(C234,'बँक जमा खर्च पासबुक'!$C$9:$R$111,5,0),"")</f>
        <v/>
      </c>
      <c r="H234" s="229" t="str">
        <f>IFERROR(VLOOKUP(C234,'बँक जमा खर्च पासबुक'!$C$9:$R$111,6,0),"")</f>
        <v/>
      </c>
      <c r="I234" s="229" t="str">
        <f>IFERROR(VLOOKUP(C234,'बँक जमा खर्च पासबुक'!$C$9:$R$111,7,0),"")</f>
        <v/>
      </c>
      <c r="J234" s="233">
        <f>SUMIF('बँक जमा खर्च पासबुक'!$C$9:$C$111,'बँक खर्च व्हाउचर पावती'!C234,'बँक जमा खर्च पासबुक'!$J$9:$J$111)</f>
        <v>0</v>
      </c>
      <c r="K234" s="233">
        <f>SUMIF('बँक जमा खर्च पासबुक'!$C$9:$C$111,'बँक खर्च व्हाउचर पावती'!C234,'बँक जमा खर्च पासबुक'!$K$9:$K$111)</f>
        <v>0</v>
      </c>
      <c r="L234" s="233">
        <f ca="1">SUMIF('बँक जमा खर्च पासबुक'!$C$9:$C$111,'बँक खर्च व्हाउचर पावती'!C234,'बँक जमा खर्च पासबुक'!$L$9:$L$110)</f>
        <v>0</v>
      </c>
      <c r="M234" s="228">
        <f>SUMIF('बँक जमा खर्च पासबुक'!$C$9:$C$111,'बँक खर्च व्हाउचर पावती'!C234,'बँक जमा खर्च पासबुक'!$M$9:$M$111)</f>
        <v>0</v>
      </c>
      <c r="N234" s="233">
        <f t="shared" ca="1" si="157"/>
        <v>3000</v>
      </c>
      <c r="O234" s="228">
        <f t="shared" si="158"/>
        <v>3000</v>
      </c>
      <c r="P234" s="228">
        <f t="shared" ca="1" si="156"/>
        <v>6000</v>
      </c>
      <c r="Q234" s="399"/>
      <c r="AM234" s="380"/>
      <c r="AN234" s="380"/>
      <c r="AO234" s="380">
        <v>22</v>
      </c>
      <c r="AP234" s="261">
        <f t="shared" ca="1" si="172"/>
        <v>0</v>
      </c>
      <c r="AQ234" s="261">
        <f t="shared" ca="1" si="160"/>
        <v>0</v>
      </c>
      <c r="AR234" s="261">
        <f t="shared" ca="1" si="161"/>
        <v>0</v>
      </c>
      <c r="AS234" s="261">
        <f t="shared" ca="1" si="162"/>
        <v>0</v>
      </c>
      <c r="AT234" s="261">
        <f t="shared" ca="1" si="163"/>
        <v>0</v>
      </c>
      <c r="AU234" s="261">
        <f t="shared" ca="1" si="164"/>
        <v>0</v>
      </c>
      <c r="AV234" s="261">
        <f t="shared" ca="1" si="165"/>
        <v>0</v>
      </c>
      <c r="AW234" s="261">
        <f t="shared" ca="1" si="166"/>
        <v>0</v>
      </c>
      <c r="AX234" s="261">
        <f t="shared" ca="1" si="167"/>
        <v>0</v>
      </c>
      <c r="AY234" s="261">
        <f t="shared" ca="1" si="168"/>
        <v>0</v>
      </c>
      <c r="AZ234" s="261">
        <f t="shared" ca="1" si="169"/>
        <v>0</v>
      </c>
      <c r="BA234" s="261">
        <f t="shared" ca="1" si="170"/>
        <v>0</v>
      </c>
      <c r="BB234" s="261">
        <f t="shared" ca="1" si="171"/>
        <v>0</v>
      </c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</row>
    <row r="235" spans="1:72" ht="22.5" customHeight="1" x14ac:dyDescent="0.4">
      <c r="A235" s="399"/>
      <c r="B235" s="376">
        <v>227</v>
      </c>
      <c r="C235" s="310">
        <v>44148</v>
      </c>
      <c r="D235" s="229" t="str">
        <f>IFERROR(VLOOKUP(C235,'बँक जमा खर्च पासबुक'!$C$9:$R$111,2,0),"")</f>
        <v/>
      </c>
      <c r="E235" s="229" t="str">
        <f>IFERROR(VLOOKUP(C235,'बँक जमा खर्च पासबुक'!$C$9:$R$111,3,0),"")</f>
        <v/>
      </c>
      <c r="F235" s="229" t="str">
        <f>IFERROR(VLOOKUP(C235,'बँक जमा खर्च पासबुक'!$C$9:$R$111,4,0),"")</f>
        <v/>
      </c>
      <c r="G235" s="229" t="str">
        <f>IFERROR(VLOOKUP(C235,'बँक जमा खर्च पासबुक'!$C$9:$R$111,5,0),"")</f>
        <v/>
      </c>
      <c r="H235" s="229" t="str">
        <f>IFERROR(VLOOKUP(C235,'बँक जमा खर्च पासबुक'!$C$9:$R$111,6,0),"")</f>
        <v/>
      </c>
      <c r="I235" s="229" t="str">
        <f>IFERROR(VLOOKUP(C235,'बँक जमा खर्च पासबुक'!$C$9:$R$111,7,0),"")</f>
        <v/>
      </c>
      <c r="J235" s="233">
        <f>SUMIF('बँक जमा खर्च पासबुक'!$C$9:$C$111,'बँक खर्च व्हाउचर पावती'!C235,'बँक जमा खर्च पासबुक'!$J$9:$J$111)</f>
        <v>0</v>
      </c>
      <c r="K235" s="233">
        <f>SUMIF('बँक जमा खर्च पासबुक'!$C$9:$C$111,'बँक खर्च व्हाउचर पावती'!C235,'बँक जमा खर्च पासबुक'!$K$9:$K$111)</f>
        <v>0</v>
      </c>
      <c r="L235" s="233">
        <f ca="1">SUMIF('बँक जमा खर्च पासबुक'!$C$9:$C$111,'बँक खर्च व्हाउचर पावती'!C235,'बँक जमा खर्च पासबुक'!$L$9:$L$110)</f>
        <v>0</v>
      </c>
      <c r="M235" s="228">
        <f>SUMIF('बँक जमा खर्च पासबुक'!$C$9:$C$111,'बँक खर्च व्हाउचर पावती'!C235,'बँक जमा खर्च पासबुक'!$M$9:$M$111)</f>
        <v>0</v>
      </c>
      <c r="N235" s="233">
        <f t="shared" ca="1" si="157"/>
        <v>3000</v>
      </c>
      <c r="O235" s="228">
        <f t="shared" si="158"/>
        <v>3000</v>
      </c>
      <c r="P235" s="228">
        <f t="shared" ca="1" si="156"/>
        <v>6000</v>
      </c>
      <c r="Q235" s="399"/>
      <c r="AM235" s="380"/>
      <c r="AN235" s="380"/>
      <c r="AO235" s="380">
        <v>23</v>
      </c>
      <c r="AP235" s="261">
        <f t="shared" ca="1" si="172"/>
        <v>0</v>
      </c>
      <c r="AQ235" s="261">
        <f t="shared" ca="1" si="160"/>
        <v>0</v>
      </c>
      <c r="AR235" s="261">
        <f t="shared" ca="1" si="161"/>
        <v>0</v>
      </c>
      <c r="AS235" s="261">
        <f t="shared" ca="1" si="162"/>
        <v>0</v>
      </c>
      <c r="AT235" s="261">
        <f t="shared" ca="1" si="163"/>
        <v>0</v>
      </c>
      <c r="AU235" s="261">
        <f t="shared" ca="1" si="164"/>
        <v>0</v>
      </c>
      <c r="AV235" s="261">
        <f t="shared" ca="1" si="165"/>
        <v>0</v>
      </c>
      <c r="AW235" s="261">
        <f t="shared" ca="1" si="166"/>
        <v>0</v>
      </c>
      <c r="AX235" s="261">
        <f t="shared" ca="1" si="167"/>
        <v>0</v>
      </c>
      <c r="AY235" s="261">
        <f t="shared" ca="1" si="168"/>
        <v>0</v>
      </c>
      <c r="AZ235" s="261">
        <f t="shared" ca="1" si="169"/>
        <v>0</v>
      </c>
      <c r="BA235" s="261">
        <f t="shared" ca="1" si="170"/>
        <v>0</v>
      </c>
      <c r="BB235" s="261">
        <f t="shared" ca="1" si="171"/>
        <v>0</v>
      </c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</row>
    <row r="236" spans="1:72" ht="22.5" customHeight="1" x14ac:dyDescent="0.4">
      <c r="A236" s="399"/>
      <c r="B236" s="376">
        <v>228</v>
      </c>
      <c r="C236" s="310">
        <v>44149</v>
      </c>
      <c r="D236" s="229" t="str">
        <f>IFERROR(VLOOKUP(C236,'बँक जमा खर्च पासबुक'!$C$9:$R$111,2,0),"")</f>
        <v/>
      </c>
      <c r="E236" s="229" t="str">
        <f>IFERROR(VLOOKUP(C236,'बँक जमा खर्च पासबुक'!$C$9:$R$111,3,0),"")</f>
        <v/>
      </c>
      <c r="F236" s="229" t="str">
        <f>IFERROR(VLOOKUP(C236,'बँक जमा खर्च पासबुक'!$C$9:$R$111,4,0),"")</f>
        <v/>
      </c>
      <c r="G236" s="229" t="str">
        <f>IFERROR(VLOOKUP(C236,'बँक जमा खर्च पासबुक'!$C$9:$R$111,5,0),"")</f>
        <v/>
      </c>
      <c r="H236" s="229" t="str">
        <f>IFERROR(VLOOKUP(C236,'बँक जमा खर्च पासबुक'!$C$9:$R$111,6,0),"")</f>
        <v/>
      </c>
      <c r="I236" s="229" t="str">
        <f>IFERROR(VLOOKUP(C236,'बँक जमा खर्च पासबुक'!$C$9:$R$111,7,0),"")</f>
        <v/>
      </c>
      <c r="J236" s="233">
        <f>SUMIF('बँक जमा खर्च पासबुक'!$C$9:$C$111,'बँक खर्च व्हाउचर पावती'!C236,'बँक जमा खर्च पासबुक'!$J$9:$J$111)</f>
        <v>0</v>
      </c>
      <c r="K236" s="233">
        <f>SUMIF('बँक जमा खर्च पासबुक'!$C$9:$C$111,'बँक खर्च व्हाउचर पावती'!C236,'बँक जमा खर्च पासबुक'!$K$9:$K$111)</f>
        <v>0</v>
      </c>
      <c r="L236" s="233">
        <f ca="1">SUMIF('बँक जमा खर्च पासबुक'!$C$9:$C$111,'बँक खर्च व्हाउचर पावती'!C236,'बँक जमा खर्च पासबुक'!$L$9:$L$110)</f>
        <v>0</v>
      </c>
      <c r="M236" s="228">
        <f>SUMIF('बँक जमा खर्च पासबुक'!$C$9:$C$111,'बँक खर्च व्हाउचर पावती'!C236,'बँक जमा खर्च पासबुक'!$M$9:$M$111)</f>
        <v>0</v>
      </c>
      <c r="N236" s="233">
        <f t="shared" ca="1" si="157"/>
        <v>3000</v>
      </c>
      <c r="O236" s="228">
        <f t="shared" si="158"/>
        <v>3000</v>
      </c>
      <c r="P236" s="228">
        <f t="shared" ca="1" si="156"/>
        <v>6000</v>
      </c>
      <c r="Q236" s="399"/>
      <c r="AM236" s="380"/>
      <c r="AN236" s="380"/>
      <c r="AO236" s="380">
        <v>24</v>
      </c>
      <c r="AP236" s="261">
        <f t="shared" ca="1" si="172"/>
        <v>0</v>
      </c>
      <c r="AQ236" s="261">
        <f t="shared" ca="1" si="160"/>
        <v>0</v>
      </c>
      <c r="AR236" s="261">
        <f t="shared" ca="1" si="161"/>
        <v>0</v>
      </c>
      <c r="AS236" s="261">
        <f t="shared" ca="1" si="162"/>
        <v>0</v>
      </c>
      <c r="AT236" s="261">
        <f t="shared" ca="1" si="163"/>
        <v>0</v>
      </c>
      <c r="AU236" s="261">
        <f t="shared" ca="1" si="164"/>
        <v>0</v>
      </c>
      <c r="AV236" s="261">
        <f t="shared" ca="1" si="165"/>
        <v>0</v>
      </c>
      <c r="AW236" s="261">
        <f t="shared" ca="1" si="166"/>
        <v>0</v>
      </c>
      <c r="AX236" s="261">
        <f t="shared" ca="1" si="167"/>
        <v>0</v>
      </c>
      <c r="AY236" s="261">
        <f t="shared" ca="1" si="168"/>
        <v>0</v>
      </c>
      <c r="AZ236" s="261">
        <f t="shared" ca="1" si="169"/>
        <v>0</v>
      </c>
      <c r="BA236" s="261">
        <f t="shared" ca="1" si="170"/>
        <v>0</v>
      </c>
      <c r="BB236" s="261">
        <f t="shared" ca="1" si="171"/>
        <v>0</v>
      </c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</row>
    <row r="237" spans="1:72" ht="22.5" customHeight="1" x14ac:dyDescent="0.4">
      <c r="A237" s="399"/>
      <c r="B237" s="376">
        <v>229</v>
      </c>
      <c r="C237" s="310">
        <v>44150</v>
      </c>
      <c r="D237" s="229" t="str">
        <f>IFERROR(VLOOKUP(C237,'बँक जमा खर्च पासबुक'!$C$9:$R$111,2,0),"")</f>
        <v/>
      </c>
      <c r="E237" s="229" t="str">
        <f>IFERROR(VLOOKUP(C237,'बँक जमा खर्च पासबुक'!$C$9:$R$111,3,0),"")</f>
        <v/>
      </c>
      <c r="F237" s="229" t="str">
        <f>IFERROR(VLOOKUP(C237,'बँक जमा खर्च पासबुक'!$C$9:$R$111,4,0),"")</f>
        <v/>
      </c>
      <c r="G237" s="229" t="str">
        <f>IFERROR(VLOOKUP(C237,'बँक जमा खर्च पासबुक'!$C$9:$R$111,5,0),"")</f>
        <v/>
      </c>
      <c r="H237" s="229" t="str">
        <f>IFERROR(VLOOKUP(C237,'बँक जमा खर्च पासबुक'!$C$9:$R$111,6,0),"")</f>
        <v/>
      </c>
      <c r="I237" s="229" t="str">
        <f>IFERROR(VLOOKUP(C237,'बँक जमा खर्च पासबुक'!$C$9:$R$111,7,0),"")</f>
        <v/>
      </c>
      <c r="J237" s="233">
        <f>SUMIF('बँक जमा खर्च पासबुक'!$C$9:$C$111,'बँक खर्च व्हाउचर पावती'!C237,'बँक जमा खर्च पासबुक'!$J$9:$J$111)</f>
        <v>0</v>
      </c>
      <c r="K237" s="233">
        <f>SUMIF('बँक जमा खर्च पासबुक'!$C$9:$C$111,'बँक खर्च व्हाउचर पावती'!C237,'बँक जमा खर्च पासबुक'!$K$9:$K$111)</f>
        <v>0</v>
      </c>
      <c r="L237" s="233">
        <f ca="1">SUMIF('बँक जमा खर्च पासबुक'!$C$9:$C$111,'बँक खर्च व्हाउचर पावती'!C237,'बँक जमा खर्च पासबुक'!$L$9:$L$110)</f>
        <v>0</v>
      </c>
      <c r="M237" s="228">
        <f>SUMIF('बँक जमा खर्च पासबुक'!$C$9:$C$111,'बँक खर्च व्हाउचर पावती'!C237,'बँक जमा खर्च पासबुक'!$M$9:$M$111)</f>
        <v>0</v>
      </c>
      <c r="N237" s="233">
        <f t="shared" ca="1" si="157"/>
        <v>3000</v>
      </c>
      <c r="O237" s="228">
        <f t="shared" si="158"/>
        <v>3000</v>
      </c>
      <c r="P237" s="228">
        <f t="shared" ca="1" si="156"/>
        <v>6000</v>
      </c>
      <c r="Q237" s="399"/>
      <c r="AM237" s="380"/>
      <c r="AN237" s="380"/>
      <c r="AO237" s="380">
        <v>25</v>
      </c>
      <c r="AP237" s="261">
        <f t="shared" ca="1" si="172"/>
        <v>0</v>
      </c>
      <c r="AQ237" s="261">
        <f t="shared" ca="1" si="160"/>
        <v>0</v>
      </c>
      <c r="AR237" s="261">
        <f t="shared" ca="1" si="161"/>
        <v>0</v>
      </c>
      <c r="AS237" s="261">
        <f t="shared" ca="1" si="162"/>
        <v>0</v>
      </c>
      <c r="AT237" s="261">
        <f t="shared" ca="1" si="163"/>
        <v>0</v>
      </c>
      <c r="AU237" s="261">
        <f t="shared" ca="1" si="164"/>
        <v>0</v>
      </c>
      <c r="AV237" s="261">
        <f t="shared" ca="1" si="165"/>
        <v>0</v>
      </c>
      <c r="AW237" s="261">
        <f t="shared" ca="1" si="166"/>
        <v>0</v>
      </c>
      <c r="AX237" s="261">
        <f t="shared" ca="1" si="167"/>
        <v>0</v>
      </c>
      <c r="AY237" s="261">
        <f t="shared" ca="1" si="168"/>
        <v>0</v>
      </c>
      <c r="AZ237" s="261">
        <f t="shared" ca="1" si="169"/>
        <v>0</v>
      </c>
      <c r="BA237" s="261">
        <f t="shared" ca="1" si="170"/>
        <v>0</v>
      </c>
      <c r="BB237" s="261">
        <f t="shared" ca="1" si="171"/>
        <v>0</v>
      </c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</row>
    <row r="238" spans="1:72" ht="22.5" customHeight="1" x14ac:dyDescent="0.4">
      <c r="A238" s="399"/>
      <c r="B238" s="376">
        <v>230</v>
      </c>
      <c r="C238" s="310">
        <v>44151</v>
      </c>
      <c r="D238" s="229" t="str">
        <f>IFERROR(VLOOKUP(C238,'बँक जमा खर्च पासबुक'!$C$9:$R$111,2,0),"")</f>
        <v/>
      </c>
      <c r="E238" s="229" t="str">
        <f>IFERROR(VLOOKUP(C238,'बँक जमा खर्च पासबुक'!$C$9:$R$111,3,0),"")</f>
        <v/>
      </c>
      <c r="F238" s="229" t="str">
        <f>IFERROR(VLOOKUP(C238,'बँक जमा खर्च पासबुक'!$C$9:$R$111,4,0),"")</f>
        <v/>
      </c>
      <c r="G238" s="229" t="str">
        <f>IFERROR(VLOOKUP(C238,'बँक जमा खर्च पासबुक'!$C$9:$R$111,5,0),"")</f>
        <v/>
      </c>
      <c r="H238" s="229" t="str">
        <f>IFERROR(VLOOKUP(C238,'बँक जमा खर्च पासबुक'!$C$9:$R$111,6,0),"")</f>
        <v/>
      </c>
      <c r="I238" s="229" t="str">
        <f>IFERROR(VLOOKUP(C238,'बँक जमा खर्च पासबुक'!$C$9:$R$111,7,0),"")</f>
        <v/>
      </c>
      <c r="J238" s="233">
        <f>SUMIF('बँक जमा खर्च पासबुक'!$C$9:$C$111,'बँक खर्च व्हाउचर पावती'!C238,'बँक जमा खर्च पासबुक'!$J$9:$J$111)</f>
        <v>0</v>
      </c>
      <c r="K238" s="233">
        <f>SUMIF('बँक जमा खर्च पासबुक'!$C$9:$C$111,'बँक खर्च व्हाउचर पावती'!C238,'बँक जमा खर्च पासबुक'!$K$9:$K$111)</f>
        <v>0</v>
      </c>
      <c r="L238" s="233">
        <f ca="1">SUMIF('बँक जमा खर्च पासबुक'!$C$9:$C$111,'बँक खर्च व्हाउचर पावती'!C238,'बँक जमा खर्च पासबुक'!$L$9:$L$110)</f>
        <v>0</v>
      </c>
      <c r="M238" s="228">
        <f>SUMIF('बँक जमा खर्च पासबुक'!$C$9:$C$111,'बँक खर्च व्हाउचर पावती'!C238,'बँक जमा खर्च पासबुक'!$M$9:$M$111)</f>
        <v>0</v>
      </c>
      <c r="N238" s="233">
        <f t="shared" ca="1" si="157"/>
        <v>3000</v>
      </c>
      <c r="O238" s="228">
        <f t="shared" si="158"/>
        <v>3000</v>
      </c>
      <c r="P238" s="228">
        <f t="shared" ca="1" si="156"/>
        <v>6000</v>
      </c>
      <c r="Q238" s="399"/>
      <c r="AM238" s="380"/>
      <c r="AN238" s="380"/>
      <c r="AO238" s="380">
        <v>26</v>
      </c>
      <c r="AP238" s="261">
        <f t="shared" ca="1" si="172"/>
        <v>0</v>
      </c>
      <c r="AQ238" s="261">
        <f t="shared" ca="1" si="160"/>
        <v>0</v>
      </c>
      <c r="AR238" s="261">
        <f t="shared" ca="1" si="161"/>
        <v>0</v>
      </c>
      <c r="AS238" s="261">
        <f t="shared" ca="1" si="162"/>
        <v>0</v>
      </c>
      <c r="AT238" s="261">
        <f t="shared" ca="1" si="163"/>
        <v>0</v>
      </c>
      <c r="AU238" s="261">
        <f t="shared" ca="1" si="164"/>
        <v>0</v>
      </c>
      <c r="AV238" s="261">
        <f t="shared" ca="1" si="165"/>
        <v>0</v>
      </c>
      <c r="AW238" s="261">
        <f t="shared" ca="1" si="166"/>
        <v>0</v>
      </c>
      <c r="AX238" s="261">
        <f t="shared" ca="1" si="167"/>
        <v>0</v>
      </c>
      <c r="AY238" s="261">
        <f t="shared" ca="1" si="168"/>
        <v>0</v>
      </c>
      <c r="AZ238" s="261">
        <f t="shared" ca="1" si="169"/>
        <v>0</v>
      </c>
      <c r="BA238" s="261">
        <f t="shared" ca="1" si="170"/>
        <v>0</v>
      </c>
      <c r="BB238" s="261">
        <f t="shared" ca="1" si="171"/>
        <v>0</v>
      </c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</row>
    <row r="239" spans="1:72" ht="22.5" customHeight="1" x14ac:dyDescent="0.4">
      <c r="A239" s="399"/>
      <c r="B239" s="376">
        <v>231</v>
      </c>
      <c r="C239" s="310">
        <v>44152</v>
      </c>
      <c r="D239" s="229" t="str">
        <f>IFERROR(VLOOKUP(C239,'बँक जमा खर्च पासबुक'!$C$9:$R$111,2,0),"")</f>
        <v/>
      </c>
      <c r="E239" s="229" t="str">
        <f>IFERROR(VLOOKUP(C239,'बँक जमा खर्च पासबुक'!$C$9:$R$111,3,0),"")</f>
        <v/>
      </c>
      <c r="F239" s="229" t="str">
        <f>IFERROR(VLOOKUP(C239,'बँक जमा खर्च पासबुक'!$C$9:$R$111,4,0),"")</f>
        <v/>
      </c>
      <c r="G239" s="229" t="str">
        <f>IFERROR(VLOOKUP(C239,'बँक जमा खर्च पासबुक'!$C$9:$R$111,5,0),"")</f>
        <v/>
      </c>
      <c r="H239" s="229" t="str">
        <f>IFERROR(VLOOKUP(C239,'बँक जमा खर्च पासबुक'!$C$9:$R$111,6,0),"")</f>
        <v/>
      </c>
      <c r="I239" s="229" t="str">
        <f>IFERROR(VLOOKUP(C239,'बँक जमा खर्च पासबुक'!$C$9:$R$111,7,0),"")</f>
        <v/>
      </c>
      <c r="J239" s="233">
        <f>SUMIF('बँक जमा खर्च पासबुक'!$C$9:$C$111,'बँक खर्च व्हाउचर पावती'!C239,'बँक जमा खर्च पासबुक'!$J$9:$J$111)</f>
        <v>0</v>
      </c>
      <c r="K239" s="233">
        <f>SUMIF('बँक जमा खर्च पासबुक'!$C$9:$C$111,'बँक खर्च व्हाउचर पावती'!C239,'बँक जमा खर्च पासबुक'!$K$9:$K$111)</f>
        <v>0</v>
      </c>
      <c r="L239" s="233">
        <f ca="1">SUMIF('बँक जमा खर्च पासबुक'!$C$9:$C$111,'बँक खर्च व्हाउचर पावती'!C239,'बँक जमा खर्च पासबुक'!$L$9:$L$110)</f>
        <v>0</v>
      </c>
      <c r="M239" s="228">
        <f>SUMIF('बँक जमा खर्च पासबुक'!$C$9:$C$111,'बँक खर्च व्हाउचर पावती'!C239,'बँक जमा खर्च पासबुक'!$M$9:$M$111)</f>
        <v>0</v>
      </c>
      <c r="N239" s="233">
        <f t="shared" ca="1" si="157"/>
        <v>3000</v>
      </c>
      <c r="O239" s="228">
        <f t="shared" si="158"/>
        <v>3000</v>
      </c>
      <c r="P239" s="228">
        <f t="shared" ca="1" si="156"/>
        <v>6000</v>
      </c>
      <c r="Q239" s="399"/>
      <c r="AM239" s="380"/>
      <c r="AN239" s="380"/>
      <c r="AO239" s="380">
        <v>27</v>
      </c>
      <c r="AP239" s="261">
        <f t="shared" ca="1" si="172"/>
        <v>0</v>
      </c>
      <c r="AQ239" s="261">
        <f t="shared" ca="1" si="160"/>
        <v>0</v>
      </c>
      <c r="AR239" s="261">
        <f t="shared" ca="1" si="161"/>
        <v>0</v>
      </c>
      <c r="AS239" s="261">
        <f t="shared" ca="1" si="162"/>
        <v>0</v>
      </c>
      <c r="AT239" s="261">
        <f t="shared" ca="1" si="163"/>
        <v>0</v>
      </c>
      <c r="AU239" s="261">
        <f t="shared" ca="1" si="164"/>
        <v>0</v>
      </c>
      <c r="AV239" s="261">
        <f t="shared" ca="1" si="165"/>
        <v>0</v>
      </c>
      <c r="AW239" s="261">
        <f t="shared" ca="1" si="166"/>
        <v>0</v>
      </c>
      <c r="AX239" s="261">
        <f t="shared" ca="1" si="167"/>
        <v>0</v>
      </c>
      <c r="AY239" s="261">
        <f t="shared" ca="1" si="168"/>
        <v>0</v>
      </c>
      <c r="AZ239" s="261">
        <f t="shared" ca="1" si="169"/>
        <v>0</v>
      </c>
      <c r="BA239" s="261">
        <f t="shared" ca="1" si="170"/>
        <v>0</v>
      </c>
      <c r="BB239" s="261">
        <f t="shared" ca="1" si="171"/>
        <v>0</v>
      </c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</row>
    <row r="240" spans="1:72" ht="22.5" customHeight="1" x14ac:dyDescent="0.4">
      <c r="A240" s="399"/>
      <c r="B240" s="376">
        <v>232</v>
      </c>
      <c r="C240" s="310">
        <v>44153</v>
      </c>
      <c r="D240" s="229" t="str">
        <f>IFERROR(VLOOKUP(C240,'बँक जमा खर्च पासबुक'!$C$9:$R$111,2,0),"")</f>
        <v/>
      </c>
      <c r="E240" s="229" t="str">
        <f>IFERROR(VLOOKUP(C240,'बँक जमा खर्च पासबुक'!$C$9:$R$111,3,0),"")</f>
        <v/>
      </c>
      <c r="F240" s="229" t="str">
        <f>IFERROR(VLOOKUP(C240,'बँक जमा खर्च पासबुक'!$C$9:$R$111,4,0),"")</f>
        <v/>
      </c>
      <c r="G240" s="229" t="str">
        <f>IFERROR(VLOOKUP(C240,'बँक जमा खर्च पासबुक'!$C$9:$R$111,5,0),"")</f>
        <v/>
      </c>
      <c r="H240" s="229" t="str">
        <f>IFERROR(VLOOKUP(C240,'बँक जमा खर्च पासबुक'!$C$9:$R$111,6,0),"")</f>
        <v/>
      </c>
      <c r="I240" s="229" t="str">
        <f>IFERROR(VLOOKUP(C240,'बँक जमा खर्च पासबुक'!$C$9:$R$111,7,0),"")</f>
        <v/>
      </c>
      <c r="J240" s="233">
        <f>SUMIF('बँक जमा खर्च पासबुक'!$C$9:$C$111,'बँक खर्च व्हाउचर पावती'!C240,'बँक जमा खर्च पासबुक'!$J$9:$J$111)</f>
        <v>0</v>
      </c>
      <c r="K240" s="233">
        <f>SUMIF('बँक जमा खर्च पासबुक'!$C$9:$C$111,'बँक खर्च व्हाउचर पावती'!C240,'बँक जमा खर्च पासबुक'!$K$9:$K$111)</f>
        <v>0</v>
      </c>
      <c r="L240" s="233">
        <f ca="1">SUMIF('बँक जमा खर्च पासबुक'!$C$9:$C$111,'बँक खर्च व्हाउचर पावती'!C240,'बँक जमा खर्च पासबुक'!$L$9:$L$110)</f>
        <v>0</v>
      </c>
      <c r="M240" s="228">
        <f>SUMIF('बँक जमा खर्च पासबुक'!$C$9:$C$111,'बँक खर्च व्हाउचर पावती'!C240,'बँक जमा खर्च पासबुक'!$M$9:$M$111)</f>
        <v>0</v>
      </c>
      <c r="N240" s="233">
        <f t="shared" ca="1" si="157"/>
        <v>3000</v>
      </c>
      <c r="O240" s="228">
        <f t="shared" si="158"/>
        <v>3000</v>
      </c>
      <c r="P240" s="228">
        <f t="shared" ca="1" si="156"/>
        <v>6000</v>
      </c>
      <c r="Q240" s="399"/>
      <c r="AM240" s="380"/>
      <c r="AN240" s="380"/>
      <c r="AO240" s="380">
        <v>28</v>
      </c>
      <c r="AP240" s="261">
        <f t="shared" ca="1" si="172"/>
        <v>0</v>
      </c>
      <c r="AQ240" s="261">
        <f t="shared" ca="1" si="160"/>
        <v>0</v>
      </c>
      <c r="AR240" s="261">
        <f t="shared" ca="1" si="161"/>
        <v>0</v>
      </c>
      <c r="AS240" s="261">
        <f t="shared" ca="1" si="162"/>
        <v>0</v>
      </c>
      <c r="AT240" s="261">
        <f t="shared" ca="1" si="163"/>
        <v>0</v>
      </c>
      <c r="AU240" s="261">
        <f t="shared" ca="1" si="164"/>
        <v>0</v>
      </c>
      <c r="AV240" s="261">
        <f t="shared" ca="1" si="165"/>
        <v>0</v>
      </c>
      <c r="AW240" s="261">
        <f t="shared" ca="1" si="166"/>
        <v>0</v>
      </c>
      <c r="AX240" s="261">
        <f t="shared" ca="1" si="167"/>
        <v>0</v>
      </c>
      <c r="AY240" s="261">
        <f t="shared" ca="1" si="168"/>
        <v>0</v>
      </c>
      <c r="AZ240" s="261">
        <f t="shared" ca="1" si="169"/>
        <v>0</v>
      </c>
      <c r="BA240" s="261">
        <f t="shared" ca="1" si="170"/>
        <v>0</v>
      </c>
      <c r="BB240" s="261">
        <f t="shared" ca="1" si="171"/>
        <v>0</v>
      </c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</row>
    <row r="241" spans="1:72" ht="22.5" customHeight="1" x14ac:dyDescent="0.4">
      <c r="A241" s="399"/>
      <c r="B241" s="376">
        <v>233</v>
      </c>
      <c r="C241" s="310">
        <v>44154</v>
      </c>
      <c r="D241" s="229" t="str">
        <f>IFERROR(VLOOKUP(C241,'बँक जमा खर्च पासबुक'!$C$9:$R$111,2,0),"")</f>
        <v/>
      </c>
      <c r="E241" s="229" t="str">
        <f>IFERROR(VLOOKUP(C241,'बँक जमा खर्च पासबुक'!$C$9:$R$111,3,0),"")</f>
        <v/>
      </c>
      <c r="F241" s="229" t="str">
        <f>IFERROR(VLOOKUP(C241,'बँक जमा खर्च पासबुक'!$C$9:$R$111,4,0),"")</f>
        <v/>
      </c>
      <c r="G241" s="229" t="str">
        <f>IFERROR(VLOOKUP(C241,'बँक जमा खर्च पासबुक'!$C$9:$R$111,5,0),"")</f>
        <v/>
      </c>
      <c r="H241" s="229" t="str">
        <f>IFERROR(VLOOKUP(C241,'बँक जमा खर्च पासबुक'!$C$9:$R$111,6,0),"")</f>
        <v/>
      </c>
      <c r="I241" s="229" t="str">
        <f>IFERROR(VLOOKUP(C241,'बँक जमा खर्च पासबुक'!$C$9:$R$111,7,0),"")</f>
        <v/>
      </c>
      <c r="J241" s="233">
        <f>SUMIF('बँक जमा खर्च पासबुक'!$C$9:$C$111,'बँक खर्च व्हाउचर पावती'!C241,'बँक जमा खर्च पासबुक'!$J$9:$J$111)</f>
        <v>0</v>
      </c>
      <c r="K241" s="233">
        <f>SUMIF('बँक जमा खर्च पासबुक'!$C$9:$C$111,'बँक खर्च व्हाउचर पावती'!C241,'बँक जमा खर्च पासबुक'!$K$9:$K$111)</f>
        <v>0</v>
      </c>
      <c r="L241" s="233">
        <f ca="1">SUMIF('बँक जमा खर्च पासबुक'!$C$9:$C$111,'बँक खर्च व्हाउचर पावती'!C241,'बँक जमा खर्च पासबुक'!$L$9:$L$110)</f>
        <v>0</v>
      </c>
      <c r="M241" s="228">
        <f>SUMIF('बँक जमा खर्च पासबुक'!$C$9:$C$111,'बँक खर्च व्हाउचर पावती'!C241,'बँक जमा खर्च पासबुक'!$M$9:$M$111)</f>
        <v>0</v>
      </c>
      <c r="N241" s="233">
        <f t="shared" ca="1" si="157"/>
        <v>3000</v>
      </c>
      <c r="O241" s="228">
        <f t="shared" si="158"/>
        <v>3000</v>
      </c>
      <c r="P241" s="228">
        <f t="shared" ca="1" si="156"/>
        <v>6000</v>
      </c>
      <c r="Q241" s="399"/>
      <c r="AM241" s="380"/>
      <c r="AN241" s="380"/>
      <c r="AO241" s="380">
        <v>29</v>
      </c>
      <c r="AP241" s="261">
        <f t="shared" ca="1" si="172"/>
        <v>0</v>
      </c>
      <c r="AQ241" s="261">
        <f t="shared" ca="1" si="160"/>
        <v>0</v>
      </c>
      <c r="AR241" s="261">
        <f t="shared" ca="1" si="161"/>
        <v>0</v>
      </c>
      <c r="AS241" s="261">
        <f t="shared" ca="1" si="162"/>
        <v>0</v>
      </c>
      <c r="AT241" s="261">
        <f t="shared" ca="1" si="163"/>
        <v>0</v>
      </c>
      <c r="AU241" s="261">
        <f t="shared" ca="1" si="164"/>
        <v>0</v>
      </c>
      <c r="AV241" s="261">
        <f t="shared" ca="1" si="165"/>
        <v>0</v>
      </c>
      <c r="AW241" s="261">
        <f t="shared" ca="1" si="166"/>
        <v>0</v>
      </c>
      <c r="AX241" s="261">
        <f t="shared" ca="1" si="167"/>
        <v>0</v>
      </c>
      <c r="AY241" s="261">
        <f t="shared" ca="1" si="168"/>
        <v>0</v>
      </c>
      <c r="AZ241" s="261">
        <f t="shared" ca="1" si="169"/>
        <v>0</v>
      </c>
      <c r="BA241" s="261">
        <f t="shared" ca="1" si="170"/>
        <v>0</v>
      </c>
      <c r="BB241" s="261">
        <f t="shared" ca="1" si="171"/>
        <v>0</v>
      </c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</row>
    <row r="242" spans="1:72" ht="22.5" customHeight="1" x14ac:dyDescent="0.4">
      <c r="A242" s="399"/>
      <c r="B242" s="376">
        <v>234</v>
      </c>
      <c r="C242" s="310">
        <v>44155</v>
      </c>
      <c r="D242" s="229" t="str">
        <f>IFERROR(VLOOKUP(C242,'बँक जमा खर्च पासबुक'!$C$9:$R$111,2,0),"")</f>
        <v/>
      </c>
      <c r="E242" s="229" t="str">
        <f>IFERROR(VLOOKUP(C242,'बँक जमा खर्च पासबुक'!$C$9:$R$111,3,0),"")</f>
        <v/>
      </c>
      <c r="F242" s="229" t="str">
        <f>IFERROR(VLOOKUP(C242,'बँक जमा खर्च पासबुक'!$C$9:$R$111,4,0),"")</f>
        <v/>
      </c>
      <c r="G242" s="229" t="str">
        <f>IFERROR(VLOOKUP(C242,'बँक जमा खर्च पासबुक'!$C$9:$R$111,5,0),"")</f>
        <v/>
      </c>
      <c r="H242" s="229" t="str">
        <f>IFERROR(VLOOKUP(C242,'बँक जमा खर्च पासबुक'!$C$9:$R$111,6,0),"")</f>
        <v/>
      </c>
      <c r="I242" s="229" t="str">
        <f>IFERROR(VLOOKUP(C242,'बँक जमा खर्च पासबुक'!$C$9:$R$111,7,0),"")</f>
        <v/>
      </c>
      <c r="J242" s="233">
        <f>SUMIF('बँक जमा खर्च पासबुक'!$C$9:$C$111,'बँक खर्च व्हाउचर पावती'!C242,'बँक जमा खर्च पासबुक'!$J$9:$J$111)</f>
        <v>0</v>
      </c>
      <c r="K242" s="233">
        <f>SUMIF('बँक जमा खर्च पासबुक'!$C$9:$C$111,'बँक खर्च व्हाउचर पावती'!C242,'बँक जमा खर्च पासबुक'!$K$9:$K$111)</f>
        <v>0</v>
      </c>
      <c r="L242" s="233">
        <f ca="1">SUMIF('बँक जमा खर्च पासबुक'!$C$9:$C$111,'बँक खर्च व्हाउचर पावती'!C242,'बँक जमा खर्च पासबुक'!$L$9:$L$110)</f>
        <v>0</v>
      </c>
      <c r="M242" s="228">
        <f>SUMIF('बँक जमा खर्च पासबुक'!$C$9:$C$111,'बँक खर्च व्हाउचर पावती'!C242,'बँक जमा खर्च पासबुक'!$M$9:$M$111)</f>
        <v>0</v>
      </c>
      <c r="N242" s="233">
        <f t="shared" ca="1" si="157"/>
        <v>3000</v>
      </c>
      <c r="O242" s="228">
        <f t="shared" si="158"/>
        <v>3000</v>
      </c>
      <c r="P242" s="228">
        <f t="shared" ca="1" si="156"/>
        <v>6000</v>
      </c>
      <c r="Q242" s="399"/>
      <c r="AM242" s="380"/>
      <c r="AN242" s="380"/>
      <c r="AO242" s="380">
        <v>30</v>
      </c>
      <c r="AP242" s="261">
        <f t="shared" ca="1" si="172"/>
        <v>0</v>
      </c>
      <c r="AQ242" s="261">
        <f t="shared" ca="1" si="160"/>
        <v>0</v>
      </c>
      <c r="AR242" s="261">
        <f t="shared" ca="1" si="161"/>
        <v>0</v>
      </c>
      <c r="AS242" s="261">
        <f t="shared" ca="1" si="162"/>
        <v>0</v>
      </c>
      <c r="AT242" s="261">
        <f t="shared" ca="1" si="163"/>
        <v>0</v>
      </c>
      <c r="AU242" s="261">
        <f t="shared" ca="1" si="164"/>
        <v>0</v>
      </c>
      <c r="AV242" s="261">
        <f t="shared" ca="1" si="165"/>
        <v>0</v>
      </c>
      <c r="AW242" s="261">
        <f t="shared" ca="1" si="166"/>
        <v>0</v>
      </c>
      <c r="AX242" s="261">
        <f t="shared" ca="1" si="167"/>
        <v>0</v>
      </c>
      <c r="AY242" s="261">
        <f t="shared" ca="1" si="168"/>
        <v>0</v>
      </c>
      <c r="AZ242" s="826"/>
      <c r="BA242" s="261">
        <f t="shared" ca="1" si="170"/>
        <v>0</v>
      </c>
      <c r="BB242" s="261">
        <f t="shared" ca="1" si="171"/>
        <v>0</v>
      </c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</row>
    <row r="243" spans="1:72" ht="22.5" customHeight="1" x14ac:dyDescent="0.4">
      <c r="A243" s="399"/>
      <c r="B243" s="376">
        <v>235</v>
      </c>
      <c r="C243" s="310">
        <v>44156</v>
      </c>
      <c r="D243" s="229" t="str">
        <f>IFERROR(VLOOKUP(C243,'बँक जमा खर्च पासबुक'!$C$9:$R$111,2,0),"")</f>
        <v/>
      </c>
      <c r="E243" s="229" t="str">
        <f>IFERROR(VLOOKUP(C243,'बँक जमा खर्च पासबुक'!$C$9:$R$111,3,0),"")</f>
        <v/>
      </c>
      <c r="F243" s="229" t="str">
        <f>IFERROR(VLOOKUP(C243,'बँक जमा खर्च पासबुक'!$C$9:$R$111,4,0),"")</f>
        <v/>
      </c>
      <c r="G243" s="229" t="str">
        <f>IFERROR(VLOOKUP(C243,'बँक जमा खर्च पासबुक'!$C$9:$R$111,5,0),"")</f>
        <v/>
      </c>
      <c r="H243" s="229" t="str">
        <f>IFERROR(VLOOKUP(C243,'बँक जमा खर्च पासबुक'!$C$9:$R$111,6,0),"")</f>
        <v/>
      </c>
      <c r="I243" s="229" t="str">
        <f>IFERROR(VLOOKUP(C243,'बँक जमा खर्च पासबुक'!$C$9:$R$111,7,0),"")</f>
        <v/>
      </c>
      <c r="J243" s="233">
        <f>SUMIF('बँक जमा खर्च पासबुक'!$C$9:$C$111,'बँक खर्च व्हाउचर पावती'!C243,'बँक जमा खर्च पासबुक'!$J$9:$J$111)</f>
        <v>0</v>
      </c>
      <c r="K243" s="233">
        <f>SUMIF('बँक जमा खर्च पासबुक'!$C$9:$C$111,'बँक खर्च व्हाउचर पावती'!C243,'बँक जमा खर्च पासबुक'!$K$9:$K$111)</f>
        <v>0</v>
      </c>
      <c r="L243" s="233">
        <f ca="1">SUMIF('बँक जमा खर्च पासबुक'!$C$9:$C$111,'बँक खर्च व्हाउचर पावती'!C243,'बँक जमा खर्च पासबुक'!$L$9:$L$110)</f>
        <v>0</v>
      </c>
      <c r="M243" s="228">
        <f>SUMIF('बँक जमा खर्च पासबुक'!$C$9:$C$111,'बँक खर्च व्हाउचर पावती'!C243,'बँक जमा खर्च पासबुक'!$M$9:$M$111)</f>
        <v>0</v>
      </c>
      <c r="N243" s="233">
        <f t="shared" ca="1" si="157"/>
        <v>3000</v>
      </c>
      <c r="O243" s="228">
        <f t="shared" si="158"/>
        <v>3000</v>
      </c>
      <c r="P243" s="228">
        <f t="shared" ca="1" si="156"/>
        <v>6000</v>
      </c>
      <c r="Q243" s="399"/>
      <c r="AM243" s="380"/>
      <c r="AN243" s="380"/>
      <c r="AO243" s="380">
        <v>31</v>
      </c>
      <c r="AP243" s="826"/>
      <c r="AQ243" s="261">
        <f t="shared" ca="1" si="160"/>
        <v>0</v>
      </c>
      <c r="AR243" s="826"/>
      <c r="AS243" s="261">
        <f t="shared" ca="1" si="162"/>
        <v>0</v>
      </c>
      <c r="AT243" s="261">
        <f t="shared" ca="1" si="163"/>
        <v>0</v>
      </c>
      <c r="AU243" s="826"/>
      <c r="AV243" s="261">
        <f t="shared" ca="1" si="165"/>
        <v>0</v>
      </c>
      <c r="AW243" s="826"/>
      <c r="AX243" s="261">
        <f t="shared" ca="1" si="167"/>
        <v>0</v>
      </c>
      <c r="AY243" s="261">
        <f t="shared" ca="1" si="168"/>
        <v>0</v>
      </c>
      <c r="AZ243" s="826"/>
      <c r="BA243" s="261">
        <f t="shared" ca="1" si="170"/>
        <v>0</v>
      </c>
      <c r="BB243" s="261">
        <f t="shared" ca="1" si="171"/>
        <v>0</v>
      </c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</row>
    <row r="244" spans="1:72" ht="22.5" customHeight="1" x14ac:dyDescent="0.4">
      <c r="A244" s="399"/>
      <c r="B244" s="376">
        <v>236</v>
      </c>
      <c r="C244" s="310">
        <v>44157</v>
      </c>
      <c r="D244" s="229" t="str">
        <f>IFERROR(VLOOKUP(C244,'बँक जमा खर्च पासबुक'!$C$9:$R$111,2,0),"")</f>
        <v/>
      </c>
      <c r="E244" s="229" t="str">
        <f>IFERROR(VLOOKUP(C244,'बँक जमा खर्च पासबुक'!$C$9:$R$111,3,0),"")</f>
        <v/>
      </c>
      <c r="F244" s="229" t="str">
        <f>IFERROR(VLOOKUP(C244,'बँक जमा खर्च पासबुक'!$C$9:$R$111,4,0),"")</f>
        <v/>
      </c>
      <c r="G244" s="229" t="str">
        <f>IFERROR(VLOOKUP(C244,'बँक जमा खर्च पासबुक'!$C$9:$R$111,5,0),"")</f>
        <v/>
      </c>
      <c r="H244" s="229" t="str">
        <f>IFERROR(VLOOKUP(C244,'बँक जमा खर्च पासबुक'!$C$9:$R$111,6,0),"")</f>
        <v/>
      </c>
      <c r="I244" s="229" t="str">
        <f>IFERROR(VLOOKUP(C244,'बँक जमा खर्च पासबुक'!$C$9:$R$111,7,0),"")</f>
        <v/>
      </c>
      <c r="J244" s="233">
        <f>SUMIF('बँक जमा खर्च पासबुक'!$C$9:$C$111,'बँक खर्च व्हाउचर पावती'!C244,'बँक जमा खर्च पासबुक'!$J$9:$J$111)</f>
        <v>0</v>
      </c>
      <c r="K244" s="233">
        <f>SUMIF('बँक जमा खर्च पासबुक'!$C$9:$C$111,'बँक खर्च व्हाउचर पावती'!C244,'बँक जमा खर्च पासबुक'!$K$9:$K$111)</f>
        <v>0</v>
      </c>
      <c r="L244" s="233">
        <f ca="1">SUMIF('बँक जमा खर्च पासबुक'!$C$9:$C$111,'बँक खर्च व्हाउचर पावती'!C244,'बँक जमा खर्च पासबुक'!$L$9:$L$110)</f>
        <v>0</v>
      </c>
      <c r="M244" s="228">
        <f>SUMIF('बँक जमा खर्च पासबुक'!$C$9:$C$111,'बँक खर्च व्हाउचर पावती'!C244,'बँक जमा खर्च पासबुक'!$M$9:$M$111)</f>
        <v>0</v>
      </c>
      <c r="N244" s="233">
        <f t="shared" ca="1" si="157"/>
        <v>3000</v>
      </c>
      <c r="O244" s="228">
        <f t="shared" si="158"/>
        <v>3000</v>
      </c>
      <c r="P244" s="228">
        <f t="shared" ca="1" si="156"/>
        <v>6000</v>
      </c>
      <c r="Q244" s="399"/>
      <c r="AM244" s="380"/>
      <c r="AN244" s="380"/>
      <c r="AO244" s="192" t="s">
        <v>35</v>
      </c>
      <c r="AP244" s="261">
        <f t="shared" ref="AP244:BA244" ca="1" si="173">SUM(AP213:AP243)</f>
        <v>0</v>
      </c>
      <c r="AQ244" s="261">
        <f t="shared" ca="1" si="173"/>
        <v>0</v>
      </c>
      <c r="AR244" s="261">
        <f t="shared" ca="1" si="173"/>
        <v>0</v>
      </c>
      <c r="AS244" s="261">
        <f t="shared" ca="1" si="173"/>
        <v>0</v>
      </c>
      <c r="AT244" s="261">
        <f t="shared" ca="1" si="173"/>
        <v>0</v>
      </c>
      <c r="AU244" s="261">
        <f t="shared" ca="1" si="173"/>
        <v>0</v>
      </c>
      <c r="AV244" s="261">
        <f t="shared" ca="1" si="173"/>
        <v>0</v>
      </c>
      <c r="AW244" s="261">
        <f t="shared" ca="1" si="173"/>
        <v>0</v>
      </c>
      <c r="AX244" s="261">
        <f t="shared" ca="1" si="173"/>
        <v>0</v>
      </c>
      <c r="AY244" s="261">
        <f t="shared" ca="1" si="173"/>
        <v>0</v>
      </c>
      <c r="AZ244" s="261">
        <f t="shared" ca="1" si="173"/>
        <v>0</v>
      </c>
      <c r="BA244" s="261">
        <f t="shared" ca="1" si="173"/>
        <v>0</v>
      </c>
      <c r="BB244" s="261">
        <f t="shared" ca="1" si="171"/>
        <v>0</v>
      </c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</row>
    <row r="245" spans="1:72" ht="22.5" customHeight="1" x14ac:dyDescent="0.4">
      <c r="A245" s="399"/>
      <c r="B245" s="376">
        <v>237</v>
      </c>
      <c r="C245" s="310">
        <v>44158</v>
      </c>
      <c r="D245" s="229" t="str">
        <f>IFERROR(VLOOKUP(C245,'बँक जमा खर्च पासबुक'!$C$9:$R$111,2,0),"")</f>
        <v/>
      </c>
      <c r="E245" s="229" t="str">
        <f>IFERROR(VLOOKUP(C245,'बँक जमा खर्च पासबुक'!$C$9:$R$111,3,0),"")</f>
        <v/>
      </c>
      <c r="F245" s="229" t="str">
        <f>IFERROR(VLOOKUP(C245,'बँक जमा खर्च पासबुक'!$C$9:$R$111,4,0),"")</f>
        <v/>
      </c>
      <c r="G245" s="229" t="str">
        <f>IFERROR(VLOOKUP(C245,'बँक जमा खर्च पासबुक'!$C$9:$R$111,5,0),"")</f>
        <v/>
      </c>
      <c r="H245" s="229" t="str">
        <f>IFERROR(VLOOKUP(C245,'बँक जमा खर्च पासबुक'!$C$9:$R$111,6,0),"")</f>
        <v/>
      </c>
      <c r="I245" s="229" t="str">
        <f>IFERROR(VLOOKUP(C245,'बँक जमा खर्च पासबुक'!$C$9:$R$111,7,0),"")</f>
        <v/>
      </c>
      <c r="J245" s="233">
        <f>SUMIF('बँक जमा खर्च पासबुक'!$C$9:$C$111,'बँक खर्च व्हाउचर पावती'!C245,'बँक जमा खर्च पासबुक'!$J$9:$J$111)</f>
        <v>0</v>
      </c>
      <c r="K245" s="233">
        <f>SUMIF('बँक जमा खर्च पासबुक'!$C$9:$C$111,'बँक खर्च व्हाउचर पावती'!C245,'बँक जमा खर्च पासबुक'!$K$9:$K$111)</f>
        <v>0</v>
      </c>
      <c r="L245" s="233">
        <f ca="1">SUMIF('बँक जमा खर्च पासबुक'!$C$9:$C$111,'बँक खर्च व्हाउचर पावती'!C245,'बँक जमा खर्च पासबुक'!$L$9:$L$110)</f>
        <v>0</v>
      </c>
      <c r="M245" s="228">
        <f>SUMIF('बँक जमा खर्च पासबुक'!$C$9:$C$111,'बँक खर्च व्हाउचर पावती'!C245,'बँक जमा खर्च पासबुक'!$M$9:$M$111)</f>
        <v>0</v>
      </c>
      <c r="N245" s="233">
        <f t="shared" ca="1" si="157"/>
        <v>3000</v>
      </c>
      <c r="O245" s="228">
        <f t="shared" si="158"/>
        <v>3000</v>
      </c>
      <c r="P245" s="228">
        <f t="shared" ca="1" si="156"/>
        <v>6000</v>
      </c>
      <c r="Q245" s="399"/>
      <c r="AM245" s="380"/>
      <c r="AN245" s="380"/>
      <c r="AO245" s="380"/>
      <c r="AP245" s="380"/>
      <c r="AQ245" s="380"/>
      <c r="AR245" s="380"/>
      <c r="AS245" s="380"/>
      <c r="AT245" s="380"/>
      <c r="AU245" s="380" t="s">
        <v>595</v>
      </c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</row>
    <row r="246" spans="1:72" ht="22.5" customHeight="1" x14ac:dyDescent="0.4">
      <c r="A246" s="399"/>
      <c r="B246" s="376">
        <v>238</v>
      </c>
      <c r="C246" s="310">
        <v>44159</v>
      </c>
      <c r="D246" s="229" t="str">
        <f>IFERROR(VLOOKUP(C246,'बँक जमा खर्च पासबुक'!$C$9:$R$111,2,0),"")</f>
        <v/>
      </c>
      <c r="E246" s="229" t="str">
        <f>IFERROR(VLOOKUP(C246,'बँक जमा खर्च पासबुक'!$C$9:$R$111,3,0),"")</f>
        <v/>
      </c>
      <c r="F246" s="229" t="str">
        <f>IFERROR(VLOOKUP(C246,'बँक जमा खर्च पासबुक'!$C$9:$R$111,4,0),"")</f>
        <v/>
      </c>
      <c r="G246" s="229" t="str">
        <f>IFERROR(VLOOKUP(C246,'बँक जमा खर्च पासबुक'!$C$9:$R$111,5,0),"")</f>
        <v/>
      </c>
      <c r="H246" s="229" t="str">
        <f>IFERROR(VLOOKUP(C246,'बँक जमा खर्च पासबुक'!$C$9:$R$111,6,0),"")</f>
        <v/>
      </c>
      <c r="I246" s="229" t="str">
        <f>IFERROR(VLOOKUP(C246,'बँक जमा खर्च पासबुक'!$C$9:$R$111,7,0),"")</f>
        <v/>
      </c>
      <c r="J246" s="233">
        <f>SUMIF('बँक जमा खर्च पासबुक'!$C$9:$C$111,'बँक खर्च व्हाउचर पावती'!C246,'बँक जमा खर्च पासबुक'!$J$9:$J$111)</f>
        <v>0</v>
      </c>
      <c r="K246" s="233">
        <f>SUMIF('बँक जमा खर्च पासबुक'!$C$9:$C$111,'बँक खर्च व्हाउचर पावती'!C246,'बँक जमा खर्च पासबुक'!$K$9:$K$111)</f>
        <v>0</v>
      </c>
      <c r="L246" s="233">
        <f ca="1">SUMIF('बँक जमा खर्च पासबुक'!$C$9:$C$111,'बँक खर्च व्हाउचर पावती'!C246,'बँक जमा खर्च पासबुक'!$L$9:$L$110)</f>
        <v>0</v>
      </c>
      <c r="M246" s="228">
        <f>SUMIF('बँक जमा खर्च पासबुक'!$C$9:$C$111,'बँक खर्च व्हाउचर पावती'!C246,'बँक जमा खर्च पासबुक'!$M$9:$M$111)</f>
        <v>0</v>
      </c>
      <c r="N246" s="233">
        <f t="shared" ca="1" si="157"/>
        <v>3000</v>
      </c>
      <c r="O246" s="228">
        <f t="shared" si="158"/>
        <v>3000</v>
      </c>
      <c r="P246" s="228">
        <f t="shared" ca="1" si="156"/>
        <v>6000</v>
      </c>
      <c r="Q246" s="399"/>
      <c r="AM246" s="380"/>
      <c r="AN246" s="380"/>
      <c r="AO246" s="380"/>
      <c r="AP246" s="380" t="s">
        <v>42</v>
      </c>
      <c r="AQ246" s="380" t="s">
        <v>44</v>
      </c>
      <c r="AR246" s="380" t="s">
        <v>94</v>
      </c>
      <c r="AS246" s="380" t="s">
        <v>46</v>
      </c>
      <c r="AT246" s="380" t="s">
        <v>34</v>
      </c>
      <c r="AU246" s="380" t="s">
        <v>37</v>
      </c>
      <c r="AV246" s="380" t="s">
        <v>47</v>
      </c>
      <c r="AW246" s="380" t="s">
        <v>38</v>
      </c>
      <c r="AX246" s="380" t="s">
        <v>39</v>
      </c>
      <c r="AY246" s="380" t="s">
        <v>33</v>
      </c>
      <c r="AZ246" s="380" t="s">
        <v>40</v>
      </c>
      <c r="BA246" s="380" t="s">
        <v>41</v>
      </c>
      <c r="BB246" s="380" t="s">
        <v>35</v>
      </c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</row>
    <row r="247" spans="1:72" ht="22.5" customHeight="1" x14ac:dyDescent="0.4">
      <c r="A247" s="399"/>
      <c r="B247" s="376">
        <v>239</v>
      </c>
      <c r="C247" s="310">
        <v>44160</v>
      </c>
      <c r="D247" s="229" t="str">
        <f>IFERROR(VLOOKUP(C247,'बँक जमा खर्च पासबुक'!$C$9:$R$111,2,0),"")</f>
        <v/>
      </c>
      <c r="E247" s="229" t="str">
        <f>IFERROR(VLOOKUP(C247,'बँक जमा खर्च पासबुक'!$C$9:$R$111,3,0),"")</f>
        <v/>
      </c>
      <c r="F247" s="229" t="str">
        <f>IFERROR(VLOOKUP(C247,'बँक जमा खर्च पासबुक'!$C$9:$R$111,4,0),"")</f>
        <v/>
      </c>
      <c r="G247" s="229" t="str">
        <f>IFERROR(VLOOKUP(C247,'बँक जमा खर्च पासबुक'!$C$9:$R$111,5,0),"")</f>
        <v/>
      </c>
      <c r="H247" s="229" t="str">
        <f>IFERROR(VLOOKUP(C247,'बँक जमा खर्च पासबुक'!$C$9:$R$111,6,0),"")</f>
        <v/>
      </c>
      <c r="I247" s="229" t="str">
        <f>IFERROR(VLOOKUP(C247,'बँक जमा खर्च पासबुक'!$C$9:$R$111,7,0),"")</f>
        <v/>
      </c>
      <c r="J247" s="233">
        <f>SUMIF('बँक जमा खर्च पासबुक'!$C$9:$C$111,'बँक खर्च व्हाउचर पावती'!C247,'बँक जमा खर्च पासबुक'!$J$9:$J$111)</f>
        <v>0</v>
      </c>
      <c r="K247" s="233">
        <f>SUMIF('बँक जमा खर्च पासबुक'!$C$9:$C$111,'बँक खर्च व्हाउचर पावती'!C247,'बँक जमा खर्च पासबुक'!$K$9:$K$111)</f>
        <v>0</v>
      </c>
      <c r="L247" s="233">
        <f ca="1">SUMIF('बँक जमा खर्च पासबुक'!$C$9:$C$111,'बँक खर्च व्हाउचर पावती'!C247,'बँक जमा खर्च पासबुक'!$L$9:$L$110)</f>
        <v>0</v>
      </c>
      <c r="M247" s="228">
        <f>SUMIF('बँक जमा खर्च पासबुक'!$C$9:$C$111,'बँक खर्च व्हाउचर पावती'!C247,'बँक जमा खर्च पासबुक'!$M$9:$M$111)</f>
        <v>0</v>
      </c>
      <c r="N247" s="233">
        <f t="shared" ca="1" si="157"/>
        <v>3000</v>
      </c>
      <c r="O247" s="228">
        <f t="shared" si="158"/>
        <v>3000</v>
      </c>
      <c r="P247" s="228">
        <f t="shared" ca="1" si="156"/>
        <v>6000</v>
      </c>
      <c r="Q247" s="399"/>
      <c r="AM247" s="380"/>
      <c r="AN247" s="380"/>
      <c r="AO247" s="380">
        <v>1</v>
      </c>
      <c r="AP247" s="261">
        <f>M9</f>
        <v>0</v>
      </c>
      <c r="AQ247" s="261">
        <f t="shared" ref="AQ247:AQ277" si="174">M39</f>
        <v>0</v>
      </c>
      <c r="AR247" s="261">
        <f t="shared" ref="AR247:AR276" si="175">M70</f>
        <v>0</v>
      </c>
      <c r="AS247" s="261">
        <f t="shared" ref="AS247:AS277" si="176">M100</f>
        <v>0</v>
      </c>
      <c r="AT247" s="261">
        <f t="shared" ref="AT247:AT277" si="177">M131</f>
        <v>0</v>
      </c>
      <c r="AU247" s="261">
        <f t="shared" ref="AU247:AU276" si="178">M162</f>
        <v>0</v>
      </c>
      <c r="AV247" s="261">
        <f t="shared" ref="AV247:AV277" si="179">M192</f>
        <v>0</v>
      </c>
      <c r="AW247" s="261">
        <f t="shared" ref="AW247:AW276" si="180">M223</f>
        <v>0</v>
      </c>
      <c r="AX247" s="261">
        <f t="shared" ref="AX247:AX277" si="181">M253</f>
        <v>0</v>
      </c>
      <c r="AY247" s="261">
        <f t="shared" ref="AY247:AY277" si="182">M284</f>
        <v>0</v>
      </c>
      <c r="AZ247" s="261">
        <f t="shared" ref="AZ247:AZ275" si="183">M315</f>
        <v>0</v>
      </c>
      <c r="BA247" s="261">
        <f t="shared" ref="BA247:BA277" si="184">M344</f>
        <v>0</v>
      </c>
      <c r="BB247" s="261">
        <f t="shared" ref="BB247:BB278" si="185">SUM(AP247:BA247)</f>
        <v>0</v>
      </c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</row>
    <row r="248" spans="1:72" ht="22.5" customHeight="1" x14ac:dyDescent="0.4">
      <c r="A248" s="399"/>
      <c r="B248" s="376">
        <v>240</v>
      </c>
      <c r="C248" s="310">
        <v>44161</v>
      </c>
      <c r="D248" s="229" t="str">
        <f>IFERROR(VLOOKUP(C248,'बँक जमा खर्च पासबुक'!$C$9:$R$111,2,0),"")</f>
        <v/>
      </c>
      <c r="E248" s="229" t="str">
        <f>IFERROR(VLOOKUP(C248,'बँक जमा खर्च पासबुक'!$C$9:$R$111,3,0),"")</f>
        <v/>
      </c>
      <c r="F248" s="229" t="str">
        <f>IFERROR(VLOOKUP(C248,'बँक जमा खर्च पासबुक'!$C$9:$R$111,4,0),"")</f>
        <v/>
      </c>
      <c r="G248" s="229" t="str">
        <f>IFERROR(VLOOKUP(C248,'बँक जमा खर्च पासबुक'!$C$9:$R$111,5,0),"")</f>
        <v/>
      </c>
      <c r="H248" s="229" t="str">
        <f>IFERROR(VLOOKUP(C248,'बँक जमा खर्च पासबुक'!$C$9:$R$111,6,0),"")</f>
        <v/>
      </c>
      <c r="I248" s="229" t="str">
        <f>IFERROR(VLOOKUP(C248,'बँक जमा खर्च पासबुक'!$C$9:$R$111,7,0),"")</f>
        <v/>
      </c>
      <c r="J248" s="233">
        <f>SUMIF('बँक जमा खर्च पासबुक'!$C$9:$C$111,'बँक खर्च व्हाउचर पावती'!C248,'बँक जमा खर्च पासबुक'!$J$9:$J$111)</f>
        <v>0</v>
      </c>
      <c r="K248" s="233">
        <f>SUMIF('बँक जमा खर्च पासबुक'!$C$9:$C$111,'बँक खर्च व्हाउचर पावती'!C248,'बँक जमा खर्च पासबुक'!$K$9:$K$111)</f>
        <v>0</v>
      </c>
      <c r="L248" s="233">
        <f ca="1">SUMIF('बँक जमा खर्च पासबुक'!$C$9:$C$111,'बँक खर्च व्हाउचर पावती'!C248,'बँक जमा खर्च पासबुक'!$L$9:$L$110)</f>
        <v>0</v>
      </c>
      <c r="M248" s="228">
        <f>SUMIF('बँक जमा खर्च पासबुक'!$C$9:$C$111,'बँक खर्च व्हाउचर पावती'!C248,'बँक जमा खर्च पासबुक'!$M$9:$M$111)</f>
        <v>0</v>
      </c>
      <c r="N248" s="233">
        <f t="shared" ca="1" si="157"/>
        <v>3000</v>
      </c>
      <c r="O248" s="228">
        <f t="shared" si="158"/>
        <v>3000</v>
      </c>
      <c r="P248" s="228">
        <f t="shared" ca="1" si="156"/>
        <v>6000</v>
      </c>
      <c r="Q248" s="399"/>
      <c r="AM248" s="380"/>
      <c r="AN248" s="380"/>
      <c r="AO248" s="380">
        <v>2</v>
      </c>
      <c r="AP248" s="261">
        <f>M10</f>
        <v>0</v>
      </c>
      <c r="AQ248" s="261">
        <f t="shared" si="174"/>
        <v>0</v>
      </c>
      <c r="AR248" s="261">
        <f t="shared" si="175"/>
        <v>0</v>
      </c>
      <c r="AS248" s="261">
        <f t="shared" si="176"/>
        <v>0</v>
      </c>
      <c r="AT248" s="261">
        <f t="shared" si="177"/>
        <v>0</v>
      </c>
      <c r="AU248" s="261">
        <f t="shared" si="178"/>
        <v>0</v>
      </c>
      <c r="AV248" s="261">
        <f t="shared" si="179"/>
        <v>0</v>
      </c>
      <c r="AW248" s="261">
        <f t="shared" si="180"/>
        <v>0</v>
      </c>
      <c r="AX248" s="261">
        <f t="shared" si="181"/>
        <v>0</v>
      </c>
      <c r="AY248" s="261">
        <f t="shared" si="182"/>
        <v>0</v>
      </c>
      <c r="AZ248" s="261">
        <f t="shared" si="183"/>
        <v>0</v>
      </c>
      <c r="BA248" s="261">
        <f t="shared" si="184"/>
        <v>0</v>
      </c>
      <c r="BB248" s="261">
        <f t="shared" si="185"/>
        <v>0</v>
      </c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</row>
    <row r="249" spans="1:72" ht="22.5" customHeight="1" x14ac:dyDescent="0.4">
      <c r="A249" s="399"/>
      <c r="B249" s="376">
        <v>241</v>
      </c>
      <c r="C249" s="310">
        <v>44162</v>
      </c>
      <c r="D249" s="229" t="str">
        <f>IFERROR(VLOOKUP(C249,'बँक जमा खर्च पासबुक'!$C$9:$R$111,2,0),"")</f>
        <v/>
      </c>
      <c r="E249" s="229" t="str">
        <f>IFERROR(VLOOKUP(C249,'बँक जमा खर्च पासबुक'!$C$9:$R$111,3,0),"")</f>
        <v/>
      </c>
      <c r="F249" s="229" t="str">
        <f>IFERROR(VLOOKUP(C249,'बँक जमा खर्च पासबुक'!$C$9:$R$111,4,0),"")</f>
        <v/>
      </c>
      <c r="G249" s="229" t="str">
        <f>IFERROR(VLOOKUP(C249,'बँक जमा खर्च पासबुक'!$C$9:$R$111,5,0),"")</f>
        <v/>
      </c>
      <c r="H249" s="229" t="str">
        <f>IFERROR(VLOOKUP(C249,'बँक जमा खर्च पासबुक'!$C$9:$R$111,6,0),"")</f>
        <v/>
      </c>
      <c r="I249" s="229" t="str">
        <f>IFERROR(VLOOKUP(C249,'बँक जमा खर्च पासबुक'!$C$9:$R$111,7,0),"")</f>
        <v/>
      </c>
      <c r="J249" s="233">
        <f>SUMIF('बँक जमा खर्च पासबुक'!$C$9:$C$111,'बँक खर्च व्हाउचर पावती'!C249,'बँक जमा खर्च पासबुक'!$J$9:$J$111)</f>
        <v>0</v>
      </c>
      <c r="K249" s="233">
        <f>SUMIF('बँक जमा खर्च पासबुक'!$C$9:$C$111,'बँक खर्च व्हाउचर पावती'!C249,'बँक जमा खर्च पासबुक'!$K$9:$K$111)</f>
        <v>0</v>
      </c>
      <c r="L249" s="233">
        <f ca="1">SUMIF('बँक जमा खर्च पासबुक'!$C$9:$C$111,'बँक खर्च व्हाउचर पावती'!C249,'बँक जमा खर्च पासबुक'!$L$9:$L$110)</f>
        <v>0</v>
      </c>
      <c r="M249" s="228">
        <f>SUMIF('बँक जमा खर्च पासबुक'!$C$9:$C$111,'बँक खर्च व्हाउचर पावती'!C249,'बँक जमा खर्च पासबुक'!$M$9:$M$111)</f>
        <v>0</v>
      </c>
      <c r="N249" s="233">
        <f t="shared" ca="1" si="157"/>
        <v>3000</v>
      </c>
      <c r="O249" s="228">
        <f t="shared" si="158"/>
        <v>3000</v>
      </c>
      <c r="P249" s="228">
        <f t="shared" ca="1" si="156"/>
        <v>6000</v>
      </c>
      <c r="Q249" s="399"/>
      <c r="AM249" s="380"/>
      <c r="AN249" s="380"/>
      <c r="AO249" s="380">
        <v>3</v>
      </c>
      <c r="AP249" s="261">
        <f>M11</f>
        <v>0</v>
      </c>
      <c r="AQ249" s="261">
        <f t="shared" si="174"/>
        <v>0</v>
      </c>
      <c r="AR249" s="261">
        <f t="shared" si="175"/>
        <v>0</v>
      </c>
      <c r="AS249" s="261">
        <f t="shared" si="176"/>
        <v>0</v>
      </c>
      <c r="AT249" s="261">
        <f t="shared" si="177"/>
        <v>0</v>
      </c>
      <c r="AU249" s="261">
        <f t="shared" si="178"/>
        <v>0</v>
      </c>
      <c r="AV249" s="261">
        <f t="shared" si="179"/>
        <v>0</v>
      </c>
      <c r="AW249" s="261">
        <f t="shared" si="180"/>
        <v>0</v>
      </c>
      <c r="AX249" s="261">
        <f t="shared" si="181"/>
        <v>0</v>
      </c>
      <c r="AY249" s="261">
        <f t="shared" si="182"/>
        <v>0</v>
      </c>
      <c r="AZ249" s="261">
        <f t="shared" si="183"/>
        <v>0</v>
      </c>
      <c r="BA249" s="261">
        <f t="shared" si="184"/>
        <v>0</v>
      </c>
      <c r="BB249" s="261">
        <f t="shared" si="185"/>
        <v>0</v>
      </c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</row>
    <row r="250" spans="1:72" ht="22.5" customHeight="1" x14ac:dyDescent="0.4">
      <c r="A250" s="399"/>
      <c r="B250" s="376">
        <v>242</v>
      </c>
      <c r="C250" s="310">
        <v>44163</v>
      </c>
      <c r="D250" s="229" t="str">
        <f>IFERROR(VLOOKUP(C250,'बँक जमा खर्च पासबुक'!$C$9:$R$111,2,0),"")</f>
        <v/>
      </c>
      <c r="E250" s="229" t="str">
        <f>IFERROR(VLOOKUP(C250,'बँक जमा खर्च पासबुक'!$C$9:$R$111,3,0),"")</f>
        <v/>
      </c>
      <c r="F250" s="229" t="str">
        <f>IFERROR(VLOOKUP(C250,'बँक जमा खर्च पासबुक'!$C$9:$R$111,4,0),"")</f>
        <v/>
      </c>
      <c r="G250" s="229" t="str">
        <f>IFERROR(VLOOKUP(C250,'बँक जमा खर्च पासबुक'!$C$9:$R$111,5,0),"")</f>
        <v/>
      </c>
      <c r="H250" s="229" t="str">
        <f>IFERROR(VLOOKUP(C250,'बँक जमा खर्च पासबुक'!$C$9:$R$111,6,0),"")</f>
        <v/>
      </c>
      <c r="I250" s="229" t="str">
        <f>IFERROR(VLOOKUP(C250,'बँक जमा खर्च पासबुक'!$C$9:$R$111,7,0),"")</f>
        <v/>
      </c>
      <c r="J250" s="233">
        <f>SUMIF('बँक जमा खर्च पासबुक'!$C$9:$C$111,'बँक खर्च व्हाउचर पावती'!C250,'बँक जमा खर्च पासबुक'!$J$9:$J$111)</f>
        <v>0</v>
      </c>
      <c r="K250" s="233">
        <f>SUMIF('बँक जमा खर्च पासबुक'!$C$9:$C$111,'बँक खर्च व्हाउचर पावती'!C250,'बँक जमा खर्च पासबुक'!$K$9:$K$111)</f>
        <v>0</v>
      </c>
      <c r="L250" s="233">
        <f ca="1">SUMIF('बँक जमा खर्च पासबुक'!$C$9:$C$111,'बँक खर्च व्हाउचर पावती'!C250,'बँक जमा खर्च पासबुक'!$L$9:$L$110)</f>
        <v>0</v>
      </c>
      <c r="M250" s="228">
        <f>SUMIF('बँक जमा खर्च पासबुक'!$C$9:$C$111,'बँक खर्च व्हाउचर पावती'!C250,'बँक जमा खर्च पासबुक'!$M$9:$M$111)</f>
        <v>0</v>
      </c>
      <c r="N250" s="233">
        <f t="shared" ca="1" si="157"/>
        <v>3000</v>
      </c>
      <c r="O250" s="228">
        <f t="shared" si="158"/>
        <v>3000</v>
      </c>
      <c r="P250" s="228">
        <f t="shared" ca="1" si="156"/>
        <v>6000</v>
      </c>
      <c r="Q250" s="399"/>
      <c r="AM250" s="380"/>
      <c r="AN250" s="380"/>
      <c r="AO250" s="380">
        <v>4</v>
      </c>
      <c r="AP250" s="261">
        <f>M12</f>
        <v>0</v>
      </c>
      <c r="AQ250" s="261">
        <f t="shared" si="174"/>
        <v>0</v>
      </c>
      <c r="AR250" s="261">
        <f t="shared" si="175"/>
        <v>0</v>
      </c>
      <c r="AS250" s="261">
        <f t="shared" si="176"/>
        <v>0</v>
      </c>
      <c r="AT250" s="261">
        <f t="shared" si="177"/>
        <v>0</v>
      </c>
      <c r="AU250" s="261">
        <f t="shared" si="178"/>
        <v>0</v>
      </c>
      <c r="AV250" s="261">
        <f t="shared" si="179"/>
        <v>0</v>
      </c>
      <c r="AW250" s="261">
        <f t="shared" si="180"/>
        <v>0</v>
      </c>
      <c r="AX250" s="261">
        <f t="shared" si="181"/>
        <v>0</v>
      </c>
      <c r="AY250" s="261">
        <f t="shared" si="182"/>
        <v>0</v>
      </c>
      <c r="AZ250" s="261">
        <f t="shared" si="183"/>
        <v>0</v>
      </c>
      <c r="BA250" s="261">
        <f t="shared" si="184"/>
        <v>0</v>
      </c>
      <c r="BB250" s="261">
        <f t="shared" si="185"/>
        <v>0</v>
      </c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</row>
    <row r="251" spans="1:72" ht="22.5" customHeight="1" x14ac:dyDescent="0.4">
      <c r="A251" s="399"/>
      <c r="B251" s="376">
        <v>243</v>
      </c>
      <c r="C251" s="310">
        <v>44164</v>
      </c>
      <c r="D251" s="229" t="str">
        <f>IFERROR(VLOOKUP(C251,'बँक जमा खर्च पासबुक'!$C$9:$R$111,2,0),"")</f>
        <v/>
      </c>
      <c r="E251" s="229" t="str">
        <f>IFERROR(VLOOKUP(C251,'बँक जमा खर्च पासबुक'!$C$9:$R$111,3,0),"")</f>
        <v/>
      </c>
      <c r="F251" s="229" t="str">
        <f>IFERROR(VLOOKUP(C251,'बँक जमा खर्च पासबुक'!$C$9:$R$111,4,0),"")</f>
        <v/>
      </c>
      <c r="G251" s="229" t="str">
        <f>IFERROR(VLOOKUP(C251,'बँक जमा खर्च पासबुक'!$C$9:$R$111,5,0),"")</f>
        <v/>
      </c>
      <c r="H251" s="229" t="str">
        <f>IFERROR(VLOOKUP(C251,'बँक जमा खर्च पासबुक'!$C$9:$R$111,6,0),"")</f>
        <v/>
      </c>
      <c r="I251" s="229" t="str">
        <f>IFERROR(VLOOKUP(C251,'बँक जमा खर्च पासबुक'!$C$9:$R$111,7,0),"")</f>
        <v/>
      </c>
      <c r="J251" s="233">
        <f>SUMIF('बँक जमा खर्च पासबुक'!$C$9:$C$111,'बँक खर्च व्हाउचर पावती'!C251,'बँक जमा खर्च पासबुक'!$J$9:$J$111)</f>
        <v>0</v>
      </c>
      <c r="K251" s="233">
        <f>SUMIF('बँक जमा खर्च पासबुक'!$C$9:$C$111,'बँक खर्च व्हाउचर पावती'!C251,'बँक जमा खर्च पासबुक'!$K$9:$K$111)</f>
        <v>0</v>
      </c>
      <c r="L251" s="233">
        <f ca="1">SUMIF('बँक जमा खर्च पासबुक'!$C$9:$C$111,'बँक खर्च व्हाउचर पावती'!C251,'बँक जमा खर्च पासबुक'!$L$9:$L$110)</f>
        <v>0</v>
      </c>
      <c r="M251" s="228">
        <f>SUMIF('बँक जमा खर्च पासबुक'!$C$9:$C$111,'बँक खर्च व्हाउचर पावती'!C251,'बँक जमा खर्च पासबुक'!$M$9:$M$111)</f>
        <v>0</v>
      </c>
      <c r="N251" s="233">
        <f t="shared" ca="1" si="157"/>
        <v>3000</v>
      </c>
      <c r="O251" s="228">
        <f t="shared" si="158"/>
        <v>3000</v>
      </c>
      <c r="P251" s="228">
        <f t="shared" ca="1" si="156"/>
        <v>6000</v>
      </c>
      <c r="Q251" s="399"/>
      <c r="AM251" s="380"/>
      <c r="AN251" s="380"/>
      <c r="AO251" s="380">
        <v>5</v>
      </c>
      <c r="AP251" s="261">
        <f>M13</f>
        <v>0</v>
      </c>
      <c r="AQ251" s="261">
        <f t="shared" si="174"/>
        <v>0</v>
      </c>
      <c r="AR251" s="261">
        <f t="shared" si="175"/>
        <v>0</v>
      </c>
      <c r="AS251" s="261">
        <f t="shared" si="176"/>
        <v>0</v>
      </c>
      <c r="AT251" s="261">
        <f t="shared" si="177"/>
        <v>0</v>
      </c>
      <c r="AU251" s="261">
        <f t="shared" si="178"/>
        <v>0</v>
      </c>
      <c r="AV251" s="261">
        <f t="shared" si="179"/>
        <v>0</v>
      </c>
      <c r="AW251" s="261">
        <f t="shared" si="180"/>
        <v>0</v>
      </c>
      <c r="AX251" s="261">
        <f t="shared" si="181"/>
        <v>0</v>
      </c>
      <c r="AY251" s="261">
        <f t="shared" si="182"/>
        <v>0</v>
      </c>
      <c r="AZ251" s="261">
        <f t="shared" si="183"/>
        <v>0</v>
      </c>
      <c r="BA251" s="261">
        <f t="shared" si="184"/>
        <v>0</v>
      </c>
      <c r="BB251" s="261">
        <f t="shared" si="185"/>
        <v>0</v>
      </c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</row>
    <row r="252" spans="1:72" ht="22.5" customHeight="1" x14ac:dyDescent="0.4">
      <c r="A252" s="399"/>
      <c r="B252" s="376">
        <v>244</v>
      </c>
      <c r="C252" s="310">
        <v>44165</v>
      </c>
      <c r="D252" s="229" t="str">
        <f>IFERROR(VLOOKUP(C252,'बँक जमा खर्च पासबुक'!$C$9:$R$111,2,0),"")</f>
        <v/>
      </c>
      <c r="E252" s="229" t="str">
        <f>IFERROR(VLOOKUP(C252,'बँक जमा खर्च पासबुक'!$C$9:$R$111,3,0),"")</f>
        <v/>
      </c>
      <c r="F252" s="229" t="str">
        <f>IFERROR(VLOOKUP(C252,'बँक जमा खर्च पासबुक'!$C$9:$R$111,4,0),"")</f>
        <v/>
      </c>
      <c r="G252" s="229" t="str">
        <f>IFERROR(VLOOKUP(C252,'बँक जमा खर्च पासबुक'!$C$9:$R$111,5,0),"")</f>
        <v/>
      </c>
      <c r="H252" s="229" t="str">
        <f>IFERROR(VLOOKUP(C252,'बँक जमा खर्च पासबुक'!$C$9:$R$111,6,0),"")</f>
        <v/>
      </c>
      <c r="I252" s="229" t="str">
        <f>IFERROR(VLOOKUP(C252,'बँक जमा खर्च पासबुक'!$C$9:$R$111,7,0),"")</f>
        <v/>
      </c>
      <c r="J252" s="233">
        <f>SUMIF('बँक जमा खर्च पासबुक'!$C$9:$C$111,'बँक खर्च व्हाउचर पावती'!C252,'बँक जमा खर्च पासबुक'!$J$9:$J$111)</f>
        <v>0</v>
      </c>
      <c r="K252" s="233">
        <f>SUMIF('बँक जमा खर्च पासबुक'!$C$9:$C$111,'बँक खर्च व्हाउचर पावती'!C252,'बँक जमा खर्च पासबुक'!$K$9:$K$111)</f>
        <v>0</v>
      </c>
      <c r="L252" s="233">
        <f ca="1">SUMIF('बँक जमा खर्च पासबुक'!$C$9:$C$111,'बँक खर्च व्हाउचर पावती'!C252,'बँक जमा खर्च पासबुक'!$L$9:$L$110)</f>
        <v>0</v>
      </c>
      <c r="M252" s="228">
        <f>SUMIF('बँक जमा खर्च पासबुक'!$C$9:$C$111,'बँक खर्च व्हाउचर पावती'!C252,'बँक जमा खर्च पासबुक'!$M$9:$M$111)</f>
        <v>0</v>
      </c>
      <c r="N252" s="233">
        <f t="shared" ca="1" si="157"/>
        <v>3000</v>
      </c>
      <c r="O252" s="228">
        <f t="shared" si="158"/>
        <v>3000</v>
      </c>
      <c r="P252" s="228">
        <f t="shared" ca="1" si="156"/>
        <v>6000</v>
      </c>
      <c r="Q252" s="399"/>
      <c r="AM252" s="380"/>
      <c r="AN252" s="380"/>
      <c r="AO252" s="380">
        <v>6</v>
      </c>
      <c r="AP252" s="261">
        <f t="shared" ref="AP252:AP276" si="186">M14</f>
        <v>0</v>
      </c>
      <c r="AQ252" s="261">
        <f t="shared" si="174"/>
        <v>0</v>
      </c>
      <c r="AR252" s="261">
        <f t="shared" si="175"/>
        <v>0</v>
      </c>
      <c r="AS252" s="261">
        <f t="shared" si="176"/>
        <v>0</v>
      </c>
      <c r="AT252" s="261">
        <f t="shared" si="177"/>
        <v>0</v>
      </c>
      <c r="AU252" s="261">
        <f t="shared" si="178"/>
        <v>0</v>
      </c>
      <c r="AV252" s="261">
        <f t="shared" si="179"/>
        <v>0</v>
      </c>
      <c r="AW252" s="261">
        <f t="shared" si="180"/>
        <v>0</v>
      </c>
      <c r="AX252" s="261">
        <f t="shared" si="181"/>
        <v>0</v>
      </c>
      <c r="AY252" s="261">
        <f t="shared" si="182"/>
        <v>0</v>
      </c>
      <c r="AZ252" s="261">
        <f t="shared" si="183"/>
        <v>0</v>
      </c>
      <c r="BA252" s="261">
        <f t="shared" si="184"/>
        <v>0</v>
      </c>
      <c r="BB252" s="261">
        <f t="shared" si="185"/>
        <v>0</v>
      </c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</row>
    <row r="253" spans="1:72" ht="22.5" customHeight="1" x14ac:dyDescent="0.4">
      <c r="A253" s="399" t="s">
        <v>39</v>
      </c>
      <c r="B253" s="376">
        <v>245</v>
      </c>
      <c r="C253" s="310">
        <v>44166</v>
      </c>
      <c r="D253" s="229" t="str">
        <f>IFERROR(VLOOKUP(C253,'बँक जमा खर्च पासबुक'!$C$9:$R$111,2,0),"")</f>
        <v/>
      </c>
      <c r="E253" s="229" t="str">
        <f>IFERROR(VLOOKUP(C253,'बँक जमा खर्च पासबुक'!$C$9:$R$111,3,0),"")</f>
        <v/>
      </c>
      <c r="F253" s="229" t="str">
        <f>IFERROR(VLOOKUP(C253,'बँक जमा खर्च पासबुक'!$C$9:$R$111,4,0),"")</f>
        <v/>
      </c>
      <c r="G253" s="229" t="str">
        <f>IFERROR(VLOOKUP(C253,'बँक जमा खर्च पासबुक'!$C$9:$R$111,5,0),"")</f>
        <v/>
      </c>
      <c r="H253" s="229" t="str">
        <f>IFERROR(VLOOKUP(C253,'बँक जमा खर्च पासबुक'!$C$9:$R$111,6,0),"")</f>
        <v/>
      </c>
      <c r="I253" s="229" t="str">
        <f>IFERROR(VLOOKUP(C253,'बँक जमा खर्च पासबुक'!$C$9:$R$111,7,0),"")</f>
        <v/>
      </c>
      <c r="J253" s="233">
        <f>SUMIF('बँक जमा खर्च पासबुक'!$C$9:$C$111,'बँक खर्च व्हाउचर पावती'!C253,'बँक जमा खर्च पासबुक'!$J$9:$J$111)</f>
        <v>0</v>
      </c>
      <c r="K253" s="233">
        <f>SUMIF('बँक जमा खर्च पासबुक'!$C$9:$C$111,'बँक खर्च व्हाउचर पावती'!C253,'बँक जमा खर्च पासबुक'!$K$9:$K$111)</f>
        <v>0</v>
      </c>
      <c r="L253" s="233">
        <f ca="1">SUMIF('बँक जमा खर्च पासबुक'!$C$9:$C$111,'बँक खर्च व्हाउचर पावती'!C253,'बँक जमा खर्च पासबुक'!$L$9:$L$110)</f>
        <v>0</v>
      </c>
      <c r="M253" s="228">
        <f>SUMIF('बँक जमा खर्च पासबुक'!$C$9:$C$111,'बँक खर्च व्हाउचर पावती'!C253,'बँक जमा खर्च पासबुक'!$M$9:$M$111)</f>
        <v>0</v>
      </c>
      <c r="N253" s="233">
        <f t="shared" ca="1" si="157"/>
        <v>3000</v>
      </c>
      <c r="O253" s="228">
        <f t="shared" si="158"/>
        <v>3000</v>
      </c>
      <c r="P253" s="228">
        <f t="shared" ca="1" si="156"/>
        <v>6000</v>
      </c>
      <c r="Q253" s="399"/>
      <c r="AM253" s="380"/>
      <c r="AN253" s="380"/>
      <c r="AO253" s="380">
        <v>7</v>
      </c>
      <c r="AP253" s="261">
        <f t="shared" si="186"/>
        <v>0</v>
      </c>
      <c r="AQ253" s="261">
        <f t="shared" si="174"/>
        <v>0</v>
      </c>
      <c r="AR253" s="261">
        <f t="shared" si="175"/>
        <v>0</v>
      </c>
      <c r="AS253" s="261">
        <f t="shared" si="176"/>
        <v>0</v>
      </c>
      <c r="AT253" s="261">
        <f t="shared" si="177"/>
        <v>0</v>
      </c>
      <c r="AU253" s="261">
        <f t="shared" si="178"/>
        <v>0</v>
      </c>
      <c r="AV253" s="261">
        <f t="shared" si="179"/>
        <v>0</v>
      </c>
      <c r="AW253" s="261">
        <f t="shared" si="180"/>
        <v>0</v>
      </c>
      <c r="AX253" s="261">
        <f t="shared" si="181"/>
        <v>0</v>
      </c>
      <c r="AY253" s="261">
        <f t="shared" si="182"/>
        <v>0</v>
      </c>
      <c r="AZ253" s="261">
        <f t="shared" si="183"/>
        <v>0</v>
      </c>
      <c r="BA253" s="261">
        <f t="shared" si="184"/>
        <v>0</v>
      </c>
      <c r="BB253" s="261">
        <f t="shared" si="185"/>
        <v>0</v>
      </c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</row>
    <row r="254" spans="1:72" ht="22.5" customHeight="1" x14ac:dyDescent="0.4">
      <c r="A254" s="399"/>
      <c r="B254" s="376">
        <v>246</v>
      </c>
      <c r="C254" s="310">
        <v>44167</v>
      </c>
      <c r="D254" s="229" t="str">
        <f>IFERROR(VLOOKUP(C254,'बँक जमा खर्च पासबुक'!$C$9:$R$111,2,0),"")</f>
        <v/>
      </c>
      <c r="E254" s="229" t="str">
        <f>IFERROR(VLOOKUP(C254,'बँक जमा खर्च पासबुक'!$C$9:$R$111,3,0),"")</f>
        <v/>
      </c>
      <c r="F254" s="229" t="str">
        <f>IFERROR(VLOOKUP(C254,'बँक जमा खर्च पासबुक'!$C$9:$R$111,4,0),"")</f>
        <v/>
      </c>
      <c r="G254" s="229" t="str">
        <f>IFERROR(VLOOKUP(C254,'बँक जमा खर्च पासबुक'!$C$9:$R$111,5,0),"")</f>
        <v/>
      </c>
      <c r="H254" s="229" t="str">
        <f>IFERROR(VLOOKUP(C254,'बँक जमा खर्च पासबुक'!$C$9:$R$111,6,0),"")</f>
        <v/>
      </c>
      <c r="I254" s="229" t="str">
        <f>IFERROR(VLOOKUP(C254,'बँक जमा खर्च पासबुक'!$C$9:$R$111,7,0),"")</f>
        <v/>
      </c>
      <c r="J254" s="233">
        <f>SUMIF('बँक जमा खर्च पासबुक'!$C$9:$C$111,'बँक खर्च व्हाउचर पावती'!C254,'बँक जमा खर्च पासबुक'!$J$9:$J$111)</f>
        <v>0</v>
      </c>
      <c r="K254" s="233">
        <f>SUMIF('बँक जमा खर्च पासबुक'!$C$9:$C$111,'बँक खर्च व्हाउचर पावती'!C254,'बँक जमा खर्च पासबुक'!$K$9:$K$111)</f>
        <v>0</v>
      </c>
      <c r="L254" s="233">
        <f ca="1">SUMIF('बँक जमा खर्च पासबुक'!$C$9:$C$111,'बँक खर्च व्हाउचर पावती'!C254,'बँक जमा खर्च पासबुक'!$L$9:$L$110)</f>
        <v>0</v>
      </c>
      <c r="M254" s="228">
        <f>SUMIF('बँक जमा खर्च पासबुक'!$C$9:$C$111,'बँक खर्च व्हाउचर पावती'!C254,'बँक जमा खर्च पासबुक'!$M$9:$M$111)</f>
        <v>0</v>
      </c>
      <c r="N254" s="233">
        <f t="shared" ca="1" si="157"/>
        <v>3000</v>
      </c>
      <c r="O254" s="228">
        <f t="shared" si="158"/>
        <v>3000</v>
      </c>
      <c r="P254" s="228">
        <f t="shared" ca="1" si="156"/>
        <v>6000</v>
      </c>
      <c r="Q254" s="399"/>
      <c r="AM254" s="380"/>
      <c r="AN254" s="380"/>
      <c r="AO254" s="380">
        <v>8</v>
      </c>
      <c r="AP254" s="261">
        <f t="shared" si="186"/>
        <v>0</v>
      </c>
      <c r="AQ254" s="261">
        <f t="shared" si="174"/>
        <v>0</v>
      </c>
      <c r="AR254" s="261">
        <f t="shared" si="175"/>
        <v>0</v>
      </c>
      <c r="AS254" s="261">
        <f t="shared" si="176"/>
        <v>0</v>
      </c>
      <c r="AT254" s="261">
        <f t="shared" si="177"/>
        <v>0</v>
      </c>
      <c r="AU254" s="261">
        <f t="shared" si="178"/>
        <v>0</v>
      </c>
      <c r="AV254" s="261">
        <f t="shared" si="179"/>
        <v>0</v>
      </c>
      <c r="AW254" s="261">
        <f t="shared" si="180"/>
        <v>0</v>
      </c>
      <c r="AX254" s="261">
        <f t="shared" si="181"/>
        <v>0</v>
      </c>
      <c r="AY254" s="261">
        <f t="shared" si="182"/>
        <v>0</v>
      </c>
      <c r="AZ254" s="261">
        <f t="shared" si="183"/>
        <v>0</v>
      </c>
      <c r="BA254" s="261">
        <f t="shared" si="184"/>
        <v>0</v>
      </c>
      <c r="BB254" s="261">
        <f t="shared" si="185"/>
        <v>0</v>
      </c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</row>
    <row r="255" spans="1:72" ht="22.5" customHeight="1" x14ac:dyDescent="0.4">
      <c r="A255" s="399"/>
      <c r="B255" s="376">
        <v>247</v>
      </c>
      <c r="C255" s="310">
        <v>44168</v>
      </c>
      <c r="D255" s="229" t="str">
        <f>IFERROR(VLOOKUP(C255,'बँक जमा खर्च पासबुक'!$C$9:$R$111,2,0),"")</f>
        <v/>
      </c>
      <c r="E255" s="229" t="str">
        <f>IFERROR(VLOOKUP(C255,'बँक जमा खर्च पासबुक'!$C$9:$R$111,3,0),"")</f>
        <v/>
      </c>
      <c r="F255" s="229" t="str">
        <f>IFERROR(VLOOKUP(C255,'बँक जमा खर्च पासबुक'!$C$9:$R$111,4,0),"")</f>
        <v/>
      </c>
      <c r="G255" s="229" t="str">
        <f>IFERROR(VLOOKUP(C255,'बँक जमा खर्च पासबुक'!$C$9:$R$111,5,0),"")</f>
        <v/>
      </c>
      <c r="H255" s="229" t="str">
        <f>IFERROR(VLOOKUP(C255,'बँक जमा खर्च पासबुक'!$C$9:$R$111,6,0),"")</f>
        <v/>
      </c>
      <c r="I255" s="229" t="str">
        <f>IFERROR(VLOOKUP(C255,'बँक जमा खर्च पासबुक'!$C$9:$R$111,7,0),"")</f>
        <v/>
      </c>
      <c r="J255" s="233">
        <f>SUMIF('बँक जमा खर्च पासबुक'!$C$9:$C$111,'बँक खर्च व्हाउचर पावती'!C255,'बँक जमा खर्च पासबुक'!$J$9:$J$111)</f>
        <v>0</v>
      </c>
      <c r="K255" s="233">
        <f>SUMIF('बँक जमा खर्च पासबुक'!$C$9:$C$111,'बँक खर्च व्हाउचर पावती'!C255,'बँक जमा खर्च पासबुक'!$K$9:$K$111)</f>
        <v>0</v>
      </c>
      <c r="L255" s="233">
        <f ca="1">SUMIF('बँक जमा खर्च पासबुक'!$C$9:$C$111,'बँक खर्च व्हाउचर पावती'!C255,'बँक जमा खर्च पासबुक'!$L$9:$L$110)</f>
        <v>0</v>
      </c>
      <c r="M255" s="228">
        <f>SUMIF('बँक जमा खर्च पासबुक'!$C$9:$C$111,'बँक खर्च व्हाउचर पावती'!C255,'बँक जमा खर्च पासबुक'!$M$9:$M$111)</f>
        <v>0</v>
      </c>
      <c r="N255" s="233">
        <f t="shared" ca="1" si="157"/>
        <v>3000</v>
      </c>
      <c r="O255" s="228">
        <f t="shared" si="158"/>
        <v>3000</v>
      </c>
      <c r="P255" s="228">
        <f t="shared" ca="1" si="156"/>
        <v>6000</v>
      </c>
      <c r="Q255" s="399"/>
      <c r="AM255" s="380"/>
      <c r="AN255" s="380"/>
      <c r="AO255" s="380">
        <v>9</v>
      </c>
      <c r="AP255" s="261">
        <f t="shared" si="186"/>
        <v>0</v>
      </c>
      <c r="AQ255" s="261">
        <f t="shared" si="174"/>
        <v>0</v>
      </c>
      <c r="AR255" s="261">
        <f t="shared" si="175"/>
        <v>0</v>
      </c>
      <c r="AS255" s="261">
        <f t="shared" si="176"/>
        <v>0</v>
      </c>
      <c r="AT255" s="261">
        <f t="shared" si="177"/>
        <v>0</v>
      </c>
      <c r="AU255" s="261">
        <f t="shared" si="178"/>
        <v>0</v>
      </c>
      <c r="AV255" s="261">
        <f t="shared" si="179"/>
        <v>0</v>
      </c>
      <c r="AW255" s="261">
        <f t="shared" si="180"/>
        <v>0</v>
      </c>
      <c r="AX255" s="261">
        <f t="shared" si="181"/>
        <v>0</v>
      </c>
      <c r="AY255" s="261">
        <f t="shared" si="182"/>
        <v>0</v>
      </c>
      <c r="AZ255" s="261">
        <f t="shared" si="183"/>
        <v>0</v>
      </c>
      <c r="BA255" s="261">
        <f t="shared" si="184"/>
        <v>0</v>
      </c>
      <c r="BB255" s="261">
        <f t="shared" si="185"/>
        <v>0</v>
      </c>
      <c r="BC255" s="380"/>
      <c r="BD255" s="380"/>
      <c r="BE255" s="380"/>
      <c r="BF255" s="380"/>
      <c r="BG255" s="380"/>
      <c r="BH255" s="380"/>
      <c r="BI255" s="380"/>
      <c r="BJ255" s="380"/>
      <c r="BK255" s="380"/>
      <c r="BL255" s="380"/>
      <c r="BM255" s="380"/>
      <c r="BN255" s="380"/>
      <c r="BO255" s="380"/>
      <c r="BP255" s="380"/>
      <c r="BQ255" s="380"/>
      <c r="BR255" s="380"/>
      <c r="BS255" s="380"/>
      <c r="BT255" s="380"/>
    </row>
    <row r="256" spans="1:72" ht="22.5" customHeight="1" x14ac:dyDescent="0.4">
      <c r="A256" s="399"/>
      <c r="B256" s="376">
        <v>248</v>
      </c>
      <c r="C256" s="310">
        <v>44169</v>
      </c>
      <c r="D256" s="229" t="str">
        <f>IFERROR(VLOOKUP(C256,'बँक जमा खर्च पासबुक'!$C$9:$R$111,2,0),"")</f>
        <v/>
      </c>
      <c r="E256" s="229" t="str">
        <f>IFERROR(VLOOKUP(C256,'बँक जमा खर्च पासबुक'!$C$9:$R$111,3,0),"")</f>
        <v/>
      </c>
      <c r="F256" s="229" t="str">
        <f>IFERROR(VLOOKUP(C256,'बँक जमा खर्च पासबुक'!$C$9:$R$111,4,0),"")</f>
        <v/>
      </c>
      <c r="G256" s="229" t="str">
        <f>IFERROR(VLOOKUP(C256,'बँक जमा खर्च पासबुक'!$C$9:$R$111,5,0),"")</f>
        <v/>
      </c>
      <c r="H256" s="229" t="str">
        <f>IFERROR(VLOOKUP(C256,'बँक जमा खर्च पासबुक'!$C$9:$R$111,6,0),"")</f>
        <v/>
      </c>
      <c r="I256" s="229" t="str">
        <f>IFERROR(VLOOKUP(C256,'बँक जमा खर्च पासबुक'!$C$9:$R$111,7,0),"")</f>
        <v/>
      </c>
      <c r="J256" s="233">
        <f>SUMIF('बँक जमा खर्च पासबुक'!$C$9:$C$111,'बँक खर्च व्हाउचर पावती'!C256,'बँक जमा खर्च पासबुक'!$J$9:$J$111)</f>
        <v>0</v>
      </c>
      <c r="K256" s="233">
        <f>SUMIF('बँक जमा खर्च पासबुक'!$C$9:$C$111,'बँक खर्च व्हाउचर पावती'!C256,'बँक जमा खर्च पासबुक'!$K$9:$K$111)</f>
        <v>0</v>
      </c>
      <c r="L256" s="233">
        <f ca="1">SUMIF('बँक जमा खर्च पासबुक'!$C$9:$C$111,'बँक खर्च व्हाउचर पावती'!C256,'बँक जमा खर्च पासबुक'!$L$9:$L$110)</f>
        <v>0</v>
      </c>
      <c r="M256" s="228">
        <f>SUMIF('बँक जमा खर्च पासबुक'!$C$9:$C$111,'बँक खर्च व्हाउचर पावती'!C256,'बँक जमा खर्च पासबुक'!$M$9:$M$111)</f>
        <v>0</v>
      </c>
      <c r="N256" s="233">
        <f t="shared" ca="1" si="157"/>
        <v>3000</v>
      </c>
      <c r="O256" s="228">
        <f t="shared" si="158"/>
        <v>3000</v>
      </c>
      <c r="P256" s="228">
        <f t="shared" ca="1" si="156"/>
        <v>6000</v>
      </c>
      <c r="Q256" s="399"/>
      <c r="AM256" s="380"/>
      <c r="AN256" s="380"/>
      <c r="AO256" s="380">
        <v>10</v>
      </c>
      <c r="AP256" s="261">
        <f t="shared" si="186"/>
        <v>0</v>
      </c>
      <c r="AQ256" s="261">
        <f t="shared" si="174"/>
        <v>0</v>
      </c>
      <c r="AR256" s="261">
        <f t="shared" si="175"/>
        <v>0</v>
      </c>
      <c r="AS256" s="261">
        <f t="shared" si="176"/>
        <v>0</v>
      </c>
      <c r="AT256" s="261">
        <f t="shared" si="177"/>
        <v>0</v>
      </c>
      <c r="AU256" s="261">
        <f t="shared" si="178"/>
        <v>0</v>
      </c>
      <c r="AV256" s="261">
        <f t="shared" si="179"/>
        <v>0</v>
      </c>
      <c r="AW256" s="261">
        <f t="shared" si="180"/>
        <v>0</v>
      </c>
      <c r="AX256" s="261">
        <f t="shared" si="181"/>
        <v>0</v>
      </c>
      <c r="AY256" s="261">
        <f t="shared" si="182"/>
        <v>0</v>
      </c>
      <c r="AZ256" s="261">
        <f t="shared" si="183"/>
        <v>0</v>
      </c>
      <c r="BA256" s="261">
        <f t="shared" si="184"/>
        <v>0</v>
      </c>
      <c r="BB256" s="261">
        <f t="shared" si="185"/>
        <v>0</v>
      </c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</row>
    <row r="257" spans="1:72" ht="22.5" customHeight="1" x14ac:dyDescent="0.4">
      <c r="A257" s="399"/>
      <c r="B257" s="376">
        <v>249</v>
      </c>
      <c r="C257" s="310">
        <v>44170</v>
      </c>
      <c r="D257" s="229" t="str">
        <f>IFERROR(VLOOKUP(C257,'बँक जमा खर्च पासबुक'!$C$9:$R$111,2,0),"")</f>
        <v/>
      </c>
      <c r="E257" s="229" t="str">
        <f>IFERROR(VLOOKUP(C257,'बँक जमा खर्च पासबुक'!$C$9:$R$111,3,0),"")</f>
        <v/>
      </c>
      <c r="F257" s="229" t="str">
        <f>IFERROR(VLOOKUP(C257,'बँक जमा खर्च पासबुक'!$C$9:$R$111,4,0),"")</f>
        <v/>
      </c>
      <c r="G257" s="229" t="str">
        <f>IFERROR(VLOOKUP(C257,'बँक जमा खर्च पासबुक'!$C$9:$R$111,5,0),"")</f>
        <v/>
      </c>
      <c r="H257" s="229" t="str">
        <f>IFERROR(VLOOKUP(C257,'बँक जमा खर्च पासबुक'!$C$9:$R$111,6,0),"")</f>
        <v/>
      </c>
      <c r="I257" s="229" t="str">
        <f>IFERROR(VLOOKUP(C257,'बँक जमा खर्च पासबुक'!$C$9:$R$111,7,0),"")</f>
        <v/>
      </c>
      <c r="J257" s="233">
        <f>SUMIF('बँक जमा खर्च पासबुक'!$C$9:$C$111,'बँक खर्च व्हाउचर पावती'!C257,'बँक जमा खर्च पासबुक'!$J$9:$J$111)</f>
        <v>0</v>
      </c>
      <c r="K257" s="233">
        <f>SUMIF('बँक जमा खर्च पासबुक'!$C$9:$C$111,'बँक खर्च व्हाउचर पावती'!C257,'बँक जमा खर्च पासबुक'!$K$9:$K$111)</f>
        <v>0</v>
      </c>
      <c r="L257" s="233">
        <f ca="1">SUMIF('बँक जमा खर्च पासबुक'!$C$9:$C$111,'बँक खर्च व्हाउचर पावती'!C257,'बँक जमा खर्च पासबुक'!$L$9:$L$110)</f>
        <v>0</v>
      </c>
      <c r="M257" s="228">
        <f>SUMIF('बँक जमा खर्च पासबुक'!$C$9:$C$111,'बँक खर्च व्हाउचर पावती'!C257,'बँक जमा खर्च पासबुक'!$M$9:$M$111)</f>
        <v>0</v>
      </c>
      <c r="N257" s="233">
        <f t="shared" ca="1" si="157"/>
        <v>3000</v>
      </c>
      <c r="O257" s="228">
        <f t="shared" si="158"/>
        <v>3000</v>
      </c>
      <c r="P257" s="228">
        <f t="shared" ca="1" si="156"/>
        <v>6000</v>
      </c>
      <c r="Q257" s="399"/>
      <c r="AM257" s="380"/>
      <c r="AN257" s="380"/>
      <c r="AO257" s="380">
        <v>11</v>
      </c>
      <c r="AP257" s="261">
        <f t="shared" si="186"/>
        <v>0</v>
      </c>
      <c r="AQ257" s="261">
        <f t="shared" si="174"/>
        <v>0</v>
      </c>
      <c r="AR257" s="261">
        <f t="shared" si="175"/>
        <v>0</v>
      </c>
      <c r="AS257" s="261">
        <f t="shared" si="176"/>
        <v>0</v>
      </c>
      <c r="AT257" s="261">
        <f t="shared" si="177"/>
        <v>0</v>
      </c>
      <c r="AU257" s="261">
        <f t="shared" si="178"/>
        <v>0</v>
      </c>
      <c r="AV257" s="261">
        <f t="shared" si="179"/>
        <v>0</v>
      </c>
      <c r="AW257" s="261">
        <f t="shared" si="180"/>
        <v>0</v>
      </c>
      <c r="AX257" s="261">
        <f t="shared" si="181"/>
        <v>0</v>
      </c>
      <c r="AY257" s="261">
        <f t="shared" si="182"/>
        <v>0</v>
      </c>
      <c r="AZ257" s="261">
        <f t="shared" si="183"/>
        <v>0</v>
      </c>
      <c r="BA257" s="261">
        <f t="shared" si="184"/>
        <v>0</v>
      </c>
      <c r="BB257" s="261">
        <f t="shared" si="185"/>
        <v>0</v>
      </c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</row>
    <row r="258" spans="1:72" ht="22.5" customHeight="1" x14ac:dyDescent="0.4">
      <c r="A258" s="399"/>
      <c r="B258" s="376">
        <v>250</v>
      </c>
      <c r="C258" s="310">
        <v>44171</v>
      </c>
      <c r="D258" s="229" t="str">
        <f>IFERROR(VLOOKUP(C258,'बँक जमा खर्च पासबुक'!$C$9:$R$111,2,0),"")</f>
        <v/>
      </c>
      <c r="E258" s="229" t="str">
        <f>IFERROR(VLOOKUP(C258,'बँक जमा खर्च पासबुक'!$C$9:$R$111,3,0),"")</f>
        <v/>
      </c>
      <c r="F258" s="229" t="str">
        <f>IFERROR(VLOOKUP(C258,'बँक जमा खर्च पासबुक'!$C$9:$R$111,4,0),"")</f>
        <v/>
      </c>
      <c r="G258" s="229" t="str">
        <f>IFERROR(VLOOKUP(C258,'बँक जमा खर्च पासबुक'!$C$9:$R$111,5,0),"")</f>
        <v/>
      </c>
      <c r="H258" s="229" t="str">
        <f>IFERROR(VLOOKUP(C258,'बँक जमा खर्च पासबुक'!$C$9:$R$111,6,0),"")</f>
        <v/>
      </c>
      <c r="I258" s="229" t="str">
        <f>IFERROR(VLOOKUP(C258,'बँक जमा खर्च पासबुक'!$C$9:$R$111,7,0),"")</f>
        <v/>
      </c>
      <c r="J258" s="233">
        <f>SUMIF('बँक जमा खर्च पासबुक'!$C$9:$C$111,'बँक खर्च व्हाउचर पावती'!C258,'बँक जमा खर्च पासबुक'!$J$9:$J$111)</f>
        <v>0</v>
      </c>
      <c r="K258" s="233">
        <f>SUMIF('बँक जमा खर्च पासबुक'!$C$9:$C$111,'बँक खर्च व्हाउचर पावती'!C258,'बँक जमा खर्च पासबुक'!$K$9:$K$111)</f>
        <v>0</v>
      </c>
      <c r="L258" s="233">
        <f ca="1">SUMIF('बँक जमा खर्च पासबुक'!$C$9:$C$111,'बँक खर्च व्हाउचर पावती'!C258,'बँक जमा खर्च पासबुक'!$L$9:$L$110)</f>
        <v>0</v>
      </c>
      <c r="M258" s="228">
        <f>SUMIF('बँक जमा खर्च पासबुक'!$C$9:$C$111,'बँक खर्च व्हाउचर पावती'!C258,'बँक जमा खर्च पासबुक'!$M$9:$M$111)</f>
        <v>0</v>
      </c>
      <c r="N258" s="233">
        <f t="shared" ca="1" si="157"/>
        <v>3000</v>
      </c>
      <c r="O258" s="228">
        <f t="shared" si="158"/>
        <v>3000</v>
      </c>
      <c r="P258" s="228">
        <f t="shared" ca="1" si="156"/>
        <v>6000</v>
      </c>
      <c r="Q258" s="399"/>
      <c r="AM258" s="380"/>
      <c r="AN258" s="380"/>
      <c r="AO258" s="380">
        <v>12</v>
      </c>
      <c r="AP258" s="261">
        <f t="shared" si="186"/>
        <v>0</v>
      </c>
      <c r="AQ258" s="261">
        <f t="shared" si="174"/>
        <v>0</v>
      </c>
      <c r="AR258" s="261">
        <f t="shared" si="175"/>
        <v>0</v>
      </c>
      <c r="AS258" s="261">
        <f t="shared" si="176"/>
        <v>0</v>
      </c>
      <c r="AT258" s="261">
        <f t="shared" si="177"/>
        <v>0</v>
      </c>
      <c r="AU258" s="261">
        <f t="shared" si="178"/>
        <v>0</v>
      </c>
      <c r="AV258" s="261">
        <f t="shared" si="179"/>
        <v>0</v>
      </c>
      <c r="AW258" s="261">
        <f t="shared" si="180"/>
        <v>0</v>
      </c>
      <c r="AX258" s="261">
        <f t="shared" si="181"/>
        <v>0</v>
      </c>
      <c r="AY258" s="261">
        <f t="shared" si="182"/>
        <v>0</v>
      </c>
      <c r="AZ258" s="261">
        <f t="shared" si="183"/>
        <v>0</v>
      </c>
      <c r="BA258" s="261">
        <f t="shared" si="184"/>
        <v>0</v>
      </c>
      <c r="BB258" s="261">
        <f t="shared" si="185"/>
        <v>0</v>
      </c>
      <c r="BC258" s="380"/>
      <c r="BD258" s="380"/>
      <c r="BE258" s="380"/>
      <c r="BF258" s="380"/>
      <c r="BG258" s="380"/>
      <c r="BH258" s="380"/>
      <c r="BI258" s="380"/>
      <c r="BJ258" s="380"/>
      <c r="BK258" s="380"/>
      <c r="BL258" s="380"/>
      <c r="BM258" s="380"/>
      <c r="BN258" s="380"/>
      <c r="BO258" s="380"/>
      <c r="BP258" s="380"/>
      <c r="BQ258" s="380"/>
      <c r="BR258" s="380"/>
      <c r="BS258" s="380"/>
      <c r="BT258" s="380"/>
    </row>
    <row r="259" spans="1:72" ht="22.5" customHeight="1" x14ac:dyDescent="0.4">
      <c r="A259" s="399"/>
      <c r="B259" s="376">
        <v>251</v>
      </c>
      <c r="C259" s="310">
        <v>44172</v>
      </c>
      <c r="D259" s="229" t="str">
        <f>IFERROR(VLOOKUP(C259,'बँक जमा खर्च पासबुक'!$C$9:$R$111,2,0),"")</f>
        <v/>
      </c>
      <c r="E259" s="229" t="str">
        <f>IFERROR(VLOOKUP(C259,'बँक जमा खर्च पासबुक'!$C$9:$R$111,3,0),"")</f>
        <v/>
      </c>
      <c r="F259" s="229" t="str">
        <f>IFERROR(VLOOKUP(C259,'बँक जमा खर्च पासबुक'!$C$9:$R$111,4,0),"")</f>
        <v/>
      </c>
      <c r="G259" s="229" t="str">
        <f>IFERROR(VLOOKUP(C259,'बँक जमा खर्च पासबुक'!$C$9:$R$111,5,0),"")</f>
        <v/>
      </c>
      <c r="H259" s="229" t="str">
        <f>IFERROR(VLOOKUP(C259,'बँक जमा खर्च पासबुक'!$C$9:$R$111,6,0),"")</f>
        <v/>
      </c>
      <c r="I259" s="229" t="str">
        <f>IFERROR(VLOOKUP(C259,'बँक जमा खर्च पासबुक'!$C$9:$R$111,7,0),"")</f>
        <v/>
      </c>
      <c r="J259" s="233">
        <f>SUMIF('बँक जमा खर्च पासबुक'!$C$9:$C$111,'बँक खर्च व्हाउचर पावती'!C259,'बँक जमा खर्च पासबुक'!$J$9:$J$111)</f>
        <v>0</v>
      </c>
      <c r="K259" s="233">
        <f>SUMIF('बँक जमा खर्च पासबुक'!$C$9:$C$111,'बँक खर्च व्हाउचर पावती'!C259,'बँक जमा खर्च पासबुक'!$K$9:$K$111)</f>
        <v>0</v>
      </c>
      <c r="L259" s="233">
        <f ca="1">SUMIF('बँक जमा खर्च पासबुक'!$C$9:$C$111,'बँक खर्च व्हाउचर पावती'!C259,'बँक जमा खर्च पासबुक'!$L$9:$L$110)</f>
        <v>0</v>
      </c>
      <c r="M259" s="228">
        <f>SUMIF('बँक जमा खर्च पासबुक'!$C$9:$C$111,'बँक खर्च व्हाउचर पावती'!C259,'बँक जमा खर्च पासबुक'!$M$9:$M$111)</f>
        <v>0</v>
      </c>
      <c r="N259" s="233">
        <f t="shared" ca="1" si="157"/>
        <v>3000</v>
      </c>
      <c r="O259" s="228">
        <f t="shared" si="158"/>
        <v>3000</v>
      </c>
      <c r="P259" s="228">
        <f t="shared" ca="1" si="156"/>
        <v>6000</v>
      </c>
      <c r="Q259" s="399"/>
      <c r="AM259" s="380"/>
      <c r="AN259" s="380"/>
      <c r="AO259" s="380">
        <v>13</v>
      </c>
      <c r="AP259" s="261">
        <f t="shared" si="186"/>
        <v>0</v>
      </c>
      <c r="AQ259" s="261">
        <f t="shared" si="174"/>
        <v>0</v>
      </c>
      <c r="AR259" s="261">
        <f t="shared" si="175"/>
        <v>0</v>
      </c>
      <c r="AS259" s="261">
        <f t="shared" si="176"/>
        <v>0</v>
      </c>
      <c r="AT259" s="261">
        <f t="shared" si="177"/>
        <v>0</v>
      </c>
      <c r="AU259" s="261">
        <f t="shared" si="178"/>
        <v>0</v>
      </c>
      <c r="AV259" s="261">
        <f t="shared" si="179"/>
        <v>0</v>
      </c>
      <c r="AW259" s="261">
        <f t="shared" si="180"/>
        <v>0</v>
      </c>
      <c r="AX259" s="261">
        <f t="shared" si="181"/>
        <v>0</v>
      </c>
      <c r="AY259" s="261">
        <f t="shared" si="182"/>
        <v>0</v>
      </c>
      <c r="AZ259" s="261">
        <f t="shared" si="183"/>
        <v>0</v>
      </c>
      <c r="BA259" s="261">
        <f t="shared" si="184"/>
        <v>0</v>
      </c>
      <c r="BB259" s="261">
        <f t="shared" si="185"/>
        <v>0</v>
      </c>
      <c r="BC259" s="380"/>
      <c r="BD259" s="380"/>
      <c r="BE259" s="380"/>
      <c r="BF259" s="380"/>
      <c r="BG259" s="380"/>
      <c r="BH259" s="380"/>
      <c r="BI259" s="380"/>
      <c r="BJ259" s="380"/>
      <c r="BK259" s="380"/>
      <c r="BL259" s="380"/>
      <c r="BM259" s="380"/>
      <c r="BN259" s="380"/>
      <c r="BO259" s="380"/>
      <c r="BP259" s="380"/>
      <c r="BQ259" s="380"/>
      <c r="BR259" s="380"/>
      <c r="BS259" s="380"/>
      <c r="BT259" s="380"/>
    </row>
    <row r="260" spans="1:72" ht="22.5" customHeight="1" x14ac:dyDescent="0.4">
      <c r="A260" s="399"/>
      <c r="B260" s="376">
        <v>252</v>
      </c>
      <c r="C260" s="310">
        <v>44173</v>
      </c>
      <c r="D260" s="229" t="str">
        <f>IFERROR(VLOOKUP(C260,'बँक जमा खर्च पासबुक'!$C$9:$R$111,2,0),"")</f>
        <v/>
      </c>
      <c r="E260" s="229" t="str">
        <f>IFERROR(VLOOKUP(C260,'बँक जमा खर्च पासबुक'!$C$9:$R$111,3,0),"")</f>
        <v/>
      </c>
      <c r="F260" s="229" t="str">
        <f>IFERROR(VLOOKUP(C260,'बँक जमा खर्च पासबुक'!$C$9:$R$111,4,0),"")</f>
        <v/>
      </c>
      <c r="G260" s="229" t="str">
        <f>IFERROR(VLOOKUP(C260,'बँक जमा खर्च पासबुक'!$C$9:$R$111,5,0),"")</f>
        <v/>
      </c>
      <c r="H260" s="229" t="str">
        <f>IFERROR(VLOOKUP(C260,'बँक जमा खर्च पासबुक'!$C$9:$R$111,6,0),"")</f>
        <v/>
      </c>
      <c r="I260" s="229" t="str">
        <f>IFERROR(VLOOKUP(C260,'बँक जमा खर्च पासबुक'!$C$9:$R$111,7,0),"")</f>
        <v/>
      </c>
      <c r="J260" s="233">
        <f>SUMIF('बँक जमा खर्च पासबुक'!$C$9:$C$111,'बँक खर्च व्हाउचर पावती'!C260,'बँक जमा खर्च पासबुक'!$J$9:$J$111)</f>
        <v>0</v>
      </c>
      <c r="K260" s="233">
        <f>SUMIF('बँक जमा खर्च पासबुक'!$C$9:$C$111,'बँक खर्च व्हाउचर पावती'!C260,'बँक जमा खर्च पासबुक'!$K$9:$K$111)</f>
        <v>0</v>
      </c>
      <c r="L260" s="233">
        <f ca="1">SUMIF('बँक जमा खर्च पासबुक'!$C$9:$C$111,'बँक खर्च व्हाउचर पावती'!C260,'बँक जमा खर्च पासबुक'!$L$9:$L$110)</f>
        <v>0</v>
      </c>
      <c r="M260" s="228">
        <f>SUMIF('बँक जमा खर्च पासबुक'!$C$9:$C$111,'बँक खर्च व्हाउचर पावती'!C260,'बँक जमा खर्च पासबुक'!$M$9:$M$111)</f>
        <v>0</v>
      </c>
      <c r="N260" s="233">
        <f t="shared" ca="1" si="157"/>
        <v>3000</v>
      </c>
      <c r="O260" s="228">
        <f t="shared" si="158"/>
        <v>3000</v>
      </c>
      <c r="P260" s="228">
        <f t="shared" ca="1" si="156"/>
        <v>6000</v>
      </c>
      <c r="Q260" s="399"/>
      <c r="AM260" s="380"/>
      <c r="AN260" s="380"/>
      <c r="AO260" s="380">
        <v>14</v>
      </c>
      <c r="AP260" s="261">
        <f t="shared" si="186"/>
        <v>0</v>
      </c>
      <c r="AQ260" s="261">
        <f t="shared" si="174"/>
        <v>0</v>
      </c>
      <c r="AR260" s="261">
        <f t="shared" si="175"/>
        <v>0</v>
      </c>
      <c r="AS260" s="261">
        <f t="shared" si="176"/>
        <v>0</v>
      </c>
      <c r="AT260" s="261">
        <f t="shared" si="177"/>
        <v>0</v>
      </c>
      <c r="AU260" s="261">
        <f t="shared" si="178"/>
        <v>0</v>
      </c>
      <c r="AV260" s="261">
        <f t="shared" si="179"/>
        <v>0</v>
      </c>
      <c r="AW260" s="261">
        <f t="shared" si="180"/>
        <v>0</v>
      </c>
      <c r="AX260" s="261">
        <f t="shared" si="181"/>
        <v>0</v>
      </c>
      <c r="AY260" s="261">
        <f t="shared" si="182"/>
        <v>0</v>
      </c>
      <c r="AZ260" s="261">
        <f t="shared" si="183"/>
        <v>0</v>
      </c>
      <c r="BA260" s="261">
        <f t="shared" si="184"/>
        <v>0</v>
      </c>
      <c r="BB260" s="261">
        <f t="shared" si="185"/>
        <v>0</v>
      </c>
      <c r="BC260" s="380"/>
      <c r="BD260" s="380"/>
      <c r="BE260" s="380"/>
      <c r="BF260" s="380"/>
      <c r="BG260" s="380"/>
      <c r="BH260" s="380"/>
      <c r="BI260" s="380"/>
      <c r="BJ260" s="380"/>
      <c r="BK260" s="380"/>
      <c r="BL260" s="380"/>
      <c r="BM260" s="380"/>
      <c r="BN260" s="380"/>
      <c r="BO260" s="380"/>
      <c r="BP260" s="380"/>
      <c r="BQ260" s="380"/>
      <c r="BR260" s="380"/>
      <c r="BS260" s="380"/>
      <c r="BT260" s="380"/>
    </row>
    <row r="261" spans="1:72" ht="22.5" customHeight="1" x14ac:dyDescent="0.4">
      <c r="A261" s="399"/>
      <c r="B261" s="376">
        <v>253</v>
      </c>
      <c r="C261" s="310">
        <v>44174</v>
      </c>
      <c r="D261" s="229" t="str">
        <f>IFERROR(VLOOKUP(C261,'बँक जमा खर्च पासबुक'!$C$9:$R$111,2,0),"")</f>
        <v/>
      </c>
      <c r="E261" s="229" t="str">
        <f>IFERROR(VLOOKUP(C261,'बँक जमा खर्च पासबुक'!$C$9:$R$111,3,0),"")</f>
        <v/>
      </c>
      <c r="F261" s="229" t="str">
        <f>IFERROR(VLOOKUP(C261,'बँक जमा खर्च पासबुक'!$C$9:$R$111,4,0),"")</f>
        <v/>
      </c>
      <c r="G261" s="229" t="str">
        <f>IFERROR(VLOOKUP(C261,'बँक जमा खर्च पासबुक'!$C$9:$R$111,5,0),"")</f>
        <v/>
      </c>
      <c r="H261" s="229" t="str">
        <f>IFERROR(VLOOKUP(C261,'बँक जमा खर्च पासबुक'!$C$9:$R$111,6,0),"")</f>
        <v/>
      </c>
      <c r="I261" s="229" t="str">
        <f>IFERROR(VLOOKUP(C261,'बँक जमा खर्च पासबुक'!$C$9:$R$111,7,0),"")</f>
        <v/>
      </c>
      <c r="J261" s="233">
        <f>SUMIF('बँक जमा खर्च पासबुक'!$C$9:$C$111,'बँक खर्च व्हाउचर पावती'!C261,'बँक जमा खर्च पासबुक'!$J$9:$J$111)</f>
        <v>0</v>
      </c>
      <c r="K261" s="233">
        <f>SUMIF('बँक जमा खर्च पासबुक'!$C$9:$C$111,'बँक खर्च व्हाउचर पावती'!C261,'बँक जमा खर्च पासबुक'!$K$9:$K$111)</f>
        <v>0</v>
      </c>
      <c r="L261" s="233">
        <f ca="1">SUMIF('बँक जमा खर्च पासबुक'!$C$9:$C$111,'बँक खर्च व्हाउचर पावती'!C261,'बँक जमा खर्च पासबुक'!$L$9:$L$110)</f>
        <v>0</v>
      </c>
      <c r="M261" s="228">
        <f>SUMIF('बँक जमा खर्च पासबुक'!$C$9:$C$111,'बँक खर्च व्हाउचर पावती'!C261,'बँक जमा खर्च पासबुक'!$M$9:$M$111)</f>
        <v>0</v>
      </c>
      <c r="N261" s="233">
        <f t="shared" ca="1" si="157"/>
        <v>3000</v>
      </c>
      <c r="O261" s="228">
        <f t="shared" si="158"/>
        <v>3000</v>
      </c>
      <c r="P261" s="228">
        <f t="shared" ca="1" si="156"/>
        <v>6000</v>
      </c>
      <c r="Q261" s="399"/>
      <c r="AM261" s="380"/>
      <c r="AN261" s="380"/>
      <c r="AO261" s="380">
        <v>15</v>
      </c>
      <c r="AP261" s="261">
        <f t="shared" si="186"/>
        <v>0</v>
      </c>
      <c r="AQ261" s="261">
        <f t="shared" si="174"/>
        <v>0</v>
      </c>
      <c r="AR261" s="261">
        <f t="shared" si="175"/>
        <v>0</v>
      </c>
      <c r="AS261" s="261">
        <f t="shared" si="176"/>
        <v>0</v>
      </c>
      <c r="AT261" s="261">
        <f t="shared" si="177"/>
        <v>0</v>
      </c>
      <c r="AU261" s="261">
        <f t="shared" si="178"/>
        <v>0</v>
      </c>
      <c r="AV261" s="261">
        <f t="shared" si="179"/>
        <v>0</v>
      </c>
      <c r="AW261" s="261">
        <f t="shared" si="180"/>
        <v>0</v>
      </c>
      <c r="AX261" s="261">
        <f t="shared" si="181"/>
        <v>0</v>
      </c>
      <c r="AY261" s="261">
        <f t="shared" si="182"/>
        <v>0</v>
      </c>
      <c r="AZ261" s="261">
        <f t="shared" si="183"/>
        <v>0</v>
      </c>
      <c r="BA261" s="261">
        <f t="shared" si="184"/>
        <v>0</v>
      </c>
      <c r="BB261" s="261">
        <f t="shared" si="185"/>
        <v>0</v>
      </c>
      <c r="BC261" s="380"/>
      <c r="BD261" s="380"/>
      <c r="BE261" s="380"/>
      <c r="BF261" s="380"/>
      <c r="BG261" s="380"/>
      <c r="BH261" s="380"/>
      <c r="BI261" s="380"/>
      <c r="BJ261" s="380"/>
      <c r="BK261" s="380"/>
      <c r="BL261" s="380"/>
      <c r="BM261" s="380"/>
      <c r="BN261" s="380"/>
      <c r="BO261" s="380"/>
      <c r="BP261" s="380"/>
      <c r="BQ261" s="380"/>
      <c r="BR261" s="380"/>
      <c r="BS261" s="380"/>
      <c r="BT261" s="380"/>
    </row>
    <row r="262" spans="1:72" ht="22.5" customHeight="1" x14ac:dyDescent="0.4">
      <c r="A262" s="399"/>
      <c r="B262" s="376">
        <v>254</v>
      </c>
      <c r="C262" s="310">
        <v>44175</v>
      </c>
      <c r="D262" s="229" t="str">
        <f>IFERROR(VLOOKUP(C262,'बँक जमा खर्च पासबुक'!$C$9:$R$111,2,0),"")</f>
        <v/>
      </c>
      <c r="E262" s="229" t="str">
        <f>IFERROR(VLOOKUP(C262,'बँक जमा खर्च पासबुक'!$C$9:$R$111,3,0),"")</f>
        <v/>
      </c>
      <c r="F262" s="229" t="str">
        <f>IFERROR(VLOOKUP(C262,'बँक जमा खर्च पासबुक'!$C$9:$R$111,4,0),"")</f>
        <v/>
      </c>
      <c r="G262" s="229" t="str">
        <f>IFERROR(VLOOKUP(C262,'बँक जमा खर्च पासबुक'!$C$9:$R$111,5,0),"")</f>
        <v/>
      </c>
      <c r="H262" s="229" t="str">
        <f>IFERROR(VLOOKUP(C262,'बँक जमा खर्च पासबुक'!$C$9:$R$111,6,0),"")</f>
        <v/>
      </c>
      <c r="I262" s="229" t="str">
        <f>IFERROR(VLOOKUP(C262,'बँक जमा खर्च पासबुक'!$C$9:$R$111,7,0),"")</f>
        <v/>
      </c>
      <c r="J262" s="233">
        <f>SUMIF('बँक जमा खर्च पासबुक'!$C$9:$C$111,'बँक खर्च व्हाउचर पावती'!C262,'बँक जमा खर्च पासबुक'!$J$9:$J$111)</f>
        <v>0</v>
      </c>
      <c r="K262" s="233">
        <f>SUMIF('बँक जमा खर्च पासबुक'!$C$9:$C$111,'बँक खर्च व्हाउचर पावती'!C262,'बँक जमा खर्च पासबुक'!$K$9:$K$111)</f>
        <v>0</v>
      </c>
      <c r="L262" s="233">
        <f ca="1">SUMIF('बँक जमा खर्च पासबुक'!$C$9:$C$111,'बँक खर्च व्हाउचर पावती'!C262,'बँक जमा खर्च पासबुक'!$L$9:$L$110)</f>
        <v>0</v>
      </c>
      <c r="M262" s="228">
        <f>SUMIF('बँक जमा खर्च पासबुक'!$C$9:$C$111,'बँक खर्च व्हाउचर पावती'!C262,'बँक जमा खर्च पासबुक'!$M$9:$M$111)</f>
        <v>0</v>
      </c>
      <c r="N262" s="233">
        <f t="shared" ca="1" si="157"/>
        <v>3000</v>
      </c>
      <c r="O262" s="228">
        <f t="shared" si="158"/>
        <v>3000</v>
      </c>
      <c r="P262" s="228">
        <f t="shared" ca="1" si="156"/>
        <v>6000</v>
      </c>
      <c r="Q262" s="399"/>
      <c r="AM262" s="380"/>
      <c r="AN262" s="380"/>
      <c r="AO262" s="380">
        <v>16</v>
      </c>
      <c r="AP262" s="261">
        <f t="shared" si="186"/>
        <v>0</v>
      </c>
      <c r="AQ262" s="261">
        <f t="shared" si="174"/>
        <v>0</v>
      </c>
      <c r="AR262" s="261">
        <f t="shared" si="175"/>
        <v>0</v>
      </c>
      <c r="AS262" s="261">
        <f t="shared" si="176"/>
        <v>0</v>
      </c>
      <c r="AT262" s="261">
        <f t="shared" si="177"/>
        <v>0</v>
      </c>
      <c r="AU262" s="261">
        <f t="shared" si="178"/>
        <v>0</v>
      </c>
      <c r="AV262" s="261">
        <f t="shared" si="179"/>
        <v>0</v>
      </c>
      <c r="AW262" s="261">
        <f t="shared" si="180"/>
        <v>0</v>
      </c>
      <c r="AX262" s="261">
        <f t="shared" si="181"/>
        <v>0</v>
      </c>
      <c r="AY262" s="261">
        <f t="shared" si="182"/>
        <v>0</v>
      </c>
      <c r="AZ262" s="261">
        <f t="shared" si="183"/>
        <v>0</v>
      </c>
      <c r="BA262" s="261">
        <f t="shared" si="184"/>
        <v>0</v>
      </c>
      <c r="BB262" s="261">
        <f t="shared" si="185"/>
        <v>0</v>
      </c>
      <c r="BC262" s="380"/>
      <c r="BD262" s="380"/>
      <c r="BE262" s="380"/>
      <c r="BF262" s="380"/>
      <c r="BG262" s="380"/>
      <c r="BH262" s="380"/>
      <c r="BI262" s="380"/>
      <c r="BJ262" s="380"/>
      <c r="BK262" s="380"/>
      <c r="BL262" s="380"/>
      <c r="BM262" s="380"/>
      <c r="BN262" s="380"/>
      <c r="BO262" s="380"/>
      <c r="BP262" s="380"/>
      <c r="BQ262" s="380"/>
      <c r="BR262" s="380"/>
      <c r="BS262" s="380"/>
      <c r="BT262" s="380"/>
    </row>
    <row r="263" spans="1:72" ht="22.5" customHeight="1" x14ac:dyDescent="0.4">
      <c r="A263" s="399"/>
      <c r="B263" s="376">
        <v>255</v>
      </c>
      <c r="C263" s="310">
        <v>44176</v>
      </c>
      <c r="D263" s="229" t="str">
        <f>IFERROR(VLOOKUP(C263,'बँक जमा खर्च पासबुक'!$C$9:$R$111,2,0),"")</f>
        <v/>
      </c>
      <c r="E263" s="229" t="str">
        <f>IFERROR(VLOOKUP(C263,'बँक जमा खर्च पासबुक'!$C$9:$R$111,3,0),"")</f>
        <v/>
      </c>
      <c r="F263" s="229" t="str">
        <f>IFERROR(VLOOKUP(C263,'बँक जमा खर्च पासबुक'!$C$9:$R$111,4,0),"")</f>
        <v/>
      </c>
      <c r="G263" s="229" t="str">
        <f>IFERROR(VLOOKUP(C263,'बँक जमा खर्च पासबुक'!$C$9:$R$111,5,0),"")</f>
        <v/>
      </c>
      <c r="H263" s="229" t="str">
        <f>IFERROR(VLOOKUP(C263,'बँक जमा खर्च पासबुक'!$C$9:$R$111,6,0),"")</f>
        <v/>
      </c>
      <c r="I263" s="229" t="str">
        <f>IFERROR(VLOOKUP(C263,'बँक जमा खर्च पासबुक'!$C$9:$R$111,7,0),"")</f>
        <v/>
      </c>
      <c r="J263" s="233">
        <f>SUMIF('बँक जमा खर्च पासबुक'!$C$9:$C$111,'बँक खर्च व्हाउचर पावती'!C263,'बँक जमा खर्च पासबुक'!$J$9:$J$111)</f>
        <v>0</v>
      </c>
      <c r="K263" s="233">
        <f>SUMIF('बँक जमा खर्च पासबुक'!$C$9:$C$111,'बँक खर्च व्हाउचर पावती'!C263,'बँक जमा खर्च पासबुक'!$K$9:$K$111)</f>
        <v>0</v>
      </c>
      <c r="L263" s="233">
        <f ca="1">SUMIF('बँक जमा खर्च पासबुक'!$C$9:$C$111,'बँक खर्च व्हाउचर पावती'!C263,'बँक जमा खर्च पासबुक'!$L$9:$L$110)</f>
        <v>0</v>
      </c>
      <c r="M263" s="228">
        <f>SUMIF('बँक जमा खर्च पासबुक'!$C$9:$C$111,'बँक खर्च व्हाउचर पावती'!C263,'बँक जमा खर्च पासबुक'!$M$9:$M$111)</f>
        <v>0</v>
      </c>
      <c r="N263" s="233">
        <f t="shared" ca="1" si="157"/>
        <v>3000</v>
      </c>
      <c r="O263" s="228">
        <f t="shared" si="158"/>
        <v>3000</v>
      </c>
      <c r="P263" s="228">
        <f t="shared" ca="1" si="156"/>
        <v>6000</v>
      </c>
      <c r="Q263" s="399"/>
      <c r="AM263" s="380"/>
      <c r="AN263" s="380"/>
      <c r="AO263" s="380">
        <v>17</v>
      </c>
      <c r="AP263" s="261">
        <f t="shared" si="186"/>
        <v>0</v>
      </c>
      <c r="AQ263" s="261">
        <f t="shared" si="174"/>
        <v>0</v>
      </c>
      <c r="AR263" s="261">
        <f t="shared" si="175"/>
        <v>0</v>
      </c>
      <c r="AS263" s="261">
        <f t="shared" si="176"/>
        <v>0</v>
      </c>
      <c r="AT263" s="261">
        <f t="shared" si="177"/>
        <v>0</v>
      </c>
      <c r="AU263" s="261">
        <f t="shared" si="178"/>
        <v>0</v>
      </c>
      <c r="AV263" s="261">
        <f t="shared" si="179"/>
        <v>0</v>
      </c>
      <c r="AW263" s="261">
        <f t="shared" si="180"/>
        <v>0</v>
      </c>
      <c r="AX263" s="261">
        <f t="shared" si="181"/>
        <v>0</v>
      </c>
      <c r="AY263" s="261">
        <f t="shared" si="182"/>
        <v>0</v>
      </c>
      <c r="AZ263" s="261">
        <f t="shared" si="183"/>
        <v>0</v>
      </c>
      <c r="BA263" s="261">
        <f t="shared" si="184"/>
        <v>0</v>
      </c>
      <c r="BB263" s="261">
        <f t="shared" si="185"/>
        <v>0</v>
      </c>
      <c r="BC263" s="380"/>
      <c r="BD263" s="380"/>
      <c r="BE263" s="380"/>
      <c r="BF263" s="380"/>
      <c r="BG263" s="380"/>
      <c r="BH263" s="380"/>
      <c r="BI263" s="380"/>
      <c r="BJ263" s="380"/>
      <c r="BK263" s="380"/>
      <c r="BL263" s="380"/>
      <c r="BM263" s="380"/>
      <c r="BN263" s="380"/>
      <c r="BO263" s="380"/>
      <c r="BP263" s="380"/>
      <c r="BQ263" s="380"/>
      <c r="BR263" s="380"/>
      <c r="BS263" s="380"/>
      <c r="BT263" s="380"/>
    </row>
    <row r="264" spans="1:72" ht="22.5" customHeight="1" x14ac:dyDescent="0.4">
      <c r="A264" s="399"/>
      <c r="B264" s="376">
        <v>256</v>
      </c>
      <c r="C264" s="310">
        <v>44177</v>
      </c>
      <c r="D264" s="229" t="str">
        <f>IFERROR(VLOOKUP(C264,'बँक जमा खर्च पासबुक'!$C$9:$R$111,2,0),"")</f>
        <v/>
      </c>
      <c r="E264" s="229" t="str">
        <f>IFERROR(VLOOKUP(C264,'बँक जमा खर्च पासबुक'!$C$9:$R$111,3,0),"")</f>
        <v/>
      </c>
      <c r="F264" s="229" t="str">
        <f>IFERROR(VLOOKUP(C264,'बँक जमा खर्च पासबुक'!$C$9:$R$111,4,0),"")</f>
        <v/>
      </c>
      <c r="G264" s="229" t="str">
        <f>IFERROR(VLOOKUP(C264,'बँक जमा खर्च पासबुक'!$C$9:$R$111,5,0),"")</f>
        <v/>
      </c>
      <c r="H264" s="229" t="str">
        <f>IFERROR(VLOOKUP(C264,'बँक जमा खर्च पासबुक'!$C$9:$R$111,6,0),"")</f>
        <v/>
      </c>
      <c r="I264" s="229" t="str">
        <f>IFERROR(VLOOKUP(C264,'बँक जमा खर्च पासबुक'!$C$9:$R$111,7,0),"")</f>
        <v/>
      </c>
      <c r="J264" s="233">
        <f>SUMIF('बँक जमा खर्च पासबुक'!$C$9:$C$111,'बँक खर्च व्हाउचर पावती'!C264,'बँक जमा खर्च पासबुक'!$J$9:$J$111)</f>
        <v>0</v>
      </c>
      <c r="K264" s="233">
        <f>SUMIF('बँक जमा खर्च पासबुक'!$C$9:$C$111,'बँक खर्च व्हाउचर पावती'!C264,'बँक जमा खर्च पासबुक'!$K$9:$K$111)</f>
        <v>0</v>
      </c>
      <c r="L264" s="233">
        <f ca="1">SUMIF('बँक जमा खर्च पासबुक'!$C$9:$C$111,'बँक खर्च व्हाउचर पावती'!C264,'बँक जमा खर्च पासबुक'!$L$9:$L$110)</f>
        <v>0</v>
      </c>
      <c r="M264" s="228">
        <f>SUMIF('बँक जमा खर्च पासबुक'!$C$9:$C$111,'बँक खर्च व्हाउचर पावती'!C264,'बँक जमा खर्च पासबुक'!$M$9:$M$111)</f>
        <v>0</v>
      </c>
      <c r="N264" s="233">
        <f t="shared" ca="1" si="157"/>
        <v>3000</v>
      </c>
      <c r="O264" s="228">
        <f t="shared" si="158"/>
        <v>3000</v>
      </c>
      <c r="P264" s="228">
        <f t="shared" ca="1" si="156"/>
        <v>6000</v>
      </c>
      <c r="Q264" s="399"/>
      <c r="AM264" s="380"/>
      <c r="AN264" s="380"/>
      <c r="AO264" s="380">
        <v>18</v>
      </c>
      <c r="AP264" s="261">
        <f t="shared" si="186"/>
        <v>0</v>
      </c>
      <c r="AQ264" s="261">
        <f t="shared" si="174"/>
        <v>0</v>
      </c>
      <c r="AR264" s="261">
        <f t="shared" si="175"/>
        <v>0</v>
      </c>
      <c r="AS264" s="261">
        <f t="shared" si="176"/>
        <v>0</v>
      </c>
      <c r="AT264" s="261">
        <f t="shared" si="177"/>
        <v>0</v>
      </c>
      <c r="AU264" s="261">
        <f t="shared" si="178"/>
        <v>0</v>
      </c>
      <c r="AV264" s="261">
        <f t="shared" si="179"/>
        <v>0</v>
      </c>
      <c r="AW264" s="261">
        <f t="shared" si="180"/>
        <v>0</v>
      </c>
      <c r="AX264" s="261">
        <f t="shared" si="181"/>
        <v>0</v>
      </c>
      <c r="AY264" s="261">
        <f t="shared" si="182"/>
        <v>0</v>
      </c>
      <c r="AZ264" s="261">
        <f t="shared" si="183"/>
        <v>0</v>
      </c>
      <c r="BA264" s="261">
        <f t="shared" si="184"/>
        <v>0</v>
      </c>
      <c r="BB264" s="261">
        <f t="shared" si="185"/>
        <v>0</v>
      </c>
      <c r="BC264" s="380"/>
      <c r="BD264" s="380"/>
      <c r="BE264" s="380"/>
      <c r="BF264" s="380"/>
      <c r="BG264" s="380"/>
      <c r="BH264" s="380"/>
      <c r="BI264" s="380"/>
      <c r="BJ264" s="380"/>
      <c r="BK264" s="380"/>
      <c r="BL264" s="380"/>
      <c r="BM264" s="380"/>
      <c r="BN264" s="380"/>
      <c r="BO264" s="380"/>
      <c r="BP264" s="380"/>
      <c r="BQ264" s="380"/>
      <c r="BR264" s="380"/>
      <c r="BS264" s="380"/>
      <c r="BT264" s="380"/>
    </row>
    <row r="265" spans="1:72" ht="22.5" customHeight="1" x14ac:dyDescent="0.4">
      <c r="A265" s="399"/>
      <c r="B265" s="376">
        <v>257</v>
      </c>
      <c r="C265" s="310">
        <v>44178</v>
      </c>
      <c r="D265" s="229" t="str">
        <f>IFERROR(VLOOKUP(C265,'बँक जमा खर्च पासबुक'!$C$9:$R$111,2,0),"")</f>
        <v/>
      </c>
      <c r="E265" s="229" t="str">
        <f>IFERROR(VLOOKUP(C265,'बँक जमा खर्च पासबुक'!$C$9:$R$111,3,0),"")</f>
        <v/>
      </c>
      <c r="F265" s="229" t="str">
        <f>IFERROR(VLOOKUP(C265,'बँक जमा खर्च पासबुक'!$C$9:$R$111,4,0),"")</f>
        <v/>
      </c>
      <c r="G265" s="229" t="str">
        <f>IFERROR(VLOOKUP(C265,'बँक जमा खर्च पासबुक'!$C$9:$R$111,5,0),"")</f>
        <v/>
      </c>
      <c r="H265" s="229" t="str">
        <f>IFERROR(VLOOKUP(C265,'बँक जमा खर्च पासबुक'!$C$9:$R$111,6,0),"")</f>
        <v/>
      </c>
      <c r="I265" s="229" t="str">
        <f>IFERROR(VLOOKUP(C265,'बँक जमा खर्च पासबुक'!$C$9:$R$111,7,0),"")</f>
        <v/>
      </c>
      <c r="J265" s="233">
        <f>SUMIF('बँक जमा खर्च पासबुक'!$C$9:$C$111,'बँक खर्च व्हाउचर पावती'!C265,'बँक जमा खर्च पासबुक'!$J$9:$J$111)</f>
        <v>0</v>
      </c>
      <c r="K265" s="233">
        <f>SUMIF('बँक जमा खर्च पासबुक'!$C$9:$C$111,'बँक खर्च व्हाउचर पावती'!C265,'बँक जमा खर्च पासबुक'!$K$9:$K$111)</f>
        <v>0</v>
      </c>
      <c r="L265" s="233">
        <f ca="1">SUMIF('बँक जमा खर्च पासबुक'!$C$9:$C$111,'बँक खर्च व्हाउचर पावती'!C265,'बँक जमा खर्च पासबुक'!$L$9:$L$110)</f>
        <v>0</v>
      </c>
      <c r="M265" s="228">
        <f>SUMIF('बँक जमा खर्च पासबुक'!$C$9:$C$111,'बँक खर्च व्हाउचर पावती'!C265,'बँक जमा खर्च पासबुक'!$M$9:$M$111)</f>
        <v>0</v>
      </c>
      <c r="N265" s="233">
        <f t="shared" ca="1" si="157"/>
        <v>3000</v>
      </c>
      <c r="O265" s="228">
        <f t="shared" si="158"/>
        <v>3000</v>
      </c>
      <c r="P265" s="228">
        <f t="shared" ref="P265:P328" ca="1" si="187">N265+O265</f>
        <v>6000</v>
      </c>
      <c r="Q265" s="399"/>
      <c r="AM265" s="380"/>
      <c r="AN265" s="380"/>
      <c r="AO265" s="380">
        <v>19</v>
      </c>
      <c r="AP265" s="261">
        <f t="shared" si="186"/>
        <v>0</v>
      </c>
      <c r="AQ265" s="261">
        <f t="shared" si="174"/>
        <v>0</v>
      </c>
      <c r="AR265" s="261">
        <f t="shared" si="175"/>
        <v>0</v>
      </c>
      <c r="AS265" s="261">
        <f t="shared" si="176"/>
        <v>0</v>
      </c>
      <c r="AT265" s="261">
        <f t="shared" si="177"/>
        <v>0</v>
      </c>
      <c r="AU265" s="261">
        <f t="shared" si="178"/>
        <v>0</v>
      </c>
      <c r="AV265" s="261">
        <f t="shared" si="179"/>
        <v>0</v>
      </c>
      <c r="AW265" s="261">
        <f t="shared" si="180"/>
        <v>0</v>
      </c>
      <c r="AX265" s="261">
        <f t="shared" si="181"/>
        <v>0</v>
      </c>
      <c r="AY265" s="261">
        <f t="shared" si="182"/>
        <v>0</v>
      </c>
      <c r="AZ265" s="261">
        <f t="shared" si="183"/>
        <v>0</v>
      </c>
      <c r="BA265" s="261">
        <f t="shared" si="184"/>
        <v>0</v>
      </c>
      <c r="BB265" s="261">
        <f t="shared" si="185"/>
        <v>0</v>
      </c>
      <c r="BC265" s="380"/>
      <c r="BD265" s="380"/>
      <c r="BE265" s="380"/>
      <c r="BF265" s="380"/>
      <c r="BG265" s="380"/>
      <c r="BH265" s="380"/>
      <c r="BI265" s="380"/>
      <c r="BJ265" s="380"/>
      <c r="BK265" s="380"/>
      <c r="BL265" s="380"/>
      <c r="BM265" s="380"/>
      <c r="BN265" s="380"/>
      <c r="BO265" s="380"/>
      <c r="BP265" s="380"/>
      <c r="BQ265" s="380"/>
      <c r="BR265" s="380"/>
      <c r="BS265" s="380"/>
      <c r="BT265" s="380"/>
    </row>
    <row r="266" spans="1:72" ht="22.5" customHeight="1" x14ac:dyDescent="0.4">
      <c r="A266" s="399"/>
      <c r="B266" s="376">
        <v>258</v>
      </c>
      <c r="C266" s="310">
        <v>44179</v>
      </c>
      <c r="D266" s="229" t="str">
        <f>IFERROR(VLOOKUP(C266,'बँक जमा खर्च पासबुक'!$C$9:$R$111,2,0),"")</f>
        <v/>
      </c>
      <c r="E266" s="229" t="str">
        <f>IFERROR(VLOOKUP(C266,'बँक जमा खर्च पासबुक'!$C$9:$R$111,3,0),"")</f>
        <v/>
      </c>
      <c r="F266" s="229" t="str">
        <f>IFERROR(VLOOKUP(C266,'बँक जमा खर्च पासबुक'!$C$9:$R$111,4,0),"")</f>
        <v/>
      </c>
      <c r="G266" s="229" t="str">
        <f>IFERROR(VLOOKUP(C266,'बँक जमा खर्च पासबुक'!$C$9:$R$111,5,0),"")</f>
        <v/>
      </c>
      <c r="H266" s="229" t="str">
        <f>IFERROR(VLOOKUP(C266,'बँक जमा खर्च पासबुक'!$C$9:$R$111,6,0),"")</f>
        <v/>
      </c>
      <c r="I266" s="229" t="str">
        <f>IFERROR(VLOOKUP(C266,'बँक जमा खर्च पासबुक'!$C$9:$R$111,7,0),"")</f>
        <v/>
      </c>
      <c r="J266" s="233">
        <f>SUMIF('बँक जमा खर्च पासबुक'!$C$9:$C$111,'बँक खर्च व्हाउचर पावती'!C266,'बँक जमा खर्च पासबुक'!$J$9:$J$111)</f>
        <v>0</v>
      </c>
      <c r="K266" s="233">
        <f>SUMIF('बँक जमा खर्च पासबुक'!$C$9:$C$111,'बँक खर्च व्हाउचर पावती'!C266,'बँक जमा खर्च पासबुक'!$K$9:$K$111)</f>
        <v>0</v>
      </c>
      <c r="L266" s="233">
        <f ca="1">SUMIF('बँक जमा खर्च पासबुक'!$C$9:$C$111,'बँक खर्च व्हाउचर पावती'!C266,'बँक जमा खर्च पासबुक'!$L$9:$L$110)</f>
        <v>0</v>
      </c>
      <c r="M266" s="228">
        <f>SUMIF('बँक जमा खर्च पासबुक'!$C$9:$C$111,'बँक खर्च व्हाउचर पावती'!C266,'बँक जमा खर्च पासबुक'!$M$9:$M$111)</f>
        <v>0</v>
      </c>
      <c r="N266" s="233">
        <f t="shared" ref="N266:N329" ca="1" si="188">N265+J266-L266</f>
        <v>3000</v>
      </c>
      <c r="O266" s="228">
        <f t="shared" ref="O266:O329" si="189">O265+K266-M266</f>
        <v>3000</v>
      </c>
      <c r="P266" s="228">
        <f t="shared" ca="1" si="187"/>
        <v>6000</v>
      </c>
      <c r="Q266" s="399"/>
      <c r="AM266" s="380"/>
      <c r="AN266" s="380"/>
      <c r="AO266" s="380">
        <v>20</v>
      </c>
      <c r="AP266" s="261">
        <f t="shared" si="186"/>
        <v>0</v>
      </c>
      <c r="AQ266" s="261">
        <f t="shared" si="174"/>
        <v>0</v>
      </c>
      <c r="AR266" s="261">
        <f t="shared" si="175"/>
        <v>0</v>
      </c>
      <c r="AS266" s="261">
        <f t="shared" si="176"/>
        <v>0</v>
      </c>
      <c r="AT266" s="261">
        <f t="shared" si="177"/>
        <v>0</v>
      </c>
      <c r="AU266" s="261">
        <f t="shared" si="178"/>
        <v>0</v>
      </c>
      <c r="AV266" s="261">
        <f t="shared" si="179"/>
        <v>0</v>
      </c>
      <c r="AW266" s="261">
        <f t="shared" si="180"/>
        <v>0</v>
      </c>
      <c r="AX266" s="261">
        <f t="shared" si="181"/>
        <v>0</v>
      </c>
      <c r="AY266" s="261">
        <f t="shared" si="182"/>
        <v>0</v>
      </c>
      <c r="AZ266" s="261">
        <f t="shared" si="183"/>
        <v>0</v>
      </c>
      <c r="BA266" s="261">
        <f t="shared" si="184"/>
        <v>0</v>
      </c>
      <c r="BB266" s="261">
        <f t="shared" si="185"/>
        <v>0</v>
      </c>
      <c r="BC266" s="380"/>
      <c r="BD266" s="380"/>
      <c r="BE266" s="380"/>
      <c r="BF266" s="380"/>
      <c r="BG266" s="380"/>
      <c r="BH266" s="380"/>
      <c r="BI266" s="380"/>
      <c r="BJ266" s="380"/>
      <c r="BK266" s="380"/>
      <c r="BL266" s="380"/>
      <c r="BM266" s="380"/>
      <c r="BN266" s="380"/>
      <c r="BO266" s="380"/>
      <c r="BP266" s="380"/>
      <c r="BQ266" s="380"/>
      <c r="BR266" s="380"/>
      <c r="BS266" s="380"/>
      <c r="BT266" s="380"/>
    </row>
    <row r="267" spans="1:72" ht="22.5" customHeight="1" x14ac:dyDescent="0.4">
      <c r="A267" s="399"/>
      <c r="B267" s="376">
        <v>259</v>
      </c>
      <c r="C267" s="310">
        <v>44180</v>
      </c>
      <c r="D267" s="229" t="str">
        <f>IFERROR(VLOOKUP(C267,'बँक जमा खर्च पासबुक'!$C$9:$R$111,2,0),"")</f>
        <v/>
      </c>
      <c r="E267" s="229" t="str">
        <f>IFERROR(VLOOKUP(C267,'बँक जमा खर्च पासबुक'!$C$9:$R$111,3,0),"")</f>
        <v/>
      </c>
      <c r="F267" s="229" t="str">
        <f>IFERROR(VLOOKUP(C267,'बँक जमा खर्च पासबुक'!$C$9:$R$111,4,0),"")</f>
        <v/>
      </c>
      <c r="G267" s="229" t="str">
        <f>IFERROR(VLOOKUP(C267,'बँक जमा खर्च पासबुक'!$C$9:$R$111,5,0),"")</f>
        <v/>
      </c>
      <c r="H267" s="229" t="str">
        <f>IFERROR(VLOOKUP(C267,'बँक जमा खर्च पासबुक'!$C$9:$R$111,6,0),"")</f>
        <v/>
      </c>
      <c r="I267" s="229" t="str">
        <f>IFERROR(VLOOKUP(C267,'बँक जमा खर्च पासबुक'!$C$9:$R$111,7,0),"")</f>
        <v/>
      </c>
      <c r="J267" s="233">
        <f>SUMIF('बँक जमा खर्च पासबुक'!$C$9:$C$111,'बँक खर्च व्हाउचर पावती'!C267,'बँक जमा खर्च पासबुक'!$J$9:$J$111)</f>
        <v>0</v>
      </c>
      <c r="K267" s="233">
        <f>SUMIF('बँक जमा खर्च पासबुक'!$C$9:$C$111,'बँक खर्च व्हाउचर पावती'!C267,'बँक जमा खर्च पासबुक'!$K$9:$K$111)</f>
        <v>0</v>
      </c>
      <c r="L267" s="233">
        <f ca="1">SUMIF('बँक जमा खर्च पासबुक'!$C$9:$C$111,'बँक खर्च व्हाउचर पावती'!C267,'बँक जमा खर्च पासबुक'!$L$9:$L$110)</f>
        <v>0</v>
      </c>
      <c r="M267" s="228">
        <f>SUMIF('बँक जमा खर्च पासबुक'!$C$9:$C$111,'बँक खर्च व्हाउचर पावती'!C267,'बँक जमा खर्च पासबुक'!$M$9:$M$111)</f>
        <v>0</v>
      </c>
      <c r="N267" s="233">
        <f t="shared" ca="1" si="188"/>
        <v>3000</v>
      </c>
      <c r="O267" s="228">
        <f t="shared" si="189"/>
        <v>3000</v>
      </c>
      <c r="P267" s="228">
        <f t="shared" ca="1" si="187"/>
        <v>6000</v>
      </c>
      <c r="Q267" s="399"/>
      <c r="AM267" s="380"/>
      <c r="AN267" s="380"/>
      <c r="AO267" s="380">
        <v>21</v>
      </c>
      <c r="AP267" s="261">
        <f t="shared" si="186"/>
        <v>0</v>
      </c>
      <c r="AQ267" s="261">
        <f t="shared" si="174"/>
        <v>0</v>
      </c>
      <c r="AR267" s="261">
        <f t="shared" si="175"/>
        <v>0</v>
      </c>
      <c r="AS267" s="261">
        <f t="shared" si="176"/>
        <v>0</v>
      </c>
      <c r="AT267" s="261">
        <f t="shared" si="177"/>
        <v>0</v>
      </c>
      <c r="AU267" s="261">
        <f t="shared" si="178"/>
        <v>0</v>
      </c>
      <c r="AV267" s="261">
        <f t="shared" si="179"/>
        <v>0</v>
      </c>
      <c r="AW267" s="261">
        <f t="shared" si="180"/>
        <v>0</v>
      </c>
      <c r="AX267" s="261">
        <f t="shared" si="181"/>
        <v>0</v>
      </c>
      <c r="AY267" s="261">
        <f t="shared" si="182"/>
        <v>0</v>
      </c>
      <c r="AZ267" s="261">
        <f t="shared" si="183"/>
        <v>0</v>
      </c>
      <c r="BA267" s="261">
        <f t="shared" si="184"/>
        <v>0</v>
      </c>
      <c r="BB267" s="261">
        <f t="shared" si="185"/>
        <v>0</v>
      </c>
      <c r="BC267" s="380"/>
      <c r="BD267" s="380"/>
      <c r="BE267" s="380"/>
      <c r="BF267" s="380"/>
      <c r="BG267" s="380"/>
      <c r="BH267" s="380"/>
      <c r="BI267" s="380"/>
      <c r="BJ267" s="380"/>
      <c r="BK267" s="380"/>
      <c r="BL267" s="380"/>
      <c r="BM267" s="380"/>
      <c r="BN267" s="380"/>
      <c r="BO267" s="380"/>
      <c r="BP267" s="380"/>
      <c r="BQ267" s="380"/>
      <c r="BR267" s="380"/>
      <c r="BS267" s="380"/>
      <c r="BT267" s="380"/>
    </row>
    <row r="268" spans="1:72" ht="22.5" customHeight="1" x14ac:dyDescent="0.4">
      <c r="A268" s="399"/>
      <c r="B268" s="376">
        <v>260</v>
      </c>
      <c r="C268" s="310">
        <v>44181</v>
      </c>
      <c r="D268" s="229" t="str">
        <f>IFERROR(VLOOKUP(C268,'बँक जमा खर्च पासबुक'!$C$9:$R$111,2,0),"")</f>
        <v/>
      </c>
      <c r="E268" s="229" t="str">
        <f>IFERROR(VLOOKUP(C268,'बँक जमा खर्च पासबुक'!$C$9:$R$111,3,0),"")</f>
        <v/>
      </c>
      <c r="F268" s="229" t="str">
        <f>IFERROR(VLOOKUP(C268,'बँक जमा खर्च पासबुक'!$C$9:$R$111,4,0),"")</f>
        <v/>
      </c>
      <c r="G268" s="229" t="str">
        <f>IFERROR(VLOOKUP(C268,'बँक जमा खर्च पासबुक'!$C$9:$R$111,5,0),"")</f>
        <v/>
      </c>
      <c r="H268" s="229" t="str">
        <f>IFERROR(VLOOKUP(C268,'बँक जमा खर्च पासबुक'!$C$9:$R$111,6,0),"")</f>
        <v/>
      </c>
      <c r="I268" s="229" t="str">
        <f>IFERROR(VLOOKUP(C268,'बँक जमा खर्च पासबुक'!$C$9:$R$111,7,0),"")</f>
        <v/>
      </c>
      <c r="J268" s="233">
        <f>SUMIF('बँक जमा खर्च पासबुक'!$C$9:$C$111,'बँक खर्च व्हाउचर पावती'!C268,'बँक जमा खर्च पासबुक'!$J$9:$J$111)</f>
        <v>0</v>
      </c>
      <c r="K268" s="233">
        <f>SUMIF('बँक जमा खर्च पासबुक'!$C$9:$C$111,'बँक खर्च व्हाउचर पावती'!C268,'बँक जमा खर्च पासबुक'!$K$9:$K$111)</f>
        <v>0</v>
      </c>
      <c r="L268" s="233">
        <f ca="1">SUMIF('बँक जमा खर्च पासबुक'!$C$9:$C$111,'बँक खर्च व्हाउचर पावती'!C268,'बँक जमा खर्च पासबुक'!$L$9:$L$110)</f>
        <v>0</v>
      </c>
      <c r="M268" s="228">
        <f>SUMIF('बँक जमा खर्च पासबुक'!$C$9:$C$111,'बँक खर्च व्हाउचर पावती'!C268,'बँक जमा खर्च पासबुक'!$M$9:$M$111)</f>
        <v>0</v>
      </c>
      <c r="N268" s="233">
        <f t="shared" ca="1" si="188"/>
        <v>3000</v>
      </c>
      <c r="O268" s="228">
        <f t="shared" si="189"/>
        <v>3000</v>
      </c>
      <c r="P268" s="228">
        <f t="shared" ca="1" si="187"/>
        <v>6000</v>
      </c>
      <c r="Q268" s="399"/>
      <c r="AM268" s="380"/>
      <c r="AN268" s="380"/>
      <c r="AO268" s="380">
        <v>22</v>
      </c>
      <c r="AP268" s="261">
        <f t="shared" si="186"/>
        <v>0</v>
      </c>
      <c r="AQ268" s="261">
        <f t="shared" si="174"/>
        <v>0</v>
      </c>
      <c r="AR268" s="261">
        <f t="shared" si="175"/>
        <v>0</v>
      </c>
      <c r="AS268" s="261">
        <f t="shared" si="176"/>
        <v>0</v>
      </c>
      <c r="AT268" s="261">
        <f t="shared" si="177"/>
        <v>0</v>
      </c>
      <c r="AU268" s="261">
        <f t="shared" si="178"/>
        <v>0</v>
      </c>
      <c r="AV268" s="261">
        <f t="shared" si="179"/>
        <v>0</v>
      </c>
      <c r="AW268" s="261">
        <f t="shared" si="180"/>
        <v>0</v>
      </c>
      <c r="AX268" s="261">
        <f t="shared" si="181"/>
        <v>0</v>
      </c>
      <c r="AY268" s="261">
        <f t="shared" si="182"/>
        <v>0</v>
      </c>
      <c r="AZ268" s="261">
        <f t="shared" si="183"/>
        <v>0</v>
      </c>
      <c r="BA268" s="261">
        <f t="shared" si="184"/>
        <v>0</v>
      </c>
      <c r="BB268" s="261">
        <f t="shared" si="185"/>
        <v>0</v>
      </c>
      <c r="BC268" s="380"/>
      <c r="BD268" s="380"/>
      <c r="BE268" s="380"/>
      <c r="BF268" s="380"/>
      <c r="BG268" s="380"/>
      <c r="BH268" s="380"/>
      <c r="BI268" s="380"/>
      <c r="BJ268" s="380"/>
      <c r="BK268" s="380"/>
      <c r="BL268" s="380"/>
      <c r="BM268" s="380"/>
      <c r="BN268" s="380"/>
      <c r="BO268" s="380"/>
      <c r="BP268" s="380"/>
      <c r="BQ268" s="380"/>
      <c r="BR268" s="380"/>
      <c r="BS268" s="380"/>
      <c r="BT268" s="380"/>
    </row>
    <row r="269" spans="1:72" ht="22.5" customHeight="1" x14ac:dyDescent="0.4">
      <c r="A269" s="399"/>
      <c r="B269" s="376">
        <v>261</v>
      </c>
      <c r="C269" s="310">
        <v>44182</v>
      </c>
      <c r="D269" s="229" t="str">
        <f>IFERROR(VLOOKUP(C269,'बँक जमा खर्च पासबुक'!$C$9:$R$111,2,0),"")</f>
        <v/>
      </c>
      <c r="E269" s="229" t="str">
        <f>IFERROR(VLOOKUP(C269,'बँक जमा खर्च पासबुक'!$C$9:$R$111,3,0),"")</f>
        <v/>
      </c>
      <c r="F269" s="229" t="str">
        <f>IFERROR(VLOOKUP(C269,'बँक जमा खर्च पासबुक'!$C$9:$R$111,4,0),"")</f>
        <v/>
      </c>
      <c r="G269" s="229" t="str">
        <f>IFERROR(VLOOKUP(C269,'बँक जमा खर्च पासबुक'!$C$9:$R$111,5,0),"")</f>
        <v/>
      </c>
      <c r="H269" s="229" t="str">
        <f>IFERROR(VLOOKUP(C269,'बँक जमा खर्च पासबुक'!$C$9:$R$111,6,0),"")</f>
        <v/>
      </c>
      <c r="I269" s="229" t="str">
        <f>IFERROR(VLOOKUP(C269,'बँक जमा खर्च पासबुक'!$C$9:$R$111,7,0),"")</f>
        <v/>
      </c>
      <c r="J269" s="233">
        <f>SUMIF('बँक जमा खर्च पासबुक'!$C$9:$C$111,'बँक खर्च व्हाउचर पावती'!C269,'बँक जमा खर्च पासबुक'!$J$9:$J$111)</f>
        <v>0</v>
      </c>
      <c r="K269" s="233">
        <f>SUMIF('बँक जमा खर्च पासबुक'!$C$9:$C$111,'बँक खर्च व्हाउचर पावती'!C269,'बँक जमा खर्च पासबुक'!$K$9:$K$111)</f>
        <v>0</v>
      </c>
      <c r="L269" s="233">
        <f ca="1">SUMIF('बँक जमा खर्च पासबुक'!$C$9:$C$111,'बँक खर्च व्हाउचर पावती'!C269,'बँक जमा खर्च पासबुक'!$L$9:$L$110)</f>
        <v>0</v>
      </c>
      <c r="M269" s="228">
        <f>SUMIF('बँक जमा खर्च पासबुक'!$C$9:$C$111,'बँक खर्च व्हाउचर पावती'!C269,'बँक जमा खर्च पासबुक'!$M$9:$M$111)</f>
        <v>0</v>
      </c>
      <c r="N269" s="233">
        <f t="shared" ca="1" si="188"/>
        <v>3000</v>
      </c>
      <c r="O269" s="228">
        <f t="shared" si="189"/>
        <v>3000</v>
      </c>
      <c r="P269" s="228">
        <f t="shared" ca="1" si="187"/>
        <v>6000</v>
      </c>
      <c r="Q269" s="399"/>
      <c r="AM269" s="380"/>
      <c r="AN269" s="380"/>
      <c r="AO269" s="380">
        <v>23</v>
      </c>
      <c r="AP269" s="261">
        <f t="shared" si="186"/>
        <v>0</v>
      </c>
      <c r="AQ269" s="261">
        <f t="shared" si="174"/>
        <v>0</v>
      </c>
      <c r="AR269" s="261">
        <f t="shared" si="175"/>
        <v>0</v>
      </c>
      <c r="AS269" s="261">
        <f t="shared" si="176"/>
        <v>0</v>
      </c>
      <c r="AT269" s="261">
        <f t="shared" si="177"/>
        <v>0</v>
      </c>
      <c r="AU269" s="261">
        <f t="shared" si="178"/>
        <v>0</v>
      </c>
      <c r="AV269" s="261">
        <f t="shared" si="179"/>
        <v>0</v>
      </c>
      <c r="AW269" s="261">
        <f t="shared" si="180"/>
        <v>0</v>
      </c>
      <c r="AX269" s="261">
        <f t="shared" si="181"/>
        <v>0</v>
      </c>
      <c r="AY269" s="261">
        <f t="shared" si="182"/>
        <v>0</v>
      </c>
      <c r="AZ269" s="261">
        <f t="shared" si="183"/>
        <v>0</v>
      </c>
      <c r="BA269" s="261">
        <f t="shared" si="184"/>
        <v>0</v>
      </c>
      <c r="BB269" s="261">
        <f t="shared" si="185"/>
        <v>0</v>
      </c>
      <c r="BC269" s="380"/>
      <c r="BD269" s="380"/>
      <c r="BE269" s="380"/>
      <c r="BF269" s="380"/>
      <c r="BG269" s="380"/>
      <c r="BH269" s="380"/>
      <c r="BI269" s="380"/>
      <c r="BJ269" s="380"/>
      <c r="BK269" s="380"/>
      <c r="BL269" s="380"/>
      <c r="BM269" s="380"/>
      <c r="BN269" s="380"/>
      <c r="BO269" s="380"/>
      <c r="BP269" s="380"/>
      <c r="BQ269" s="380"/>
      <c r="BR269" s="380"/>
      <c r="BS269" s="380"/>
      <c r="BT269" s="380"/>
    </row>
    <row r="270" spans="1:72" ht="22.5" customHeight="1" x14ac:dyDescent="0.4">
      <c r="A270" s="399"/>
      <c r="B270" s="376">
        <v>262</v>
      </c>
      <c r="C270" s="310">
        <v>44183</v>
      </c>
      <c r="D270" s="229" t="str">
        <f>IFERROR(VLOOKUP(C270,'बँक जमा खर्च पासबुक'!$C$9:$R$111,2,0),"")</f>
        <v/>
      </c>
      <c r="E270" s="229" t="str">
        <f>IFERROR(VLOOKUP(C270,'बँक जमा खर्च पासबुक'!$C$9:$R$111,3,0),"")</f>
        <v/>
      </c>
      <c r="F270" s="229" t="str">
        <f>IFERROR(VLOOKUP(C270,'बँक जमा खर्च पासबुक'!$C$9:$R$111,4,0),"")</f>
        <v/>
      </c>
      <c r="G270" s="229" t="str">
        <f>IFERROR(VLOOKUP(C270,'बँक जमा खर्च पासबुक'!$C$9:$R$111,5,0),"")</f>
        <v/>
      </c>
      <c r="H270" s="229" t="str">
        <f>IFERROR(VLOOKUP(C270,'बँक जमा खर्च पासबुक'!$C$9:$R$111,6,0),"")</f>
        <v/>
      </c>
      <c r="I270" s="229" t="str">
        <f>IFERROR(VLOOKUP(C270,'बँक जमा खर्च पासबुक'!$C$9:$R$111,7,0),"")</f>
        <v/>
      </c>
      <c r="J270" s="233">
        <f>SUMIF('बँक जमा खर्च पासबुक'!$C$9:$C$111,'बँक खर्च व्हाउचर पावती'!C270,'बँक जमा खर्च पासबुक'!$J$9:$J$111)</f>
        <v>0</v>
      </c>
      <c r="K270" s="233">
        <f>SUMIF('बँक जमा खर्च पासबुक'!$C$9:$C$111,'बँक खर्च व्हाउचर पावती'!C270,'बँक जमा खर्च पासबुक'!$K$9:$K$111)</f>
        <v>0</v>
      </c>
      <c r="L270" s="233">
        <f ca="1">SUMIF('बँक जमा खर्च पासबुक'!$C$9:$C$111,'बँक खर्च व्हाउचर पावती'!C270,'बँक जमा खर्च पासबुक'!$L$9:$L$110)</f>
        <v>0</v>
      </c>
      <c r="M270" s="228">
        <f>SUMIF('बँक जमा खर्च पासबुक'!$C$9:$C$111,'बँक खर्च व्हाउचर पावती'!C270,'बँक जमा खर्च पासबुक'!$M$9:$M$111)</f>
        <v>0</v>
      </c>
      <c r="N270" s="233">
        <f t="shared" ca="1" si="188"/>
        <v>3000</v>
      </c>
      <c r="O270" s="228">
        <f t="shared" si="189"/>
        <v>3000</v>
      </c>
      <c r="P270" s="228">
        <f t="shared" ca="1" si="187"/>
        <v>6000</v>
      </c>
      <c r="Q270" s="399"/>
      <c r="AM270" s="380"/>
      <c r="AN270" s="380"/>
      <c r="AO270" s="380">
        <v>24</v>
      </c>
      <c r="AP270" s="261">
        <f t="shared" si="186"/>
        <v>0</v>
      </c>
      <c r="AQ270" s="261">
        <f t="shared" si="174"/>
        <v>0</v>
      </c>
      <c r="AR270" s="261">
        <f t="shared" si="175"/>
        <v>0</v>
      </c>
      <c r="AS270" s="261">
        <f t="shared" si="176"/>
        <v>0</v>
      </c>
      <c r="AT270" s="261">
        <f t="shared" si="177"/>
        <v>0</v>
      </c>
      <c r="AU270" s="261">
        <f t="shared" si="178"/>
        <v>0</v>
      </c>
      <c r="AV270" s="261">
        <f t="shared" si="179"/>
        <v>0</v>
      </c>
      <c r="AW270" s="261">
        <f t="shared" si="180"/>
        <v>0</v>
      </c>
      <c r="AX270" s="261">
        <f t="shared" si="181"/>
        <v>0</v>
      </c>
      <c r="AY270" s="261">
        <f t="shared" si="182"/>
        <v>0</v>
      </c>
      <c r="AZ270" s="261">
        <f t="shared" si="183"/>
        <v>0</v>
      </c>
      <c r="BA270" s="261">
        <f t="shared" si="184"/>
        <v>0</v>
      </c>
      <c r="BB270" s="261">
        <f t="shared" si="185"/>
        <v>0</v>
      </c>
      <c r="BC270" s="380"/>
      <c r="BD270" s="380"/>
      <c r="BE270" s="380"/>
      <c r="BF270" s="380"/>
      <c r="BG270" s="380"/>
      <c r="BH270" s="380"/>
      <c r="BI270" s="380"/>
      <c r="BJ270" s="380"/>
      <c r="BK270" s="380"/>
      <c r="BL270" s="380"/>
      <c r="BM270" s="380"/>
      <c r="BN270" s="380"/>
      <c r="BO270" s="380"/>
      <c r="BP270" s="380"/>
      <c r="BQ270" s="380"/>
      <c r="BR270" s="380"/>
      <c r="BS270" s="380"/>
      <c r="BT270" s="380"/>
    </row>
    <row r="271" spans="1:72" ht="22.5" customHeight="1" x14ac:dyDescent="0.4">
      <c r="A271" s="399"/>
      <c r="B271" s="376">
        <v>263</v>
      </c>
      <c r="C271" s="310">
        <v>44184</v>
      </c>
      <c r="D271" s="229" t="str">
        <f>IFERROR(VLOOKUP(C271,'बँक जमा खर्च पासबुक'!$C$9:$R$111,2,0),"")</f>
        <v/>
      </c>
      <c r="E271" s="229" t="str">
        <f>IFERROR(VLOOKUP(C271,'बँक जमा खर्च पासबुक'!$C$9:$R$111,3,0),"")</f>
        <v/>
      </c>
      <c r="F271" s="229" t="str">
        <f>IFERROR(VLOOKUP(C271,'बँक जमा खर्च पासबुक'!$C$9:$R$111,4,0),"")</f>
        <v/>
      </c>
      <c r="G271" s="229" t="str">
        <f>IFERROR(VLOOKUP(C271,'बँक जमा खर्च पासबुक'!$C$9:$R$111,5,0),"")</f>
        <v/>
      </c>
      <c r="H271" s="229" t="str">
        <f>IFERROR(VLOOKUP(C271,'बँक जमा खर्च पासबुक'!$C$9:$R$111,6,0),"")</f>
        <v/>
      </c>
      <c r="I271" s="229" t="str">
        <f>IFERROR(VLOOKUP(C271,'बँक जमा खर्च पासबुक'!$C$9:$R$111,7,0),"")</f>
        <v/>
      </c>
      <c r="J271" s="233">
        <f>SUMIF('बँक जमा खर्च पासबुक'!$C$9:$C$111,'बँक खर्च व्हाउचर पावती'!C271,'बँक जमा खर्च पासबुक'!$J$9:$J$111)</f>
        <v>0</v>
      </c>
      <c r="K271" s="233">
        <f>SUMIF('बँक जमा खर्च पासबुक'!$C$9:$C$111,'बँक खर्च व्हाउचर पावती'!C271,'बँक जमा खर्च पासबुक'!$K$9:$K$111)</f>
        <v>0</v>
      </c>
      <c r="L271" s="233">
        <f ca="1">SUMIF('बँक जमा खर्च पासबुक'!$C$9:$C$111,'बँक खर्च व्हाउचर पावती'!C271,'बँक जमा खर्च पासबुक'!$L$9:$L$110)</f>
        <v>0</v>
      </c>
      <c r="M271" s="228">
        <f>SUMIF('बँक जमा खर्च पासबुक'!$C$9:$C$111,'बँक खर्च व्हाउचर पावती'!C271,'बँक जमा खर्च पासबुक'!$M$9:$M$111)</f>
        <v>0</v>
      </c>
      <c r="N271" s="233">
        <f t="shared" ca="1" si="188"/>
        <v>3000</v>
      </c>
      <c r="O271" s="228">
        <f t="shared" si="189"/>
        <v>3000</v>
      </c>
      <c r="P271" s="228">
        <f t="shared" ca="1" si="187"/>
        <v>6000</v>
      </c>
      <c r="Q271" s="399"/>
      <c r="AM271" s="380"/>
      <c r="AN271" s="380"/>
      <c r="AO271" s="380">
        <v>25</v>
      </c>
      <c r="AP271" s="261">
        <f t="shared" si="186"/>
        <v>0</v>
      </c>
      <c r="AQ271" s="261">
        <f t="shared" si="174"/>
        <v>0</v>
      </c>
      <c r="AR271" s="261">
        <f t="shared" si="175"/>
        <v>0</v>
      </c>
      <c r="AS271" s="261">
        <f t="shared" si="176"/>
        <v>0</v>
      </c>
      <c r="AT271" s="261">
        <f t="shared" si="177"/>
        <v>0</v>
      </c>
      <c r="AU271" s="261">
        <f t="shared" si="178"/>
        <v>0</v>
      </c>
      <c r="AV271" s="261">
        <f t="shared" si="179"/>
        <v>0</v>
      </c>
      <c r="AW271" s="261">
        <f t="shared" si="180"/>
        <v>0</v>
      </c>
      <c r="AX271" s="261">
        <f t="shared" si="181"/>
        <v>0</v>
      </c>
      <c r="AY271" s="261">
        <f t="shared" si="182"/>
        <v>0</v>
      </c>
      <c r="AZ271" s="261">
        <f t="shared" si="183"/>
        <v>0</v>
      </c>
      <c r="BA271" s="261">
        <f t="shared" si="184"/>
        <v>0</v>
      </c>
      <c r="BB271" s="261">
        <f t="shared" si="185"/>
        <v>0</v>
      </c>
      <c r="BC271" s="380"/>
      <c r="BD271" s="380"/>
      <c r="BE271" s="380"/>
      <c r="BF271" s="380"/>
      <c r="BG271" s="380"/>
      <c r="BH271" s="380"/>
      <c r="BI271" s="380"/>
      <c r="BJ271" s="380"/>
      <c r="BK271" s="380"/>
      <c r="BL271" s="380"/>
      <c r="BM271" s="380"/>
      <c r="BN271" s="380"/>
      <c r="BO271" s="380"/>
      <c r="BP271" s="380"/>
      <c r="BQ271" s="380"/>
      <c r="BR271" s="380"/>
      <c r="BS271" s="380"/>
      <c r="BT271" s="380"/>
    </row>
    <row r="272" spans="1:72" ht="22.5" customHeight="1" x14ac:dyDescent="0.4">
      <c r="A272" s="399"/>
      <c r="B272" s="376">
        <v>264</v>
      </c>
      <c r="C272" s="310">
        <v>44185</v>
      </c>
      <c r="D272" s="229" t="str">
        <f>IFERROR(VLOOKUP(C272,'बँक जमा खर्च पासबुक'!$C$9:$R$111,2,0),"")</f>
        <v/>
      </c>
      <c r="E272" s="229" t="str">
        <f>IFERROR(VLOOKUP(C272,'बँक जमा खर्च पासबुक'!$C$9:$R$111,3,0),"")</f>
        <v/>
      </c>
      <c r="F272" s="229" t="str">
        <f>IFERROR(VLOOKUP(C272,'बँक जमा खर्च पासबुक'!$C$9:$R$111,4,0),"")</f>
        <v/>
      </c>
      <c r="G272" s="229" t="str">
        <f>IFERROR(VLOOKUP(C272,'बँक जमा खर्च पासबुक'!$C$9:$R$111,5,0),"")</f>
        <v/>
      </c>
      <c r="H272" s="229" t="str">
        <f>IFERROR(VLOOKUP(C272,'बँक जमा खर्च पासबुक'!$C$9:$R$111,6,0),"")</f>
        <v/>
      </c>
      <c r="I272" s="229" t="str">
        <f>IFERROR(VLOOKUP(C272,'बँक जमा खर्च पासबुक'!$C$9:$R$111,7,0),"")</f>
        <v/>
      </c>
      <c r="J272" s="233">
        <f>SUMIF('बँक जमा खर्च पासबुक'!$C$9:$C$111,'बँक खर्च व्हाउचर पावती'!C272,'बँक जमा खर्च पासबुक'!$J$9:$J$111)</f>
        <v>0</v>
      </c>
      <c r="K272" s="233">
        <f>SUMIF('बँक जमा खर्च पासबुक'!$C$9:$C$111,'बँक खर्च व्हाउचर पावती'!C272,'बँक जमा खर्च पासबुक'!$K$9:$K$111)</f>
        <v>0</v>
      </c>
      <c r="L272" s="233">
        <f ca="1">SUMIF('बँक जमा खर्च पासबुक'!$C$9:$C$111,'बँक खर्च व्हाउचर पावती'!C272,'बँक जमा खर्च पासबुक'!$L$9:$L$110)</f>
        <v>0</v>
      </c>
      <c r="M272" s="228">
        <f>SUMIF('बँक जमा खर्च पासबुक'!$C$9:$C$111,'बँक खर्च व्हाउचर पावती'!C272,'बँक जमा खर्च पासबुक'!$M$9:$M$111)</f>
        <v>0</v>
      </c>
      <c r="N272" s="233">
        <f t="shared" ca="1" si="188"/>
        <v>3000</v>
      </c>
      <c r="O272" s="228">
        <f t="shared" si="189"/>
        <v>3000</v>
      </c>
      <c r="P272" s="228">
        <f t="shared" ca="1" si="187"/>
        <v>6000</v>
      </c>
      <c r="Q272" s="399"/>
      <c r="AM272" s="380"/>
      <c r="AN272" s="380"/>
      <c r="AO272" s="380">
        <v>26</v>
      </c>
      <c r="AP272" s="261">
        <f t="shared" si="186"/>
        <v>0</v>
      </c>
      <c r="AQ272" s="261">
        <f t="shared" si="174"/>
        <v>0</v>
      </c>
      <c r="AR272" s="261">
        <f t="shared" si="175"/>
        <v>0</v>
      </c>
      <c r="AS272" s="261">
        <f t="shared" si="176"/>
        <v>0</v>
      </c>
      <c r="AT272" s="261">
        <f t="shared" si="177"/>
        <v>0</v>
      </c>
      <c r="AU272" s="261">
        <f t="shared" si="178"/>
        <v>0</v>
      </c>
      <c r="AV272" s="261">
        <f t="shared" si="179"/>
        <v>0</v>
      </c>
      <c r="AW272" s="261">
        <f t="shared" si="180"/>
        <v>0</v>
      </c>
      <c r="AX272" s="261">
        <f t="shared" si="181"/>
        <v>0</v>
      </c>
      <c r="AY272" s="261">
        <f t="shared" si="182"/>
        <v>0</v>
      </c>
      <c r="AZ272" s="261">
        <f t="shared" si="183"/>
        <v>0</v>
      </c>
      <c r="BA272" s="261">
        <f t="shared" si="184"/>
        <v>0</v>
      </c>
      <c r="BB272" s="261">
        <f t="shared" si="185"/>
        <v>0</v>
      </c>
      <c r="BC272" s="380"/>
      <c r="BD272" s="380"/>
      <c r="BE272" s="380"/>
      <c r="BF272" s="380"/>
      <c r="BG272" s="380"/>
      <c r="BH272" s="380"/>
      <c r="BI272" s="380"/>
      <c r="BJ272" s="380"/>
      <c r="BK272" s="380"/>
      <c r="BL272" s="380"/>
      <c r="BM272" s="380"/>
      <c r="BN272" s="380"/>
      <c r="BO272" s="380"/>
      <c r="BP272" s="380"/>
      <c r="BQ272" s="380"/>
      <c r="BR272" s="380"/>
      <c r="BS272" s="380"/>
      <c r="BT272" s="380"/>
    </row>
    <row r="273" spans="1:72" ht="22.5" customHeight="1" x14ac:dyDescent="0.4">
      <c r="A273" s="399"/>
      <c r="B273" s="376">
        <v>265</v>
      </c>
      <c r="C273" s="310">
        <v>44186</v>
      </c>
      <c r="D273" s="229" t="str">
        <f>IFERROR(VLOOKUP(C273,'बँक जमा खर्च पासबुक'!$C$9:$R$111,2,0),"")</f>
        <v/>
      </c>
      <c r="E273" s="229" t="str">
        <f>IFERROR(VLOOKUP(C273,'बँक जमा खर्च पासबुक'!$C$9:$R$111,3,0),"")</f>
        <v/>
      </c>
      <c r="F273" s="229" t="str">
        <f>IFERROR(VLOOKUP(C273,'बँक जमा खर्च पासबुक'!$C$9:$R$111,4,0),"")</f>
        <v/>
      </c>
      <c r="G273" s="229" t="str">
        <f>IFERROR(VLOOKUP(C273,'बँक जमा खर्च पासबुक'!$C$9:$R$111,5,0),"")</f>
        <v/>
      </c>
      <c r="H273" s="229" t="str">
        <f>IFERROR(VLOOKUP(C273,'बँक जमा खर्च पासबुक'!$C$9:$R$111,6,0),"")</f>
        <v/>
      </c>
      <c r="I273" s="229" t="str">
        <f>IFERROR(VLOOKUP(C273,'बँक जमा खर्च पासबुक'!$C$9:$R$111,7,0),"")</f>
        <v/>
      </c>
      <c r="J273" s="233">
        <f>SUMIF('बँक जमा खर्च पासबुक'!$C$9:$C$111,'बँक खर्च व्हाउचर पावती'!C273,'बँक जमा खर्च पासबुक'!$J$9:$J$111)</f>
        <v>0</v>
      </c>
      <c r="K273" s="233">
        <f>SUMIF('बँक जमा खर्च पासबुक'!$C$9:$C$111,'बँक खर्च व्हाउचर पावती'!C273,'बँक जमा खर्च पासबुक'!$K$9:$K$111)</f>
        <v>0</v>
      </c>
      <c r="L273" s="233">
        <f ca="1">SUMIF('बँक जमा खर्च पासबुक'!$C$9:$C$111,'बँक खर्च व्हाउचर पावती'!C273,'बँक जमा खर्च पासबुक'!$L$9:$L$110)</f>
        <v>0</v>
      </c>
      <c r="M273" s="228">
        <f>SUMIF('बँक जमा खर्च पासबुक'!$C$9:$C$111,'बँक खर्च व्हाउचर पावती'!C273,'बँक जमा खर्च पासबुक'!$M$9:$M$111)</f>
        <v>0</v>
      </c>
      <c r="N273" s="233">
        <f t="shared" ca="1" si="188"/>
        <v>3000</v>
      </c>
      <c r="O273" s="228">
        <f t="shared" si="189"/>
        <v>3000</v>
      </c>
      <c r="P273" s="228">
        <f t="shared" ca="1" si="187"/>
        <v>6000</v>
      </c>
      <c r="Q273" s="399"/>
      <c r="AM273" s="380"/>
      <c r="AN273" s="380"/>
      <c r="AO273" s="380">
        <v>27</v>
      </c>
      <c r="AP273" s="261">
        <f t="shared" si="186"/>
        <v>0</v>
      </c>
      <c r="AQ273" s="261">
        <f t="shared" si="174"/>
        <v>0</v>
      </c>
      <c r="AR273" s="261">
        <f t="shared" si="175"/>
        <v>0</v>
      </c>
      <c r="AS273" s="261">
        <f t="shared" si="176"/>
        <v>0</v>
      </c>
      <c r="AT273" s="261">
        <f t="shared" si="177"/>
        <v>0</v>
      </c>
      <c r="AU273" s="261">
        <f t="shared" si="178"/>
        <v>0</v>
      </c>
      <c r="AV273" s="261">
        <f t="shared" si="179"/>
        <v>0</v>
      </c>
      <c r="AW273" s="261">
        <f t="shared" si="180"/>
        <v>0</v>
      </c>
      <c r="AX273" s="261">
        <f t="shared" si="181"/>
        <v>0</v>
      </c>
      <c r="AY273" s="261">
        <f t="shared" si="182"/>
        <v>0</v>
      </c>
      <c r="AZ273" s="261">
        <f t="shared" si="183"/>
        <v>0</v>
      </c>
      <c r="BA273" s="261">
        <f t="shared" si="184"/>
        <v>0</v>
      </c>
      <c r="BB273" s="261">
        <f t="shared" si="185"/>
        <v>0</v>
      </c>
      <c r="BC273" s="380"/>
      <c r="BD273" s="380"/>
      <c r="BE273" s="380"/>
      <c r="BF273" s="380"/>
      <c r="BG273" s="380"/>
      <c r="BH273" s="380"/>
      <c r="BI273" s="380"/>
      <c r="BJ273" s="380"/>
      <c r="BK273" s="380"/>
      <c r="BL273" s="380"/>
      <c r="BM273" s="380"/>
      <c r="BN273" s="380"/>
      <c r="BO273" s="380"/>
      <c r="BP273" s="380"/>
      <c r="BQ273" s="380"/>
      <c r="BR273" s="380"/>
      <c r="BS273" s="380"/>
      <c r="BT273" s="380"/>
    </row>
    <row r="274" spans="1:72" ht="22.5" customHeight="1" x14ac:dyDescent="0.4">
      <c r="A274" s="399"/>
      <c r="B274" s="376">
        <v>266</v>
      </c>
      <c r="C274" s="310">
        <v>44187</v>
      </c>
      <c r="D274" s="229" t="str">
        <f>IFERROR(VLOOKUP(C274,'बँक जमा खर्च पासबुक'!$C$9:$R$111,2,0),"")</f>
        <v/>
      </c>
      <c r="E274" s="229" t="str">
        <f>IFERROR(VLOOKUP(C274,'बँक जमा खर्च पासबुक'!$C$9:$R$111,3,0),"")</f>
        <v/>
      </c>
      <c r="F274" s="229" t="str">
        <f>IFERROR(VLOOKUP(C274,'बँक जमा खर्च पासबुक'!$C$9:$R$111,4,0),"")</f>
        <v/>
      </c>
      <c r="G274" s="229" t="str">
        <f>IFERROR(VLOOKUP(C274,'बँक जमा खर्च पासबुक'!$C$9:$R$111,5,0),"")</f>
        <v/>
      </c>
      <c r="H274" s="229" t="str">
        <f>IFERROR(VLOOKUP(C274,'बँक जमा खर्च पासबुक'!$C$9:$R$111,6,0),"")</f>
        <v/>
      </c>
      <c r="I274" s="229" t="str">
        <f>IFERROR(VLOOKUP(C274,'बँक जमा खर्च पासबुक'!$C$9:$R$111,7,0),"")</f>
        <v/>
      </c>
      <c r="J274" s="233">
        <f>SUMIF('बँक जमा खर्च पासबुक'!$C$9:$C$111,'बँक खर्च व्हाउचर पावती'!C274,'बँक जमा खर्च पासबुक'!$J$9:$J$111)</f>
        <v>0</v>
      </c>
      <c r="K274" s="233">
        <f>SUMIF('बँक जमा खर्च पासबुक'!$C$9:$C$111,'बँक खर्च व्हाउचर पावती'!C274,'बँक जमा खर्च पासबुक'!$K$9:$K$111)</f>
        <v>0</v>
      </c>
      <c r="L274" s="233">
        <f ca="1">SUMIF('बँक जमा खर्च पासबुक'!$C$9:$C$111,'बँक खर्च व्हाउचर पावती'!C274,'बँक जमा खर्च पासबुक'!$L$9:$L$110)</f>
        <v>0</v>
      </c>
      <c r="M274" s="228">
        <f>SUMIF('बँक जमा खर्च पासबुक'!$C$9:$C$111,'बँक खर्च व्हाउचर पावती'!C274,'बँक जमा खर्च पासबुक'!$M$9:$M$111)</f>
        <v>0</v>
      </c>
      <c r="N274" s="233">
        <f t="shared" ca="1" si="188"/>
        <v>3000</v>
      </c>
      <c r="O274" s="228">
        <f t="shared" si="189"/>
        <v>3000</v>
      </c>
      <c r="P274" s="228">
        <f t="shared" ca="1" si="187"/>
        <v>6000</v>
      </c>
      <c r="Q274" s="399"/>
      <c r="AM274" s="380"/>
      <c r="AN274" s="380"/>
      <c r="AO274" s="380">
        <v>28</v>
      </c>
      <c r="AP274" s="261">
        <f t="shared" si="186"/>
        <v>0</v>
      </c>
      <c r="AQ274" s="261">
        <f t="shared" si="174"/>
        <v>0</v>
      </c>
      <c r="AR274" s="261">
        <f t="shared" si="175"/>
        <v>0</v>
      </c>
      <c r="AS274" s="261">
        <f t="shared" si="176"/>
        <v>0</v>
      </c>
      <c r="AT274" s="261">
        <f t="shared" si="177"/>
        <v>0</v>
      </c>
      <c r="AU274" s="261">
        <f t="shared" si="178"/>
        <v>0</v>
      </c>
      <c r="AV274" s="261">
        <f t="shared" si="179"/>
        <v>0</v>
      </c>
      <c r="AW274" s="261">
        <f t="shared" si="180"/>
        <v>0</v>
      </c>
      <c r="AX274" s="261">
        <f t="shared" si="181"/>
        <v>0</v>
      </c>
      <c r="AY274" s="261">
        <f t="shared" si="182"/>
        <v>0</v>
      </c>
      <c r="AZ274" s="261">
        <f t="shared" si="183"/>
        <v>0</v>
      </c>
      <c r="BA274" s="261">
        <f t="shared" si="184"/>
        <v>0</v>
      </c>
      <c r="BB274" s="261">
        <f t="shared" si="185"/>
        <v>0</v>
      </c>
      <c r="BC274" s="380"/>
      <c r="BD274" s="380"/>
      <c r="BE274" s="380"/>
      <c r="BF274" s="380"/>
      <c r="BG274" s="380"/>
      <c r="BH274" s="380"/>
      <c r="BI274" s="380"/>
      <c r="BJ274" s="380"/>
      <c r="BK274" s="380"/>
      <c r="BL274" s="380"/>
      <c r="BM274" s="380"/>
      <c r="BN274" s="380"/>
      <c r="BO274" s="380"/>
      <c r="BP274" s="380"/>
      <c r="BQ274" s="380"/>
      <c r="BR274" s="380"/>
      <c r="BS274" s="380"/>
      <c r="BT274" s="380"/>
    </row>
    <row r="275" spans="1:72" ht="22.5" customHeight="1" x14ac:dyDescent="0.4">
      <c r="A275" s="399"/>
      <c r="B275" s="376">
        <v>267</v>
      </c>
      <c r="C275" s="310">
        <v>44188</v>
      </c>
      <c r="D275" s="229" t="str">
        <f>IFERROR(VLOOKUP(C275,'बँक जमा खर्च पासबुक'!$C$9:$R$111,2,0),"")</f>
        <v/>
      </c>
      <c r="E275" s="229" t="str">
        <f>IFERROR(VLOOKUP(C275,'बँक जमा खर्च पासबुक'!$C$9:$R$111,3,0),"")</f>
        <v/>
      </c>
      <c r="F275" s="229" t="str">
        <f>IFERROR(VLOOKUP(C275,'बँक जमा खर्च पासबुक'!$C$9:$R$111,4,0),"")</f>
        <v/>
      </c>
      <c r="G275" s="229" t="str">
        <f>IFERROR(VLOOKUP(C275,'बँक जमा खर्च पासबुक'!$C$9:$R$111,5,0),"")</f>
        <v/>
      </c>
      <c r="H275" s="229" t="str">
        <f>IFERROR(VLOOKUP(C275,'बँक जमा खर्च पासबुक'!$C$9:$R$111,6,0),"")</f>
        <v/>
      </c>
      <c r="I275" s="229" t="str">
        <f>IFERROR(VLOOKUP(C275,'बँक जमा खर्च पासबुक'!$C$9:$R$111,7,0),"")</f>
        <v/>
      </c>
      <c r="J275" s="233">
        <f>SUMIF('बँक जमा खर्च पासबुक'!$C$9:$C$111,'बँक खर्च व्हाउचर पावती'!C275,'बँक जमा खर्च पासबुक'!$J$9:$J$111)</f>
        <v>0</v>
      </c>
      <c r="K275" s="233">
        <f>SUMIF('बँक जमा खर्च पासबुक'!$C$9:$C$111,'बँक खर्च व्हाउचर पावती'!C275,'बँक जमा खर्च पासबुक'!$K$9:$K$111)</f>
        <v>0</v>
      </c>
      <c r="L275" s="233">
        <f ca="1">SUMIF('बँक जमा खर्च पासबुक'!$C$9:$C$111,'बँक खर्च व्हाउचर पावती'!C275,'बँक जमा खर्च पासबुक'!$L$9:$L$110)</f>
        <v>0</v>
      </c>
      <c r="M275" s="228">
        <f>SUMIF('बँक जमा खर्च पासबुक'!$C$9:$C$111,'बँक खर्च व्हाउचर पावती'!C275,'बँक जमा खर्च पासबुक'!$M$9:$M$111)</f>
        <v>0</v>
      </c>
      <c r="N275" s="233">
        <f t="shared" ca="1" si="188"/>
        <v>3000</v>
      </c>
      <c r="O275" s="228">
        <f t="shared" si="189"/>
        <v>3000</v>
      </c>
      <c r="P275" s="228">
        <f t="shared" ca="1" si="187"/>
        <v>6000</v>
      </c>
      <c r="Q275" s="399"/>
      <c r="AM275" s="380"/>
      <c r="AN275" s="380"/>
      <c r="AO275" s="380">
        <v>29</v>
      </c>
      <c r="AP275" s="261">
        <f t="shared" si="186"/>
        <v>0</v>
      </c>
      <c r="AQ275" s="261">
        <f t="shared" si="174"/>
        <v>0</v>
      </c>
      <c r="AR275" s="261">
        <f t="shared" si="175"/>
        <v>0</v>
      </c>
      <c r="AS275" s="261">
        <f t="shared" si="176"/>
        <v>0</v>
      </c>
      <c r="AT275" s="261">
        <f t="shared" si="177"/>
        <v>0</v>
      </c>
      <c r="AU275" s="261">
        <f t="shared" si="178"/>
        <v>0</v>
      </c>
      <c r="AV275" s="261">
        <f t="shared" si="179"/>
        <v>0</v>
      </c>
      <c r="AW275" s="261">
        <f t="shared" si="180"/>
        <v>0</v>
      </c>
      <c r="AX275" s="261">
        <f t="shared" si="181"/>
        <v>0</v>
      </c>
      <c r="AY275" s="261">
        <f t="shared" si="182"/>
        <v>0</v>
      </c>
      <c r="AZ275" s="261">
        <f t="shared" si="183"/>
        <v>0</v>
      </c>
      <c r="BA275" s="261">
        <f t="shared" si="184"/>
        <v>0</v>
      </c>
      <c r="BB275" s="261">
        <f t="shared" si="185"/>
        <v>0</v>
      </c>
      <c r="BC275" s="380"/>
      <c r="BD275" s="380"/>
      <c r="BE275" s="380"/>
      <c r="BF275" s="380"/>
      <c r="BG275" s="380"/>
      <c r="BH275" s="380"/>
      <c r="BI275" s="380"/>
      <c r="BJ275" s="380"/>
      <c r="BK275" s="380"/>
      <c r="BL275" s="380"/>
      <c r="BM275" s="380"/>
      <c r="BN275" s="380"/>
      <c r="BO275" s="380"/>
      <c r="BP275" s="380"/>
      <c r="BQ275" s="380"/>
      <c r="BR275" s="380"/>
      <c r="BS275" s="380"/>
      <c r="BT275" s="380"/>
    </row>
    <row r="276" spans="1:72" ht="22.5" customHeight="1" x14ac:dyDescent="0.4">
      <c r="A276" s="399"/>
      <c r="B276" s="376">
        <v>268</v>
      </c>
      <c r="C276" s="310">
        <v>44189</v>
      </c>
      <c r="D276" s="229" t="str">
        <f>IFERROR(VLOOKUP(C276,'बँक जमा खर्च पासबुक'!$C$9:$R$111,2,0),"")</f>
        <v/>
      </c>
      <c r="E276" s="229" t="str">
        <f>IFERROR(VLOOKUP(C276,'बँक जमा खर्च पासबुक'!$C$9:$R$111,3,0),"")</f>
        <v/>
      </c>
      <c r="F276" s="229" t="str">
        <f>IFERROR(VLOOKUP(C276,'बँक जमा खर्च पासबुक'!$C$9:$R$111,4,0),"")</f>
        <v/>
      </c>
      <c r="G276" s="229" t="str">
        <f>IFERROR(VLOOKUP(C276,'बँक जमा खर्च पासबुक'!$C$9:$R$111,5,0),"")</f>
        <v/>
      </c>
      <c r="H276" s="229" t="str">
        <f>IFERROR(VLOOKUP(C276,'बँक जमा खर्च पासबुक'!$C$9:$R$111,6,0),"")</f>
        <v/>
      </c>
      <c r="I276" s="229" t="str">
        <f>IFERROR(VLOOKUP(C276,'बँक जमा खर्च पासबुक'!$C$9:$R$111,7,0),"")</f>
        <v/>
      </c>
      <c r="J276" s="233">
        <f>SUMIF('बँक जमा खर्च पासबुक'!$C$9:$C$111,'बँक खर्च व्हाउचर पावती'!C276,'बँक जमा खर्च पासबुक'!$J$9:$J$111)</f>
        <v>0</v>
      </c>
      <c r="K276" s="233">
        <f>SUMIF('बँक जमा खर्च पासबुक'!$C$9:$C$111,'बँक खर्च व्हाउचर पावती'!C276,'बँक जमा खर्च पासबुक'!$K$9:$K$111)</f>
        <v>0</v>
      </c>
      <c r="L276" s="233">
        <f ca="1">SUMIF('बँक जमा खर्च पासबुक'!$C$9:$C$111,'बँक खर्च व्हाउचर पावती'!C276,'बँक जमा खर्च पासबुक'!$L$9:$L$110)</f>
        <v>0</v>
      </c>
      <c r="M276" s="228">
        <f>SUMIF('बँक जमा खर्च पासबुक'!$C$9:$C$111,'बँक खर्च व्हाउचर पावती'!C276,'बँक जमा खर्च पासबुक'!$M$9:$M$111)</f>
        <v>0</v>
      </c>
      <c r="N276" s="233">
        <f t="shared" ca="1" si="188"/>
        <v>3000</v>
      </c>
      <c r="O276" s="228">
        <f t="shared" si="189"/>
        <v>3000</v>
      </c>
      <c r="P276" s="228">
        <f t="shared" ca="1" si="187"/>
        <v>6000</v>
      </c>
      <c r="Q276" s="399"/>
      <c r="AM276" s="380"/>
      <c r="AN276" s="380"/>
      <c r="AO276" s="380">
        <v>30</v>
      </c>
      <c r="AP276" s="261">
        <f t="shared" si="186"/>
        <v>0</v>
      </c>
      <c r="AQ276" s="261">
        <f t="shared" si="174"/>
        <v>0</v>
      </c>
      <c r="AR276" s="261">
        <f t="shared" si="175"/>
        <v>0</v>
      </c>
      <c r="AS276" s="261">
        <f t="shared" si="176"/>
        <v>0</v>
      </c>
      <c r="AT276" s="261">
        <f t="shared" si="177"/>
        <v>0</v>
      </c>
      <c r="AU276" s="261">
        <f t="shared" si="178"/>
        <v>0</v>
      </c>
      <c r="AV276" s="261">
        <f t="shared" si="179"/>
        <v>0</v>
      </c>
      <c r="AW276" s="261">
        <f t="shared" si="180"/>
        <v>0</v>
      </c>
      <c r="AX276" s="261">
        <f t="shared" si="181"/>
        <v>0</v>
      </c>
      <c r="AY276" s="261">
        <f t="shared" si="182"/>
        <v>0</v>
      </c>
      <c r="AZ276" s="826"/>
      <c r="BA276" s="261">
        <f t="shared" si="184"/>
        <v>0</v>
      </c>
      <c r="BB276" s="261">
        <f t="shared" si="185"/>
        <v>0</v>
      </c>
      <c r="BC276" s="380"/>
      <c r="BD276" s="380"/>
      <c r="BE276" s="380"/>
      <c r="BF276" s="380"/>
      <c r="BG276" s="380"/>
      <c r="BH276" s="380"/>
      <c r="BI276" s="380"/>
      <c r="BJ276" s="380"/>
      <c r="BK276" s="380"/>
      <c r="BL276" s="380"/>
      <c r="BM276" s="380"/>
      <c r="BN276" s="380"/>
      <c r="BO276" s="380"/>
      <c r="BP276" s="380"/>
      <c r="BQ276" s="380"/>
      <c r="BR276" s="380"/>
      <c r="BS276" s="380"/>
      <c r="BT276" s="380"/>
    </row>
    <row r="277" spans="1:72" ht="22.5" customHeight="1" x14ac:dyDescent="0.4">
      <c r="A277" s="399"/>
      <c r="B277" s="376">
        <v>269</v>
      </c>
      <c r="C277" s="310">
        <v>44190</v>
      </c>
      <c r="D277" s="229" t="str">
        <f>IFERROR(VLOOKUP(C277,'बँक जमा खर्च पासबुक'!$C$9:$R$111,2,0),"")</f>
        <v/>
      </c>
      <c r="E277" s="229" t="str">
        <f>IFERROR(VLOOKUP(C277,'बँक जमा खर्च पासबुक'!$C$9:$R$111,3,0),"")</f>
        <v/>
      </c>
      <c r="F277" s="229" t="str">
        <f>IFERROR(VLOOKUP(C277,'बँक जमा खर्च पासबुक'!$C$9:$R$111,4,0),"")</f>
        <v/>
      </c>
      <c r="G277" s="229" t="str">
        <f>IFERROR(VLOOKUP(C277,'बँक जमा खर्च पासबुक'!$C$9:$R$111,5,0),"")</f>
        <v/>
      </c>
      <c r="H277" s="229" t="str">
        <f>IFERROR(VLOOKUP(C277,'बँक जमा खर्च पासबुक'!$C$9:$R$111,6,0),"")</f>
        <v/>
      </c>
      <c r="I277" s="229" t="str">
        <f>IFERROR(VLOOKUP(C277,'बँक जमा खर्च पासबुक'!$C$9:$R$111,7,0),"")</f>
        <v/>
      </c>
      <c r="J277" s="233">
        <f>SUMIF('बँक जमा खर्च पासबुक'!$C$9:$C$111,'बँक खर्च व्हाउचर पावती'!C277,'बँक जमा खर्च पासबुक'!$J$9:$J$111)</f>
        <v>0</v>
      </c>
      <c r="K277" s="233">
        <f>SUMIF('बँक जमा खर्च पासबुक'!$C$9:$C$111,'बँक खर्च व्हाउचर पावती'!C277,'बँक जमा खर्च पासबुक'!$K$9:$K$111)</f>
        <v>0</v>
      </c>
      <c r="L277" s="233">
        <f ca="1">SUMIF('बँक जमा खर्च पासबुक'!$C$9:$C$111,'बँक खर्च व्हाउचर पावती'!C277,'बँक जमा खर्च पासबुक'!$L$9:$L$110)</f>
        <v>0</v>
      </c>
      <c r="M277" s="228">
        <f>SUMIF('बँक जमा खर्च पासबुक'!$C$9:$C$111,'बँक खर्च व्हाउचर पावती'!C277,'बँक जमा खर्च पासबुक'!$M$9:$M$111)</f>
        <v>0</v>
      </c>
      <c r="N277" s="233">
        <f t="shared" ca="1" si="188"/>
        <v>3000</v>
      </c>
      <c r="O277" s="228">
        <f t="shared" si="189"/>
        <v>3000</v>
      </c>
      <c r="P277" s="228">
        <f t="shared" ca="1" si="187"/>
        <v>6000</v>
      </c>
      <c r="Q277" s="399"/>
      <c r="AM277" s="380"/>
      <c r="AN277" s="380"/>
      <c r="AO277" s="380">
        <v>31</v>
      </c>
      <c r="AP277" s="826"/>
      <c r="AQ277" s="261">
        <f t="shared" si="174"/>
        <v>0</v>
      </c>
      <c r="AR277" s="826"/>
      <c r="AS277" s="261">
        <f t="shared" si="176"/>
        <v>0</v>
      </c>
      <c r="AT277" s="261">
        <f t="shared" si="177"/>
        <v>0</v>
      </c>
      <c r="AU277" s="826"/>
      <c r="AV277" s="261">
        <f t="shared" si="179"/>
        <v>0</v>
      </c>
      <c r="AW277" s="826"/>
      <c r="AX277" s="261">
        <f t="shared" si="181"/>
        <v>0</v>
      </c>
      <c r="AY277" s="261">
        <f t="shared" si="182"/>
        <v>0</v>
      </c>
      <c r="AZ277" s="826"/>
      <c r="BA277" s="261">
        <f t="shared" si="184"/>
        <v>0</v>
      </c>
      <c r="BB277" s="261">
        <f t="shared" si="185"/>
        <v>0</v>
      </c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</row>
    <row r="278" spans="1:72" ht="22.5" customHeight="1" x14ac:dyDescent="0.4">
      <c r="A278" s="399"/>
      <c r="B278" s="376">
        <v>270</v>
      </c>
      <c r="C278" s="310">
        <v>44191</v>
      </c>
      <c r="D278" s="229" t="str">
        <f>IFERROR(VLOOKUP(C278,'बँक जमा खर्च पासबुक'!$C$9:$R$111,2,0),"")</f>
        <v/>
      </c>
      <c r="E278" s="229" t="str">
        <f>IFERROR(VLOOKUP(C278,'बँक जमा खर्च पासबुक'!$C$9:$R$111,3,0),"")</f>
        <v/>
      </c>
      <c r="F278" s="229" t="str">
        <f>IFERROR(VLOOKUP(C278,'बँक जमा खर्च पासबुक'!$C$9:$R$111,4,0),"")</f>
        <v/>
      </c>
      <c r="G278" s="229" t="str">
        <f>IFERROR(VLOOKUP(C278,'बँक जमा खर्च पासबुक'!$C$9:$R$111,5,0),"")</f>
        <v/>
      </c>
      <c r="H278" s="229" t="str">
        <f>IFERROR(VLOOKUP(C278,'बँक जमा खर्च पासबुक'!$C$9:$R$111,6,0),"")</f>
        <v/>
      </c>
      <c r="I278" s="229" t="str">
        <f>IFERROR(VLOOKUP(C278,'बँक जमा खर्च पासबुक'!$C$9:$R$111,7,0),"")</f>
        <v/>
      </c>
      <c r="J278" s="233">
        <f>SUMIF('बँक जमा खर्च पासबुक'!$C$9:$C$111,'बँक खर्च व्हाउचर पावती'!C278,'बँक जमा खर्च पासबुक'!$J$9:$J$111)</f>
        <v>0</v>
      </c>
      <c r="K278" s="233">
        <f>SUMIF('बँक जमा खर्च पासबुक'!$C$9:$C$111,'बँक खर्च व्हाउचर पावती'!C278,'बँक जमा खर्च पासबुक'!$K$9:$K$111)</f>
        <v>0</v>
      </c>
      <c r="L278" s="233">
        <f ca="1">SUMIF('बँक जमा खर्च पासबुक'!$C$9:$C$111,'बँक खर्च व्हाउचर पावती'!C278,'बँक जमा खर्च पासबुक'!$L$9:$L$110)</f>
        <v>0</v>
      </c>
      <c r="M278" s="228">
        <f>SUMIF('बँक जमा खर्च पासबुक'!$C$9:$C$111,'बँक खर्च व्हाउचर पावती'!C278,'बँक जमा खर्च पासबुक'!$M$9:$M$111)</f>
        <v>0</v>
      </c>
      <c r="N278" s="233">
        <f t="shared" ca="1" si="188"/>
        <v>3000</v>
      </c>
      <c r="O278" s="228">
        <f t="shared" si="189"/>
        <v>3000</v>
      </c>
      <c r="P278" s="228">
        <f t="shared" ca="1" si="187"/>
        <v>6000</v>
      </c>
      <c r="Q278" s="399"/>
      <c r="AM278" s="380"/>
      <c r="AN278" s="380"/>
      <c r="AO278" s="192" t="s">
        <v>35</v>
      </c>
      <c r="AP278" s="261">
        <f t="shared" ref="AP278:BA278" si="190">SUM(AP247:AP277)</f>
        <v>0</v>
      </c>
      <c r="AQ278" s="261">
        <f t="shared" si="190"/>
        <v>0</v>
      </c>
      <c r="AR278" s="261">
        <f t="shared" si="190"/>
        <v>0</v>
      </c>
      <c r="AS278" s="261">
        <f t="shared" si="190"/>
        <v>0</v>
      </c>
      <c r="AT278" s="261">
        <f t="shared" si="190"/>
        <v>0</v>
      </c>
      <c r="AU278" s="261">
        <f t="shared" si="190"/>
        <v>0</v>
      </c>
      <c r="AV278" s="261">
        <f t="shared" si="190"/>
        <v>0</v>
      </c>
      <c r="AW278" s="261">
        <f t="shared" si="190"/>
        <v>0</v>
      </c>
      <c r="AX278" s="261">
        <f t="shared" si="190"/>
        <v>0</v>
      </c>
      <c r="AY278" s="261">
        <f t="shared" si="190"/>
        <v>0</v>
      </c>
      <c r="AZ278" s="261">
        <f t="shared" si="190"/>
        <v>0</v>
      </c>
      <c r="BA278" s="261">
        <f t="shared" si="190"/>
        <v>0</v>
      </c>
      <c r="BB278" s="261">
        <f t="shared" si="185"/>
        <v>0</v>
      </c>
      <c r="BC278" s="380"/>
      <c r="BD278" s="380"/>
      <c r="BE278" s="380"/>
      <c r="BF278" s="380"/>
      <c r="BG278" s="380"/>
      <c r="BH278" s="380"/>
      <c r="BI278" s="380"/>
      <c r="BJ278" s="380"/>
      <c r="BK278" s="380"/>
      <c r="BL278" s="380"/>
      <c r="BM278" s="380"/>
      <c r="BN278" s="380"/>
      <c r="BO278" s="380"/>
      <c r="BP278" s="380"/>
      <c r="BQ278" s="380"/>
      <c r="BR278" s="380"/>
      <c r="BS278" s="380"/>
      <c r="BT278" s="380"/>
    </row>
    <row r="279" spans="1:72" ht="22.5" customHeight="1" x14ac:dyDescent="0.4">
      <c r="A279" s="399"/>
      <c r="B279" s="376">
        <v>271</v>
      </c>
      <c r="C279" s="310">
        <v>44192</v>
      </c>
      <c r="D279" s="229" t="str">
        <f>IFERROR(VLOOKUP(C279,'बँक जमा खर्च पासबुक'!$C$9:$R$111,2,0),"")</f>
        <v/>
      </c>
      <c r="E279" s="229" t="str">
        <f>IFERROR(VLOOKUP(C279,'बँक जमा खर्च पासबुक'!$C$9:$R$111,3,0),"")</f>
        <v/>
      </c>
      <c r="F279" s="229" t="str">
        <f>IFERROR(VLOOKUP(C279,'बँक जमा खर्च पासबुक'!$C$9:$R$111,4,0),"")</f>
        <v/>
      </c>
      <c r="G279" s="229" t="str">
        <f>IFERROR(VLOOKUP(C279,'बँक जमा खर्च पासबुक'!$C$9:$R$111,5,0),"")</f>
        <v/>
      </c>
      <c r="H279" s="229" t="str">
        <f>IFERROR(VLOOKUP(C279,'बँक जमा खर्च पासबुक'!$C$9:$R$111,6,0),"")</f>
        <v/>
      </c>
      <c r="I279" s="229" t="str">
        <f>IFERROR(VLOOKUP(C279,'बँक जमा खर्च पासबुक'!$C$9:$R$111,7,0),"")</f>
        <v/>
      </c>
      <c r="J279" s="233">
        <f>SUMIF('बँक जमा खर्च पासबुक'!$C$9:$C$111,'बँक खर्च व्हाउचर पावती'!C279,'बँक जमा खर्च पासबुक'!$J$9:$J$111)</f>
        <v>0</v>
      </c>
      <c r="K279" s="233">
        <f>SUMIF('बँक जमा खर्च पासबुक'!$C$9:$C$111,'बँक खर्च व्हाउचर पावती'!C279,'बँक जमा खर्च पासबुक'!$K$9:$K$111)</f>
        <v>0</v>
      </c>
      <c r="L279" s="233">
        <f ca="1">SUMIF('बँक जमा खर्च पासबुक'!$C$9:$C$111,'बँक खर्च व्हाउचर पावती'!C279,'बँक जमा खर्च पासबुक'!$L$9:$L$110)</f>
        <v>0</v>
      </c>
      <c r="M279" s="228">
        <f>SUMIF('बँक जमा खर्च पासबुक'!$C$9:$C$111,'बँक खर्च व्हाउचर पावती'!C279,'बँक जमा खर्च पासबुक'!$M$9:$M$111)</f>
        <v>0</v>
      </c>
      <c r="N279" s="233">
        <f t="shared" ca="1" si="188"/>
        <v>3000</v>
      </c>
      <c r="O279" s="228">
        <f t="shared" si="189"/>
        <v>3000</v>
      </c>
      <c r="P279" s="228">
        <f t="shared" ca="1" si="187"/>
        <v>6000</v>
      </c>
      <c r="Q279" s="399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  <c r="AZ279" s="380"/>
      <c r="BA279" s="380"/>
      <c r="BB279" s="380"/>
      <c r="BC279" s="380"/>
      <c r="BD279" s="380"/>
      <c r="BE279" s="380"/>
      <c r="BF279" s="380"/>
      <c r="BG279" s="380"/>
      <c r="BH279" s="380"/>
      <c r="BI279" s="380"/>
      <c r="BJ279" s="380"/>
      <c r="BK279" s="380"/>
      <c r="BL279" s="380"/>
      <c r="BM279" s="380"/>
      <c r="BN279" s="380"/>
      <c r="BO279" s="380"/>
      <c r="BP279" s="380"/>
      <c r="BQ279" s="380"/>
      <c r="BR279" s="380"/>
      <c r="BS279" s="380"/>
      <c r="BT279" s="380"/>
    </row>
    <row r="280" spans="1:72" ht="22.5" customHeight="1" x14ac:dyDescent="0.4">
      <c r="A280" s="399"/>
      <c r="B280" s="376">
        <v>272</v>
      </c>
      <c r="C280" s="310">
        <v>44193</v>
      </c>
      <c r="D280" s="229" t="str">
        <f>IFERROR(VLOOKUP(C280,'बँक जमा खर्च पासबुक'!$C$9:$R$111,2,0),"")</f>
        <v/>
      </c>
      <c r="E280" s="229" t="str">
        <f>IFERROR(VLOOKUP(C280,'बँक जमा खर्च पासबुक'!$C$9:$R$111,3,0),"")</f>
        <v/>
      </c>
      <c r="F280" s="229" t="str">
        <f>IFERROR(VLOOKUP(C280,'बँक जमा खर्च पासबुक'!$C$9:$R$111,4,0),"")</f>
        <v/>
      </c>
      <c r="G280" s="229" t="str">
        <f>IFERROR(VLOOKUP(C280,'बँक जमा खर्च पासबुक'!$C$9:$R$111,5,0),"")</f>
        <v/>
      </c>
      <c r="H280" s="229" t="str">
        <f>IFERROR(VLOOKUP(C280,'बँक जमा खर्च पासबुक'!$C$9:$R$111,6,0),"")</f>
        <v/>
      </c>
      <c r="I280" s="229" t="str">
        <f>IFERROR(VLOOKUP(C280,'बँक जमा खर्च पासबुक'!$C$9:$R$111,7,0),"")</f>
        <v/>
      </c>
      <c r="J280" s="233">
        <f>SUMIF('बँक जमा खर्च पासबुक'!$C$9:$C$111,'बँक खर्च व्हाउचर पावती'!C280,'बँक जमा खर्च पासबुक'!$J$9:$J$111)</f>
        <v>0</v>
      </c>
      <c r="K280" s="233">
        <f>SUMIF('बँक जमा खर्च पासबुक'!$C$9:$C$111,'बँक खर्च व्हाउचर पावती'!C280,'बँक जमा खर्च पासबुक'!$K$9:$K$111)</f>
        <v>0</v>
      </c>
      <c r="L280" s="233">
        <f ca="1">SUMIF('बँक जमा खर्च पासबुक'!$C$9:$C$111,'बँक खर्च व्हाउचर पावती'!C280,'बँक जमा खर्च पासबुक'!$L$9:$L$110)</f>
        <v>0</v>
      </c>
      <c r="M280" s="228">
        <f>SUMIF('बँक जमा खर्च पासबुक'!$C$9:$C$111,'बँक खर्च व्हाउचर पावती'!C280,'बँक जमा खर्च पासबुक'!$M$9:$M$111)</f>
        <v>0</v>
      </c>
      <c r="N280" s="233">
        <f t="shared" ca="1" si="188"/>
        <v>3000</v>
      </c>
      <c r="O280" s="228">
        <f t="shared" si="189"/>
        <v>3000</v>
      </c>
      <c r="P280" s="228">
        <f t="shared" ca="1" si="187"/>
        <v>6000</v>
      </c>
      <c r="Q280" s="399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  <c r="AZ280" s="380"/>
      <c r="BA280" s="380"/>
      <c r="BB280" s="380"/>
      <c r="BC280" s="380"/>
      <c r="BD280" s="380"/>
      <c r="BE280" s="380"/>
      <c r="BF280" s="380"/>
      <c r="BG280" s="380"/>
      <c r="BH280" s="380"/>
      <c r="BI280" s="380"/>
      <c r="BJ280" s="380"/>
      <c r="BK280" s="380"/>
      <c r="BL280" s="380"/>
      <c r="BM280" s="380"/>
      <c r="BN280" s="380"/>
      <c r="BO280" s="380"/>
      <c r="BP280" s="380"/>
      <c r="BQ280" s="380"/>
      <c r="BR280" s="380"/>
      <c r="BS280" s="380"/>
      <c r="BT280" s="380"/>
    </row>
    <row r="281" spans="1:72" ht="22.5" customHeight="1" x14ac:dyDescent="0.4">
      <c r="A281" s="399"/>
      <c r="B281" s="376">
        <v>273</v>
      </c>
      <c r="C281" s="310">
        <v>44194</v>
      </c>
      <c r="D281" s="229" t="str">
        <f>IFERROR(VLOOKUP(C281,'बँक जमा खर्च पासबुक'!$C$9:$R$111,2,0),"")</f>
        <v/>
      </c>
      <c r="E281" s="229" t="str">
        <f>IFERROR(VLOOKUP(C281,'बँक जमा खर्च पासबुक'!$C$9:$R$111,3,0),"")</f>
        <v/>
      </c>
      <c r="F281" s="229" t="str">
        <f>IFERROR(VLOOKUP(C281,'बँक जमा खर्च पासबुक'!$C$9:$R$111,4,0),"")</f>
        <v/>
      </c>
      <c r="G281" s="229" t="str">
        <f>IFERROR(VLOOKUP(C281,'बँक जमा खर्च पासबुक'!$C$9:$R$111,5,0),"")</f>
        <v/>
      </c>
      <c r="H281" s="229" t="str">
        <f>IFERROR(VLOOKUP(C281,'बँक जमा खर्च पासबुक'!$C$9:$R$111,6,0),"")</f>
        <v/>
      </c>
      <c r="I281" s="229" t="str">
        <f>IFERROR(VLOOKUP(C281,'बँक जमा खर्च पासबुक'!$C$9:$R$111,7,0),"")</f>
        <v/>
      </c>
      <c r="J281" s="233">
        <f>SUMIF('बँक जमा खर्च पासबुक'!$C$9:$C$111,'बँक खर्च व्हाउचर पावती'!C281,'बँक जमा खर्च पासबुक'!$J$9:$J$111)</f>
        <v>0</v>
      </c>
      <c r="K281" s="233">
        <f>SUMIF('बँक जमा खर्च पासबुक'!$C$9:$C$111,'बँक खर्च व्हाउचर पावती'!C281,'बँक जमा खर्च पासबुक'!$K$9:$K$111)</f>
        <v>0</v>
      </c>
      <c r="L281" s="233">
        <f ca="1">SUMIF('बँक जमा खर्च पासबुक'!$C$9:$C$111,'बँक खर्च व्हाउचर पावती'!C281,'बँक जमा खर्च पासबुक'!$L$9:$L$110)</f>
        <v>0</v>
      </c>
      <c r="M281" s="228">
        <f>SUMIF('बँक जमा खर्च पासबुक'!$C$9:$C$111,'बँक खर्च व्हाउचर पावती'!C281,'बँक जमा खर्च पासबुक'!$M$9:$M$111)</f>
        <v>0</v>
      </c>
      <c r="N281" s="233">
        <f t="shared" ca="1" si="188"/>
        <v>3000</v>
      </c>
      <c r="O281" s="228">
        <f t="shared" si="189"/>
        <v>3000</v>
      </c>
      <c r="P281" s="228">
        <f t="shared" ca="1" si="187"/>
        <v>6000</v>
      </c>
      <c r="Q281" s="399"/>
      <c r="AM281" s="380"/>
      <c r="AN281" s="380"/>
      <c r="AO281" s="380"/>
      <c r="AP281" s="380"/>
      <c r="AQ281" s="380"/>
      <c r="AR281" s="380"/>
      <c r="AS281" s="380"/>
      <c r="AT281" s="380"/>
      <c r="AU281" s="380" t="s">
        <v>87</v>
      </c>
      <c r="AV281" s="380"/>
      <c r="AW281" s="380"/>
      <c r="AX281" s="380"/>
      <c r="AY281" s="380"/>
      <c r="AZ281" s="380"/>
      <c r="BA281" s="380"/>
      <c r="BB281" s="380"/>
      <c r="BC281" s="380"/>
      <c r="BD281" s="380"/>
      <c r="BE281" s="380"/>
      <c r="BF281" s="380"/>
      <c r="BG281" s="380"/>
      <c r="BH281" s="380"/>
      <c r="BI281" s="380"/>
      <c r="BJ281" s="380"/>
      <c r="BK281" s="380"/>
      <c r="BL281" s="380"/>
      <c r="BM281" s="380"/>
      <c r="BN281" s="380"/>
      <c r="BO281" s="380"/>
      <c r="BP281" s="380"/>
      <c r="BQ281" s="380"/>
      <c r="BR281" s="380"/>
      <c r="BS281" s="380"/>
      <c r="BT281" s="380"/>
    </row>
    <row r="282" spans="1:72" ht="22.5" customHeight="1" x14ac:dyDescent="0.4">
      <c r="A282" s="399"/>
      <c r="B282" s="376">
        <v>274</v>
      </c>
      <c r="C282" s="310">
        <v>44195</v>
      </c>
      <c r="D282" s="229" t="str">
        <f>IFERROR(VLOOKUP(C282,'बँक जमा खर्च पासबुक'!$C$9:$R$111,2,0),"")</f>
        <v/>
      </c>
      <c r="E282" s="229" t="str">
        <f>IFERROR(VLOOKUP(C282,'बँक जमा खर्च पासबुक'!$C$9:$R$111,3,0),"")</f>
        <v/>
      </c>
      <c r="F282" s="229" t="str">
        <f>IFERROR(VLOOKUP(C282,'बँक जमा खर्च पासबुक'!$C$9:$R$111,4,0),"")</f>
        <v/>
      </c>
      <c r="G282" s="229" t="str">
        <f>IFERROR(VLOOKUP(C282,'बँक जमा खर्च पासबुक'!$C$9:$R$111,5,0),"")</f>
        <v/>
      </c>
      <c r="H282" s="229" t="str">
        <f>IFERROR(VLOOKUP(C282,'बँक जमा खर्च पासबुक'!$C$9:$R$111,6,0),"")</f>
        <v/>
      </c>
      <c r="I282" s="229" t="str">
        <f>IFERROR(VLOOKUP(C282,'बँक जमा खर्च पासबुक'!$C$9:$R$111,7,0),"")</f>
        <v/>
      </c>
      <c r="J282" s="233">
        <f>SUMIF('बँक जमा खर्च पासबुक'!$C$9:$C$111,'बँक खर्च व्हाउचर पावती'!C282,'बँक जमा खर्च पासबुक'!$J$9:$J$111)</f>
        <v>0</v>
      </c>
      <c r="K282" s="233">
        <f>SUMIF('बँक जमा खर्च पासबुक'!$C$9:$C$111,'बँक खर्च व्हाउचर पावती'!C282,'बँक जमा खर्च पासबुक'!$K$9:$K$111)</f>
        <v>0</v>
      </c>
      <c r="L282" s="233">
        <f ca="1">SUMIF('बँक जमा खर्च पासबुक'!$C$9:$C$111,'बँक खर्च व्हाउचर पावती'!C282,'बँक जमा खर्च पासबुक'!$L$9:$L$110)</f>
        <v>0</v>
      </c>
      <c r="M282" s="228">
        <f>SUMIF('बँक जमा खर्च पासबुक'!$C$9:$C$111,'बँक खर्च व्हाउचर पावती'!C282,'बँक जमा खर्च पासबुक'!$M$9:$M$111)</f>
        <v>0</v>
      </c>
      <c r="N282" s="233">
        <f t="shared" ca="1" si="188"/>
        <v>3000</v>
      </c>
      <c r="O282" s="228">
        <f t="shared" si="189"/>
        <v>3000</v>
      </c>
      <c r="P282" s="228">
        <f t="shared" ca="1" si="187"/>
        <v>6000</v>
      </c>
      <c r="Q282" s="399"/>
      <c r="AM282" s="380"/>
      <c r="AN282" s="380"/>
      <c r="AO282" s="380"/>
      <c r="AP282" s="380"/>
      <c r="AQ282" s="380"/>
      <c r="AR282" s="380"/>
      <c r="AS282" s="380"/>
      <c r="AT282" s="380" t="s">
        <v>596</v>
      </c>
      <c r="AU282" s="380" t="s">
        <v>597</v>
      </c>
      <c r="AV282" s="380"/>
      <c r="AW282" s="380"/>
      <c r="AX282" s="380"/>
      <c r="AY282" s="380"/>
      <c r="AZ282" s="380"/>
      <c r="BA282" s="380"/>
      <c r="BB282" s="380"/>
      <c r="BC282" s="380"/>
      <c r="BD282" s="380"/>
      <c r="BE282" s="380"/>
      <c r="BF282" s="380"/>
      <c r="BG282" s="380"/>
      <c r="BH282" s="380"/>
      <c r="BI282" s="380"/>
      <c r="BJ282" s="380"/>
      <c r="BK282" s="380"/>
      <c r="BL282" s="380"/>
      <c r="BM282" s="380"/>
      <c r="BN282" s="380"/>
      <c r="BO282" s="380"/>
      <c r="BP282" s="380"/>
      <c r="BQ282" s="380"/>
      <c r="BR282" s="380"/>
      <c r="BS282" s="380"/>
      <c r="BT282" s="380"/>
    </row>
    <row r="283" spans="1:72" ht="22.5" customHeight="1" x14ac:dyDescent="0.4">
      <c r="A283" s="399"/>
      <c r="B283" s="376">
        <v>275</v>
      </c>
      <c r="C283" s="310">
        <v>44196</v>
      </c>
      <c r="D283" s="229" t="str">
        <f>IFERROR(VLOOKUP(C283,'बँक जमा खर्च पासबुक'!$C$9:$R$111,2,0),"")</f>
        <v/>
      </c>
      <c r="E283" s="229" t="str">
        <f>IFERROR(VLOOKUP(C283,'बँक जमा खर्च पासबुक'!$C$9:$R$111,3,0),"")</f>
        <v/>
      </c>
      <c r="F283" s="229" t="str">
        <f>IFERROR(VLOOKUP(C283,'बँक जमा खर्च पासबुक'!$C$9:$R$111,4,0),"")</f>
        <v/>
      </c>
      <c r="G283" s="229" t="str">
        <f>IFERROR(VLOOKUP(C283,'बँक जमा खर्च पासबुक'!$C$9:$R$111,5,0),"")</f>
        <v/>
      </c>
      <c r="H283" s="229" t="str">
        <f>IFERROR(VLOOKUP(C283,'बँक जमा खर्च पासबुक'!$C$9:$R$111,6,0),"")</f>
        <v/>
      </c>
      <c r="I283" s="229" t="str">
        <f>IFERROR(VLOOKUP(C283,'बँक जमा खर्च पासबुक'!$C$9:$R$111,7,0),"")</f>
        <v/>
      </c>
      <c r="J283" s="233">
        <f>SUMIF('बँक जमा खर्च पासबुक'!$C$9:$C$111,'बँक खर्च व्हाउचर पावती'!C283,'बँक जमा खर्च पासबुक'!$J$9:$J$111)</f>
        <v>0</v>
      </c>
      <c r="K283" s="233">
        <f>SUMIF('बँक जमा खर्च पासबुक'!$C$9:$C$111,'बँक खर्च व्हाउचर पावती'!C283,'बँक जमा खर्च पासबुक'!$K$9:$K$111)</f>
        <v>0</v>
      </c>
      <c r="L283" s="233">
        <f ca="1">SUMIF('बँक जमा खर्च पासबुक'!$C$9:$C$111,'बँक खर्च व्हाउचर पावती'!C283,'बँक जमा खर्च पासबुक'!$L$9:$L$110)</f>
        <v>0</v>
      </c>
      <c r="M283" s="228">
        <f>SUMIF('बँक जमा खर्च पासबुक'!$C$9:$C$111,'बँक खर्च व्हाउचर पावती'!C283,'बँक जमा खर्च पासबुक'!$M$9:$M$111)</f>
        <v>0</v>
      </c>
      <c r="N283" s="233">
        <f t="shared" ca="1" si="188"/>
        <v>3000</v>
      </c>
      <c r="O283" s="228">
        <f t="shared" si="189"/>
        <v>3000</v>
      </c>
      <c r="P283" s="228">
        <f t="shared" ca="1" si="187"/>
        <v>6000</v>
      </c>
      <c r="Q283" s="399"/>
      <c r="AM283" s="380"/>
      <c r="AN283" s="380"/>
      <c r="AO283" s="380"/>
      <c r="AP283" s="380"/>
      <c r="AQ283" s="380"/>
      <c r="AR283" s="380"/>
      <c r="AS283" s="380" t="s">
        <v>42</v>
      </c>
      <c r="AT283" s="261">
        <f>'बँक जमा खर्च पासबुक'!J8</f>
        <v>3000</v>
      </c>
      <c r="AU283" s="261">
        <f>'बँक जमा खर्च पासबुक'!K8</f>
        <v>3000</v>
      </c>
      <c r="AV283" s="380"/>
      <c r="AW283" s="380"/>
      <c r="AX283" s="380"/>
      <c r="AY283" s="380"/>
      <c r="AZ283" s="380"/>
      <c r="BA283" s="380"/>
      <c r="BB283" s="380"/>
      <c r="BC283" s="380"/>
      <c r="BD283" s="380"/>
      <c r="BE283" s="380"/>
      <c r="BF283" s="380"/>
      <c r="BG283" s="380"/>
      <c r="BH283" s="380"/>
      <c r="BI283" s="380"/>
      <c r="BJ283" s="380"/>
      <c r="BK283" s="380"/>
      <c r="BL283" s="380"/>
      <c r="BM283" s="380"/>
      <c r="BN283" s="380"/>
      <c r="BO283" s="380"/>
      <c r="BP283" s="380"/>
      <c r="BQ283" s="380"/>
      <c r="BR283" s="380"/>
      <c r="BS283" s="380"/>
      <c r="BT283" s="380"/>
    </row>
    <row r="284" spans="1:72" ht="22.5" customHeight="1" x14ac:dyDescent="0.4">
      <c r="A284" s="399" t="s">
        <v>33</v>
      </c>
      <c r="B284" s="376">
        <v>276</v>
      </c>
      <c r="C284" s="310">
        <v>44197</v>
      </c>
      <c r="D284" s="229" t="str">
        <f>IFERROR(VLOOKUP(C284,'बँक जमा खर्च पासबुक'!$C$9:$R$111,2,0),"")</f>
        <v/>
      </c>
      <c r="E284" s="229" t="str">
        <f>IFERROR(VLOOKUP(C284,'बँक जमा खर्च पासबुक'!$C$9:$R$111,3,0),"")</f>
        <v/>
      </c>
      <c r="F284" s="229" t="str">
        <f>IFERROR(VLOOKUP(C284,'बँक जमा खर्च पासबुक'!$C$9:$R$111,4,0),"")</f>
        <v/>
      </c>
      <c r="G284" s="229" t="str">
        <f>IFERROR(VLOOKUP(C284,'बँक जमा खर्च पासबुक'!$C$9:$R$111,5,0),"")</f>
        <v/>
      </c>
      <c r="H284" s="229" t="str">
        <f>IFERROR(VLOOKUP(C284,'बँक जमा खर्च पासबुक'!$C$9:$R$111,6,0),"")</f>
        <v/>
      </c>
      <c r="I284" s="229" t="str">
        <f>IFERROR(VLOOKUP(C284,'बँक जमा खर्च पासबुक'!$C$9:$R$111,7,0),"")</f>
        <v/>
      </c>
      <c r="J284" s="233">
        <f>SUMIF('बँक जमा खर्च पासबुक'!$C$9:$C$111,'बँक खर्च व्हाउचर पावती'!C284,'बँक जमा खर्च पासबुक'!$J$9:$J$111)</f>
        <v>0</v>
      </c>
      <c r="K284" s="233">
        <f>SUMIF('बँक जमा खर्च पासबुक'!$C$9:$C$111,'बँक खर्च व्हाउचर पावती'!C284,'बँक जमा खर्च पासबुक'!$K$9:$K$111)</f>
        <v>0</v>
      </c>
      <c r="L284" s="233">
        <f ca="1">SUMIF('बँक जमा खर्च पासबुक'!$C$9:$C$111,'बँक खर्च व्हाउचर पावती'!C284,'बँक जमा खर्च पासबुक'!$L$9:$L$110)</f>
        <v>0</v>
      </c>
      <c r="M284" s="228">
        <f>SUMIF('बँक जमा खर्च पासबुक'!$C$9:$C$111,'बँक खर्च व्हाउचर पावती'!C284,'बँक जमा खर्च पासबुक'!$M$9:$M$111)</f>
        <v>0</v>
      </c>
      <c r="N284" s="233">
        <f t="shared" ca="1" si="188"/>
        <v>3000</v>
      </c>
      <c r="O284" s="228">
        <f t="shared" si="189"/>
        <v>3000</v>
      </c>
      <c r="P284" s="228">
        <f t="shared" ca="1" si="187"/>
        <v>6000</v>
      </c>
      <c r="Q284" s="399"/>
      <c r="AM284" s="380"/>
      <c r="AN284" s="380"/>
      <c r="AO284" s="380"/>
      <c r="AP284" s="380"/>
      <c r="AQ284" s="380"/>
      <c r="AR284" s="380"/>
      <c r="AS284" s="380" t="s">
        <v>44</v>
      </c>
      <c r="AT284" s="261">
        <f ca="1">N38</f>
        <v>3000</v>
      </c>
      <c r="AU284" s="261">
        <f>O38</f>
        <v>3000</v>
      </c>
      <c r="AV284" s="380"/>
      <c r="AW284" s="380"/>
      <c r="AX284" s="380"/>
      <c r="AY284" s="380"/>
      <c r="AZ284" s="380"/>
      <c r="BA284" s="380"/>
      <c r="BB284" s="380"/>
      <c r="BC284" s="380"/>
      <c r="BD284" s="380"/>
      <c r="BE284" s="380"/>
      <c r="BF284" s="380"/>
      <c r="BG284" s="380"/>
      <c r="BH284" s="380"/>
      <c r="BI284" s="380"/>
      <c r="BJ284" s="380"/>
      <c r="BK284" s="380"/>
      <c r="BL284" s="380"/>
      <c r="BM284" s="380"/>
      <c r="BN284" s="380"/>
      <c r="BO284" s="380"/>
      <c r="BP284" s="380"/>
      <c r="BQ284" s="380"/>
      <c r="BR284" s="380"/>
      <c r="BS284" s="380"/>
      <c r="BT284" s="380"/>
    </row>
    <row r="285" spans="1:72" ht="22.5" customHeight="1" x14ac:dyDescent="0.4">
      <c r="A285" s="399"/>
      <c r="B285" s="376">
        <v>277</v>
      </c>
      <c r="C285" s="310">
        <v>44198</v>
      </c>
      <c r="D285" s="229" t="str">
        <f>IFERROR(VLOOKUP(C285,'बँक जमा खर्च पासबुक'!$C$9:$R$111,2,0),"")</f>
        <v/>
      </c>
      <c r="E285" s="229" t="str">
        <f>IFERROR(VLOOKUP(C285,'बँक जमा खर्च पासबुक'!$C$9:$R$111,3,0),"")</f>
        <v/>
      </c>
      <c r="F285" s="229" t="str">
        <f>IFERROR(VLOOKUP(C285,'बँक जमा खर्च पासबुक'!$C$9:$R$111,4,0),"")</f>
        <v/>
      </c>
      <c r="G285" s="229" t="str">
        <f>IFERROR(VLOOKUP(C285,'बँक जमा खर्च पासबुक'!$C$9:$R$111,5,0),"")</f>
        <v/>
      </c>
      <c r="H285" s="229" t="str">
        <f>IFERROR(VLOOKUP(C285,'बँक जमा खर्च पासबुक'!$C$9:$R$111,6,0),"")</f>
        <v/>
      </c>
      <c r="I285" s="229" t="str">
        <f>IFERROR(VLOOKUP(C285,'बँक जमा खर्च पासबुक'!$C$9:$R$111,7,0),"")</f>
        <v/>
      </c>
      <c r="J285" s="233">
        <f>SUMIF('बँक जमा खर्च पासबुक'!$C$9:$C$111,'बँक खर्च व्हाउचर पावती'!C285,'बँक जमा खर्च पासबुक'!$J$9:$J$111)</f>
        <v>0</v>
      </c>
      <c r="K285" s="233">
        <f>SUMIF('बँक जमा खर्च पासबुक'!$C$9:$C$111,'बँक खर्च व्हाउचर पावती'!C285,'बँक जमा खर्च पासबुक'!$K$9:$K$111)</f>
        <v>0</v>
      </c>
      <c r="L285" s="233">
        <f ca="1">SUMIF('बँक जमा खर्च पासबुक'!$C$9:$C$111,'बँक खर्च व्हाउचर पावती'!C285,'बँक जमा खर्च पासबुक'!$L$9:$L$110)</f>
        <v>0</v>
      </c>
      <c r="M285" s="228">
        <f>SUMIF('बँक जमा खर्च पासबुक'!$C$9:$C$111,'बँक खर्च व्हाउचर पावती'!C285,'बँक जमा खर्च पासबुक'!$M$9:$M$111)</f>
        <v>0</v>
      </c>
      <c r="N285" s="233">
        <f t="shared" ca="1" si="188"/>
        <v>3000</v>
      </c>
      <c r="O285" s="228">
        <f t="shared" si="189"/>
        <v>3000</v>
      </c>
      <c r="P285" s="228">
        <f t="shared" ca="1" si="187"/>
        <v>6000</v>
      </c>
      <c r="Q285" s="399"/>
      <c r="AM285" s="380"/>
      <c r="AN285" s="380"/>
      <c r="AO285" s="380"/>
      <c r="AP285" s="380"/>
      <c r="AQ285" s="380"/>
      <c r="AR285" s="380"/>
      <c r="AS285" s="380" t="s">
        <v>94</v>
      </c>
      <c r="AT285" s="261">
        <f ca="1">N69</f>
        <v>3000</v>
      </c>
      <c r="AU285" s="261">
        <f>O69</f>
        <v>3000</v>
      </c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</row>
    <row r="286" spans="1:72" ht="22.5" customHeight="1" x14ac:dyDescent="0.4">
      <c r="A286" s="399"/>
      <c r="B286" s="376">
        <v>278</v>
      </c>
      <c r="C286" s="310">
        <v>44199</v>
      </c>
      <c r="D286" s="229" t="str">
        <f>IFERROR(VLOOKUP(C286,'बँक जमा खर्च पासबुक'!$C$9:$R$111,2,0),"")</f>
        <v/>
      </c>
      <c r="E286" s="229" t="str">
        <f>IFERROR(VLOOKUP(C286,'बँक जमा खर्च पासबुक'!$C$9:$R$111,3,0),"")</f>
        <v/>
      </c>
      <c r="F286" s="229" t="str">
        <f>IFERROR(VLOOKUP(C286,'बँक जमा खर्च पासबुक'!$C$9:$R$111,4,0),"")</f>
        <v/>
      </c>
      <c r="G286" s="229" t="str">
        <f>IFERROR(VLOOKUP(C286,'बँक जमा खर्च पासबुक'!$C$9:$R$111,5,0),"")</f>
        <v/>
      </c>
      <c r="H286" s="229" t="str">
        <f>IFERROR(VLOOKUP(C286,'बँक जमा खर्च पासबुक'!$C$9:$R$111,6,0),"")</f>
        <v/>
      </c>
      <c r="I286" s="229" t="str">
        <f>IFERROR(VLOOKUP(C286,'बँक जमा खर्च पासबुक'!$C$9:$R$111,7,0),"")</f>
        <v/>
      </c>
      <c r="J286" s="233">
        <f>SUMIF('बँक जमा खर्च पासबुक'!$C$9:$C$111,'बँक खर्च व्हाउचर पावती'!C286,'बँक जमा खर्च पासबुक'!$J$9:$J$111)</f>
        <v>0</v>
      </c>
      <c r="K286" s="233">
        <f>SUMIF('बँक जमा खर्च पासबुक'!$C$9:$C$111,'बँक खर्च व्हाउचर पावती'!C286,'बँक जमा खर्च पासबुक'!$K$9:$K$111)</f>
        <v>0</v>
      </c>
      <c r="L286" s="233">
        <f ca="1">SUMIF('बँक जमा खर्च पासबुक'!$C$9:$C$111,'बँक खर्च व्हाउचर पावती'!C286,'बँक जमा खर्च पासबुक'!$L$9:$L$110)</f>
        <v>0</v>
      </c>
      <c r="M286" s="228">
        <f>SUMIF('बँक जमा खर्च पासबुक'!$C$9:$C$111,'बँक खर्च व्हाउचर पावती'!C286,'बँक जमा खर्च पासबुक'!$M$9:$M$111)</f>
        <v>0</v>
      </c>
      <c r="N286" s="233">
        <f t="shared" ca="1" si="188"/>
        <v>3000</v>
      </c>
      <c r="O286" s="228">
        <f t="shared" si="189"/>
        <v>3000</v>
      </c>
      <c r="P286" s="228">
        <f t="shared" ca="1" si="187"/>
        <v>6000</v>
      </c>
      <c r="Q286" s="399"/>
      <c r="AM286" s="380"/>
      <c r="AN286" s="380"/>
      <c r="AO286" s="380"/>
      <c r="AP286" s="380"/>
      <c r="AQ286" s="380"/>
      <c r="AR286" s="380"/>
      <c r="AS286" s="380" t="s">
        <v>46</v>
      </c>
      <c r="AT286" s="261">
        <f ca="1">N99</f>
        <v>3000</v>
      </c>
      <c r="AU286" s="261">
        <f>O99</f>
        <v>3000</v>
      </c>
      <c r="AV286" s="380"/>
      <c r="AW286" s="380"/>
      <c r="AX286" s="380"/>
      <c r="AY286" s="380"/>
      <c r="AZ286" s="380"/>
      <c r="BA286" s="380"/>
      <c r="BB286" s="380"/>
      <c r="BC286" s="380"/>
      <c r="BD286" s="380"/>
      <c r="BE286" s="380"/>
      <c r="BF286" s="380"/>
      <c r="BG286" s="380"/>
      <c r="BH286" s="380"/>
      <c r="BI286" s="380"/>
      <c r="BJ286" s="380"/>
      <c r="BK286" s="380"/>
      <c r="BL286" s="380"/>
      <c r="BM286" s="380"/>
      <c r="BN286" s="380"/>
      <c r="BO286" s="380"/>
      <c r="BP286" s="380"/>
      <c r="BQ286" s="380"/>
      <c r="BR286" s="380"/>
      <c r="BS286" s="380"/>
      <c r="BT286" s="380"/>
    </row>
    <row r="287" spans="1:72" ht="22.5" customHeight="1" x14ac:dyDescent="0.4">
      <c r="A287" s="399"/>
      <c r="B287" s="376">
        <v>279</v>
      </c>
      <c r="C287" s="310">
        <v>44200</v>
      </c>
      <c r="D287" s="229" t="str">
        <f>IFERROR(VLOOKUP(C287,'बँक जमा खर्च पासबुक'!$C$9:$R$111,2,0),"")</f>
        <v/>
      </c>
      <c r="E287" s="229" t="str">
        <f>IFERROR(VLOOKUP(C287,'बँक जमा खर्च पासबुक'!$C$9:$R$111,3,0),"")</f>
        <v/>
      </c>
      <c r="F287" s="229" t="str">
        <f>IFERROR(VLOOKUP(C287,'बँक जमा खर्च पासबुक'!$C$9:$R$111,4,0),"")</f>
        <v/>
      </c>
      <c r="G287" s="229" t="str">
        <f>IFERROR(VLOOKUP(C287,'बँक जमा खर्च पासबुक'!$C$9:$R$111,5,0),"")</f>
        <v/>
      </c>
      <c r="H287" s="229" t="str">
        <f>IFERROR(VLOOKUP(C287,'बँक जमा खर्च पासबुक'!$C$9:$R$111,6,0),"")</f>
        <v/>
      </c>
      <c r="I287" s="229" t="str">
        <f>IFERROR(VLOOKUP(C287,'बँक जमा खर्च पासबुक'!$C$9:$R$111,7,0),"")</f>
        <v/>
      </c>
      <c r="J287" s="233">
        <f>SUMIF('बँक जमा खर्च पासबुक'!$C$9:$C$111,'बँक खर्च व्हाउचर पावती'!C287,'बँक जमा खर्च पासबुक'!$J$9:$J$111)</f>
        <v>0</v>
      </c>
      <c r="K287" s="233">
        <f>SUMIF('बँक जमा खर्च पासबुक'!$C$9:$C$111,'बँक खर्च व्हाउचर पावती'!C287,'बँक जमा खर्च पासबुक'!$K$9:$K$111)</f>
        <v>0</v>
      </c>
      <c r="L287" s="233">
        <f ca="1">SUMIF('बँक जमा खर्च पासबुक'!$C$9:$C$111,'बँक खर्च व्हाउचर पावती'!C287,'बँक जमा खर्च पासबुक'!$L$9:$L$110)</f>
        <v>0</v>
      </c>
      <c r="M287" s="228">
        <f>SUMIF('बँक जमा खर्च पासबुक'!$C$9:$C$111,'बँक खर्च व्हाउचर पावती'!C287,'बँक जमा खर्च पासबुक'!$M$9:$M$111)</f>
        <v>0</v>
      </c>
      <c r="N287" s="233">
        <f t="shared" ca="1" si="188"/>
        <v>3000</v>
      </c>
      <c r="O287" s="228">
        <f t="shared" si="189"/>
        <v>3000</v>
      </c>
      <c r="P287" s="228">
        <f t="shared" ca="1" si="187"/>
        <v>6000</v>
      </c>
      <c r="Q287" s="399"/>
      <c r="AM287" s="380"/>
      <c r="AN287" s="380"/>
      <c r="AO287" s="380"/>
      <c r="AP287" s="380"/>
      <c r="AQ287" s="380"/>
      <c r="AR287" s="380"/>
      <c r="AS287" s="380" t="s">
        <v>34</v>
      </c>
      <c r="AT287" s="261">
        <f ca="1">N130</f>
        <v>3000</v>
      </c>
      <c r="AU287" s="261">
        <f>O130</f>
        <v>3000</v>
      </c>
      <c r="AV287" s="380"/>
      <c r="AW287" s="380"/>
      <c r="AX287" s="380"/>
      <c r="AY287" s="380"/>
      <c r="AZ287" s="380"/>
      <c r="BA287" s="380"/>
      <c r="BB287" s="380"/>
      <c r="BC287" s="380"/>
      <c r="BD287" s="380"/>
      <c r="BE287" s="380"/>
      <c r="BF287" s="380"/>
      <c r="BG287" s="380"/>
      <c r="BH287" s="380"/>
      <c r="BI287" s="380"/>
      <c r="BJ287" s="380"/>
      <c r="BK287" s="380"/>
      <c r="BL287" s="380"/>
      <c r="BM287" s="380"/>
      <c r="BN287" s="380"/>
      <c r="BO287" s="380"/>
      <c r="BP287" s="380"/>
      <c r="BQ287" s="380"/>
      <c r="BR287" s="380"/>
      <c r="BS287" s="380"/>
      <c r="BT287" s="380"/>
    </row>
    <row r="288" spans="1:72" ht="22.5" customHeight="1" x14ac:dyDescent="0.4">
      <c r="A288" s="399"/>
      <c r="B288" s="376">
        <v>280</v>
      </c>
      <c r="C288" s="310">
        <v>44201</v>
      </c>
      <c r="D288" s="229" t="str">
        <f>IFERROR(VLOOKUP(C288,'बँक जमा खर्च पासबुक'!$C$9:$R$111,2,0),"")</f>
        <v/>
      </c>
      <c r="E288" s="229" t="str">
        <f>IFERROR(VLOOKUP(C288,'बँक जमा खर्च पासबुक'!$C$9:$R$111,3,0),"")</f>
        <v/>
      </c>
      <c r="F288" s="229" t="str">
        <f>IFERROR(VLOOKUP(C288,'बँक जमा खर्च पासबुक'!$C$9:$R$111,4,0),"")</f>
        <v/>
      </c>
      <c r="G288" s="229" t="str">
        <f>IFERROR(VLOOKUP(C288,'बँक जमा खर्च पासबुक'!$C$9:$R$111,5,0),"")</f>
        <v/>
      </c>
      <c r="H288" s="229" t="str">
        <f>IFERROR(VLOOKUP(C288,'बँक जमा खर्च पासबुक'!$C$9:$R$111,6,0),"")</f>
        <v/>
      </c>
      <c r="I288" s="229" t="str">
        <f>IFERROR(VLOOKUP(C288,'बँक जमा खर्च पासबुक'!$C$9:$R$111,7,0),"")</f>
        <v/>
      </c>
      <c r="J288" s="233">
        <f>SUMIF('बँक जमा खर्च पासबुक'!$C$9:$C$111,'बँक खर्च व्हाउचर पावती'!C288,'बँक जमा खर्च पासबुक'!$J$9:$J$111)</f>
        <v>0</v>
      </c>
      <c r="K288" s="233">
        <f>SUMIF('बँक जमा खर्च पासबुक'!$C$9:$C$111,'बँक खर्च व्हाउचर पावती'!C288,'बँक जमा खर्च पासबुक'!$K$9:$K$111)</f>
        <v>0</v>
      </c>
      <c r="L288" s="233">
        <f ca="1">SUMIF('बँक जमा खर्च पासबुक'!$C$9:$C$111,'बँक खर्च व्हाउचर पावती'!C288,'बँक जमा खर्च पासबुक'!$L$9:$L$110)</f>
        <v>0</v>
      </c>
      <c r="M288" s="228">
        <f>SUMIF('बँक जमा खर्च पासबुक'!$C$9:$C$111,'बँक खर्च व्हाउचर पावती'!C288,'बँक जमा खर्च पासबुक'!$M$9:$M$111)</f>
        <v>0</v>
      </c>
      <c r="N288" s="233">
        <f t="shared" ca="1" si="188"/>
        <v>3000</v>
      </c>
      <c r="O288" s="228">
        <f t="shared" si="189"/>
        <v>3000</v>
      </c>
      <c r="P288" s="228">
        <f t="shared" ca="1" si="187"/>
        <v>6000</v>
      </c>
      <c r="Q288" s="399"/>
      <c r="AM288" s="380"/>
      <c r="AN288" s="380"/>
      <c r="AO288" s="380"/>
      <c r="AP288" s="380"/>
      <c r="AQ288" s="380"/>
      <c r="AR288" s="380"/>
      <c r="AS288" s="380" t="s">
        <v>37</v>
      </c>
      <c r="AT288" s="261">
        <f ca="1">N161</f>
        <v>3000</v>
      </c>
      <c r="AU288" s="261">
        <f>O161</f>
        <v>3000</v>
      </c>
      <c r="AV288" s="380"/>
      <c r="AW288" s="380"/>
      <c r="AX288" s="380"/>
      <c r="AY288" s="380"/>
      <c r="AZ288" s="380"/>
      <c r="BA288" s="380"/>
      <c r="BB288" s="380"/>
      <c r="BC288" s="380"/>
      <c r="BD288" s="380"/>
      <c r="BE288" s="380"/>
      <c r="BF288" s="380"/>
      <c r="BG288" s="380"/>
      <c r="BH288" s="380"/>
      <c r="BI288" s="380"/>
      <c r="BJ288" s="380"/>
      <c r="BK288" s="380"/>
      <c r="BL288" s="380"/>
      <c r="BM288" s="380"/>
      <c r="BN288" s="380"/>
      <c r="BO288" s="380"/>
      <c r="BP288" s="380"/>
      <c r="BQ288" s="380"/>
      <c r="BR288" s="380"/>
      <c r="BS288" s="380"/>
      <c r="BT288" s="380"/>
    </row>
    <row r="289" spans="1:72" ht="22.5" customHeight="1" x14ac:dyDescent="0.4">
      <c r="A289" s="399"/>
      <c r="B289" s="376">
        <v>281</v>
      </c>
      <c r="C289" s="310">
        <v>44202</v>
      </c>
      <c r="D289" s="229" t="str">
        <f>IFERROR(VLOOKUP(C289,'बँक जमा खर्च पासबुक'!$C$9:$R$111,2,0),"")</f>
        <v/>
      </c>
      <c r="E289" s="229" t="str">
        <f>IFERROR(VLOOKUP(C289,'बँक जमा खर्च पासबुक'!$C$9:$R$111,3,0),"")</f>
        <v/>
      </c>
      <c r="F289" s="229" t="str">
        <f>IFERROR(VLOOKUP(C289,'बँक जमा खर्च पासबुक'!$C$9:$R$111,4,0),"")</f>
        <v/>
      </c>
      <c r="G289" s="229" t="str">
        <f>IFERROR(VLOOKUP(C289,'बँक जमा खर्च पासबुक'!$C$9:$R$111,5,0),"")</f>
        <v/>
      </c>
      <c r="H289" s="229" t="str">
        <f>IFERROR(VLOOKUP(C289,'बँक जमा खर्च पासबुक'!$C$9:$R$111,6,0),"")</f>
        <v/>
      </c>
      <c r="I289" s="229" t="str">
        <f>IFERROR(VLOOKUP(C289,'बँक जमा खर्च पासबुक'!$C$9:$R$111,7,0),"")</f>
        <v/>
      </c>
      <c r="J289" s="233">
        <f>SUMIF('बँक जमा खर्च पासबुक'!$C$9:$C$111,'बँक खर्च व्हाउचर पावती'!C289,'बँक जमा खर्च पासबुक'!$J$9:$J$111)</f>
        <v>0</v>
      </c>
      <c r="K289" s="233">
        <f>SUMIF('बँक जमा खर्च पासबुक'!$C$9:$C$111,'बँक खर्च व्हाउचर पावती'!C289,'बँक जमा खर्च पासबुक'!$K$9:$K$111)</f>
        <v>0</v>
      </c>
      <c r="L289" s="233">
        <f ca="1">SUMIF('बँक जमा खर्च पासबुक'!$C$9:$C$111,'बँक खर्च व्हाउचर पावती'!C289,'बँक जमा खर्च पासबुक'!$L$9:$L$110)</f>
        <v>0</v>
      </c>
      <c r="M289" s="228">
        <f>SUMIF('बँक जमा खर्च पासबुक'!$C$9:$C$111,'बँक खर्च व्हाउचर पावती'!C289,'बँक जमा खर्च पासबुक'!$M$9:$M$111)</f>
        <v>0</v>
      </c>
      <c r="N289" s="233">
        <f t="shared" ca="1" si="188"/>
        <v>3000</v>
      </c>
      <c r="O289" s="228">
        <f t="shared" si="189"/>
        <v>3000</v>
      </c>
      <c r="P289" s="228">
        <f t="shared" ca="1" si="187"/>
        <v>6000</v>
      </c>
      <c r="Q289" s="399"/>
      <c r="AM289" s="380"/>
      <c r="AN289" s="380"/>
      <c r="AO289" s="380"/>
      <c r="AP289" s="380"/>
      <c r="AQ289" s="380"/>
      <c r="AR289" s="380"/>
      <c r="AS289" s="380" t="s">
        <v>47</v>
      </c>
      <c r="AT289" s="261">
        <f ca="1">N191</f>
        <v>3000</v>
      </c>
      <c r="AU289" s="261">
        <f>O191</f>
        <v>3000</v>
      </c>
      <c r="AV289" s="380"/>
      <c r="AW289" s="380"/>
      <c r="AX289" s="380"/>
      <c r="AY289" s="380"/>
      <c r="AZ289" s="380"/>
      <c r="BA289" s="380"/>
      <c r="BB289" s="380"/>
      <c r="BC289" s="380"/>
      <c r="BD289" s="380"/>
      <c r="BE289" s="380"/>
      <c r="BF289" s="380"/>
      <c r="BG289" s="380"/>
      <c r="BH289" s="380"/>
      <c r="BI289" s="380"/>
      <c r="BJ289" s="380"/>
      <c r="BK289" s="380"/>
      <c r="BL289" s="380"/>
      <c r="BM289" s="380"/>
      <c r="BN289" s="380"/>
      <c r="BO289" s="380"/>
      <c r="BP289" s="380"/>
      <c r="BQ289" s="380"/>
      <c r="BR289" s="380"/>
      <c r="BS289" s="380"/>
      <c r="BT289" s="380"/>
    </row>
    <row r="290" spans="1:72" ht="22.5" customHeight="1" x14ac:dyDescent="0.4">
      <c r="A290" s="399"/>
      <c r="B290" s="376">
        <v>282</v>
      </c>
      <c r="C290" s="310">
        <v>44203</v>
      </c>
      <c r="D290" s="229" t="str">
        <f>IFERROR(VLOOKUP(C290,'बँक जमा खर्च पासबुक'!$C$9:$R$111,2,0),"")</f>
        <v/>
      </c>
      <c r="E290" s="229" t="str">
        <f>IFERROR(VLOOKUP(C290,'बँक जमा खर्च पासबुक'!$C$9:$R$111,3,0),"")</f>
        <v/>
      </c>
      <c r="F290" s="229" t="str">
        <f>IFERROR(VLOOKUP(C290,'बँक जमा खर्च पासबुक'!$C$9:$R$111,4,0),"")</f>
        <v/>
      </c>
      <c r="G290" s="229" t="str">
        <f>IFERROR(VLOOKUP(C290,'बँक जमा खर्च पासबुक'!$C$9:$R$111,5,0),"")</f>
        <v/>
      </c>
      <c r="H290" s="229" t="str">
        <f>IFERROR(VLOOKUP(C290,'बँक जमा खर्च पासबुक'!$C$9:$R$111,6,0),"")</f>
        <v/>
      </c>
      <c r="I290" s="229" t="str">
        <f>IFERROR(VLOOKUP(C290,'बँक जमा खर्च पासबुक'!$C$9:$R$111,7,0),"")</f>
        <v/>
      </c>
      <c r="J290" s="233">
        <f>SUMIF('बँक जमा खर्च पासबुक'!$C$9:$C$111,'बँक खर्च व्हाउचर पावती'!C290,'बँक जमा खर्च पासबुक'!$J$9:$J$111)</f>
        <v>0</v>
      </c>
      <c r="K290" s="233">
        <f>SUMIF('बँक जमा खर्च पासबुक'!$C$9:$C$111,'बँक खर्च व्हाउचर पावती'!C290,'बँक जमा खर्च पासबुक'!$K$9:$K$111)</f>
        <v>0</v>
      </c>
      <c r="L290" s="233">
        <f ca="1">SUMIF('बँक जमा खर्च पासबुक'!$C$9:$C$111,'बँक खर्च व्हाउचर पावती'!C290,'बँक जमा खर्च पासबुक'!$L$9:$L$110)</f>
        <v>0</v>
      </c>
      <c r="M290" s="228">
        <f>SUMIF('बँक जमा खर्च पासबुक'!$C$9:$C$111,'बँक खर्च व्हाउचर पावती'!C290,'बँक जमा खर्च पासबुक'!$M$9:$M$111)</f>
        <v>0</v>
      </c>
      <c r="N290" s="233">
        <f t="shared" ca="1" si="188"/>
        <v>3000</v>
      </c>
      <c r="O290" s="228">
        <f t="shared" si="189"/>
        <v>3000</v>
      </c>
      <c r="P290" s="228">
        <f t="shared" ca="1" si="187"/>
        <v>6000</v>
      </c>
      <c r="Q290" s="399"/>
      <c r="AM290" s="380"/>
      <c r="AN290" s="380"/>
      <c r="AO290" s="380"/>
      <c r="AP290" s="380"/>
      <c r="AQ290" s="380"/>
      <c r="AR290" s="380"/>
      <c r="AS290" s="380" t="s">
        <v>38</v>
      </c>
      <c r="AT290" s="261">
        <f ca="1">N222</f>
        <v>3000</v>
      </c>
      <c r="AU290" s="261">
        <f>O222</f>
        <v>3000</v>
      </c>
      <c r="AV290" s="380"/>
      <c r="AW290" s="380"/>
      <c r="AX290" s="380"/>
      <c r="AY290" s="380"/>
      <c r="AZ290" s="380"/>
      <c r="BA290" s="380"/>
      <c r="BB290" s="380"/>
      <c r="BC290" s="380"/>
      <c r="BD290" s="380"/>
      <c r="BE290" s="380"/>
      <c r="BF290" s="380"/>
      <c r="BG290" s="380"/>
      <c r="BH290" s="380"/>
      <c r="BI290" s="380"/>
      <c r="BJ290" s="380"/>
      <c r="BK290" s="380"/>
      <c r="BL290" s="380"/>
      <c r="BM290" s="380"/>
      <c r="BN290" s="380"/>
      <c r="BO290" s="380"/>
      <c r="BP290" s="380"/>
      <c r="BQ290" s="380"/>
      <c r="BR290" s="380"/>
      <c r="BS290" s="380"/>
      <c r="BT290" s="380"/>
    </row>
    <row r="291" spans="1:72" ht="22.5" customHeight="1" x14ac:dyDescent="0.4">
      <c r="A291" s="399"/>
      <c r="B291" s="376">
        <v>283</v>
      </c>
      <c r="C291" s="310">
        <v>44204</v>
      </c>
      <c r="D291" s="229" t="str">
        <f>IFERROR(VLOOKUP(C291,'बँक जमा खर्च पासबुक'!$C$9:$R$111,2,0),"")</f>
        <v/>
      </c>
      <c r="E291" s="229" t="str">
        <f>IFERROR(VLOOKUP(C291,'बँक जमा खर्च पासबुक'!$C$9:$R$111,3,0),"")</f>
        <v/>
      </c>
      <c r="F291" s="229" t="str">
        <f>IFERROR(VLOOKUP(C291,'बँक जमा खर्च पासबुक'!$C$9:$R$111,4,0),"")</f>
        <v/>
      </c>
      <c r="G291" s="229" t="str">
        <f>IFERROR(VLOOKUP(C291,'बँक जमा खर्च पासबुक'!$C$9:$R$111,5,0),"")</f>
        <v/>
      </c>
      <c r="H291" s="229" t="str">
        <f>IFERROR(VLOOKUP(C291,'बँक जमा खर्च पासबुक'!$C$9:$R$111,6,0),"")</f>
        <v/>
      </c>
      <c r="I291" s="229" t="str">
        <f>IFERROR(VLOOKUP(C291,'बँक जमा खर्च पासबुक'!$C$9:$R$111,7,0),"")</f>
        <v/>
      </c>
      <c r="J291" s="233">
        <f>SUMIF('बँक जमा खर्च पासबुक'!$C$9:$C$111,'बँक खर्च व्हाउचर पावती'!C291,'बँक जमा खर्च पासबुक'!$J$9:$J$111)</f>
        <v>0</v>
      </c>
      <c r="K291" s="233">
        <f>SUMIF('बँक जमा खर्च पासबुक'!$C$9:$C$111,'बँक खर्च व्हाउचर पावती'!C291,'बँक जमा खर्च पासबुक'!$K$9:$K$111)</f>
        <v>0</v>
      </c>
      <c r="L291" s="233">
        <f ca="1">SUMIF('बँक जमा खर्च पासबुक'!$C$9:$C$111,'बँक खर्च व्हाउचर पावती'!C291,'बँक जमा खर्च पासबुक'!$L$9:$L$110)</f>
        <v>0</v>
      </c>
      <c r="M291" s="228">
        <f>SUMIF('बँक जमा खर्च पासबुक'!$C$9:$C$111,'बँक खर्च व्हाउचर पावती'!C291,'बँक जमा खर्च पासबुक'!$M$9:$M$111)</f>
        <v>0</v>
      </c>
      <c r="N291" s="233">
        <f t="shared" ca="1" si="188"/>
        <v>3000</v>
      </c>
      <c r="O291" s="228">
        <f t="shared" si="189"/>
        <v>3000</v>
      </c>
      <c r="P291" s="228">
        <f t="shared" ca="1" si="187"/>
        <v>6000</v>
      </c>
      <c r="Q291" s="399"/>
      <c r="AM291" s="380"/>
      <c r="AN291" s="380"/>
      <c r="AO291" s="380"/>
      <c r="AP291" s="380"/>
      <c r="AQ291" s="380"/>
      <c r="AR291" s="380"/>
      <c r="AS291" s="380" t="s">
        <v>39</v>
      </c>
      <c r="AT291" s="261">
        <f ca="1">N252</f>
        <v>3000</v>
      </c>
      <c r="AU291" s="261">
        <f>O252</f>
        <v>3000</v>
      </c>
      <c r="AV291" s="380"/>
      <c r="AW291" s="380"/>
      <c r="AX291" s="380"/>
      <c r="AY291" s="380"/>
      <c r="AZ291" s="380"/>
      <c r="BA291" s="380"/>
      <c r="BB291" s="380"/>
      <c r="BC291" s="380"/>
      <c r="BD291" s="380"/>
      <c r="BE291" s="380"/>
      <c r="BF291" s="380"/>
      <c r="BG291" s="380"/>
      <c r="BH291" s="380"/>
      <c r="BI291" s="380"/>
      <c r="BJ291" s="380"/>
      <c r="BK291" s="380"/>
      <c r="BL291" s="380"/>
      <c r="BM291" s="380"/>
      <c r="BN291" s="380"/>
      <c r="BO291" s="380"/>
      <c r="BP291" s="380"/>
      <c r="BQ291" s="380"/>
      <c r="BR291" s="380"/>
      <c r="BS291" s="380"/>
      <c r="BT291" s="380"/>
    </row>
    <row r="292" spans="1:72" ht="22.5" customHeight="1" x14ac:dyDescent="0.4">
      <c r="A292" s="399"/>
      <c r="B292" s="376">
        <v>284</v>
      </c>
      <c r="C292" s="310">
        <v>44205</v>
      </c>
      <c r="D292" s="229" t="str">
        <f>IFERROR(VLOOKUP(C292,'बँक जमा खर्च पासबुक'!$C$9:$R$111,2,0),"")</f>
        <v/>
      </c>
      <c r="E292" s="229" t="str">
        <f>IFERROR(VLOOKUP(C292,'बँक जमा खर्च पासबुक'!$C$9:$R$111,3,0),"")</f>
        <v/>
      </c>
      <c r="F292" s="229" t="str">
        <f>IFERROR(VLOOKUP(C292,'बँक जमा खर्च पासबुक'!$C$9:$R$111,4,0),"")</f>
        <v/>
      </c>
      <c r="G292" s="229" t="str">
        <f>IFERROR(VLOOKUP(C292,'बँक जमा खर्च पासबुक'!$C$9:$R$111,5,0),"")</f>
        <v/>
      </c>
      <c r="H292" s="229" t="str">
        <f>IFERROR(VLOOKUP(C292,'बँक जमा खर्च पासबुक'!$C$9:$R$111,6,0),"")</f>
        <v/>
      </c>
      <c r="I292" s="229" t="str">
        <f>IFERROR(VLOOKUP(C292,'बँक जमा खर्च पासबुक'!$C$9:$R$111,7,0),"")</f>
        <v/>
      </c>
      <c r="J292" s="233">
        <f>SUMIF('बँक जमा खर्च पासबुक'!$C$9:$C$111,'बँक खर्च व्हाउचर पावती'!C292,'बँक जमा खर्च पासबुक'!$J$9:$J$111)</f>
        <v>0</v>
      </c>
      <c r="K292" s="233">
        <f>SUMIF('बँक जमा खर्च पासबुक'!$C$9:$C$111,'बँक खर्च व्हाउचर पावती'!C292,'बँक जमा खर्च पासबुक'!$K$9:$K$111)</f>
        <v>0</v>
      </c>
      <c r="L292" s="233">
        <f ca="1">SUMIF('बँक जमा खर्च पासबुक'!$C$9:$C$111,'बँक खर्च व्हाउचर पावती'!C292,'बँक जमा खर्च पासबुक'!$L$9:$L$110)</f>
        <v>0</v>
      </c>
      <c r="M292" s="228">
        <f>SUMIF('बँक जमा खर्च पासबुक'!$C$9:$C$111,'बँक खर्च व्हाउचर पावती'!C292,'बँक जमा खर्च पासबुक'!$M$9:$M$111)</f>
        <v>0</v>
      </c>
      <c r="N292" s="233">
        <f t="shared" ca="1" si="188"/>
        <v>3000</v>
      </c>
      <c r="O292" s="228">
        <f t="shared" si="189"/>
        <v>3000</v>
      </c>
      <c r="P292" s="228">
        <f t="shared" ca="1" si="187"/>
        <v>6000</v>
      </c>
      <c r="Q292" s="399"/>
      <c r="AM292" s="380"/>
      <c r="AN292" s="380"/>
      <c r="AO292" s="380"/>
      <c r="AP292" s="380"/>
      <c r="AQ292" s="380"/>
      <c r="AR292" s="380"/>
      <c r="AS292" s="380" t="s">
        <v>33</v>
      </c>
      <c r="AT292" s="261">
        <f ca="1">N283</f>
        <v>3000</v>
      </c>
      <c r="AU292" s="261">
        <f>O283</f>
        <v>3000</v>
      </c>
      <c r="AV292" s="380"/>
      <c r="AW292" s="380"/>
      <c r="AX292" s="380"/>
      <c r="AY292" s="380"/>
      <c r="AZ292" s="380"/>
      <c r="BA292" s="380"/>
      <c r="BB292" s="380"/>
      <c r="BC292" s="380"/>
      <c r="BD292" s="380"/>
      <c r="BE292" s="380"/>
      <c r="BF292" s="380"/>
      <c r="BG292" s="380"/>
      <c r="BH292" s="380"/>
      <c r="BI292" s="380"/>
      <c r="BJ292" s="380"/>
      <c r="BK292" s="380"/>
      <c r="BL292" s="380"/>
      <c r="BM292" s="380"/>
      <c r="BN292" s="380"/>
      <c r="BO292" s="380"/>
      <c r="BP292" s="380"/>
      <c r="BQ292" s="380"/>
      <c r="BR292" s="380"/>
      <c r="BS292" s="380"/>
      <c r="BT292" s="380"/>
    </row>
    <row r="293" spans="1:72" ht="22.5" customHeight="1" x14ac:dyDescent="0.4">
      <c r="A293" s="399"/>
      <c r="B293" s="376">
        <v>285</v>
      </c>
      <c r="C293" s="310">
        <v>44206</v>
      </c>
      <c r="D293" s="229" t="str">
        <f>IFERROR(VLOOKUP(C293,'बँक जमा खर्च पासबुक'!$C$9:$R$111,2,0),"")</f>
        <v/>
      </c>
      <c r="E293" s="229" t="str">
        <f>IFERROR(VLOOKUP(C293,'बँक जमा खर्च पासबुक'!$C$9:$R$111,3,0),"")</f>
        <v/>
      </c>
      <c r="F293" s="229" t="str">
        <f>IFERROR(VLOOKUP(C293,'बँक जमा खर्च पासबुक'!$C$9:$R$111,4,0),"")</f>
        <v/>
      </c>
      <c r="G293" s="229" t="str">
        <f>IFERROR(VLOOKUP(C293,'बँक जमा खर्च पासबुक'!$C$9:$R$111,5,0),"")</f>
        <v/>
      </c>
      <c r="H293" s="229" t="str">
        <f>IFERROR(VLOOKUP(C293,'बँक जमा खर्च पासबुक'!$C$9:$R$111,6,0),"")</f>
        <v/>
      </c>
      <c r="I293" s="229" t="str">
        <f>IFERROR(VLOOKUP(C293,'बँक जमा खर्च पासबुक'!$C$9:$R$111,7,0),"")</f>
        <v/>
      </c>
      <c r="J293" s="233">
        <f>SUMIF('बँक जमा खर्च पासबुक'!$C$9:$C$111,'बँक खर्च व्हाउचर पावती'!C293,'बँक जमा खर्च पासबुक'!$J$9:$J$111)</f>
        <v>0</v>
      </c>
      <c r="K293" s="233">
        <f>SUMIF('बँक जमा खर्च पासबुक'!$C$9:$C$111,'बँक खर्च व्हाउचर पावती'!C293,'बँक जमा खर्च पासबुक'!$K$9:$K$111)</f>
        <v>0</v>
      </c>
      <c r="L293" s="233">
        <f ca="1">SUMIF('बँक जमा खर्च पासबुक'!$C$9:$C$111,'बँक खर्च व्हाउचर पावती'!C293,'बँक जमा खर्च पासबुक'!$L$9:$L$110)</f>
        <v>0</v>
      </c>
      <c r="M293" s="228">
        <f>SUMIF('बँक जमा खर्च पासबुक'!$C$9:$C$111,'बँक खर्च व्हाउचर पावती'!C293,'बँक जमा खर्च पासबुक'!$M$9:$M$111)</f>
        <v>0</v>
      </c>
      <c r="N293" s="233">
        <f t="shared" ca="1" si="188"/>
        <v>3000</v>
      </c>
      <c r="O293" s="228">
        <f t="shared" si="189"/>
        <v>3000</v>
      </c>
      <c r="P293" s="228">
        <f t="shared" ca="1" si="187"/>
        <v>6000</v>
      </c>
      <c r="Q293" s="399"/>
      <c r="AM293" s="380"/>
      <c r="AN293" s="380"/>
      <c r="AO293" s="380"/>
      <c r="AP293" s="380"/>
      <c r="AQ293" s="380"/>
      <c r="AR293" s="380"/>
      <c r="AS293" s="380" t="s">
        <v>40</v>
      </c>
      <c r="AT293" s="261">
        <f ca="1">N314</f>
        <v>3000</v>
      </c>
      <c r="AU293" s="261">
        <f>O314</f>
        <v>3000</v>
      </c>
      <c r="AV293" s="380"/>
      <c r="AW293" s="380"/>
      <c r="AX293" s="380"/>
      <c r="AY293" s="380"/>
      <c r="AZ293" s="380"/>
      <c r="BA293" s="380"/>
      <c r="BB293" s="380"/>
      <c r="BC293" s="380"/>
      <c r="BD293" s="380"/>
      <c r="BE293" s="380"/>
      <c r="BF293" s="380"/>
      <c r="BG293" s="380"/>
      <c r="BH293" s="380"/>
      <c r="BI293" s="380"/>
      <c r="BJ293" s="380"/>
      <c r="BK293" s="380"/>
      <c r="BL293" s="380"/>
      <c r="BM293" s="380"/>
      <c r="BN293" s="380"/>
      <c r="BO293" s="380"/>
      <c r="BP293" s="380"/>
      <c r="BQ293" s="380"/>
      <c r="BR293" s="380"/>
      <c r="BS293" s="380"/>
      <c r="BT293" s="380"/>
    </row>
    <row r="294" spans="1:72" ht="22.5" customHeight="1" x14ac:dyDescent="0.4">
      <c r="A294" s="399"/>
      <c r="B294" s="376">
        <v>286</v>
      </c>
      <c r="C294" s="310">
        <v>44207</v>
      </c>
      <c r="D294" s="229" t="str">
        <f>IFERROR(VLOOKUP(C294,'बँक जमा खर्च पासबुक'!$C$9:$R$111,2,0),"")</f>
        <v/>
      </c>
      <c r="E294" s="229" t="str">
        <f>IFERROR(VLOOKUP(C294,'बँक जमा खर्च पासबुक'!$C$9:$R$111,3,0),"")</f>
        <v/>
      </c>
      <c r="F294" s="229" t="str">
        <f>IFERROR(VLOOKUP(C294,'बँक जमा खर्च पासबुक'!$C$9:$R$111,4,0),"")</f>
        <v/>
      </c>
      <c r="G294" s="229" t="str">
        <f>IFERROR(VLOOKUP(C294,'बँक जमा खर्च पासबुक'!$C$9:$R$111,5,0),"")</f>
        <v/>
      </c>
      <c r="H294" s="229" t="str">
        <f>IFERROR(VLOOKUP(C294,'बँक जमा खर्च पासबुक'!$C$9:$R$111,6,0),"")</f>
        <v/>
      </c>
      <c r="I294" s="229" t="str">
        <f>IFERROR(VLOOKUP(C294,'बँक जमा खर्च पासबुक'!$C$9:$R$111,7,0),"")</f>
        <v/>
      </c>
      <c r="J294" s="233">
        <f>SUMIF('बँक जमा खर्च पासबुक'!$C$9:$C$111,'बँक खर्च व्हाउचर पावती'!C294,'बँक जमा खर्च पासबुक'!$J$9:$J$111)</f>
        <v>0</v>
      </c>
      <c r="K294" s="233">
        <f>SUMIF('बँक जमा खर्च पासबुक'!$C$9:$C$111,'बँक खर्च व्हाउचर पावती'!C294,'बँक जमा खर्च पासबुक'!$K$9:$K$111)</f>
        <v>0</v>
      </c>
      <c r="L294" s="233">
        <f ca="1">SUMIF('बँक जमा खर्च पासबुक'!$C$9:$C$111,'बँक खर्च व्हाउचर पावती'!C294,'बँक जमा खर्च पासबुक'!$L$9:$L$110)</f>
        <v>0</v>
      </c>
      <c r="M294" s="228">
        <f>SUMIF('बँक जमा खर्च पासबुक'!$C$9:$C$111,'बँक खर्च व्हाउचर पावती'!C294,'बँक जमा खर्च पासबुक'!$M$9:$M$111)</f>
        <v>0</v>
      </c>
      <c r="N294" s="233">
        <f t="shared" ca="1" si="188"/>
        <v>3000</v>
      </c>
      <c r="O294" s="228">
        <f t="shared" si="189"/>
        <v>3000</v>
      </c>
      <c r="P294" s="228">
        <f t="shared" ca="1" si="187"/>
        <v>6000</v>
      </c>
      <c r="Q294" s="399"/>
      <c r="AM294" s="380"/>
      <c r="AN294" s="380"/>
      <c r="AO294" s="380"/>
      <c r="AP294" s="380"/>
      <c r="AQ294" s="380"/>
      <c r="AR294" s="380"/>
      <c r="AS294" s="380" t="s">
        <v>41</v>
      </c>
      <c r="AT294" s="261">
        <f ca="1">N343</f>
        <v>3000</v>
      </c>
      <c r="AU294" s="261">
        <f>O343</f>
        <v>3000</v>
      </c>
      <c r="AV294" s="380"/>
      <c r="AW294" s="380"/>
      <c r="AX294" s="380"/>
      <c r="AY294" s="380"/>
      <c r="AZ294" s="380"/>
      <c r="BA294" s="380"/>
      <c r="BB294" s="380"/>
      <c r="BC294" s="380"/>
      <c r="BD294" s="380"/>
      <c r="BE294" s="380"/>
      <c r="BF294" s="380"/>
      <c r="BG294" s="380"/>
      <c r="BH294" s="380"/>
      <c r="BI294" s="380"/>
      <c r="BJ294" s="380"/>
      <c r="BK294" s="380"/>
      <c r="BL294" s="380"/>
      <c r="BM294" s="380"/>
      <c r="BN294" s="380"/>
      <c r="BO294" s="380"/>
      <c r="BP294" s="380"/>
      <c r="BQ294" s="380"/>
      <c r="BR294" s="380"/>
      <c r="BS294" s="380"/>
      <c r="BT294" s="380"/>
    </row>
    <row r="295" spans="1:72" ht="22.5" customHeight="1" x14ac:dyDescent="0.4">
      <c r="A295" s="399"/>
      <c r="B295" s="376">
        <v>287</v>
      </c>
      <c r="C295" s="310">
        <v>44208</v>
      </c>
      <c r="D295" s="229" t="str">
        <f>IFERROR(VLOOKUP(C295,'बँक जमा खर्च पासबुक'!$C$9:$R$111,2,0),"")</f>
        <v/>
      </c>
      <c r="E295" s="229" t="str">
        <f>IFERROR(VLOOKUP(C295,'बँक जमा खर्च पासबुक'!$C$9:$R$111,3,0),"")</f>
        <v/>
      </c>
      <c r="F295" s="229" t="str">
        <f>IFERROR(VLOOKUP(C295,'बँक जमा खर्च पासबुक'!$C$9:$R$111,4,0),"")</f>
        <v/>
      </c>
      <c r="G295" s="229" t="str">
        <f>IFERROR(VLOOKUP(C295,'बँक जमा खर्च पासबुक'!$C$9:$R$111,5,0),"")</f>
        <v/>
      </c>
      <c r="H295" s="229" t="str">
        <f>IFERROR(VLOOKUP(C295,'बँक जमा खर्च पासबुक'!$C$9:$R$111,6,0),"")</f>
        <v/>
      </c>
      <c r="I295" s="229" t="str">
        <f>IFERROR(VLOOKUP(C295,'बँक जमा खर्च पासबुक'!$C$9:$R$111,7,0),"")</f>
        <v/>
      </c>
      <c r="J295" s="233">
        <f>SUMIF('बँक जमा खर्च पासबुक'!$C$9:$C$111,'बँक खर्च व्हाउचर पावती'!C295,'बँक जमा खर्च पासबुक'!$J$9:$J$111)</f>
        <v>0</v>
      </c>
      <c r="K295" s="233">
        <f>SUMIF('बँक जमा खर्च पासबुक'!$C$9:$C$111,'बँक खर्च व्हाउचर पावती'!C295,'बँक जमा खर्च पासबुक'!$K$9:$K$111)</f>
        <v>0</v>
      </c>
      <c r="L295" s="233">
        <f ca="1">SUMIF('बँक जमा खर्च पासबुक'!$C$9:$C$111,'बँक खर्च व्हाउचर पावती'!C295,'बँक जमा खर्च पासबुक'!$L$9:$L$110)</f>
        <v>0</v>
      </c>
      <c r="M295" s="228">
        <f>SUMIF('बँक जमा खर्च पासबुक'!$C$9:$C$111,'बँक खर्च व्हाउचर पावती'!C295,'बँक जमा खर्च पासबुक'!$M$9:$M$111)</f>
        <v>0</v>
      </c>
      <c r="N295" s="233">
        <f t="shared" ca="1" si="188"/>
        <v>3000</v>
      </c>
      <c r="O295" s="228">
        <f t="shared" si="189"/>
        <v>3000</v>
      </c>
      <c r="P295" s="228">
        <f t="shared" ca="1" si="187"/>
        <v>6000</v>
      </c>
      <c r="Q295" s="399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0"/>
      <c r="BJ295" s="380"/>
      <c r="BK295" s="380"/>
      <c r="BL295" s="380"/>
      <c r="BM295" s="380"/>
      <c r="BN295" s="380"/>
      <c r="BO295" s="380"/>
      <c r="BP295" s="380"/>
      <c r="BQ295" s="380"/>
      <c r="BR295" s="380"/>
      <c r="BS295" s="380"/>
      <c r="BT295" s="380"/>
    </row>
    <row r="296" spans="1:72" ht="22.5" customHeight="1" x14ac:dyDescent="0.4">
      <c r="A296" s="399"/>
      <c r="B296" s="376">
        <v>288</v>
      </c>
      <c r="C296" s="310">
        <v>44209</v>
      </c>
      <c r="D296" s="229" t="str">
        <f>IFERROR(VLOOKUP(C296,'बँक जमा खर्च पासबुक'!$C$9:$R$111,2,0),"")</f>
        <v/>
      </c>
      <c r="E296" s="229" t="str">
        <f>IFERROR(VLOOKUP(C296,'बँक जमा खर्च पासबुक'!$C$9:$R$111,3,0),"")</f>
        <v/>
      </c>
      <c r="F296" s="229" t="str">
        <f>IFERROR(VLOOKUP(C296,'बँक जमा खर्च पासबुक'!$C$9:$R$111,4,0),"")</f>
        <v/>
      </c>
      <c r="G296" s="229" t="str">
        <f>IFERROR(VLOOKUP(C296,'बँक जमा खर्च पासबुक'!$C$9:$R$111,5,0),"")</f>
        <v/>
      </c>
      <c r="H296" s="229" t="str">
        <f>IFERROR(VLOOKUP(C296,'बँक जमा खर्च पासबुक'!$C$9:$R$111,6,0),"")</f>
        <v/>
      </c>
      <c r="I296" s="229" t="str">
        <f>IFERROR(VLOOKUP(C296,'बँक जमा खर्च पासबुक'!$C$9:$R$111,7,0),"")</f>
        <v/>
      </c>
      <c r="J296" s="233">
        <f>SUMIF('बँक जमा खर्च पासबुक'!$C$9:$C$111,'बँक खर्च व्हाउचर पावती'!C296,'बँक जमा खर्च पासबुक'!$J$9:$J$111)</f>
        <v>0</v>
      </c>
      <c r="K296" s="233">
        <f>SUMIF('बँक जमा खर्च पासबुक'!$C$9:$C$111,'बँक खर्च व्हाउचर पावती'!C296,'बँक जमा खर्च पासबुक'!$K$9:$K$111)</f>
        <v>0</v>
      </c>
      <c r="L296" s="233">
        <f ca="1">SUMIF('बँक जमा खर्च पासबुक'!$C$9:$C$111,'बँक खर्च व्हाउचर पावती'!C296,'बँक जमा खर्च पासबुक'!$L$9:$L$110)</f>
        <v>0</v>
      </c>
      <c r="M296" s="228">
        <f>SUMIF('बँक जमा खर्च पासबुक'!$C$9:$C$111,'बँक खर्च व्हाउचर पावती'!C296,'बँक जमा खर्च पासबुक'!$M$9:$M$111)</f>
        <v>0</v>
      </c>
      <c r="N296" s="233">
        <f t="shared" ca="1" si="188"/>
        <v>3000</v>
      </c>
      <c r="O296" s="228">
        <f t="shared" si="189"/>
        <v>3000</v>
      </c>
      <c r="P296" s="228">
        <f t="shared" ca="1" si="187"/>
        <v>6000</v>
      </c>
      <c r="Q296" s="399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  <c r="AZ296" s="380"/>
      <c r="BA296" s="380"/>
      <c r="BB296" s="380"/>
      <c r="BC296" s="380"/>
      <c r="BD296" s="380"/>
      <c r="BE296" s="380"/>
      <c r="BF296" s="380"/>
      <c r="BG296" s="380"/>
      <c r="BH296" s="380"/>
      <c r="BI296" s="380"/>
      <c r="BJ296" s="380"/>
      <c r="BK296" s="380"/>
      <c r="BL296" s="380"/>
      <c r="BM296" s="380"/>
      <c r="BN296" s="380"/>
      <c r="BO296" s="380"/>
      <c r="BP296" s="380"/>
      <c r="BQ296" s="380"/>
      <c r="BR296" s="380"/>
      <c r="BS296" s="380"/>
      <c r="BT296" s="380"/>
    </row>
    <row r="297" spans="1:72" ht="22.5" customHeight="1" x14ac:dyDescent="0.4">
      <c r="A297" s="399"/>
      <c r="B297" s="376">
        <v>289</v>
      </c>
      <c r="C297" s="310">
        <v>44210</v>
      </c>
      <c r="D297" s="229" t="str">
        <f>IFERROR(VLOOKUP(C297,'बँक जमा खर्च पासबुक'!$C$9:$R$111,2,0),"")</f>
        <v/>
      </c>
      <c r="E297" s="229" t="str">
        <f>IFERROR(VLOOKUP(C297,'बँक जमा खर्च पासबुक'!$C$9:$R$111,3,0),"")</f>
        <v/>
      </c>
      <c r="F297" s="229" t="str">
        <f>IFERROR(VLOOKUP(C297,'बँक जमा खर्च पासबुक'!$C$9:$R$111,4,0),"")</f>
        <v/>
      </c>
      <c r="G297" s="229" t="str">
        <f>IFERROR(VLOOKUP(C297,'बँक जमा खर्च पासबुक'!$C$9:$R$111,5,0),"")</f>
        <v/>
      </c>
      <c r="H297" s="229" t="str">
        <f>IFERROR(VLOOKUP(C297,'बँक जमा खर्च पासबुक'!$C$9:$R$111,6,0),"")</f>
        <v/>
      </c>
      <c r="I297" s="229" t="str">
        <f>IFERROR(VLOOKUP(C297,'बँक जमा खर्च पासबुक'!$C$9:$R$111,7,0),"")</f>
        <v/>
      </c>
      <c r="J297" s="233">
        <f>SUMIF('बँक जमा खर्च पासबुक'!$C$9:$C$111,'बँक खर्च व्हाउचर पावती'!C297,'बँक जमा खर्च पासबुक'!$J$9:$J$111)</f>
        <v>0</v>
      </c>
      <c r="K297" s="233">
        <f>SUMIF('बँक जमा खर्च पासबुक'!$C$9:$C$111,'बँक खर्च व्हाउचर पावती'!C297,'बँक जमा खर्च पासबुक'!$K$9:$K$111)</f>
        <v>0</v>
      </c>
      <c r="L297" s="233">
        <f ca="1">SUMIF('बँक जमा खर्च पासबुक'!$C$9:$C$111,'बँक खर्च व्हाउचर पावती'!C297,'बँक जमा खर्च पासबुक'!$L$9:$L$110)</f>
        <v>0</v>
      </c>
      <c r="M297" s="228">
        <f>SUMIF('बँक जमा खर्च पासबुक'!$C$9:$C$111,'बँक खर्च व्हाउचर पावती'!C297,'बँक जमा खर्च पासबुक'!$M$9:$M$111)</f>
        <v>0</v>
      </c>
      <c r="N297" s="233">
        <f t="shared" ca="1" si="188"/>
        <v>3000</v>
      </c>
      <c r="O297" s="228">
        <f t="shared" si="189"/>
        <v>3000</v>
      </c>
      <c r="P297" s="228">
        <f t="shared" ca="1" si="187"/>
        <v>6000</v>
      </c>
      <c r="Q297" s="399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  <c r="AZ297" s="380"/>
      <c r="BA297" s="380"/>
      <c r="BB297" s="380"/>
      <c r="BC297" s="380"/>
      <c r="BD297" s="380"/>
      <c r="BE297" s="380"/>
      <c r="BF297" s="380"/>
      <c r="BG297" s="380"/>
      <c r="BH297" s="380"/>
      <c r="BI297" s="380"/>
      <c r="BJ297" s="380"/>
      <c r="BK297" s="380"/>
      <c r="BL297" s="380"/>
      <c r="BM297" s="380"/>
      <c r="BN297" s="380"/>
      <c r="BO297" s="380"/>
      <c r="BP297" s="380"/>
      <c r="BQ297" s="380"/>
      <c r="BR297" s="380"/>
      <c r="BS297" s="380"/>
      <c r="BT297" s="380"/>
    </row>
    <row r="298" spans="1:72" ht="22.5" customHeight="1" x14ac:dyDescent="0.4">
      <c r="A298" s="399"/>
      <c r="B298" s="376">
        <v>290</v>
      </c>
      <c r="C298" s="310">
        <v>44211</v>
      </c>
      <c r="D298" s="229" t="str">
        <f>IFERROR(VLOOKUP(C298,'बँक जमा खर्च पासबुक'!$C$9:$R$111,2,0),"")</f>
        <v/>
      </c>
      <c r="E298" s="229" t="str">
        <f>IFERROR(VLOOKUP(C298,'बँक जमा खर्च पासबुक'!$C$9:$R$111,3,0),"")</f>
        <v/>
      </c>
      <c r="F298" s="229" t="str">
        <f>IFERROR(VLOOKUP(C298,'बँक जमा खर्च पासबुक'!$C$9:$R$111,4,0),"")</f>
        <v/>
      </c>
      <c r="G298" s="229" t="str">
        <f>IFERROR(VLOOKUP(C298,'बँक जमा खर्च पासबुक'!$C$9:$R$111,5,0),"")</f>
        <v/>
      </c>
      <c r="H298" s="229" t="str">
        <f>IFERROR(VLOOKUP(C298,'बँक जमा खर्च पासबुक'!$C$9:$R$111,6,0),"")</f>
        <v/>
      </c>
      <c r="I298" s="229" t="str">
        <f>IFERROR(VLOOKUP(C298,'बँक जमा खर्च पासबुक'!$C$9:$R$111,7,0),"")</f>
        <v/>
      </c>
      <c r="J298" s="233">
        <f>SUMIF('बँक जमा खर्च पासबुक'!$C$9:$C$111,'बँक खर्च व्हाउचर पावती'!C298,'बँक जमा खर्च पासबुक'!$J$9:$J$111)</f>
        <v>0</v>
      </c>
      <c r="K298" s="233">
        <f>SUMIF('बँक जमा खर्च पासबुक'!$C$9:$C$111,'बँक खर्च व्हाउचर पावती'!C298,'बँक जमा खर्च पासबुक'!$K$9:$K$111)</f>
        <v>0</v>
      </c>
      <c r="L298" s="233">
        <f ca="1">SUMIF('बँक जमा खर्च पासबुक'!$C$9:$C$111,'बँक खर्च व्हाउचर पावती'!C298,'बँक जमा खर्च पासबुक'!$L$9:$L$110)</f>
        <v>0</v>
      </c>
      <c r="M298" s="228">
        <f>SUMIF('बँक जमा खर्च पासबुक'!$C$9:$C$111,'बँक खर्च व्हाउचर पावती'!C298,'बँक जमा खर्च पासबुक'!$M$9:$M$111)</f>
        <v>0</v>
      </c>
      <c r="N298" s="233">
        <f t="shared" ca="1" si="188"/>
        <v>3000</v>
      </c>
      <c r="O298" s="228">
        <f t="shared" si="189"/>
        <v>3000</v>
      </c>
      <c r="P298" s="228">
        <f t="shared" ca="1" si="187"/>
        <v>6000</v>
      </c>
      <c r="Q298" s="399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  <c r="AZ298" s="380"/>
      <c r="BA298" s="380"/>
      <c r="BB298" s="380"/>
      <c r="BC298" s="380"/>
      <c r="BD298" s="380"/>
      <c r="BE298" s="380"/>
      <c r="BF298" s="380"/>
      <c r="BG298" s="380"/>
      <c r="BH298" s="380"/>
      <c r="BI298" s="380"/>
      <c r="BJ298" s="380"/>
      <c r="BK298" s="380"/>
      <c r="BL298" s="380"/>
      <c r="BM298" s="380"/>
      <c r="BN298" s="380"/>
      <c r="BO298" s="380"/>
      <c r="BP298" s="380"/>
      <c r="BQ298" s="380"/>
      <c r="BR298" s="380"/>
      <c r="BS298" s="380"/>
      <c r="BT298" s="380"/>
    </row>
    <row r="299" spans="1:72" ht="22.5" customHeight="1" x14ac:dyDescent="0.4">
      <c r="A299" s="399"/>
      <c r="B299" s="376">
        <v>291</v>
      </c>
      <c r="C299" s="310">
        <v>44212</v>
      </c>
      <c r="D299" s="229" t="str">
        <f>IFERROR(VLOOKUP(C299,'बँक जमा खर्च पासबुक'!$C$9:$R$111,2,0),"")</f>
        <v/>
      </c>
      <c r="E299" s="229" t="str">
        <f>IFERROR(VLOOKUP(C299,'बँक जमा खर्च पासबुक'!$C$9:$R$111,3,0),"")</f>
        <v/>
      </c>
      <c r="F299" s="229" t="str">
        <f>IFERROR(VLOOKUP(C299,'बँक जमा खर्च पासबुक'!$C$9:$R$111,4,0),"")</f>
        <v/>
      </c>
      <c r="G299" s="229" t="str">
        <f>IFERROR(VLOOKUP(C299,'बँक जमा खर्च पासबुक'!$C$9:$R$111,5,0),"")</f>
        <v/>
      </c>
      <c r="H299" s="229" t="str">
        <f>IFERROR(VLOOKUP(C299,'बँक जमा खर्च पासबुक'!$C$9:$R$111,6,0),"")</f>
        <v/>
      </c>
      <c r="I299" s="229" t="str">
        <f>IFERROR(VLOOKUP(C299,'बँक जमा खर्च पासबुक'!$C$9:$R$111,7,0),"")</f>
        <v/>
      </c>
      <c r="J299" s="233">
        <f>SUMIF('बँक जमा खर्च पासबुक'!$C$9:$C$111,'बँक खर्च व्हाउचर पावती'!C299,'बँक जमा खर्च पासबुक'!$J$9:$J$111)</f>
        <v>0</v>
      </c>
      <c r="K299" s="233">
        <f>SUMIF('बँक जमा खर्च पासबुक'!$C$9:$C$111,'बँक खर्च व्हाउचर पावती'!C299,'बँक जमा खर्च पासबुक'!$K$9:$K$111)</f>
        <v>0</v>
      </c>
      <c r="L299" s="233">
        <f ca="1">SUMIF('बँक जमा खर्च पासबुक'!$C$9:$C$111,'बँक खर्च व्हाउचर पावती'!C299,'बँक जमा खर्च पासबुक'!$L$9:$L$110)</f>
        <v>0</v>
      </c>
      <c r="M299" s="228">
        <f>SUMIF('बँक जमा खर्च पासबुक'!$C$9:$C$111,'बँक खर्च व्हाउचर पावती'!C299,'बँक जमा खर्च पासबुक'!$M$9:$M$111)</f>
        <v>0</v>
      </c>
      <c r="N299" s="233">
        <f t="shared" ca="1" si="188"/>
        <v>3000</v>
      </c>
      <c r="O299" s="228">
        <f t="shared" si="189"/>
        <v>3000</v>
      </c>
      <c r="P299" s="228">
        <f t="shared" ca="1" si="187"/>
        <v>6000</v>
      </c>
      <c r="Q299" s="399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0"/>
      <c r="BJ299" s="380"/>
      <c r="BK299" s="380"/>
      <c r="BL299" s="380"/>
      <c r="BM299" s="380"/>
      <c r="BN299" s="380"/>
      <c r="BO299" s="380"/>
      <c r="BP299" s="380"/>
      <c r="BQ299" s="380"/>
      <c r="BR299" s="380"/>
      <c r="BS299" s="380"/>
      <c r="BT299" s="380"/>
    </row>
    <row r="300" spans="1:72" ht="22.5" customHeight="1" x14ac:dyDescent="0.4">
      <c r="A300" s="399"/>
      <c r="B300" s="376">
        <v>292</v>
      </c>
      <c r="C300" s="310">
        <v>44213</v>
      </c>
      <c r="D300" s="229" t="str">
        <f>IFERROR(VLOOKUP(C300,'बँक जमा खर्च पासबुक'!$C$9:$R$111,2,0),"")</f>
        <v/>
      </c>
      <c r="E300" s="229" t="str">
        <f>IFERROR(VLOOKUP(C300,'बँक जमा खर्च पासबुक'!$C$9:$R$111,3,0),"")</f>
        <v/>
      </c>
      <c r="F300" s="229" t="str">
        <f>IFERROR(VLOOKUP(C300,'बँक जमा खर्च पासबुक'!$C$9:$R$111,4,0),"")</f>
        <v/>
      </c>
      <c r="G300" s="229" t="str">
        <f>IFERROR(VLOOKUP(C300,'बँक जमा खर्च पासबुक'!$C$9:$R$111,5,0),"")</f>
        <v/>
      </c>
      <c r="H300" s="229" t="str">
        <f>IFERROR(VLOOKUP(C300,'बँक जमा खर्च पासबुक'!$C$9:$R$111,6,0),"")</f>
        <v/>
      </c>
      <c r="I300" s="229" t="str">
        <f>IFERROR(VLOOKUP(C300,'बँक जमा खर्च पासबुक'!$C$9:$R$111,7,0),"")</f>
        <v/>
      </c>
      <c r="J300" s="233">
        <f>SUMIF('बँक जमा खर्च पासबुक'!$C$9:$C$111,'बँक खर्च व्हाउचर पावती'!C300,'बँक जमा खर्च पासबुक'!$J$9:$J$111)</f>
        <v>0</v>
      </c>
      <c r="K300" s="233">
        <f>SUMIF('बँक जमा खर्च पासबुक'!$C$9:$C$111,'बँक खर्च व्हाउचर पावती'!C300,'बँक जमा खर्च पासबुक'!$K$9:$K$111)</f>
        <v>0</v>
      </c>
      <c r="L300" s="233">
        <f ca="1">SUMIF('बँक जमा खर्च पासबुक'!$C$9:$C$111,'बँक खर्च व्हाउचर पावती'!C300,'बँक जमा खर्च पासबुक'!$L$9:$L$110)</f>
        <v>0</v>
      </c>
      <c r="M300" s="228">
        <f>SUMIF('बँक जमा खर्च पासबुक'!$C$9:$C$111,'बँक खर्च व्हाउचर पावती'!C300,'बँक जमा खर्च पासबुक'!$M$9:$M$111)</f>
        <v>0</v>
      </c>
      <c r="N300" s="233">
        <f t="shared" ca="1" si="188"/>
        <v>3000</v>
      </c>
      <c r="O300" s="228">
        <f t="shared" si="189"/>
        <v>3000</v>
      </c>
      <c r="P300" s="228">
        <f t="shared" ca="1" si="187"/>
        <v>6000</v>
      </c>
      <c r="Q300" s="399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  <c r="AZ300" s="380"/>
      <c r="BA300" s="380"/>
      <c r="BB300" s="380"/>
      <c r="BC300" s="380"/>
      <c r="BD300" s="380"/>
      <c r="BE300" s="380"/>
      <c r="BF300" s="380"/>
      <c r="BG300" s="380"/>
      <c r="BH300" s="380"/>
      <c r="BI300" s="380"/>
      <c r="BJ300" s="380"/>
      <c r="BK300" s="380"/>
      <c r="BL300" s="380"/>
      <c r="BM300" s="380"/>
      <c r="BN300" s="380"/>
      <c r="BO300" s="380"/>
      <c r="BP300" s="380"/>
      <c r="BQ300" s="380"/>
      <c r="BR300" s="380"/>
      <c r="BS300" s="380"/>
      <c r="BT300" s="380"/>
    </row>
    <row r="301" spans="1:72" ht="22.5" customHeight="1" x14ac:dyDescent="0.4">
      <c r="A301" s="399"/>
      <c r="B301" s="376">
        <v>293</v>
      </c>
      <c r="C301" s="310">
        <v>44214</v>
      </c>
      <c r="D301" s="229" t="str">
        <f>IFERROR(VLOOKUP(C301,'बँक जमा खर्च पासबुक'!$C$9:$R$111,2,0),"")</f>
        <v/>
      </c>
      <c r="E301" s="229" t="str">
        <f>IFERROR(VLOOKUP(C301,'बँक जमा खर्च पासबुक'!$C$9:$R$111,3,0),"")</f>
        <v/>
      </c>
      <c r="F301" s="229" t="str">
        <f>IFERROR(VLOOKUP(C301,'बँक जमा खर्च पासबुक'!$C$9:$R$111,4,0),"")</f>
        <v/>
      </c>
      <c r="G301" s="229" t="str">
        <f>IFERROR(VLOOKUP(C301,'बँक जमा खर्च पासबुक'!$C$9:$R$111,5,0),"")</f>
        <v/>
      </c>
      <c r="H301" s="229" t="str">
        <f>IFERROR(VLOOKUP(C301,'बँक जमा खर्च पासबुक'!$C$9:$R$111,6,0),"")</f>
        <v/>
      </c>
      <c r="I301" s="229" t="str">
        <f>IFERROR(VLOOKUP(C301,'बँक जमा खर्च पासबुक'!$C$9:$R$111,7,0),"")</f>
        <v/>
      </c>
      <c r="J301" s="233">
        <f>SUMIF('बँक जमा खर्च पासबुक'!$C$9:$C$111,'बँक खर्च व्हाउचर पावती'!C301,'बँक जमा खर्च पासबुक'!$J$9:$J$111)</f>
        <v>0</v>
      </c>
      <c r="K301" s="233">
        <f>SUMIF('बँक जमा खर्च पासबुक'!$C$9:$C$111,'बँक खर्च व्हाउचर पावती'!C301,'बँक जमा खर्च पासबुक'!$K$9:$K$111)</f>
        <v>0</v>
      </c>
      <c r="L301" s="233">
        <f ca="1">SUMIF('बँक जमा खर्च पासबुक'!$C$9:$C$111,'बँक खर्च व्हाउचर पावती'!C301,'बँक जमा खर्च पासबुक'!$L$9:$L$110)</f>
        <v>0</v>
      </c>
      <c r="M301" s="228">
        <f>SUMIF('बँक जमा खर्च पासबुक'!$C$9:$C$111,'बँक खर्च व्हाउचर पावती'!C301,'बँक जमा खर्च पासबुक'!$M$9:$M$111)</f>
        <v>0</v>
      </c>
      <c r="N301" s="233">
        <f t="shared" ca="1" si="188"/>
        <v>3000</v>
      </c>
      <c r="O301" s="228">
        <f t="shared" si="189"/>
        <v>3000</v>
      </c>
      <c r="P301" s="228">
        <f t="shared" ca="1" si="187"/>
        <v>6000</v>
      </c>
      <c r="Q301" s="399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  <c r="AZ301" s="380"/>
      <c r="BA301" s="380"/>
      <c r="BB301" s="380"/>
      <c r="BC301" s="380"/>
      <c r="BD301" s="380"/>
      <c r="BE301" s="380"/>
      <c r="BF301" s="380"/>
      <c r="BG301" s="380"/>
      <c r="BH301" s="380"/>
      <c r="BI301" s="380"/>
      <c r="BJ301" s="380"/>
      <c r="BK301" s="380"/>
      <c r="BL301" s="380"/>
      <c r="BM301" s="380"/>
      <c r="BN301" s="380"/>
      <c r="BO301" s="380"/>
      <c r="BP301" s="380"/>
      <c r="BQ301" s="380"/>
      <c r="BR301" s="380"/>
      <c r="BS301" s="380"/>
      <c r="BT301" s="380"/>
    </row>
    <row r="302" spans="1:72" ht="22.5" customHeight="1" x14ac:dyDescent="0.4">
      <c r="A302" s="399"/>
      <c r="B302" s="376">
        <v>294</v>
      </c>
      <c r="C302" s="310">
        <v>44215</v>
      </c>
      <c r="D302" s="229" t="str">
        <f>IFERROR(VLOOKUP(C302,'बँक जमा खर्च पासबुक'!$C$9:$R$111,2,0),"")</f>
        <v/>
      </c>
      <c r="E302" s="229" t="str">
        <f>IFERROR(VLOOKUP(C302,'बँक जमा खर्च पासबुक'!$C$9:$R$111,3,0),"")</f>
        <v/>
      </c>
      <c r="F302" s="229" t="str">
        <f>IFERROR(VLOOKUP(C302,'बँक जमा खर्च पासबुक'!$C$9:$R$111,4,0),"")</f>
        <v/>
      </c>
      <c r="G302" s="229" t="str">
        <f>IFERROR(VLOOKUP(C302,'बँक जमा खर्च पासबुक'!$C$9:$R$111,5,0),"")</f>
        <v/>
      </c>
      <c r="H302" s="229" t="str">
        <f>IFERROR(VLOOKUP(C302,'बँक जमा खर्च पासबुक'!$C$9:$R$111,6,0),"")</f>
        <v/>
      </c>
      <c r="I302" s="229" t="str">
        <f>IFERROR(VLOOKUP(C302,'बँक जमा खर्च पासबुक'!$C$9:$R$111,7,0),"")</f>
        <v/>
      </c>
      <c r="J302" s="233">
        <f>SUMIF('बँक जमा खर्च पासबुक'!$C$9:$C$111,'बँक खर्च व्हाउचर पावती'!C302,'बँक जमा खर्च पासबुक'!$J$9:$J$111)</f>
        <v>0</v>
      </c>
      <c r="K302" s="233">
        <f>SUMIF('बँक जमा खर्च पासबुक'!$C$9:$C$111,'बँक खर्च व्हाउचर पावती'!C302,'बँक जमा खर्च पासबुक'!$K$9:$K$111)</f>
        <v>0</v>
      </c>
      <c r="L302" s="233">
        <f ca="1">SUMIF('बँक जमा खर्च पासबुक'!$C$9:$C$111,'बँक खर्च व्हाउचर पावती'!C302,'बँक जमा खर्च पासबुक'!$L$9:$L$110)</f>
        <v>0</v>
      </c>
      <c r="M302" s="228">
        <f>SUMIF('बँक जमा खर्च पासबुक'!$C$9:$C$111,'बँक खर्च व्हाउचर पावती'!C302,'बँक जमा खर्च पासबुक'!$M$9:$M$111)</f>
        <v>0</v>
      </c>
      <c r="N302" s="233">
        <f t="shared" ca="1" si="188"/>
        <v>3000</v>
      </c>
      <c r="O302" s="228">
        <f t="shared" si="189"/>
        <v>3000</v>
      </c>
      <c r="P302" s="228">
        <f t="shared" ca="1" si="187"/>
        <v>6000</v>
      </c>
      <c r="Q302" s="399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  <c r="AZ302" s="380"/>
      <c r="BA302" s="380"/>
      <c r="BB302" s="380"/>
      <c r="BC302" s="380"/>
      <c r="BD302" s="380"/>
      <c r="BE302" s="380"/>
      <c r="BF302" s="380"/>
      <c r="BG302" s="380"/>
      <c r="BH302" s="380"/>
      <c r="BI302" s="380"/>
      <c r="BJ302" s="380"/>
      <c r="BK302" s="380"/>
      <c r="BL302" s="380"/>
      <c r="BM302" s="380"/>
      <c r="BN302" s="380"/>
      <c r="BO302" s="380"/>
      <c r="BP302" s="380"/>
      <c r="BQ302" s="380"/>
      <c r="BR302" s="380"/>
      <c r="BS302" s="380"/>
      <c r="BT302" s="380"/>
    </row>
    <row r="303" spans="1:72" ht="22.5" customHeight="1" x14ac:dyDescent="0.4">
      <c r="A303" s="399"/>
      <c r="B303" s="376">
        <v>295</v>
      </c>
      <c r="C303" s="310">
        <v>44216</v>
      </c>
      <c r="D303" s="229" t="str">
        <f>IFERROR(VLOOKUP(C303,'बँक जमा खर्च पासबुक'!$C$9:$R$111,2,0),"")</f>
        <v/>
      </c>
      <c r="E303" s="229" t="str">
        <f>IFERROR(VLOOKUP(C303,'बँक जमा खर्च पासबुक'!$C$9:$R$111,3,0),"")</f>
        <v/>
      </c>
      <c r="F303" s="229" t="str">
        <f>IFERROR(VLOOKUP(C303,'बँक जमा खर्च पासबुक'!$C$9:$R$111,4,0),"")</f>
        <v/>
      </c>
      <c r="G303" s="229" t="str">
        <f>IFERROR(VLOOKUP(C303,'बँक जमा खर्च पासबुक'!$C$9:$R$111,5,0),"")</f>
        <v/>
      </c>
      <c r="H303" s="229" t="str">
        <f>IFERROR(VLOOKUP(C303,'बँक जमा खर्च पासबुक'!$C$9:$R$111,6,0),"")</f>
        <v/>
      </c>
      <c r="I303" s="229" t="str">
        <f>IFERROR(VLOOKUP(C303,'बँक जमा खर्च पासबुक'!$C$9:$R$111,7,0),"")</f>
        <v/>
      </c>
      <c r="J303" s="233">
        <f>SUMIF('बँक जमा खर्च पासबुक'!$C$9:$C$111,'बँक खर्च व्हाउचर पावती'!C303,'बँक जमा खर्च पासबुक'!$J$9:$J$111)</f>
        <v>0</v>
      </c>
      <c r="K303" s="233">
        <f>SUMIF('बँक जमा खर्च पासबुक'!$C$9:$C$111,'बँक खर्च व्हाउचर पावती'!C303,'बँक जमा खर्च पासबुक'!$K$9:$K$111)</f>
        <v>0</v>
      </c>
      <c r="L303" s="233">
        <f ca="1">SUMIF('बँक जमा खर्च पासबुक'!$C$9:$C$111,'बँक खर्च व्हाउचर पावती'!C303,'बँक जमा खर्च पासबुक'!$L$9:$L$110)</f>
        <v>0</v>
      </c>
      <c r="M303" s="228">
        <f>SUMIF('बँक जमा खर्च पासबुक'!$C$9:$C$111,'बँक खर्च व्हाउचर पावती'!C303,'बँक जमा खर्च पासबुक'!$M$9:$M$111)</f>
        <v>0</v>
      </c>
      <c r="N303" s="233">
        <f t="shared" ca="1" si="188"/>
        <v>3000</v>
      </c>
      <c r="O303" s="228">
        <f t="shared" si="189"/>
        <v>3000</v>
      </c>
      <c r="P303" s="228">
        <f t="shared" ca="1" si="187"/>
        <v>6000</v>
      </c>
      <c r="Q303" s="399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0"/>
      <c r="BJ303" s="380"/>
      <c r="BK303" s="380"/>
      <c r="BL303" s="380"/>
      <c r="BM303" s="380"/>
      <c r="BN303" s="380"/>
      <c r="BO303" s="380"/>
      <c r="BP303" s="380"/>
      <c r="BQ303" s="380"/>
      <c r="BR303" s="380"/>
      <c r="BS303" s="380"/>
      <c r="BT303" s="380"/>
    </row>
    <row r="304" spans="1:72" ht="22.5" customHeight="1" x14ac:dyDescent="0.4">
      <c r="A304" s="399"/>
      <c r="B304" s="376">
        <v>296</v>
      </c>
      <c r="C304" s="310">
        <v>44217</v>
      </c>
      <c r="D304" s="229" t="str">
        <f>IFERROR(VLOOKUP(C304,'बँक जमा खर्च पासबुक'!$C$9:$R$111,2,0),"")</f>
        <v/>
      </c>
      <c r="E304" s="229" t="str">
        <f>IFERROR(VLOOKUP(C304,'बँक जमा खर्च पासबुक'!$C$9:$R$111,3,0),"")</f>
        <v/>
      </c>
      <c r="F304" s="229" t="str">
        <f>IFERROR(VLOOKUP(C304,'बँक जमा खर्च पासबुक'!$C$9:$R$111,4,0),"")</f>
        <v/>
      </c>
      <c r="G304" s="229" t="str">
        <f>IFERROR(VLOOKUP(C304,'बँक जमा खर्च पासबुक'!$C$9:$R$111,5,0),"")</f>
        <v/>
      </c>
      <c r="H304" s="229" t="str">
        <f>IFERROR(VLOOKUP(C304,'बँक जमा खर्च पासबुक'!$C$9:$R$111,6,0),"")</f>
        <v/>
      </c>
      <c r="I304" s="229" t="str">
        <f>IFERROR(VLOOKUP(C304,'बँक जमा खर्च पासबुक'!$C$9:$R$111,7,0),"")</f>
        <v/>
      </c>
      <c r="J304" s="233">
        <f>SUMIF('बँक जमा खर्च पासबुक'!$C$9:$C$111,'बँक खर्च व्हाउचर पावती'!C304,'बँक जमा खर्च पासबुक'!$J$9:$J$111)</f>
        <v>0</v>
      </c>
      <c r="K304" s="233">
        <f>SUMIF('बँक जमा खर्च पासबुक'!$C$9:$C$111,'बँक खर्च व्हाउचर पावती'!C304,'बँक जमा खर्च पासबुक'!$K$9:$K$111)</f>
        <v>0</v>
      </c>
      <c r="L304" s="233">
        <f ca="1">SUMIF('बँक जमा खर्च पासबुक'!$C$9:$C$111,'बँक खर्च व्हाउचर पावती'!C304,'बँक जमा खर्च पासबुक'!$L$9:$L$110)</f>
        <v>0</v>
      </c>
      <c r="M304" s="228">
        <f>SUMIF('बँक जमा खर्च पासबुक'!$C$9:$C$111,'बँक खर्च व्हाउचर पावती'!C304,'बँक जमा खर्च पासबुक'!$M$9:$M$111)</f>
        <v>0</v>
      </c>
      <c r="N304" s="233">
        <f t="shared" ca="1" si="188"/>
        <v>3000</v>
      </c>
      <c r="O304" s="228">
        <f t="shared" si="189"/>
        <v>3000</v>
      </c>
      <c r="P304" s="228">
        <f t="shared" ca="1" si="187"/>
        <v>6000</v>
      </c>
      <c r="Q304" s="399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  <c r="AZ304" s="380"/>
      <c r="BA304" s="380"/>
      <c r="BB304" s="380"/>
      <c r="BC304" s="380"/>
      <c r="BD304" s="380"/>
      <c r="BE304" s="380"/>
      <c r="BF304" s="380"/>
      <c r="BG304" s="380"/>
      <c r="BH304" s="380"/>
      <c r="BI304" s="380"/>
      <c r="BJ304" s="380"/>
      <c r="BK304" s="380"/>
      <c r="BL304" s="380"/>
      <c r="BM304" s="380"/>
      <c r="BN304" s="380"/>
      <c r="BO304" s="380"/>
      <c r="BP304" s="380"/>
      <c r="BQ304" s="380"/>
      <c r="BR304" s="380"/>
      <c r="BS304" s="380"/>
      <c r="BT304" s="380"/>
    </row>
    <row r="305" spans="1:72" ht="22.5" customHeight="1" x14ac:dyDescent="0.4">
      <c r="A305" s="399"/>
      <c r="B305" s="376">
        <v>297</v>
      </c>
      <c r="C305" s="310">
        <v>44218</v>
      </c>
      <c r="D305" s="229" t="str">
        <f>IFERROR(VLOOKUP(C305,'बँक जमा खर्च पासबुक'!$C$9:$R$111,2,0),"")</f>
        <v/>
      </c>
      <c r="E305" s="229" t="str">
        <f>IFERROR(VLOOKUP(C305,'बँक जमा खर्च पासबुक'!$C$9:$R$111,3,0),"")</f>
        <v/>
      </c>
      <c r="F305" s="229" t="str">
        <f>IFERROR(VLOOKUP(C305,'बँक जमा खर्च पासबुक'!$C$9:$R$111,4,0),"")</f>
        <v/>
      </c>
      <c r="G305" s="229" t="str">
        <f>IFERROR(VLOOKUP(C305,'बँक जमा खर्च पासबुक'!$C$9:$R$111,5,0),"")</f>
        <v/>
      </c>
      <c r="H305" s="229" t="str">
        <f>IFERROR(VLOOKUP(C305,'बँक जमा खर्च पासबुक'!$C$9:$R$111,6,0),"")</f>
        <v/>
      </c>
      <c r="I305" s="229" t="str">
        <f>IFERROR(VLOOKUP(C305,'बँक जमा खर्च पासबुक'!$C$9:$R$111,7,0),"")</f>
        <v/>
      </c>
      <c r="J305" s="233">
        <f>SUMIF('बँक जमा खर्च पासबुक'!$C$9:$C$111,'बँक खर्च व्हाउचर पावती'!C305,'बँक जमा खर्च पासबुक'!$J$9:$J$111)</f>
        <v>0</v>
      </c>
      <c r="K305" s="233">
        <f>SUMIF('बँक जमा खर्च पासबुक'!$C$9:$C$111,'बँक खर्च व्हाउचर पावती'!C305,'बँक जमा खर्च पासबुक'!$K$9:$K$111)</f>
        <v>0</v>
      </c>
      <c r="L305" s="233">
        <f ca="1">SUMIF('बँक जमा खर्च पासबुक'!$C$9:$C$111,'बँक खर्च व्हाउचर पावती'!C305,'बँक जमा खर्च पासबुक'!$L$9:$L$110)</f>
        <v>0</v>
      </c>
      <c r="M305" s="228">
        <f>SUMIF('बँक जमा खर्च पासबुक'!$C$9:$C$111,'बँक खर्च व्हाउचर पावती'!C305,'बँक जमा खर्च पासबुक'!$M$9:$M$111)</f>
        <v>0</v>
      </c>
      <c r="N305" s="233">
        <f t="shared" ca="1" si="188"/>
        <v>3000</v>
      </c>
      <c r="O305" s="228">
        <f t="shared" si="189"/>
        <v>3000</v>
      </c>
      <c r="P305" s="228">
        <f t="shared" ca="1" si="187"/>
        <v>6000</v>
      </c>
      <c r="Q305" s="399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  <c r="AZ305" s="380"/>
      <c r="BA305" s="380"/>
      <c r="BB305" s="380"/>
      <c r="BC305" s="380"/>
      <c r="BD305" s="380"/>
      <c r="BE305" s="380"/>
      <c r="BF305" s="380"/>
      <c r="BG305" s="380"/>
      <c r="BH305" s="380"/>
      <c r="BI305" s="380"/>
      <c r="BJ305" s="380"/>
      <c r="BK305" s="380"/>
      <c r="BL305" s="380"/>
      <c r="BM305" s="380"/>
      <c r="BN305" s="380"/>
      <c r="BO305" s="380"/>
      <c r="BP305" s="380"/>
      <c r="BQ305" s="380"/>
      <c r="BR305" s="380"/>
      <c r="BS305" s="380"/>
      <c r="BT305" s="380"/>
    </row>
    <row r="306" spans="1:72" ht="22.5" customHeight="1" x14ac:dyDescent="0.4">
      <c r="A306" s="399"/>
      <c r="B306" s="376">
        <v>298</v>
      </c>
      <c r="C306" s="310">
        <v>44219</v>
      </c>
      <c r="D306" s="229" t="str">
        <f>IFERROR(VLOOKUP(C306,'बँक जमा खर्च पासबुक'!$C$9:$R$111,2,0),"")</f>
        <v/>
      </c>
      <c r="E306" s="229" t="str">
        <f>IFERROR(VLOOKUP(C306,'बँक जमा खर्च पासबुक'!$C$9:$R$111,3,0),"")</f>
        <v/>
      </c>
      <c r="F306" s="229" t="str">
        <f>IFERROR(VLOOKUP(C306,'बँक जमा खर्च पासबुक'!$C$9:$R$111,4,0),"")</f>
        <v/>
      </c>
      <c r="G306" s="229" t="str">
        <f>IFERROR(VLOOKUP(C306,'बँक जमा खर्च पासबुक'!$C$9:$R$111,5,0),"")</f>
        <v/>
      </c>
      <c r="H306" s="229" t="str">
        <f>IFERROR(VLOOKUP(C306,'बँक जमा खर्च पासबुक'!$C$9:$R$111,6,0),"")</f>
        <v/>
      </c>
      <c r="I306" s="229" t="str">
        <f>IFERROR(VLOOKUP(C306,'बँक जमा खर्च पासबुक'!$C$9:$R$111,7,0),"")</f>
        <v/>
      </c>
      <c r="J306" s="233">
        <f>SUMIF('बँक जमा खर्च पासबुक'!$C$9:$C$111,'बँक खर्च व्हाउचर पावती'!C306,'बँक जमा खर्च पासबुक'!$J$9:$J$111)</f>
        <v>0</v>
      </c>
      <c r="K306" s="233">
        <f>SUMIF('बँक जमा खर्च पासबुक'!$C$9:$C$111,'बँक खर्च व्हाउचर पावती'!C306,'बँक जमा खर्च पासबुक'!$K$9:$K$111)</f>
        <v>0</v>
      </c>
      <c r="L306" s="233">
        <f ca="1">SUMIF('बँक जमा खर्च पासबुक'!$C$9:$C$111,'बँक खर्च व्हाउचर पावती'!C306,'बँक जमा खर्च पासबुक'!$L$9:$L$110)</f>
        <v>0</v>
      </c>
      <c r="M306" s="228">
        <f>SUMIF('बँक जमा खर्च पासबुक'!$C$9:$C$111,'बँक खर्च व्हाउचर पावती'!C306,'बँक जमा खर्च पासबुक'!$M$9:$M$111)</f>
        <v>0</v>
      </c>
      <c r="N306" s="233">
        <f t="shared" ca="1" si="188"/>
        <v>3000</v>
      </c>
      <c r="O306" s="228">
        <f t="shared" si="189"/>
        <v>3000</v>
      </c>
      <c r="P306" s="228">
        <f t="shared" ca="1" si="187"/>
        <v>6000</v>
      </c>
      <c r="Q306" s="399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  <c r="AZ306" s="380"/>
      <c r="BA306" s="380"/>
      <c r="BB306" s="380"/>
      <c r="BC306" s="380"/>
      <c r="BD306" s="380"/>
      <c r="BE306" s="380"/>
      <c r="BF306" s="380"/>
      <c r="BG306" s="380"/>
      <c r="BH306" s="380"/>
      <c r="BI306" s="380"/>
      <c r="BJ306" s="380"/>
      <c r="BK306" s="380"/>
      <c r="BL306" s="380"/>
      <c r="BM306" s="380"/>
      <c r="BN306" s="380"/>
      <c r="BO306" s="380"/>
      <c r="BP306" s="380"/>
      <c r="BQ306" s="380"/>
      <c r="BR306" s="380"/>
      <c r="BS306" s="380"/>
      <c r="BT306" s="380"/>
    </row>
    <row r="307" spans="1:72" ht="22.5" customHeight="1" x14ac:dyDescent="0.4">
      <c r="A307" s="399"/>
      <c r="B307" s="376">
        <v>299</v>
      </c>
      <c r="C307" s="310">
        <v>44220</v>
      </c>
      <c r="D307" s="229" t="str">
        <f>IFERROR(VLOOKUP(C307,'बँक जमा खर्च पासबुक'!$C$9:$R$111,2,0),"")</f>
        <v/>
      </c>
      <c r="E307" s="229" t="str">
        <f>IFERROR(VLOOKUP(C307,'बँक जमा खर्च पासबुक'!$C$9:$R$111,3,0),"")</f>
        <v/>
      </c>
      <c r="F307" s="229" t="str">
        <f>IFERROR(VLOOKUP(C307,'बँक जमा खर्च पासबुक'!$C$9:$R$111,4,0),"")</f>
        <v/>
      </c>
      <c r="G307" s="229" t="str">
        <f>IFERROR(VLOOKUP(C307,'बँक जमा खर्च पासबुक'!$C$9:$R$111,5,0),"")</f>
        <v/>
      </c>
      <c r="H307" s="229" t="str">
        <f>IFERROR(VLOOKUP(C307,'बँक जमा खर्च पासबुक'!$C$9:$R$111,6,0),"")</f>
        <v/>
      </c>
      <c r="I307" s="229" t="str">
        <f>IFERROR(VLOOKUP(C307,'बँक जमा खर्च पासबुक'!$C$9:$R$111,7,0),"")</f>
        <v/>
      </c>
      <c r="J307" s="233">
        <f>SUMIF('बँक जमा खर्च पासबुक'!$C$9:$C$111,'बँक खर्च व्हाउचर पावती'!C307,'बँक जमा खर्च पासबुक'!$J$9:$J$111)</f>
        <v>0</v>
      </c>
      <c r="K307" s="233">
        <f>SUMIF('बँक जमा खर्च पासबुक'!$C$9:$C$111,'बँक खर्च व्हाउचर पावती'!C307,'बँक जमा खर्च पासबुक'!$K$9:$K$111)</f>
        <v>0</v>
      </c>
      <c r="L307" s="233">
        <f ca="1">SUMIF('बँक जमा खर्च पासबुक'!$C$9:$C$111,'बँक खर्च व्हाउचर पावती'!C307,'बँक जमा खर्च पासबुक'!$L$9:$L$110)</f>
        <v>0</v>
      </c>
      <c r="M307" s="228">
        <f>SUMIF('बँक जमा खर्च पासबुक'!$C$9:$C$111,'बँक खर्च व्हाउचर पावती'!C307,'बँक जमा खर्च पासबुक'!$M$9:$M$111)</f>
        <v>0</v>
      </c>
      <c r="N307" s="233">
        <f t="shared" ca="1" si="188"/>
        <v>3000</v>
      </c>
      <c r="O307" s="228">
        <f t="shared" si="189"/>
        <v>3000</v>
      </c>
      <c r="P307" s="228">
        <f t="shared" ca="1" si="187"/>
        <v>6000</v>
      </c>
      <c r="Q307" s="399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0"/>
      <c r="BJ307" s="380"/>
      <c r="BK307" s="380"/>
      <c r="BL307" s="380"/>
      <c r="BM307" s="380"/>
      <c r="BN307" s="380"/>
      <c r="BO307" s="380"/>
      <c r="BP307" s="380"/>
      <c r="BQ307" s="380"/>
      <c r="BR307" s="380"/>
      <c r="BS307" s="380"/>
      <c r="BT307" s="380"/>
    </row>
    <row r="308" spans="1:72" ht="22.5" customHeight="1" x14ac:dyDescent="0.4">
      <c r="A308" s="399"/>
      <c r="B308" s="376">
        <v>300</v>
      </c>
      <c r="C308" s="310">
        <v>44221</v>
      </c>
      <c r="D308" s="229" t="str">
        <f>IFERROR(VLOOKUP(C308,'बँक जमा खर्च पासबुक'!$C$9:$R$111,2,0),"")</f>
        <v/>
      </c>
      <c r="E308" s="229" t="str">
        <f>IFERROR(VLOOKUP(C308,'बँक जमा खर्च पासबुक'!$C$9:$R$111,3,0),"")</f>
        <v/>
      </c>
      <c r="F308" s="229" t="str">
        <f>IFERROR(VLOOKUP(C308,'बँक जमा खर्च पासबुक'!$C$9:$R$111,4,0),"")</f>
        <v/>
      </c>
      <c r="G308" s="229" t="str">
        <f>IFERROR(VLOOKUP(C308,'बँक जमा खर्च पासबुक'!$C$9:$R$111,5,0),"")</f>
        <v/>
      </c>
      <c r="H308" s="229" t="str">
        <f>IFERROR(VLOOKUP(C308,'बँक जमा खर्च पासबुक'!$C$9:$R$111,6,0),"")</f>
        <v/>
      </c>
      <c r="I308" s="229" t="str">
        <f>IFERROR(VLOOKUP(C308,'बँक जमा खर्च पासबुक'!$C$9:$R$111,7,0),"")</f>
        <v/>
      </c>
      <c r="J308" s="233">
        <f>SUMIF('बँक जमा खर्च पासबुक'!$C$9:$C$111,'बँक खर्च व्हाउचर पावती'!C308,'बँक जमा खर्च पासबुक'!$J$9:$J$111)</f>
        <v>0</v>
      </c>
      <c r="K308" s="233">
        <f>SUMIF('बँक जमा खर्च पासबुक'!$C$9:$C$111,'बँक खर्च व्हाउचर पावती'!C308,'बँक जमा खर्च पासबुक'!$K$9:$K$111)</f>
        <v>0</v>
      </c>
      <c r="L308" s="233">
        <f ca="1">SUMIF('बँक जमा खर्च पासबुक'!$C$9:$C$111,'बँक खर्च व्हाउचर पावती'!C308,'बँक जमा खर्च पासबुक'!$L$9:$L$110)</f>
        <v>0</v>
      </c>
      <c r="M308" s="228">
        <f>SUMIF('बँक जमा खर्च पासबुक'!$C$9:$C$111,'बँक खर्च व्हाउचर पावती'!C308,'बँक जमा खर्च पासबुक'!$M$9:$M$111)</f>
        <v>0</v>
      </c>
      <c r="N308" s="233">
        <f t="shared" ca="1" si="188"/>
        <v>3000</v>
      </c>
      <c r="O308" s="228">
        <f t="shared" si="189"/>
        <v>3000</v>
      </c>
      <c r="P308" s="228">
        <f t="shared" ca="1" si="187"/>
        <v>6000</v>
      </c>
      <c r="Q308" s="399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  <c r="AZ308" s="380"/>
      <c r="BA308" s="380"/>
      <c r="BB308" s="380"/>
      <c r="BC308" s="380"/>
      <c r="BD308" s="380"/>
      <c r="BE308" s="380"/>
      <c r="BF308" s="380"/>
      <c r="BG308" s="380"/>
      <c r="BH308" s="380"/>
      <c r="BI308" s="380"/>
      <c r="BJ308" s="380"/>
      <c r="BK308" s="380"/>
      <c r="BL308" s="380"/>
      <c r="BM308" s="380"/>
      <c r="BN308" s="380"/>
      <c r="BO308" s="380"/>
      <c r="BP308" s="380"/>
      <c r="BQ308" s="380"/>
      <c r="BR308" s="380"/>
      <c r="BS308" s="380"/>
      <c r="BT308" s="380"/>
    </row>
    <row r="309" spans="1:72" ht="22.5" customHeight="1" x14ac:dyDescent="0.4">
      <c r="A309" s="399"/>
      <c r="B309" s="376">
        <v>301</v>
      </c>
      <c r="C309" s="310">
        <v>44222</v>
      </c>
      <c r="D309" s="229" t="str">
        <f>IFERROR(VLOOKUP(C309,'बँक जमा खर्च पासबुक'!$C$9:$R$111,2,0),"")</f>
        <v/>
      </c>
      <c r="E309" s="229" t="str">
        <f>IFERROR(VLOOKUP(C309,'बँक जमा खर्च पासबुक'!$C$9:$R$111,3,0),"")</f>
        <v/>
      </c>
      <c r="F309" s="229" t="str">
        <f>IFERROR(VLOOKUP(C309,'बँक जमा खर्च पासबुक'!$C$9:$R$111,4,0),"")</f>
        <v/>
      </c>
      <c r="G309" s="229" t="str">
        <f>IFERROR(VLOOKUP(C309,'बँक जमा खर्च पासबुक'!$C$9:$R$111,5,0),"")</f>
        <v/>
      </c>
      <c r="H309" s="229" t="str">
        <f>IFERROR(VLOOKUP(C309,'बँक जमा खर्च पासबुक'!$C$9:$R$111,6,0),"")</f>
        <v/>
      </c>
      <c r="I309" s="229" t="str">
        <f>IFERROR(VLOOKUP(C309,'बँक जमा खर्च पासबुक'!$C$9:$R$111,7,0),"")</f>
        <v/>
      </c>
      <c r="J309" s="233">
        <f>SUMIF('बँक जमा खर्च पासबुक'!$C$9:$C$111,'बँक खर्च व्हाउचर पावती'!C309,'बँक जमा खर्च पासबुक'!$J$9:$J$111)</f>
        <v>0</v>
      </c>
      <c r="K309" s="233">
        <f>SUMIF('बँक जमा खर्च पासबुक'!$C$9:$C$111,'बँक खर्च व्हाउचर पावती'!C309,'बँक जमा खर्च पासबुक'!$K$9:$K$111)</f>
        <v>0</v>
      </c>
      <c r="L309" s="233">
        <f ca="1">SUMIF('बँक जमा खर्च पासबुक'!$C$9:$C$111,'बँक खर्च व्हाउचर पावती'!C309,'बँक जमा खर्च पासबुक'!$L$9:$L$110)</f>
        <v>0</v>
      </c>
      <c r="M309" s="228">
        <f>SUMIF('बँक जमा खर्च पासबुक'!$C$9:$C$111,'बँक खर्च व्हाउचर पावती'!C309,'बँक जमा खर्च पासबुक'!$M$9:$M$111)</f>
        <v>0</v>
      </c>
      <c r="N309" s="233">
        <f t="shared" ca="1" si="188"/>
        <v>3000</v>
      </c>
      <c r="O309" s="228">
        <f t="shared" si="189"/>
        <v>3000</v>
      </c>
      <c r="P309" s="228">
        <f t="shared" ca="1" si="187"/>
        <v>6000</v>
      </c>
      <c r="Q309" s="399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  <c r="AZ309" s="380"/>
      <c r="BA309" s="380"/>
      <c r="BB309" s="380"/>
      <c r="BC309" s="380"/>
      <c r="BD309" s="380"/>
      <c r="BE309" s="380"/>
      <c r="BF309" s="380"/>
      <c r="BG309" s="380"/>
      <c r="BH309" s="380"/>
      <c r="BI309" s="380"/>
      <c r="BJ309" s="380"/>
      <c r="BK309" s="380"/>
      <c r="BL309" s="380"/>
      <c r="BM309" s="380"/>
      <c r="BN309" s="380"/>
      <c r="BO309" s="380"/>
      <c r="BP309" s="380"/>
      <c r="BQ309" s="380"/>
      <c r="BR309" s="380"/>
      <c r="BS309" s="380"/>
      <c r="BT309" s="380"/>
    </row>
    <row r="310" spans="1:72" ht="22.5" customHeight="1" x14ac:dyDescent="0.4">
      <c r="A310" s="399"/>
      <c r="B310" s="376">
        <v>302</v>
      </c>
      <c r="C310" s="310">
        <v>44223</v>
      </c>
      <c r="D310" s="229" t="str">
        <f>IFERROR(VLOOKUP(C310,'बँक जमा खर्च पासबुक'!$C$9:$R$111,2,0),"")</f>
        <v/>
      </c>
      <c r="E310" s="229" t="str">
        <f>IFERROR(VLOOKUP(C310,'बँक जमा खर्च पासबुक'!$C$9:$R$111,3,0),"")</f>
        <v/>
      </c>
      <c r="F310" s="229" t="str">
        <f>IFERROR(VLOOKUP(C310,'बँक जमा खर्च पासबुक'!$C$9:$R$111,4,0),"")</f>
        <v/>
      </c>
      <c r="G310" s="229" t="str">
        <f>IFERROR(VLOOKUP(C310,'बँक जमा खर्च पासबुक'!$C$9:$R$111,5,0),"")</f>
        <v/>
      </c>
      <c r="H310" s="229" t="str">
        <f>IFERROR(VLOOKUP(C310,'बँक जमा खर्च पासबुक'!$C$9:$R$111,6,0),"")</f>
        <v/>
      </c>
      <c r="I310" s="229" t="str">
        <f>IFERROR(VLOOKUP(C310,'बँक जमा खर्च पासबुक'!$C$9:$R$111,7,0),"")</f>
        <v/>
      </c>
      <c r="J310" s="233">
        <f>SUMIF('बँक जमा खर्च पासबुक'!$C$9:$C$111,'बँक खर्च व्हाउचर पावती'!C310,'बँक जमा खर्च पासबुक'!$J$9:$J$111)</f>
        <v>0</v>
      </c>
      <c r="K310" s="233">
        <f>SUMIF('बँक जमा खर्च पासबुक'!$C$9:$C$111,'बँक खर्च व्हाउचर पावती'!C310,'बँक जमा खर्च पासबुक'!$K$9:$K$111)</f>
        <v>0</v>
      </c>
      <c r="L310" s="233">
        <f ca="1">SUMIF('बँक जमा खर्च पासबुक'!$C$9:$C$111,'बँक खर्च व्हाउचर पावती'!C310,'बँक जमा खर्च पासबुक'!$L$9:$L$110)</f>
        <v>0</v>
      </c>
      <c r="M310" s="228">
        <f>SUMIF('बँक जमा खर्च पासबुक'!$C$9:$C$111,'बँक खर्च व्हाउचर पावती'!C310,'बँक जमा खर्च पासबुक'!$M$9:$M$111)</f>
        <v>0</v>
      </c>
      <c r="N310" s="233">
        <f t="shared" ca="1" si="188"/>
        <v>3000</v>
      </c>
      <c r="O310" s="228">
        <f t="shared" si="189"/>
        <v>3000</v>
      </c>
      <c r="P310" s="228">
        <f t="shared" ca="1" si="187"/>
        <v>6000</v>
      </c>
      <c r="Q310" s="399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  <c r="AZ310" s="380"/>
      <c r="BA310" s="380"/>
      <c r="BB310" s="380"/>
      <c r="BC310" s="380"/>
      <c r="BD310" s="380"/>
      <c r="BE310" s="380"/>
      <c r="BF310" s="380"/>
      <c r="BG310" s="380"/>
      <c r="BH310" s="380"/>
      <c r="BI310" s="380"/>
      <c r="BJ310" s="380"/>
      <c r="BK310" s="380"/>
      <c r="BL310" s="380"/>
      <c r="BM310" s="380"/>
      <c r="BN310" s="380"/>
      <c r="BO310" s="380"/>
      <c r="BP310" s="380"/>
      <c r="BQ310" s="380"/>
      <c r="BR310" s="380"/>
      <c r="BS310" s="380"/>
      <c r="BT310" s="380"/>
    </row>
    <row r="311" spans="1:72" ht="22.5" customHeight="1" x14ac:dyDescent="0.4">
      <c r="A311" s="399"/>
      <c r="B311" s="376">
        <v>303</v>
      </c>
      <c r="C311" s="310">
        <v>44224</v>
      </c>
      <c r="D311" s="229" t="str">
        <f>IFERROR(VLOOKUP(C311,'बँक जमा खर्च पासबुक'!$C$9:$R$111,2,0),"")</f>
        <v/>
      </c>
      <c r="E311" s="229" t="str">
        <f>IFERROR(VLOOKUP(C311,'बँक जमा खर्च पासबुक'!$C$9:$R$111,3,0),"")</f>
        <v/>
      </c>
      <c r="F311" s="229" t="str">
        <f>IFERROR(VLOOKUP(C311,'बँक जमा खर्च पासबुक'!$C$9:$R$111,4,0),"")</f>
        <v/>
      </c>
      <c r="G311" s="229" t="str">
        <f>IFERROR(VLOOKUP(C311,'बँक जमा खर्च पासबुक'!$C$9:$R$111,5,0),"")</f>
        <v/>
      </c>
      <c r="H311" s="229" t="str">
        <f>IFERROR(VLOOKUP(C311,'बँक जमा खर्च पासबुक'!$C$9:$R$111,6,0),"")</f>
        <v/>
      </c>
      <c r="I311" s="229" t="str">
        <f>IFERROR(VLOOKUP(C311,'बँक जमा खर्च पासबुक'!$C$9:$R$111,7,0),"")</f>
        <v/>
      </c>
      <c r="J311" s="233">
        <f>SUMIF('बँक जमा खर्च पासबुक'!$C$9:$C$111,'बँक खर्च व्हाउचर पावती'!C311,'बँक जमा खर्च पासबुक'!$J$9:$J$111)</f>
        <v>0</v>
      </c>
      <c r="K311" s="233">
        <f>SUMIF('बँक जमा खर्च पासबुक'!$C$9:$C$111,'बँक खर्च व्हाउचर पावती'!C311,'बँक जमा खर्च पासबुक'!$K$9:$K$111)</f>
        <v>0</v>
      </c>
      <c r="L311" s="233">
        <f ca="1">SUMIF('बँक जमा खर्च पासबुक'!$C$9:$C$111,'बँक खर्च व्हाउचर पावती'!C311,'बँक जमा खर्च पासबुक'!$L$9:$L$110)</f>
        <v>0</v>
      </c>
      <c r="M311" s="228">
        <f>SUMIF('बँक जमा खर्च पासबुक'!$C$9:$C$111,'बँक खर्च व्हाउचर पावती'!C311,'बँक जमा खर्च पासबुक'!$M$9:$M$111)</f>
        <v>0</v>
      </c>
      <c r="N311" s="233">
        <f t="shared" ca="1" si="188"/>
        <v>3000</v>
      </c>
      <c r="O311" s="228">
        <f t="shared" si="189"/>
        <v>3000</v>
      </c>
      <c r="P311" s="228">
        <f t="shared" ca="1" si="187"/>
        <v>6000</v>
      </c>
      <c r="Q311" s="399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0"/>
      <c r="BJ311" s="380"/>
      <c r="BK311" s="380"/>
      <c r="BL311" s="380"/>
      <c r="BM311" s="380"/>
      <c r="BN311" s="380"/>
      <c r="BO311" s="380"/>
      <c r="BP311" s="380"/>
      <c r="BQ311" s="380"/>
      <c r="BR311" s="380"/>
      <c r="BS311" s="380"/>
      <c r="BT311" s="380"/>
    </row>
    <row r="312" spans="1:72" ht="22.5" customHeight="1" x14ac:dyDescent="0.4">
      <c r="A312" s="399"/>
      <c r="B312" s="376">
        <v>304</v>
      </c>
      <c r="C312" s="310">
        <v>44225</v>
      </c>
      <c r="D312" s="229" t="str">
        <f>IFERROR(VLOOKUP(C312,'बँक जमा खर्च पासबुक'!$C$9:$R$111,2,0),"")</f>
        <v/>
      </c>
      <c r="E312" s="229" t="str">
        <f>IFERROR(VLOOKUP(C312,'बँक जमा खर्च पासबुक'!$C$9:$R$111,3,0),"")</f>
        <v/>
      </c>
      <c r="F312" s="229" t="str">
        <f>IFERROR(VLOOKUP(C312,'बँक जमा खर्च पासबुक'!$C$9:$R$111,4,0),"")</f>
        <v/>
      </c>
      <c r="G312" s="229" t="str">
        <f>IFERROR(VLOOKUP(C312,'बँक जमा खर्च पासबुक'!$C$9:$R$111,5,0),"")</f>
        <v/>
      </c>
      <c r="H312" s="229" t="str">
        <f>IFERROR(VLOOKUP(C312,'बँक जमा खर्च पासबुक'!$C$9:$R$111,6,0),"")</f>
        <v/>
      </c>
      <c r="I312" s="229" t="str">
        <f>IFERROR(VLOOKUP(C312,'बँक जमा खर्च पासबुक'!$C$9:$R$111,7,0),"")</f>
        <v/>
      </c>
      <c r="J312" s="233">
        <f>SUMIF('बँक जमा खर्च पासबुक'!$C$9:$C$111,'बँक खर्च व्हाउचर पावती'!C312,'बँक जमा खर्च पासबुक'!$J$9:$J$111)</f>
        <v>0</v>
      </c>
      <c r="K312" s="233">
        <f>SUMIF('बँक जमा खर्च पासबुक'!$C$9:$C$111,'बँक खर्च व्हाउचर पावती'!C312,'बँक जमा खर्च पासबुक'!$K$9:$K$111)</f>
        <v>0</v>
      </c>
      <c r="L312" s="233">
        <f ca="1">SUMIF('बँक जमा खर्च पासबुक'!$C$9:$C$111,'बँक खर्च व्हाउचर पावती'!C312,'बँक जमा खर्च पासबुक'!$L$9:$L$110)</f>
        <v>0</v>
      </c>
      <c r="M312" s="228">
        <f>SUMIF('बँक जमा खर्च पासबुक'!$C$9:$C$111,'बँक खर्च व्हाउचर पावती'!C312,'बँक जमा खर्च पासबुक'!$M$9:$M$111)</f>
        <v>0</v>
      </c>
      <c r="N312" s="233">
        <f t="shared" ca="1" si="188"/>
        <v>3000</v>
      </c>
      <c r="O312" s="228">
        <f t="shared" si="189"/>
        <v>3000</v>
      </c>
      <c r="P312" s="228">
        <f t="shared" ca="1" si="187"/>
        <v>6000</v>
      </c>
      <c r="Q312" s="399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  <c r="AZ312" s="380"/>
      <c r="BA312" s="380"/>
      <c r="BB312" s="380"/>
      <c r="BC312" s="380"/>
      <c r="BD312" s="380"/>
      <c r="BE312" s="380"/>
      <c r="BF312" s="380"/>
      <c r="BG312" s="380"/>
      <c r="BH312" s="380"/>
      <c r="BI312" s="380"/>
      <c r="BJ312" s="380"/>
      <c r="BK312" s="380"/>
      <c r="BL312" s="380"/>
      <c r="BM312" s="380"/>
      <c r="BN312" s="380"/>
      <c r="BO312" s="380"/>
      <c r="BP312" s="380"/>
      <c r="BQ312" s="380"/>
      <c r="BR312" s="380"/>
      <c r="BS312" s="380"/>
      <c r="BT312" s="380"/>
    </row>
    <row r="313" spans="1:72" ht="22.5" customHeight="1" x14ac:dyDescent="0.4">
      <c r="A313" s="399"/>
      <c r="B313" s="376">
        <v>305</v>
      </c>
      <c r="C313" s="310">
        <v>44226</v>
      </c>
      <c r="D313" s="229" t="str">
        <f>IFERROR(VLOOKUP(C313,'बँक जमा खर्च पासबुक'!$C$9:$R$111,2,0),"")</f>
        <v/>
      </c>
      <c r="E313" s="229" t="str">
        <f>IFERROR(VLOOKUP(C313,'बँक जमा खर्च पासबुक'!$C$9:$R$111,3,0),"")</f>
        <v/>
      </c>
      <c r="F313" s="229" t="str">
        <f>IFERROR(VLOOKUP(C313,'बँक जमा खर्च पासबुक'!$C$9:$R$111,4,0),"")</f>
        <v/>
      </c>
      <c r="G313" s="229" t="str">
        <f>IFERROR(VLOOKUP(C313,'बँक जमा खर्च पासबुक'!$C$9:$R$111,5,0),"")</f>
        <v/>
      </c>
      <c r="H313" s="229" t="str">
        <f>IFERROR(VLOOKUP(C313,'बँक जमा खर्च पासबुक'!$C$9:$R$111,6,0),"")</f>
        <v/>
      </c>
      <c r="I313" s="229" t="str">
        <f>IFERROR(VLOOKUP(C313,'बँक जमा खर्च पासबुक'!$C$9:$R$111,7,0),"")</f>
        <v/>
      </c>
      <c r="J313" s="233">
        <f>SUMIF('बँक जमा खर्च पासबुक'!$C$9:$C$111,'बँक खर्च व्हाउचर पावती'!C313,'बँक जमा खर्च पासबुक'!$J$9:$J$111)</f>
        <v>0</v>
      </c>
      <c r="K313" s="233">
        <f>SUMIF('बँक जमा खर्च पासबुक'!$C$9:$C$111,'बँक खर्च व्हाउचर पावती'!C313,'बँक जमा खर्च पासबुक'!$K$9:$K$111)</f>
        <v>0</v>
      </c>
      <c r="L313" s="233">
        <f ca="1">SUMIF('बँक जमा खर्च पासबुक'!$C$9:$C$111,'बँक खर्च व्हाउचर पावती'!C313,'बँक जमा खर्च पासबुक'!$L$9:$L$110)</f>
        <v>0</v>
      </c>
      <c r="M313" s="228">
        <f>SUMIF('बँक जमा खर्च पासबुक'!$C$9:$C$111,'बँक खर्च व्हाउचर पावती'!C313,'बँक जमा खर्च पासबुक'!$M$9:$M$111)</f>
        <v>0</v>
      </c>
      <c r="N313" s="233">
        <f t="shared" ca="1" si="188"/>
        <v>3000</v>
      </c>
      <c r="O313" s="228">
        <f t="shared" si="189"/>
        <v>3000</v>
      </c>
      <c r="P313" s="228">
        <f t="shared" ca="1" si="187"/>
        <v>6000</v>
      </c>
      <c r="Q313" s="399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  <c r="AZ313" s="380"/>
      <c r="BA313" s="380"/>
      <c r="BB313" s="380"/>
      <c r="BC313" s="380"/>
      <c r="BD313" s="380"/>
      <c r="BE313" s="380"/>
      <c r="BF313" s="380"/>
      <c r="BG313" s="380"/>
      <c r="BH313" s="380"/>
      <c r="BI313" s="380"/>
      <c r="BJ313" s="380"/>
      <c r="BK313" s="380"/>
      <c r="BL313" s="380"/>
      <c r="BM313" s="380"/>
      <c r="BN313" s="380"/>
      <c r="BO313" s="380"/>
      <c r="BP313" s="380"/>
      <c r="BQ313" s="380"/>
      <c r="BR313" s="380"/>
      <c r="BS313" s="380"/>
      <c r="BT313" s="380"/>
    </row>
    <row r="314" spans="1:72" ht="22.5" customHeight="1" x14ac:dyDescent="0.4">
      <c r="A314" s="399"/>
      <c r="B314" s="376">
        <v>306</v>
      </c>
      <c r="C314" s="310">
        <v>44227</v>
      </c>
      <c r="D314" s="229" t="str">
        <f>IFERROR(VLOOKUP(C314,'बँक जमा खर्च पासबुक'!$C$9:$R$111,2,0),"")</f>
        <v/>
      </c>
      <c r="E314" s="229" t="str">
        <f>IFERROR(VLOOKUP(C314,'बँक जमा खर्च पासबुक'!$C$9:$R$111,3,0),"")</f>
        <v/>
      </c>
      <c r="F314" s="229" t="str">
        <f>IFERROR(VLOOKUP(C314,'बँक जमा खर्च पासबुक'!$C$9:$R$111,4,0),"")</f>
        <v/>
      </c>
      <c r="G314" s="229" t="str">
        <f>IFERROR(VLOOKUP(C314,'बँक जमा खर्च पासबुक'!$C$9:$R$111,5,0),"")</f>
        <v/>
      </c>
      <c r="H314" s="229" t="str">
        <f>IFERROR(VLOOKUP(C314,'बँक जमा खर्च पासबुक'!$C$9:$R$111,6,0),"")</f>
        <v/>
      </c>
      <c r="I314" s="229" t="str">
        <f>IFERROR(VLOOKUP(C314,'बँक जमा खर्च पासबुक'!$C$9:$R$111,7,0),"")</f>
        <v/>
      </c>
      <c r="J314" s="233">
        <f>SUMIF('बँक जमा खर्च पासबुक'!$C$9:$C$111,'बँक खर्च व्हाउचर पावती'!C314,'बँक जमा खर्च पासबुक'!$J$9:$J$111)</f>
        <v>0</v>
      </c>
      <c r="K314" s="233">
        <f>SUMIF('बँक जमा खर्च पासबुक'!$C$9:$C$111,'बँक खर्च व्हाउचर पावती'!C314,'बँक जमा खर्च पासबुक'!$K$9:$K$111)</f>
        <v>0</v>
      </c>
      <c r="L314" s="233">
        <f ca="1">SUMIF('बँक जमा खर्च पासबुक'!$C$9:$C$111,'बँक खर्च व्हाउचर पावती'!C314,'बँक जमा खर्च पासबुक'!$L$9:$L$110)</f>
        <v>0</v>
      </c>
      <c r="M314" s="228">
        <f>SUMIF('बँक जमा खर्च पासबुक'!$C$9:$C$111,'बँक खर्च व्हाउचर पावती'!C314,'बँक जमा खर्च पासबुक'!$M$9:$M$111)</f>
        <v>0</v>
      </c>
      <c r="N314" s="233">
        <f t="shared" ca="1" si="188"/>
        <v>3000</v>
      </c>
      <c r="O314" s="228">
        <f t="shared" si="189"/>
        <v>3000</v>
      </c>
      <c r="P314" s="228">
        <f t="shared" ca="1" si="187"/>
        <v>6000</v>
      </c>
      <c r="Q314" s="399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  <c r="AZ314" s="380"/>
      <c r="BA314" s="380"/>
      <c r="BB314" s="380"/>
      <c r="BC314" s="380"/>
      <c r="BD314" s="380"/>
      <c r="BE314" s="380"/>
      <c r="BF314" s="380"/>
      <c r="BG314" s="380"/>
      <c r="BH314" s="380"/>
      <c r="BI314" s="380"/>
      <c r="BJ314" s="380"/>
      <c r="BK314" s="380"/>
      <c r="BL314" s="380"/>
      <c r="BM314" s="380"/>
      <c r="BN314" s="380"/>
      <c r="BO314" s="380"/>
      <c r="BP314" s="380"/>
      <c r="BQ314" s="380"/>
      <c r="BR314" s="380"/>
      <c r="BS314" s="380"/>
      <c r="BT314" s="380"/>
    </row>
    <row r="315" spans="1:72" ht="22.5" customHeight="1" x14ac:dyDescent="0.4">
      <c r="A315" s="399" t="s">
        <v>40</v>
      </c>
      <c r="B315" s="376">
        <v>307</v>
      </c>
      <c r="C315" s="310">
        <v>44228</v>
      </c>
      <c r="D315" s="229" t="str">
        <f>IFERROR(VLOOKUP(C315,'बँक जमा खर्च पासबुक'!$C$9:$R$111,2,0),"")</f>
        <v/>
      </c>
      <c r="E315" s="229" t="str">
        <f>IFERROR(VLOOKUP(C315,'बँक जमा खर्च पासबुक'!$C$9:$R$111,3,0),"")</f>
        <v/>
      </c>
      <c r="F315" s="229" t="str">
        <f>IFERROR(VLOOKUP(C315,'बँक जमा खर्च पासबुक'!$C$9:$R$111,4,0),"")</f>
        <v/>
      </c>
      <c r="G315" s="229" t="str">
        <f>IFERROR(VLOOKUP(C315,'बँक जमा खर्च पासबुक'!$C$9:$R$111,5,0),"")</f>
        <v/>
      </c>
      <c r="H315" s="229" t="str">
        <f>IFERROR(VLOOKUP(C315,'बँक जमा खर्च पासबुक'!$C$9:$R$111,6,0),"")</f>
        <v/>
      </c>
      <c r="I315" s="229" t="str">
        <f>IFERROR(VLOOKUP(C315,'बँक जमा खर्च पासबुक'!$C$9:$R$111,7,0),"")</f>
        <v/>
      </c>
      <c r="J315" s="233">
        <f>SUMIF('बँक जमा खर्च पासबुक'!$C$9:$C$111,'बँक खर्च व्हाउचर पावती'!C315,'बँक जमा खर्च पासबुक'!$J$9:$J$111)</f>
        <v>0</v>
      </c>
      <c r="K315" s="233">
        <f>SUMIF('बँक जमा खर्च पासबुक'!$C$9:$C$111,'बँक खर्च व्हाउचर पावती'!C315,'बँक जमा खर्च पासबुक'!$K$9:$K$111)</f>
        <v>0</v>
      </c>
      <c r="L315" s="233">
        <f ca="1">SUMIF('बँक जमा खर्च पासबुक'!$C$9:$C$111,'बँक खर्च व्हाउचर पावती'!C315,'बँक जमा खर्च पासबुक'!$L$9:$L$110)</f>
        <v>0</v>
      </c>
      <c r="M315" s="228">
        <f>SUMIF('बँक जमा खर्च पासबुक'!$C$9:$C$111,'बँक खर्च व्हाउचर पावती'!C315,'बँक जमा खर्च पासबुक'!$M$9:$M$111)</f>
        <v>0</v>
      </c>
      <c r="N315" s="233">
        <f t="shared" ca="1" si="188"/>
        <v>3000</v>
      </c>
      <c r="O315" s="228">
        <f t="shared" si="189"/>
        <v>3000</v>
      </c>
      <c r="P315" s="228">
        <f t="shared" ca="1" si="187"/>
        <v>6000</v>
      </c>
      <c r="Q315" s="399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0"/>
      <c r="BJ315" s="380"/>
      <c r="BK315" s="380"/>
      <c r="BL315" s="380"/>
      <c r="BM315" s="380"/>
      <c r="BN315" s="380"/>
      <c r="BO315" s="380"/>
      <c r="BP315" s="380"/>
      <c r="BQ315" s="380"/>
      <c r="BR315" s="380"/>
      <c r="BS315" s="380"/>
      <c r="BT315" s="380"/>
    </row>
    <row r="316" spans="1:72" ht="22.5" customHeight="1" x14ac:dyDescent="0.4">
      <c r="A316" s="399"/>
      <c r="B316" s="376">
        <v>308</v>
      </c>
      <c r="C316" s="310">
        <v>44229</v>
      </c>
      <c r="D316" s="229" t="str">
        <f>IFERROR(VLOOKUP(C316,'बँक जमा खर्च पासबुक'!$C$9:$R$111,2,0),"")</f>
        <v/>
      </c>
      <c r="E316" s="229" t="str">
        <f>IFERROR(VLOOKUP(C316,'बँक जमा खर्च पासबुक'!$C$9:$R$111,3,0),"")</f>
        <v/>
      </c>
      <c r="F316" s="229" t="str">
        <f>IFERROR(VLOOKUP(C316,'बँक जमा खर्च पासबुक'!$C$9:$R$111,4,0),"")</f>
        <v/>
      </c>
      <c r="G316" s="229" t="str">
        <f>IFERROR(VLOOKUP(C316,'बँक जमा खर्च पासबुक'!$C$9:$R$111,5,0),"")</f>
        <v/>
      </c>
      <c r="H316" s="229" t="str">
        <f>IFERROR(VLOOKUP(C316,'बँक जमा खर्च पासबुक'!$C$9:$R$111,6,0),"")</f>
        <v/>
      </c>
      <c r="I316" s="229" t="str">
        <f>IFERROR(VLOOKUP(C316,'बँक जमा खर्च पासबुक'!$C$9:$R$111,7,0),"")</f>
        <v/>
      </c>
      <c r="J316" s="233">
        <f>SUMIF('बँक जमा खर्च पासबुक'!$C$9:$C$111,'बँक खर्च व्हाउचर पावती'!C316,'बँक जमा खर्च पासबुक'!$J$9:$J$111)</f>
        <v>0</v>
      </c>
      <c r="K316" s="233">
        <f>SUMIF('बँक जमा खर्च पासबुक'!$C$9:$C$111,'बँक खर्च व्हाउचर पावती'!C316,'बँक जमा खर्च पासबुक'!$K$9:$K$111)</f>
        <v>0</v>
      </c>
      <c r="L316" s="233">
        <f ca="1">SUMIF('बँक जमा खर्च पासबुक'!$C$9:$C$111,'बँक खर्च व्हाउचर पावती'!C316,'बँक जमा खर्च पासबुक'!$L$9:$L$110)</f>
        <v>0</v>
      </c>
      <c r="M316" s="228">
        <f>SUMIF('बँक जमा खर्च पासबुक'!$C$9:$C$111,'बँक खर्च व्हाउचर पावती'!C316,'बँक जमा खर्च पासबुक'!$M$9:$M$111)</f>
        <v>0</v>
      </c>
      <c r="N316" s="233">
        <f t="shared" ca="1" si="188"/>
        <v>3000</v>
      </c>
      <c r="O316" s="228">
        <f t="shared" si="189"/>
        <v>3000</v>
      </c>
      <c r="P316" s="228">
        <f t="shared" ca="1" si="187"/>
        <v>6000</v>
      </c>
      <c r="Q316" s="399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  <c r="AZ316" s="380"/>
      <c r="BA316" s="380"/>
      <c r="BB316" s="380"/>
      <c r="BC316" s="380"/>
      <c r="BD316" s="380"/>
      <c r="BE316" s="380"/>
      <c r="BF316" s="380"/>
      <c r="BG316" s="380"/>
      <c r="BH316" s="380"/>
      <c r="BI316" s="380"/>
      <c r="BJ316" s="380"/>
      <c r="BK316" s="380"/>
      <c r="BL316" s="380"/>
      <c r="BM316" s="380"/>
      <c r="BN316" s="380"/>
      <c r="BO316" s="380"/>
      <c r="BP316" s="380"/>
      <c r="BQ316" s="380"/>
      <c r="BR316" s="380"/>
      <c r="BS316" s="380"/>
      <c r="BT316" s="380"/>
    </row>
    <row r="317" spans="1:72" ht="22.5" customHeight="1" x14ac:dyDescent="0.4">
      <c r="A317" s="399"/>
      <c r="B317" s="376">
        <v>309</v>
      </c>
      <c r="C317" s="310">
        <v>44230</v>
      </c>
      <c r="D317" s="229" t="str">
        <f>IFERROR(VLOOKUP(C317,'बँक जमा खर्च पासबुक'!$C$9:$R$111,2,0),"")</f>
        <v/>
      </c>
      <c r="E317" s="229" t="str">
        <f>IFERROR(VLOOKUP(C317,'बँक जमा खर्च पासबुक'!$C$9:$R$111,3,0),"")</f>
        <v/>
      </c>
      <c r="F317" s="229" t="str">
        <f>IFERROR(VLOOKUP(C317,'बँक जमा खर्च पासबुक'!$C$9:$R$111,4,0),"")</f>
        <v/>
      </c>
      <c r="G317" s="229" t="str">
        <f>IFERROR(VLOOKUP(C317,'बँक जमा खर्च पासबुक'!$C$9:$R$111,5,0),"")</f>
        <v/>
      </c>
      <c r="H317" s="229" t="str">
        <f>IFERROR(VLOOKUP(C317,'बँक जमा खर्च पासबुक'!$C$9:$R$111,6,0),"")</f>
        <v/>
      </c>
      <c r="I317" s="229" t="str">
        <f>IFERROR(VLOOKUP(C317,'बँक जमा खर्च पासबुक'!$C$9:$R$111,7,0),"")</f>
        <v/>
      </c>
      <c r="J317" s="233">
        <f>SUMIF('बँक जमा खर्च पासबुक'!$C$9:$C$111,'बँक खर्च व्हाउचर पावती'!C317,'बँक जमा खर्च पासबुक'!$J$9:$J$111)</f>
        <v>0</v>
      </c>
      <c r="K317" s="233">
        <f>SUMIF('बँक जमा खर्च पासबुक'!$C$9:$C$111,'बँक खर्च व्हाउचर पावती'!C317,'बँक जमा खर्च पासबुक'!$K$9:$K$111)</f>
        <v>0</v>
      </c>
      <c r="L317" s="233">
        <f ca="1">SUMIF('बँक जमा खर्च पासबुक'!$C$9:$C$111,'बँक खर्च व्हाउचर पावती'!C317,'बँक जमा खर्च पासबुक'!$L$9:$L$110)</f>
        <v>0</v>
      </c>
      <c r="M317" s="228">
        <f>SUMIF('बँक जमा खर्च पासबुक'!$C$9:$C$111,'बँक खर्च व्हाउचर पावती'!C317,'बँक जमा खर्च पासबुक'!$M$9:$M$111)</f>
        <v>0</v>
      </c>
      <c r="N317" s="233">
        <f t="shared" ca="1" si="188"/>
        <v>3000</v>
      </c>
      <c r="O317" s="228">
        <f t="shared" si="189"/>
        <v>3000</v>
      </c>
      <c r="P317" s="228">
        <f t="shared" ca="1" si="187"/>
        <v>6000</v>
      </c>
      <c r="Q317" s="399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  <c r="AZ317" s="380"/>
      <c r="BA317" s="380"/>
      <c r="BB317" s="380"/>
      <c r="BC317" s="380"/>
      <c r="BD317" s="380"/>
      <c r="BE317" s="380"/>
      <c r="BF317" s="380"/>
      <c r="BG317" s="380"/>
      <c r="BH317" s="380"/>
      <c r="BI317" s="380"/>
      <c r="BJ317" s="380"/>
      <c r="BK317" s="380"/>
      <c r="BL317" s="380"/>
      <c r="BM317" s="380"/>
      <c r="BN317" s="380"/>
      <c r="BO317" s="380"/>
      <c r="BP317" s="380"/>
      <c r="BQ317" s="380"/>
      <c r="BR317" s="380"/>
      <c r="BS317" s="380"/>
      <c r="BT317" s="380"/>
    </row>
    <row r="318" spans="1:72" ht="22.5" customHeight="1" x14ac:dyDescent="0.4">
      <c r="A318" s="399"/>
      <c r="B318" s="376">
        <v>310</v>
      </c>
      <c r="C318" s="310">
        <v>44231</v>
      </c>
      <c r="D318" s="229" t="str">
        <f>IFERROR(VLOOKUP(C318,'बँक जमा खर्च पासबुक'!$C$9:$R$111,2,0),"")</f>
        <v/>
      </c>
      <c r="E318" s="229" t="str">
        <f>IFERROR(VLOOKUP(C318,'बँक जमा खर्च पासबुक'!$C$9:$R$111,3,0),"")</f>
        <v/>
      </c>
      <c r="F318" s="229" t="str">
        <f>IFERROR(VLOOKUP(C318,'बँक जमा खर्च पासबुक'!$C$9:$R$111,4,0),"")</f>
        <v/>
      </c>
      <c r="G318" s="229" t="str">
        <f>IFERROR(VLOOKUP(C318,'बँक जमा खर्च पासबुक'!$C$9:$R$111,5,0),"")</f>
        <v/>
      </c>
      <c r="H318" s="229" t="str">
        <f>IFERROR(VLOOKUP(C318,'बँक जमा खर्च पासबुक'!$C$9:$R$111,6,0),"")</f>
        <v/>
      </c>
      <c r="I318" s="229" t="str">
        <f>IFERROR(VLOOKUP(C318,'बँक जमा खर्च पासबुक'!$C$9:$R$111,7,0),"")</f>
        <v/>
      </c>
      <c r="J318" s="233">
        <f>SUMIF('बँक जमा खर्च पासबुक'!$C$9:$C$111,'बँक खर्च व्हाउचर पावती'!C318,'बँक जमा खर्च पासबुक'!$J$9:$J$111)</f>
        <v>0</v>
      </c>
      <c r="K318" s="233">
        <f>SUMIF('बँक जमा खर्च पासबुक'!$C$9:$C$111,'बँक खर्च व्हाउचर पावती'!C318,'बँक जमा खर्च पासबुक'!$K$9:$K$111)</f>
        <v>0</v>
      </c>
      <c r="L318" s="233">
        <f ca="1">SUMIF('बँक जमा खर्च पासबुक'!$C$9:$C$111,'बँक खर्च व्हाउचर पावती'!C318,'बँक जमा खर्च पासबुक'!$L$9:$L$110)</f>
        <v>0</v>
      </c>
      <c r="M318" s="228">
        <f>SUMIF('बँक जमा खर्च पासबुक'!$C$9:$C$111,'बँक खर्च व्हाउचर पावती'!C318,'बँक जमा खर्च पासबुक'!$M$9:$M$111)</f>
        <v>0</v>
      </c>
      <c r="N318" s="233">
        <f t="shared" ca="1" si="188"/>
        <v>3000</v>
      </c>
      <c r="O318" s="228">
        <f t="shared" si="189"/>
        <v>3000</v>
      </c>
      <c r="P318" s="228">
        <f t="shared" ca="1" si="187"/>
        <v>6000</v>
      </c>
      <c r="Q318" s="399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  <c r="AZ318" s="380"/>
      <c r="BA318" s="380"/>
      <c r="BB318" s="380"/>
      <c r="BC318" s="380"/>
      <c r="BD318" s="380"/>
      <c r="BE318" s="380"/>
      <c r="BF318" s="380"/>
      <c r="BG318" s="380"/>
      <c r="BH318" s="380"/>
      <c r="BI318" s="380"/>
      <c r="BJ318" s="380"/>
      <c r="BK318" s="380"/>
      <c r="BL318" s="380"/>
      <c r="BM318" s="380"/>
      <c r="BN318" s="380"/>
      <c r="BO318" s="380"/>
      <c r="BP318" s="380"/>
      <c r="BQ318" s="380"/>
      <c r="BR318" s="380"/>
      <c r="BS318" s="380"/>
      <c r="BT318" s="380"/>
    </row>
    <row r="319" spans="1:72" ht="22.5" customHeight="1" x14ac:dyDescent="0.4">
      <c r="A319" s="399"/>
      <c r="B319" s="376">
        <v>311</v>
      </c>
      <c r="C319" s="310">
        <v>44232</v>
      </c>
      <c r="D319" s="229" t="str">
        <f>IFERROR(VLOOKUP(C319,'बँक जमा खर्च पासबुक'!$C$9:$R$111,2,0),"")</f>
        <v/>
      </c>
      <c r="E319" s="229" t="str">
        <f>IFERROR(VLOOKUP(C319,'बँक जमा खर्च पासबुक'!$C$9:$R$111,3,0),"")</f>
        <v/>
      </c>
      <c r="F319" s="229" t="str">
        <f>IFERROR(VLOOKUP(C319,'बँक जमा खर्च पासबुक'!$C$9:$R$111,4,0),"")</f>
        <v/>
      </c>
      <c r="G319" s="229" t="str">
        <f>IFERROR(VLOOKUP(C319,'बँक जमा खर्च पासबुक'!$C$9:$R$111,5,0),"")</f>
        <v/>
      </c>
      <c r="H319" s="229" t="str">
        <f>IFERROR(VLOOKUP(C319,'बँक जमा खर्च पासबुक'!$C$9:$R$111,6,0),"")</f>
        <v/>
      </c>
      <c r="I319" s="229" t="str">
        <f>IFERROR(VLOOKUP(C319,'बँक जमा खर्च पासबुक'!$C$9:$R$111,7,0),"")</f>
        <v/>
      </c>
      <c r="J319" s="233">
        <f>SUMIF('बँक जमा खर्च पासबुक'!$C$9:$C$111,'बँक खर्च व्हाउचर पावती'!C319,'बँक जमा खर्च पासबुक'!$J$9:$J$111)</f>
        <v>0</v>
      </c>
      <c r="K319" s="233">
        <f>SUMIF('बँक जमा खर्च पासबुक'!$C$9:$C$111,'बँक खर्च व्हाउचर पावती'!C319,'बँक जमा खर्च पासबुक'!$K$9:$K$111)</f>
        <v>0</v>
      </c>
      <c r="L319" s="233">
        <f ca="1">SUMIF('बँक जमा खर्च पासबुक'!$C$9:$C$111,'बँक खर्च व्हाउचर पावती'!C319,'बँक जमा खर्च पासबुक'!$L$9:$L$110)</f>
        <v>0</v>
      </c>
      <c r="M319" s="228">
        <f>SUMIF('बँक जमा खर्च पासबुक'!$C$9:$C$111,'बँक खर्च व्हाउचर पावती'!C319,'बँक जमा खर्च पासबुक'!$M$9:$M$111)</f>
        <v>0</v>
      </c>
      <c r="N319" s="233">
        <f t="shared" ca="1" si="188"/>
        <v>3000</v>
      </c>
      <c r="O319" s="228">
        <f t="shared" si="189"/>
        <v>3000</v>
      </c>
      <c r="P319" s="228">
        <f t="shared" ca="1" si="187"/>
        <v>6000</v>
      </c>
      <c r="Q319" s="399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0"/>
      <c r="BJ319" s="380"/>
      <c r="BK319" s="380"/>
      <c r="BL319" s="380"/>
      <c r="BM319" s="380"/>
      <c r="BN319" s="380"/>
      <c r="BO319" s="380"/>
      <c r="BP319" s="380"/>
      <c r="BQ319" s="380"/>
      <c r="BR319" s="380"/>
      <c r="BS319" s="380"/>
      <c r="BT319" s="380"/>
    </row>
    <row r="320" spans="1:72" ht="22.5" customHeight="1" x14ac:dyDescent="0.4">
      <c r="A320" s="399"/>
      <c r="B320" s="376">
        <v>312</v>
      </c>
      <c r="C320" s="310">
        <v>44233</v>
      </c>
      <c r="D320" s="229" t="str">
        <f>IFERROR(VLOOKUP(C320,'बँक जमा खर्च पासबुक'!$C$9:$R$111,2,0),"")</f>
        <v/>
      </c>
      <c r="E320" s="229" t="str">
        <f>IFERROR(VLOOKUP(C320,'बँक जमा खर्च पासबुक'!$C$9:$R$111,3,0),"")</f>
        <v/>
      </c>
      <c r="F320" s="229" t="str">
        <f>IFERROR(VLOOKUP(C320,'बँक जमा खर्च पासबुक'!$C$9:$R$111,4,0),"")</f>
        <v/>
      </c>
      <c r="G320" s="229" t="str">
        <f>IFERROR(VLOOKUP(C320,'बँक जमा खर्च पासबुक'!$C$9:$R$111,5,0),"")</f>
        <v/>
      </c>
      <c r="H320" s="229" t="str">
        <f>IFERROR(VLOOKUP(C320,'बँक जमा खर्च पासबुक'!$C$9:$R$111,6,0),"")</f>
        <v/>
      </c>
      <c r="I320" s="229" t="str">
        <f>IFERROR(VLOOKUP(C320,'बँक जमा खर्च पासबुक'!$C$9:$R$111,7,0),"")</f>
        <v/>
      </c>
      <c r="J320" s="233">
        <f>SUMIF('बँक जमा खर्च पासबुक'!$C$9:$C$111,'बँक खर्च व्हाउचर पावती'!C320,'बँक जमा खर्च पासबुक'!$J$9:$J$111)</f>
        <v>0</v>
      </c>
      <c r="K320" s="233">
        <f>SUMIF('बँक जमा खर्च पासबुक'!$C$9:$C$111,'बँक खर्च व्हाउचर पावती'!C320,'बँक जमा खर्च पासबुक'!$K$9:$K$111)</f>
        <v>0</v>
      </c>
      <c r="L320" s="233">
        <f ca="1">SUMIF('बँक जमा खर्च पासबुक'!$C$9:$C$111,'बँक खर्च व्हाउचर पावती'!C320,'बँक जमा खर्च पासबुक'!$L$9:$L$110)</f>
        <v>0</v>
      </c>
      <c r="M320" s="228">
        <f>SUMIF('बँक जमा खर्च पासबुक'!$C$9:$C$111,'बँक खर्च व्हाउचर पावती'!C320,'बँक जमा खर्च पासबुक'!$M$9:$M$111)</f>
        <v>0</v>
      </c>
      <c r="N320" s="233">
        <f t="shared" ca="1" si="188"/>
        <v>3000</v>
      </c>
      <c r="O320" s="228">
        <f t="shared" si="189"/>
        <v>3000</v>
      </c>
      <c r="P320" s="228">
        <f t="shared" ca="1" si="187"/>
        <v>6000</v>
      </c>
      <c r="Q320" s="399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  <c r="AZ320" s="380"/>
      <c r="BA320" s="380"/>
      <c r="BB320" s="380"/>
      <c r="BC320" s="380"/>
      <c r="BD320" s="380"/>
      <c r="BE320" s="380"/>
      <c r="BF320" s="380"/>
      <c r="BG320" s="380"/>
      <c r="BH320" s="380"/>
      <c r="BI320" s="380"/>
      <c r="BJ320" s="380"/>
      <c r="BK320" s="380"/>
      <c r="BL320" s="380"/>
      <c r="BM320" s="380"/>
      <c r="BN320" s="380"/>
      <c r="BO320" s="380"/>
      <c r="BP320" s="380"/>
      <c r="BQ320" s="380"/>
      <c r="BR320" s="380"/>
      <c r="BS320" s="380"/>
      <c r="BT320" s="380"/>
    </row>
    <row r="321" spans="1:72" ht="22.5" customHeight="1" x14ac:dyDescent="0.4">
      <c r="A321" s="399"/>
      <c r="B321" s="376">
        <v>313</v>
      </c>
      <c r="C321" s="310">
        <v>44234</v>
      </c>
      <c r="D321" s="229" t="str">
        <f>IFERROR(VLOOKUP(C321,'बँक जमा खर्च पासबुक'!$C$9:$R$111,2,0),"")</f>
        <v/>
      </c>
      <c r="E321" s="229" t="str">
        <f>IFERROR(VLOOKUP(C321,'बँक जमा खर्च पासबुक'!$C$9:$R$111,3,0),"")</f>
        <v/>
      </c>
      <c r="F321" s="229" t="str">
        <f>IFERROR(VLOOKUP(C321,'बँक जमा खर्च पासबुक'!$C$9:$R$111,4,0),"")</f>
        <v/>
      </c>
      <c r="G321" s="229" t="str">
        <f>IFERROR(VLOOKUP(C321,'बँक जमा खर्च पासबुक'!$C$9:$R$111,5,0),"")</f>
        <v/>
      </c>
      <c r="H321" s="229" t="str">
        <f>IFERROR(VLOOKUP(C321,'बँक जमा खर्च पासबुक'!$C$9:$R$111,6,0),"")</f>
        <v/>
      </c>
      <c r="I321" s="229" t="str">
        <f>IFERROR(VLOOKUP(C321,'बँक जमा खर्च पासबुक'!$C$9:$R$111,7,0),"")</f>
        <v/>
      </c>
      <c r="J321" s="233">
        <f>SUMIF('बँक जमा खर्च पासबुक'!$C$9:$C$111,'बँक खर्च व्हाउचर पावती'!C321,'बँक जमा खर्च पासबुक'!$J$9:$J$111)</f>
        <v>0</v>
      </c>
      <c r="K321" s="233">
        <f>SUMIF('बँक जमा खर्च पासबुक'!$C$9:$C$111,'बँक खर्च व्हाउचर पावती'!C321,'बँक जमा खर्च पासबुक'!$K$9:$K$111)</f>
        <v>0</v>
      </c>
      <c r="L321" s="233">
        <f ca="1">SUMIF('बँक जमा खर्च पासबुक'!$C$9:$C$111,'बँक खर्च व्हाउचर पावती'!C321,'बँक जमा खर्च पासबुक'!$L$9:$L$110)</f>
        <v>0</v>
      </c>
      <c r="M321" s="228">
        <f>SUMIF('बँक जमा खर्च पासबुक'!$C$9:$C$111,'बँक खर्च व्हाउचर पावती'!C321,'बँक जमा खर्च पासबुक'!$M$9:$M$111)</f>
        <v>0</v>
      </c>
      <c r="N321" s="233">
        <f t="shared" ca="1" si="188"/>
        <v>3000</v>
      </c>
      <c r="O321" s="228">
        <f t="shared" si="189"/>
        <v>3000</v>
      </c>
      <c r="P321" s="228">
        <f t="shared" ca="1" si="187"/>
        <v>6000</v>
      </c>
      <c r="Q321" s="399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  <c r="AZ321" s="380"/>
      <c r="BA321" s="380"/>
      <c r="BB321" s="380"/>
      <c r="BC321" s="380"/>
      <c r="BD321" s="380"/>
      <c r="BE321" s="380"/>
      <c r="BF321" s="380"/>
      <c r="BG321" s="380"/>
      <c r="BH321" s="380"/>
      <c r="BI321" s="380"/>
      <c r="BJ321" s="380"/>
      <c r="BK321" s="380"/>
      <c r="BL321" s="380"/>
      <c r="BM321" s="380"/>
      <c r="BN321" s="380"/>
      <c r="BO321" s="380"/>
      <c r="BP321" s="380"/>
      <c r="BQ321" s="380"/>
      <c r="BR321" s="380"/>
      <c r="BS321" s="380"/>
      <c r="BT321" s="380"/>
    </row>
    <row r="322" spans="1:72" ht="22.5" customHeight="1" x14ac:dyDescent="0.4">
      <c r="A322" s="399"/>
      <c r="B322" s="376">
        <v>314</v>
      </c>
      <c r="C322" s="310">
        <v>44235</v>
      </c>
      <c r="D322" s="229" t="str">
        <f>IFERROR(VLOOKUP(C322,'बँक जमा खर्च पासबुक'!$C$9:$R$111,2,0),"")</f>
        <v/>
      </c>
      <c r="E322" s="229" t="str">
        <f>IFERROR(VLOOKUP(C322,'बँक जमा खर्च पासबुक'!$C$9:$R$111,3,0),"")</f>
        <v/>
      </c>
      <c r="F322" s="229" t="str">
        <f>IFERROR(VLOOKUP(C322,'बँक जमा खर्च पासबुक'!$C$9:$R$111,4,0),"")</f>
        <v/>
      </c>
      <c r="G322" s="229" t="str">
        <f>IFERROR(VLOOKUP(C322,'बँक जमा खर्च पासबुक'!$C$9:$R$111,5,0),"")</f>
        <v/>
      </c>
      <c r="H322" s="229" t="str">
        <f>IFERROR(VLOOKUP(C322,'बँक जमा खर्च पासबुक'!$C$9:$R$111,6,0),"")</f>
        <v/>
      </c>
      <c r="I322" s="229" t="str">
        <f>IFERROR(VLOOKUP(C322,'बँक जमा खर्च पासबुक'!$C$9:$R$111,7,0),"")</f>
        <v/>
      </c>
      <c r="J322" s="233">
        <f>SUMIF('बँक जमा खर्च पासबुक'!$C$9:$C$111,'बँक खर्च व्हाउचर पावती'!C322,'बँक जमा खर्च पासबुक'!$J$9:$J$111)</f>
        <v>0</v>
      </c>
      <c r="K322" s="233">
        <f>SUMIF('बँक जमा खर्च पासबुक'!$C$9:$C$111,'बँक खर्च व्हाउचर पावती'!C322,'बँक जमा खर्च पासबुक'!$K$9:$K$111)</f>
        <v>0</v>
      </c>
      <c r="L322" s="233">
        <f ca="1">SUMIF('बँक जमा खर्च पासबुक'!$C$9:$C$111,'बँक खर्च व्हाउचर पावती'!C322,'बँक जमा खर्च पासबुक'!$L$9:$L$110)</f>
        <v>0</v>
      </c>
      <c r="M322" s="228">
        <f>SUMIF('बँक जमा खर्च पासबुक'!$C$9:$C$111,'बँक खर्च व्हाउचर पावती'!C322,'बँक जमा खर्च पासबुक'!$M$9:$M$111)</f>
        <v>0</v>
      </c>
      <c r="N322" s="233">
        <f t="shared" ca="1" si="188"/>
        <v>3000</v>
      </c>
      <c r="O322" s="228">
        <f t="shared" si="189"/>
        <v>3000</v>
      </c>
      <c r="P322" s="228">
        <f t="shared" ca="1" si="187"/>
        <v>6000</v>
      </c>
      <c r="Q322" s="399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  <c r="AZ322" s="380"/>
      <c r="BA322" s="380"/>
      <c r="BB322" s="380"/>
      <c r="BC322" s="380"/>
      <c r="BD322" s="380"/>
      <c r="BE322" s="380"/>
      <c r="BF322" s="380"/>
      <c r="BG322" s="380"/>
      <c r="BH322" s="380"/>
      <c r="BI322" s="380"/>
      <c r="BJ322" s="380"/>
      <c r="BK322" s="380"/>
      <c r="BL322" s="380"/>
      <c r="BM322" s="380"/>
      <c r="BN322" s="380"/>
      <c r="BO322" s="380"/>
      <c r="BP322" s="380"/>
      <c r="BQ322" s="380"/>
      <c r="BR322" s="380"/>
      <c r="BS322" s="380"/>
      <c r="BT322" s="380"/>
    </row>
    <row r="323" spans="1:72" ht="22.5" customHeight="1" x14ac:dyDescent="0.4">
      <c r="A323" s="399"/>
      <c r="B323" s="376">
        <v>315</v>
      </c>
      <c r="C323" s="310">
        <v>44236</v>
      </c>
      <c r="D323" s="229" t="str">
        <f>IFERROR(VLOOKUP(C323,'बँक जमा खर्च पासबुक'!$C$9:$R$111,2,0),"")</f>
        <v/>
      </c>
      <c r="E323" s="229" t="str">
        <f>IFERROR(VLOOKUP(C323,'बँक जमा खर्च पासबुक'!$C$9:$R$111,3,0),"")</f>
        <v/>
      </c>
      <c r="F323" s="229" t="str">
        <f>IFERROR(VLOOKUP(C323,'बँक जमा खर्च पासबुक'!$C$9:$R$111,4,0),"")</f>
        <v/>
      </c>
      <c r="G323" s="229" t="str">
        <f>IFERROR(VLOOKUP(C323,'बँक जमा खर्च पासबुक'!$C$9:$R$111,5,0),"")</f>
        <v/>
      </c>
      <c r="H323" s="229" t="str">
        <f>IFERROR(VLOOKUP(C323,'बँक जमा खर्च पासबुक'!$C$9:$R$111,6,0),"")</f>
        <v/>
      </c>
      <c r="I323" s="229" t="str">
        <f>IFERROR(VLOOKUP(C323,'बँक जमा खर्च पासबुक'!$C$9:$R$111,7,0),"")</f>
        <v/>
      </c>
      <c r="J323" s="233">
        <f>SUMIF('बँक जमा खर्च पासबुक'!$C$9:$C$111,'बँक खर्च व्हाउचर पावती'!C323,'बँक जमा खर्च पासबुक'!$J$9:$J$111)</f>
        <v>0</v>
      </c>
      <c r="K323" s="233">
        <f>SUMIF('बँक जमा खर्च पासबुक'!$C$9:$C$111,'बँक खर्च व्हाउचर पावती'!C323,'बँक जमा खर्च पासबुक'!$K$9:$K$111)</f>
        <v>0</v>
      </c>
      <c r="L323" s="233">
        <f ca="1">SUMIF('बँक जमा खर्च पासबुक'!$C$9:$C$111,'बँक खर्च व्हाउचर पावती'!C323,'बँक जमा खर्च पासबुक'!$L$9:$L$110)</f>
        <v>0</v>
      </c>
      <c r="M323" s="228">
        <f>SUMIF('बँक जमा खर्च पासबुक'!$C$9:$C$111,'बँक खर्च व्हाउचर पावती'!C323,'बँक जमा खर्च पासबुक'!$M$9:$M$111)</f>
        <v>0</v>
      </c>
      <c r="N323" s="233">
        <f t="shared" ca="1" si="188"/>
        <v>3000</v>
      </c>
      <c r="O323" s="228">
        <f t="shared" si="189"/>
        <v>3000</v>
      </c>
      <c r="P323" s="228">
        <f t="shared" ca="1" si="187"/>
        <v>6000</v>
      </c>
      <c r="Q323" s="399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0"/>
      <c r="BJ323" s="380"/>
      <c r="BK323" s="380"/>
      <c r="BL323" s="380"/>
      <c r="BM323" s="380"/>
      <c r="BN323" s="380"/>
      <c r="BO323" s="380"/>
      <c r="BP323" s="380"/>
      <c r="BQ323" s="380"/>
      <c r="BR323" s="380"/>
      <c r="BS323" s="380"/>
      <c r="BT323" s="380"/>
    </row>
    <row r="324" spans="1:72" ht="22.5" customHeight="1" x14ac:dyDescent="0.4">
      <c r="A324" s="399"/>
      <c r="B324" s="376">
        <v>316</v>
      </c>
      <c r="C324" s="310">
        <v>44237</v>
      </c>
      <c r="D324" s="229" t="str">
        <f>IFERROR(VLOOKUP(C324,'बँक जमा खर्च पासबुक'!$C$9:$R$111,2,0),"")</f>
        <v/>
      </c>
      <c r="E324" s="229" t="str">
        <f>IFERROR(VLOOKUP(C324,'बँक जमा खर्च पासबुक'!$C$9:$R$111,3,0),"")</f>
        <v/>
      </c>
      <c r="F324" s="229" t="str">
        <f>IFERROR(VLOOKUP(C324,'बँक जमा खर्च पासबुक'!$C$9:$R$111,4,0),"")</f>
        <v/>
      </c>
      <c r="G324" s="229" t="str">
        <f>IFERROR(VLOOKUP(C324,'बँक जमा खर्च पासबुक'!$C$9:$R$111,5,0),"")</f>
        <v/>
      </c>
      <c r="H324" s="229" t="str">
        <f>IFERROR(VLOOKUP(C324,'बँक जमा खर्च पासबुक'!$C$9:$R$111,6,0),"")</f>
        <v/>
      </c>
      <c r="I324" s="229" t="str">
        <f>IFERROR(VLOOKUP(C324,'बँक जमा खर्च पासबुक'!$C$9:$R$111,7,0),"")</f>
        <v/>
      </c>
      <c r="J324" s="233">
        <f>SUMIF('बँक जमा खर्च पासबुक'!$C$9:$C$111,'बँक खर्च व्हाउचर पावती'!C324,'बँक जमा खर्च पासबुक'!$J$9:$J$111)</f>
        <v>0</v>
      </c>
      <c r="K324" s="233">
        <f>SUMIF('बँक जमा खर्च पासबुक'!$C$9:$C$111,'बँक खर्च व्हाउचर पावती'!C324,'बँक जमा खर्च पासबुक'!$K$9:$K$111)</f>
        <v>0</v>
      </c>
      <c r="L324" s="233">
        <f ca="1">SUMIF('बँक जमा खर्च पासबुक'!$C$9:$C$111,'बँक खर्च व्हाउचर पावती'!C324,'बँक जमा खर्च पासबुक'!$L$9:$L$110)</f>
        <v>0</v>
      </c>
      <c r="M324" s="228">
        <f>SUMIF('बँक जमा खर्च पासबुक'!$C$9:$C$111,'बँक खर्च व्हाउचर पावती'!C324,'बँक जमा खर्च पासबुक'!$M$9:$M$111)</f>
        <v>0</v>
      </c>
      <c r="N324" s="233">
        <f t="shared" ca="1" si="188"/>
        <v>3000</v>
      </c>
      <c r="O324" s="228">
        <f t="shared" si="189"/>
        <v>3000</v>
      </c>
      <c r="P324" s="228">
        <f t="shared" ca="1" si="187"/>
        <v>6000</v>
      </c>
      <c r="Q324" s="399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  <c r="AZ324" s="380"/>
      <c r="BA324" s="380"/>
      <c r="BB324" s="380"/>
      <c r="BC324" s="380"/>
      <c r="BD324" s="380"/>
      <c r="BE324" s="380"/>
      <c r="BF324" s="380"/>
      <c r="BG324" s="380"/>
      <c r="BH324" s="380"/>
      <c r="BI324" s="380"/>
      <c r="BJ324" s="380"/>
      <c r="BK324" s="380"/>
      <c r="BL324" s="380"/>
      <c r="BM324" s="380"/>
      <c r="BN324" s="380"/>
      <c r="BO324" s="380"/>
      <c r="BP324" s="380"/>
      <c r="BQ324" s="380"/>
      <c r="BR324" s="380"/>
      <c r="BS324" s="380"/>
      <c r="BT324" s="380"/>
    </row>
    <row r="325" spans="1:72" ht="22.5" customHeight="1" x14ac:dyDescent="0.4">
      <c r="A325" s="399"/>
      <c r="B325" s="376">
        <v>317</v>
      </c>
      <c r="C325" s="310">
        <v>44238</v>
      </c>
      <c r="D325" s="229" t="str">
        <f>IFERROR(VLOOKUP(C325,'बँक जमा खर्च पासबुक'!$C$9:$R$111,2,0),"")</f>
        <v/>
      </c>
      <c r="E325" s="229" t="str">
        <f>IFERROR(VLOOKUP(C325,'बँक जमा खर्च पासबुक'!$C$9:$R$111,3,0),"")</f>
        <v/>
      </c>
      <c r="F325" s="229" t="str">
        <f>IFERROR(VLOOKUP(C325,'बँक जमा खर्च पासबुक'!$C$9:$R$111,4,0),"")</f>
        <v/>
      </c>
      <c r="G325" s="229" t="str">
        <f>IFERROR(VLOOKUP(C325,'बँक जमा खर्च पासबुक'!$C$9:$R$111,5,0),"")</f>
        <v/>
      </c>
      <c r="H325" s="229" t="str">
        <f>IFERROR(VLOOKUP(C325,'बँक जमा खर्च पासबुक'!$C$9:$R$111,6,0),"")</f>
        <v/>
      </c>
      <c r="I325" s="229" t="str">
        <f>IFERROR(VLOOKUP(C325,'बँक जमा खर्च पासबुक'!$C$9:$R$111,7,0),"")</f>
        <v/>
      </c>
      <c r="J325" s="233">
        <f>SUMIF('बँक जमा खर्च पासबुक'!$C$9:$C$111,'बँक खर्च व्हाउचर पावती'!C325,'बँक जमा खर्च पासबुक'!$J$9:$J$111)</f>
        <v>0</v>
      </c>
      <c r="K325" s="233">
        <f>SUMIF('बँक जमा खर्च पासबुक'!$C$9:$C$111,'बँक खर्च व्हाउचर पावती'!C325,'बँक जमा खर्च पासबुक'!$K$9:$K$111)</f>
        <v>0</v>
      </c>
      <c r="L325" s="233">
        <f ca="1">SUMIF('बँक जमा खर्च पासबुक'!$C$9:$C$111,'बँक खर्च व्हाउचर पावती'!C325,'बँक जमा खर्च पासबुक'!$L$9:$L$110)</f>
        <v>0</v>
      </c>
      <c r="M325" s="228">
        <f>SUMIF('बँक जमा खर्च पासबुक'!$C$9:$C$111,'बँक खर्च व्हाउचर पावती'!C325,'बँक जमा खर्च पासबुक'!$M$9:$M$111)</f>
        <v>0</v>
      </c>
      <c r="N325" s="233">
        <f t="shared" ca="1" si="188"/>
        <v>3000</v>
      </c>
      <c r="O325" s="228">
        <f t="shared" si="189"/>
        <v>3000</v>
      </c>
      <c r="P325" s="228">
        <f t="shared" ca="1" si="187"/>
        <v>6000</v>
      </c>
      <c r="Q325" s="399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  <c r="AZ325" s="380"/>
      <c r="BA325" s="380"/>
      <c r="BB325" s="380"/>
      <c r="BC325" s="380"/>
      <c r="BD325" s="380"/>
      <c r="BE325" s="380"/>
      <c r="BF325" s="380"/>
      <c r="BG325" s="380"/>
      <c r="BH325" s="380"/>
      <c r="BI325" s="380"/>
      <c r="BJ325" s="380"/>
      <c r="BK325" s="380"/>
      <c r="BL325" s="380"/>
      <c r="BM325" s="380"/>
      <c r="BN325" s="380"/>
      <c r="BO325" s="380"/>
      <c r="BP325" s="380"/>
      <c r="BQ325" s="380"/>
      <c r="BR325" s="380"/>
      <c r="BS325" s="380"/>
      <c r="BT325" s="380"/>
    </row>
    <row r="326" spans="1:72" ht="22.5" customHeight="1" x14ac:dyDescent="0.4">
      <c r="A326" s="399"/>
      <c r="B326" s="376">
        <v>318</v>
      </c>
      <c r="C326" s="310">
        <v>44239</v>
      </c>
      <c r="D326" s="229" t="str">
        <f>IFERROR(VLOOKUP(C326,'बँक जमा खर्च पासबुक'!$C$9:$R$111,2,0),"")</f>
        <v/>
      </c>
      <c r="E326" s="229" t="str">
        <f>IFERROR(VLOOKUP(C326,'बँक जमा खर्च पासबुक'!$C$9:$R$111,3,0),"")</f>
        <v/>
      </c>
      <c r="F326" s="229" t="str">
        <f>IFERROR(VLOOKUP(C326,'बँक जमा खर्च पासबुक'!$C$9:$R$111,4,0),"")</f>
        <v/>
      </c>
      <c r="G326" s="229" t="str">
        <f>IFERROR(VLOOKUP(C326,'बँक जमा खर्च पासबुक'!$C$9:$R$111,5,0),"")</f>
        <v/>
      </c>
      <c r="H326" s="229" t="str">
        <f>IFERROR(VLOOKUP(C326,'बँक जमा खर्च पासबुक'!$C$9:$R$111,6,0),"")</f>
        <v/>
      </c>
      <c r="I326" s="229" t="str">
        <f>IFERROR(VLOOKUP(C326,'बँक जमा खर्च पासबुक'!$C$9:$R$111,7,0),"")</f>
        <v/>
      </c>
      <c r="J326" s="233">
        <f>SUMIF('बँक जमा खर्च पासबुक'!$C$9:$C$111,'बँक खर्च व्हाउचर पावती'!C326,'बँक जमा खर्च पासबुक'!$J$9:$J$111)</f>
        <v>0</v>
      </c>
      <c r="K326" s="233">
        <f>SUMIF('बँक जमा खर्च पासबुक'!$C$9:$C$111,'बँक खर्च व्हाउचर पावती'!C326,'बँक जमा खर्च पासबुक'!$K$9:$K$111)</f>
        <v>0</v>
      </c>
      <c r="L326" s="233">
        <f ca="1">SUMIF('बँक जमा खर्च पासबुक'!$C$9:$C$111,'बँक खर्च व्हाउचर पावती'!C326,'बँक जमा खर्च पासबुक'!$L$9:$L$110)</f>
        <v>0</v>
      </c>
      <c r="M326" s="228">
        <f>SUMIF('बँक जमा खर्च पासबुक'!$C$9:$C$111,'बँक खर्च व्हाउचर पावती'!C326,'बँक जमा खर्च पासबुक'!$M$9:$M$111)</f>
        <v>0</v>
      </c>
      <c r="N326" s="233">
        <f t="shared" ca="1" si="188"/>
        <v>3000</v>
      </c>
      <c r="O326" s="228">
        <f t="shared" si="189"/>
        <v>3000</v>
      </c>
      <c r="P326" s="228">
        <f t="shared" ca="1" si="187"/>
        <v>6000</v>
      </c>
      <c r="Q326" s="399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  <c r="AZ326" s="380"/>
      <c r="BA326" s="380"/>
      <c r="BB326" s="380"/>
      <c r="BC326" s="380"/>
      <c r="BD326" s="380"/>
      <c r="BE326" s="380"/>
      <c r="BF326" s="380"/>
      <c r="BG326" s="380"/>
      <c r="BH326" s="380"/>
      <c r="BI326" s="380"/>
      <c r="BJ326" s="380"/>
      <c r="BK326" s="380"/>
      <c r="BL326" s="380"/>
      <c r="BM326" s="380"/>
      <c r="BN326" s="380"/>
      <c r="BO326" s="380"/>
      <c r="BP326" s="380"/>
      <c r="BQ326" s="380"/>
      <c r="BR326" s="380"/>
      <c r="BS326" s="380"/>
      <c r="BT326" s="380"/>
    </row>
    <row r="327" spans="1:72" ht="22.5" customHeight="1" x14ac:dyDescent="0.4">
      <c r="A327" s="399"/>
      <c r="B327" s="376">
        <v>319</v>
      </c>
      <c r="C327" s="310">
        <v>44240</v>
      </c>
      <c r="D327" s="229" t="str">
        <f>IFERROR(VLOOKUP(C327,'बँक जमा खर्च पासबुक'!$C$9:$R$111,2,0),"")</f>
        <v/>
      </c>
      <c r="E327" s="229" t="str">
        <f>IFERROR(VLOOKUP(C327,'बँक जमा खर्च पासबुक'!$C$9:$R$111,3,0),"")</f>
        <v/>
      </c>
      <c r="F327" s="229" t="str">
        <f>IFERROR(VLOOKUP(C327,'बँक जमा खर्च पासबुक'!$C$9:$R$111,4,0),"")</f>
        <v/>
      </c>
      <c r="G327" s="229" t="str">
        <f>IFERROR(VLOOKUP(C327,'बँक जमा खर्च पासबुक'!$C$9:$R$111,5,0),"")</f>
        <v/>
      </c>
      <c r="H327" s="229" t="str">
        <f>IFERROR(VLOOKUP(C327,'बँक जमा खर्च पासबुक'!$C$9:$R$111,6,0),"")</f>
        <v/>
      </c>
      <c r="I327" s="229" t="str">
        <f>IFERROR(VLOOKUP(C327,'बँक जमा खर्च पासबुक'!$C$9:$R$111,7,0),"")</f>
        <v/>
      </c>
      <c r="J327" s="233">
        <f>SUMIF('बँक जमा खर्च पासबुक'!$C$9:$C$111,'बँक खर्च व्हाउचर पावती'!C327,'बँक जमा खर्च पासबुक'!$J$9:$J$111)</f>
        <v>0</v>
      </c>
      <c r="K327" s="233">
        <f>SUMIF('बँक जमा खर्च पासबुक'!$C$9:$C$111,'बँक खर्च व्हाउचर पावती'!C327,'बँक जमा खर्च पासबुक'!$K$9:$K$111)</f>
        <v>0</v>
      </c>
      <c r="L327" s="233">
        <f ca="1">SUMIF('बँक जमा खर्च पासबुक'!$C$9:$C$111,'बँक खर्च व्हाउचर पावती'!C327,'बँक जमा खर्च पासबुक'!$L$9:$L$110)</f>
        <v>0</v>
      </c>
      <c r="M327" s="228">
        <f>SUMIF('बँक जमा खर्च पासबुक'!$C$9:$C$111,'बँक खर्च व्हाउचर पावती'!C327,'बँक जमा खर्च पासबुक'!$M$9:$M$111)</f>
        <v>0</v>
      </c>
      <c r="N327" s="233">
        <f t="shared" ca="1" si="188"/>
        <v>3000</v>
      </c>
      <c r="O327" s="228">
        <f t="shared" si="189"/>
        <v>3000</v>
      </c>
      <c r="P327" s="228">
        <f t="shared" ca="1" si="187"/>
        <v>6000</v>
      </c>
      <c r="Q327" s="399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0"/>
      <c r="BJ327" s="380"/>
      <c r="BK327" s="380"/>
      <c r="BL327" s="380"/>
      <c r="BM327" s="380"/>
      <c r="BN327" s="380"/>
      <c r="BO327" s="380"/>
      <c r="BP327" s="380"/>
      <c r="BQ327" s="380"/>
      <c r="BR327" s="380"/>
      <c r="BS327" s="380"/>
      <c r="BT327" s="380"/>
    </row>
    <row r="328" spans="1:72" ht="22.5" customHeight="1" x14ac:dyDescent="0.4">
      <c r="A328" s="399"/>
      <c r="B328" s="376">
        <v>320</v>
      </c>
      <c r="C328" s="310">
        <v>44241</v>
      </c>
      <c r="D328" s="229" t="str">
        <f>IFERROR(VLOOKUP(C328,'बँक जमा खर्च पासबुक'!$C$9:$R$111,2,0),"")</f>
        <v/>
      </c>
      <c r="E328" s="229" t="str">
        <f>IFERROR(VLOOKUP(C328,'बँक जमा खर्च पासबुक'!$C$9:$R$111,3,0),"")</f>
        <v/>
      </c>
      <c r="F328" s="229" t="str">
        <f>IFERROR(VLOOKUP(C328,'बँक जमा खर्च पासबुक'!$C$9:$R$111,4,0),"")</f>
        <v/>
      </c>
      <c r="G328" s="229" t="str">
        <f>IFERROR(VLOOKUP(C328,'बँक जमा खर्च पासबुक'!$C$9:$R$111,5,0),"")</f>
        <v/>
      </c>
      <c r="H328" s="229" t="str">
        <f>IFERROR(VLOOKUP(C328,'बँक जमा खर्च पासबुक'!$C$9:$R$111,6,0),"")</f>
        <v/>
      </c>
      <c r="I328" s="229" t="str">
        <f>IFERROR(VLOOKUP(C328,'बँक जमा खर्च पासबुक'!$C$9:$R$111,7,0),"")</f>
        <v/>
      </c>
      <c r="J328" s="233">
        <f>SUMIF('बँक जमा खर्च पासबुक'!$C$9:$C$111,'बँक खर्च व्हाउचर पावती'!C328,'बँक जमा खर्च पासबुक'!$J$9:$J$111)</f>
        <v>0</v>
      </c>
      <c r="K328" s="233">
        <f>SUMIF('बँक जमा खर्च पासबुक'!$C$9:$C$111,'बँक खर्च व्हाउचर पावती'!C328,'बँक जमा खर्च पासबुक'!$K$9:$K$111)</f>
        <v>0</v>
      </c>
      <c r="L328" s="233">
        <f ca="1">SUMIF('बँक जमा खर्च पासबुक'!$C$9:$C$111,'बँक खर्च व्हाउचर पावती'!C328,'बँक जमा खर्च पासबुक'!$L$9:$L$110)</f>
        <v>0</v>
      </c>
      <c r="M328" s="228">
        <f>SUMIF('बँक जमा खर्च पासबुक'!$C$9:$C$111,'बँक खर्च व्हाउचर पावती'!C328,'बँक जमा खर्च पासबुक'!$M$9:$M$111)</f>
        <v>0</v>
      </c>
      <c r="N328" s="233">
        <f t="shared" ca="1" si="188"/>
        <v>3000</v>
      </c>
      <c r="O328" s="228">
        <f t="shared" si="189"/>
        <v>3000</v>
      </c>
      <c r="P328" s="228">
        <f t="shared" ca="1" si="187"/>
        <v>6000</v>
      </c>
      <c r="Q328" s="399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  <c r="AZ328" s="380"/>
      <c r="BA328" s="380"/>
      <c r="BB328" s="380"/>
      <c r="BC328" s="380"/>
      <c r="BD328" s="380"/>
      <c r="BE328" s="380"/>
      <c r="BF328" s="380"/>
      <c r="BG328" s="380"/>
      <c r="BH328" s="380"/>
      <c r="BI328" s="380"/>
      <c r="BJ328" s="380"/>
      <c r="BK328" s="380"/>
      <c r="BL328" s="380"/>
      <c r="BM328" s="380"/>
      <c r="BN328" s="380"/>
      <c r="BO328" s="380"/>
      <c r="BP328" s="380"/>
      <c r="BQ328" s="380"/>
      <c r="BR328" s="380"/>
      <c r="BS328" s="380"/>
      <c r="BT328" s="380"/>
    </row>
    <row r="329" spans="1:72" ht="22.5" customHeight="1" x14ac:dyDescent="0.4">
      <c r="A329" s="399"/>
      <c r="B329" s="376">
        <v>321</v>
      </c>
      <c r="C329" s="310">
        <v>44242</v>
      </c>
      <c r="D329" s="229" t="str">
        <f>IFERROR(VLOOKUP(C329,'बँक जमा खर्च पासबुक'!$C$9:$R$111,2,0),"")</f>
        <v/>
      </c>
      <c r="E329" s="229" t="str">
        <f>IFERROR(VLOOKUP(C329,'बँक जमा खर्च पासबुक'!$C$9:$R$111,3,0),"")</f>
        <v/>
      </c>
      <c r="F329" s="229" t="str">
        <f>IFERROR(VLOOKUP(C329,'बँक जमा खर्च पासबुक'!$C$9:$R$111,4,0),"")</f>
        <v/>
      </c>
      <c r="G329" s="229" t="str">
        <f>IFERROR(VLOOKUP(C329,'बँक जमा खर्च पासबुक'!$C$9:$R$111,5,0),"")</f>
        <v/>
      </c>
      <c r="H329" s="229" t="str">
        <f>IFERROR(VLOOKUP(C329,'बँक जमा खर्च पासबुक'!$C$9:$R$111,6,0),"")</f>
        <v/>
      </c>
      <c r="I329" s="229" t="str">
        <f>IFERROR(VLOOKUP(C329,'बँक जमा खर्च पासबुक'!$C$9:$R$111,7,0),"")</f>
        <v/>
      </c>
      <c r="J329" s="233">
        <f>SUMIF('बँक जमा खर्च पासबुक'!$C$9:$C$111,'बँक खर्च व्हाउचर पावती'!C329,'बँक जमा खर्च पासबुक'!$J$9:$J$111)</f>
        <v>0</v>
      </c>
      <c r="K329" s="233">
        <f>SUMIF('बँक जमा खर्च पासबुक'!$C$9:$C$111,'बँक खर्च व्हाउचर पावती'!C329,'बँक जमा खर्च पासबुक'!$K$9:$K$111)</f>
        <v>0</v>
      </c>
      <c r="L329" s="233">
        <f ca="1">SUMIF('बँक जमा खर्च पासबुक'!$C$9:$C$111,'बँक खर्च व्हाउचर पावती'!C329,'बँक जमा खर्च पासबुक'!$L$9:$L$110)</f>
        <v>0</v>
      </c>
      <c r="M329" s="228">
        <f>SUMIF('बँक जमा खर्च पासबुक'!$C$9:$C$111,'बँक खर्च व्हाउचर पावती'!C329,'बँक जमा खर्च पासबुक'!$M$9:$M$111)</f>
        <v>0</v>
      </c>
      <c r="N329" s="233">
        <f t="shared" ca="1" si="188"/>
        <v>3000</v>
      </c>
      <c r="O329" s="228">
        <f t="shared" si="189"/>
        <v>3000</v>
      </c>
      <c r="P329" s="228">
        <f t="shared" ref="P329:P375" ca="1" si="191">N329+O329</f>
        <v>6000</v>
      </c>
      <c r="Q329" s="399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  <c r="AZ329" s="380"/>
      <c r="BA329" s="380"/>
      <c r="BB329" s="380"/>
      <c r="BC329" s="380"/>
      <c r="BD329" s="380"/>
      <c r="BE329" s="380"/>
      <c r="BF329" s="380"/>
      <c r="BG329" s="380"/>
      <c r="BH329" s="380"/>
      <c r="BI329" s="380"/>
      <c r="BJ329" s="380"/>
      <c r="BK329" s="380"/>
      <c r="BL329" s="380"/>
      <c r="BM329" s="380"/>
      <c r="BN329" s="380"/>
      <c r="BO329" s="380"/>
      <c r="BP329" s="380"/>
      <c r="BQ329" s="380"/>
      <c r="BR329" s="380"/>
      <c r="BS329" s="380"/>
      <c r="BT329" s="380"/>
    </row>
    <row r="330" spans="1:72" ht="22.5" customHeight="1" x14ac:dyDescent="0.4">
      <c r="A330" s="399"/>
      <c r="B330" s="376">
        <v>322</v>
      </c>
      <c r="C330" s="310">
        <v>44243</v>
      </c>
      <c r="D330" s="229" t="str">
        <f>IFERROR(VLOOKUP(C330,'बँक जमा खर्च पासबुक'!$C$9:$R$111,2,0),"")</f>
        <v/>
      </c>
      <c r="E330" s="229" t="str">
        <f>IFERROR(VLOOKUP(C330,'बँक जमा खर्च पासबुक'!$C$9:$R$111,3,0),"")</f>
        <v/>
      </c>
      <c r="F330" s="229" t="str">
        <f>IFERROR(VLOOKUP(C330,'बँक जमा खर्च पासबुक'!$C$9:$R$111,4,0),"")</f>
        <v/>
      </c>
      <c r="G330" s="229" t="str">
        <f>IFERROR(VLOOKUP(C330,'बँक जमा खर्च पासबुक'!$C$9:$R$111,5,0),"")</f>
        <v/>
      </c>
      <c r="H330" s="229" t="str">
        <f>IFERROR(VLOOKUP(C330,'बँक जमा खर्च पासबुक'!$C$9:$R$111,6,0),"")</f>
        <v/>
      </c>
      <c r="I330" s="229" t="str">
        <f>IFERROR(VLOOKUP(C330,'बँक जमा खर्च पासबुक'!$C$9:$R$111,7,0),"")</f>
        <v/>
      </c>
      <c r="J330" s="233">
        <f>SUMIF('बँक जमा खर्च पासबुक'!$C$9:$C$111,'बँक खर्च व्हाउचर पावती'!C330,'बँक जमा खर्च पासबुक'!$J$9:$J$111)</f>
        <v>0</v>
      </c>
      <c r="K330" s="233">
        <f>SUMIF('बँक जमा खर्च पासबुक'!$C$9:$C$111,'बँक खर्च व्हाउचर पावती'!C330,'बँक जमा खर्च पासबुक'!$K$9:$K$111)</f>
        <v>0</v>
      </c>
      <c r="L330" s="233">
        <f ca="1">SUMIF('बँक जमा खर्च पासबुक'!$C$9:$C$111,'बँक खर्च व्हाउचर पावती'!C330,'बँक जमा खर्च पासबुक'!$L$9:$L$110)</f>
        <v>0</v>
      </c>
      <c r="M330" s="228">
        <f>SUMIF('बँक जमा खर्च पासबुक'!$C$9:$C$111,'बँक खर्च व्हाउचर पावती'!C330,'बँक जमा खर्च पासबुक'!$M$9:$M$111)</f>
        <v>0</v>
      </c>
      <c r="N330" s="233">
        <f t="shared" ref="N330:N374" ca="1" si="192">N329+J330-L330</f>
        <v>3000</v>
      </c>
      <c r="O330" s="228">
        <f t="shared" ref="O330:O374" si="193">O329+K330-M330</f>
        <v>3000</v>
      </c>
      <c r="P330" s="228">
        <f t="shared" ca="1" si="191"/>
        <v>6000</v>
      </c>
      <c r="Q330" s="399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  <c r="AZ330" s="380"/>
      <c r="BA330" s="380"/>
      <c r="BB330" s="380"/>
      <c r="BC330" s="380"/>
      <c r="BD330" s="380"/>
      <c r="BE330" s="380"/>
      <c r="BF330" s="380"/>
      <c r="BG330" s="380"/>
      <c r="BH330" s="380"/>
      <c r="BI330" s="380"/>
      <c r="BJ330" s="380"/>
      <c r="BK330" s="380"/>
      <c r="BL330" s="380"/>
      <c r="BM330" s="380"/>
      <c r="BN330" s="380"/>
      <c r="BO330" s="380"/>
      <c r="BP330" s="380"/>
      <c r="BQ330" s="380"/>
      <c r="BR330" s="380"/>
      <c r="BS330" s="380"/>
      <c r="BT330" s="380"/>
    </row>
    <row r="331" spans="1:72" ht="22.5" customHeight="1" x14ac:dyDescent="0.4">
      <c r="A331" s="399"/>
      <c r="B331" s="376">
        <v>323</v>
      </c>
      <c r="C331" s="310">
        <v>44244</v>
      </c>
      <c r="D331" s="229" t="str">
        <f>IFERROR(VLOOKUP(C331,'बँक जमा खर्च पासबुक'!$C$9:$R$111,2,0),"")</f>
        <v/>
      </c>
      <c r="E331" s="229" t="str">
        <f>IFERROR(VLOOKUP(C331,'बँक जमा खर्च पासबुक'!$C$9:$R$111,3,0),"")</f>
        <v/>
      </c>
      <c r="F331" s="229" t="str">
        <f>IFERROR(VLOOKUP(C331,'बँक जमा खर्च पासबुक'!$C$9:$R$111,4,0),"")</f>
        <v/>
      </c>
      <c r="G331" s="229" t="str">
        <f>IFERROR(VLOOKUP(C331,'बँक जमा खर्च पासबुक'!$C$9:$R$111,5,0),"")</f>
        <v/>
      </c>
      <c r="H331" s="229" t="str">
        <f>IFERROR(VLOOKUP(C331,'बँक जमा खर्च पासबुक'!$C$9:$R$111,6,0),"")</f>
        <v/>
      </c>
      <c r="I331" s="229" t="str">
        <f>IFERROR(VLOOKUP(C331,'बँक जमा खर्च पासबुक'!$C$9:$R$111,7,0),"")</f>
        <v/>
      </c>
      <c r="J331" s="233">
        <f>SUMIF('बँक जमा खर्च पासबुक'!$C$9:$C$111,'बँक खर्च व्हाउचर पावती'!C331,'बँक जमा खर्च पासबुक'!$J$9:$J$111)</f>
        <v>0</v>
      </c>
      <c r="K331" s="233">
        <f>SUMIF('बँक जमा खर्च पासबुक'!$C$9:$C$111,'बँक खर्च व्हाउचर पावती'!C331,'बँक जमा खर्च पासबुक'!$K$9:$K$111)</f>
        <v>0</v>
      </c>
      <c r="L331" s="233">
        <f ca="1">SUMIF('बँक जमा खर्च पासबुक'!$C$9:$C$111,'बँक खर्च व्हाउचर पावती'!C331,'बँक जमा खर्च पासबुक'!$L$9:$L$110)</f>
        <v>0</v>
      </c>
      <c r="M331" s="228">
        <f>SUMIF('बँक जमा खर्च पासबुक'!$C$9:$C$111,'बँक खर्च व्हाउचर पावती'!C331,'बँक जमा खर्च पासबुक'!$M$9:$M$111)</f>
        <v>0</v>
      </c>
      <c r="N331" s="233">
        <f t="shared" ca="1" si="192"/>
        <v>3000</v>
      </c>
      <c r="O331" s="228">
        <f t="shared" si="193"/>
        <v>3000</v>
      </c>
      <c r="P331" s="228">
        <f t="shared" ca="1" si="191"/>
        <v>6000</v>
      </c>
      <c r="Q331" s="399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0"/>
      <c r="BJ331" s="380"/>
      <c r="BK331" s="380"/>
      <c r="BL331" s="380"/>
      <c r="BM331" s="380"/>
      <c r="BN331" s="380"/>
      <c r="BO331" s="380"/>
      <c r="BP331" s="380"/>
      <c r="BQ331" s="380"/>
      <c r="BR331" s="380"/>
      <c r="BS331" s="380"/>
      <c r="BT331" s="380"/>
    </row>
    <row r="332" spans="1:72" ht="22.5" customHeight="1" x14ac:dyDescent="0.4">
      <c r="A332" s="399"/>
      <c r="B332" s="376">
        <v>324</v>
      </c>
      <c r="C332" s="310">
        <v>44245</v>
      </c>
      <c r="D332" s="229" t="str">
        <f>IFERROR(VLOOKUP(C332,'बँक जमा खर्च पासबुक'!$C$9:$R$111,2,0),"")</f>
        <v/>
      </c>
      <c r="E332" s="229" t="str">
        <f>IFERROR(VLOOKUP(C332,'बँक जमा खर्च पासबुक'!$C$9:$R$111,3,0),"")</f>
        <v/>
      </c>
      <c r="F332" s="229" t="str">
        <f>IFERROR(VLOOKUP(C332,'बँक जमा खर्च पासबुक'!$C$9:$R$111,4,0),"")</f>
        <v/>
      </c>
      <c r="G332" s="229" t="str">
        <f>IFERROR(VLOOKUP(C332,'बँक जमा खर्च पासबुक'!$C$9:$R$111,5,0),"")</f>
        <v/>
      </c>
      <c r="H332" s="229" t="str">
        <f>IFERROR(VLOOKUP(C332,'बँक जमा खर्च पासबुक'!$C$9:$R$111,6,0),"")</f>
        <v/>
      </c>
      <c r="I332" s="229" t="str">
        <f>IFERROR(VLOOKUP(C332,'बँक जमा खर्च पासबुक'!$C$9:$R$111,7,0),"")</f>
        <v/>
      </c>
      <c r="J332" s="233">
        <f>SUMIF('बँक जमा खर्च पासबुक'!$C$9:$C$111,'बँक खर्च व्हाउचर पावती'!C332,'बँक जमा खर्च पासबुक'!$J$9:$J$111)</f>
        <v>0</v>
      </c>
      <c r="K332" s="233">
        <f>SUMIF('बँक जमा खर्च पासबुक'!$C$9:$C$111,'बँक खर्च व्हाउचर पावती'!C332,'बँक जमा खर्च पासबुक'!$K$9:$K$111)</f>
        <v>0</v>
      </c>
      <c r="L332" s="233">
        <f ca="1">SUMIF('बँक जमा खर्च पासबुक'!$C$9:$C$111,'बँक खर्च व्हाउचर पावती'!C332,'बँक जमा खर्च पासबुक'!$L$9:$L$110)</f>
        <v>0</v>
      </c>
      <c r="M332" s="228">
        <f>SUMIF('बँक जमा खर्च पासबुक'!$C$9:$C$111,'बँक खर्च व्हाउचर पावती'!C332,'बँक जमा खर्च पासबुक'!$M$9:$M$111)</f>
        <v>0</v>
      </c>
      <c r="N332" s="233">
        <f t="shared" ca="1" si="192"/>
        <v>3000</v>
      </c>
      <c r="O332" s="228">
        <f t="shared" si="193"/>
        <v>3000</v>
      </c>
      <c r="P332" s="228">
        <f t="shared" ca="1" si="191"/>
        <v>6000</v>
      </c>
      <c r="Q332" s="399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  <c r="AZ332" s="380"/>
      <c r="BA332" s="380"/>
      <c r="BB332" s="380"/>
      <c r="BC332" s="380"/>
      <c r="BD332" s="380"/>
      <c r="BE332" s="380"/>
      <c r="BF332" s="380"/>
      <c r="BG332" s="380"/>
      <c r="BH332" s="380"/>
      <c r="BI332" s="380"/>
      <c r="BJ332" s="380"/>
      <c r="BK332" s="380"/>
      <c r="BL332" s="380"/>
      <c r="BM332" s="380"/>
      <c r="BN332" s="380"/>
      <c r="BO332" s="380"/>
      <c r="BP332" s="380"/>
      <c r="BQ332" s="380"/>
      <c r="BR332" s="380"/>
      <c r="BS332" s="380"/>
      <c r="BT332" s="380"/>
    </row>
    <row r="333" spans="1:72" ht="22.5" customHeight="1" x14ac:dyDescent="0.4">
      <c r="A333" s="399"/>
      <c r="B333" s="376">
        <v>325</v>
      </c>
      <c r="C333" s="310">
        <v>44246</v>
      </c>
      <c r="D333" s="229" t="str">
        <f>IFERROR(VLOOKUP(C333,'बँक जमा खर्च पासबुक'!$C$9:$R$111,2,0),"")</f>
        <v/>
      </c>
      <c r="E333" s="229" t="str">
        <f>IFERROR(VLOOKUP(C333,'बँक जमा खर्च पासबुक'!$C$9:$R$111,3,0),"")</f>
        <v/>
      </c>
      <c r="F333" s="229" t="str">
        <f>IFERROR(VLOOKUP(C333,'बँक जमा खर्च पासबुक'!$C$9:$R$111,4,0),"")</f>
        <v/>
      </c>
      <c r="G333" s="229" t="str">
        <f>IFERROR(VLOOKUP(C333,'बँक जमा खर्च पासबुक'!$C$9:$R$111,5,0),"")</f>
        <v/>
      </c>
      <c r="H333" s="229" t="str">
        <f>IFERROR(VLOOKUP(C333,'बँक जमा खर्च पासबुक'!$C$9:$R$111,6,0),"")</f>
        <v/>
      </c>
      <c r="I333" s="229" t="str">
        <f>IFERROR(VLOOKUP(C333,'बँक जमा खर्च पासबुक'!$C$9:$R$111,7,0),"")</f>
        <v/>
      </c>
      <c r="J333" s="233">
        <f>SUMIF('बँक जमा खर्च पासबुक'!$C$9:$C$111,'बँक खर्च व्हाउचर पावती'!C333,'बँक जमा खर्च पासबुक'!$J$9:$J$111)</f>
        <v>0</v>
      </c>
      <c r="K333" s="233">
        <f>SUMIF('बँक जमा खर्च पासबुक'!$C$9:$C$111,'बँक खर्च व्हाउचर पावती'!C333,'बँक जमा खर्च पासबुक'!$K$9:$K$111)</f>
        <v>0</v>
      </c>
      <c r="L333" s="233">
        <f ca="1">SUMIF('बँक जमा खर्च पासबुक'!$C$9:$C$111,'बँक खर्च व्हाउचर पावती'!C333,'बँक जमा खर्च पासबुक'!$L$9:$L$110)</f>
        <v>0</v>
      </c>
      <c r="M333" s="228">
        <f>SUMIF('बँक जमा खर्च पासबुक'!$C$9:$C$111,'बँक खर्च व्हाउचर पावती'!C333,'बँक जमा खर्च पासबुक'!$M$9:$M$111)</f>
        <v>0</v>
      </c>
      <c r="N333" s="233">
        <f t="shared" ca="1" si="192"/>
        <v>3000</v>
      </c>
      <c r="O333" s="228">
        <f t="shared" si="193"/>
        <v>3000</v>
      </c>
      <c r="P333" s="228">
        <f t="shared" ca="1" si="191"/>
        <v>6000</v>
      </c>
      <c r="Q333" s="399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  <c r="AZ333" s="380"/>
      <c r="BA333" s="380"/>
      <c r="BB333" s="380"/>
      <c r="BC333" s="380"/>
      <c r="BD333" s="380"/>
      <c r="BE333" s="380"/>
      <c r="BF333" s="380"/>
      <c r="BG333" s="380"/>
      <c r="BH333" s="380"/>
      <c r="BI333" s="380"/>
      <c r="BJ333" s="380"/>
      <c r="BK333" s="380"/>
      <c r="BL333" s="380"/>
      <c r="BM333" s="380"/>
      <c r="BN333" s="380"/>
      <c r="BO333" s="380"/>
      <c r="BP333" s="380"/>
      <c r="BQ333" s="380"/>
      <c r="BR333" s="380"/>
      <c r="BS333" s="380"/>
      <c r="BT333" s="380"/>
    </row>
    <row r="334" spans="1:72" ht="22.5" customHeight="1" x14ac:dyDescent="0.4">
      <c r="A334" s="399"/>
      <c r="B334" s="376">
        <v>326</v>
      </c>
      <c r="C334" s="310">
        <v>44247</v>
      </c>
      <c r="D334" s="229" t="str">
        <f>IFERROR(VLOOKUP(C334,'बँक जमा खर्च पासबुक'!$C$9:$R$111,2,0),"")</f>
        <v/>
      </c>
      <c r="E334" s="229" t="str">
        <f>IFERROR(VLOOKUP(C334,'बँक जमा खर्च पासबुक'!$C$9:$R$111,3,0),"")</f>
        <v/>
      </c>
      <c r="F334" s="229" t="str">
        <f>IFERROR(VLOOKUP(C334,'बँक जमा खर्च पासबुक'!$C$9:$R$111,4,0),"")</f>
        <v/>
      </c>
      <c r="G334" s="229" t="str">
        <f>IFERROR(VLOOKUP(C334,'बँक जमा खर्च पासबुक'!$C$9:$R$111,5,0),"")</f>
        <v/>
      </c>
      <c r="H334" s="229" t="str">
        <f>IFERROR(VLOOKUP(C334,'बँक जमा खर्च पासबुक'!$C$9:$R$111,6,0),"")</f>
        <v/>
      </c>
      <c r="I334" s="229" t="str">
        <f>IFERROR(VLOOKUP(C334,'बँक जमा खर्च पासबुक'!$C$9:$R$111,7,0),"")</f>
        <v/>
      </c>
      <c r="J334" s="233">
        <f>SUMIF('बँक जमा खर्च पासबुक'!$C$9:$C$111,'बँक खर्च व्हाउचर पावती'!C334,'बँक जमा खर्च पासबुक'!$J$9:$J$111)</f>
        <v>0</v>
      </c>
      <c r="K334" s="233">
        <f>SUMIF('बँक जमा खर्च पासबुक'!$C$9:$C$111,'बँक खर्च व्हाउचर पावती'!C334,'बँक जमा खर्च पासबुक'!$K$9:$K$111)</f>
        <v>0</v>
      </c>
      <c r="L334" s="233">
        <f ca="1">SUMIF('बँक जमा खर्च पासबुक'!$C$9:$C$111,'बँक खर्च व्हाउचर पावती'!C334,'बँक जमा खर्च पासबुक'!$L$9:$L$110)</f>
        <v>0</v>
      </c>
      <c r="M334" s="228">
        <f>SUMIF('बँक जमा खर्च पासबुक'!$C$9:$C$111,'बँक खर्च व्हाउचर पावती'!C334,'बँक जमा खर्च पासबुक'!$M$9:$M$111)</f>
        <v>0</v>
      </c>
      <c r="N334" s="233">
        <f t="shared" ca="1" si="192"/>
        <v>3000</v>
      </c>
      <c r="O334" s="228">
        <f t="shared" si="193"/>
        <v>3000</v>
      </c>
      <c r="P334" s="228">
        <f t="shared" ca="1" si="191"/>
        <v>6000</v>
      </c>
      <c r="Q334" s="399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  <c r="AZ334" s="380"/>
      <c r="BA334" s="380"/>
      <c r="BB334" s="380"/>
      <c r="BC334" s="380"/>
      <c r="BD334" s="380"/>
      <c r="BE334" s="380"/>
      <c r="BF334" s="380"/>
      <c r="BG334" s="380"/>
      <c r="BH334" s="380"/>
      <c r="BI334" s="380"/>
      <c r="BJ334" s="380"/>
      <c r="BK334" s="380"/>
      <c r="BL334" s="380"/>
      <c r="BM334" s="380"/>
      <c r="BN334" s="380"/>
      <c r="BO334" s="380"/>
      <c r="BP334" s="380"/>
      <c r="BQ334" s="380"/>
      <c r="BR334" s="380"/>
      <c r="BS334" s="380"/>
      <c r="BT334" s="380"/>
    </row>
    <row r="335" spans="1:72" ht="22.5" customHeight="1" x14ac:dyDescent="0.4">
      <c r="A335" s="399"/>
      <c r="B335" s="376">
        <v>327</v>
      </c>
      <c r="C335" s="310">
        <v>44248</v>
      </c>
      <c r="D335" s="229" t="str">
        <f>IFERROR(VLOOKUP(C335,'बँक जमा खर्च पासबुक'!$C$9:$R$111,2,0),"")</f>
        <v/>
      </c>
      <c r="E335" s="229" t="str">
        <f>IFERROR(VLOOKUP(C335,'बँक जमा खर्च पासबुक'!$C$9:$R$111,3,0),"")</f>
        <v/>
      </c>
      <c r="F335" s="229" t="str">
        <f>IFERROR(VLOOKUP(C335,'बँक जमा खर्च पासबुक'!$C$9:$R$111,4,0),"")</f>
        <v/>
      </c>
      <c r="G335" s="229" t="str">
        <f>IFERROR(VLOOKUP(C335,'बँक जमा खर्च पासबुक'!$C$9:$R$111,5,0),"")</f>
        <v/>
      </c>
      <c r="H335" s="229" t="str">
        <f>IFERROR(VLOOKUP(C335,'बँक जमा खर्च पासबुक'!$C$9:$R$111,6,0),"")</f>
        <v/>
      </c>
      <c r="I335" s="229" t="str">
        <f>IFERROR(VLOOKUP(C335,'बँक जमा खर्च पासबुक'!$C$9:$R$111,7,0),"")</f>
        <v/>
      </c>
      <c r="J335" s="233">
        <f>SUMIF('बँक जमा खर्च पासबुक'!$C$9:$C$111,'बँक खर्च व्हाउचर पावती'!C335,'बँक जमा खर्च पासबुक'!$J$9:$J$111)</f>
        <v>0</v>
      </c>
      <c r="K335" s="233">
        <f>SUMIF('बँक जमा खर्च पासबुक'!$C$9:$C$111,'बँक खर्च व्हाउचर पावती'!C335,'बँक जमा खर्च पासबुक'!$K$9:$K$111)</f>
        <v>0</v>
      </c>
      <c r="L335" s="233">
        <f ca="1">SUMIF('बँक जमा खर्च पासबुक'!$C$9:$C$111,'बँक खर्च व्हाउचर पावती'!C335,'बँक जमा खर्च पासबुक'!$L$9:$L$110)</f>
        <v>0</v>
      </c>
      <c r="M335" s="228">
        <f>SUMIF('बँक जमा खर्च पासबुक'!$C$9:$C$111,'बँक खर्च व्हाउचर पावती'!C335,'बँक जमा खर्च पासबुक'!$M$9:$M$111)</f>
        <v>0</v>
      </c>
      <c r="N335" s="233">
        <f t="shared" ca="1" si="192"/>
        <v>3000</v>
      </c>
      <c r="O335" s="228">
        <f t="shared" si="193"/>
        <v>3000</v>
      </c>
      <c r="P335" s="228">
        <f t="shared" ca="1" si="191"/>
        <v>6000</v>
      </c>
      <c r="Q335" s="399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0"/>
      <c r="BJ335" s="380"/>
      <c r="BK335" s="380"/>
      <c r="BL335" s="380"/>
      <c r="BM335" s="380"/>
      <c r="BN335" s="380"/>
      <c r="BO335" s="380"/>
      <c r="BP335" s="380"/>
      <c r="BQ335" s="380"/>
      <c r="BR335" s="380"/>
      <c r="BS335" s="380"/>
      <c r="BT335" s="380"/>
    </row>
    <row r="336" spans="1:72" ht="22.5" customHeight="1" x14ac:dyDescent="0.4">
      <c r="A336" s="399"/>
      <c r="B336" s="376">
        <v>328</v>
      </c>
      <c r="C336" s="310">
        <v>44249</v>
      </c>
      <c r="D336" s="229" t="str">
        <f>IFERROR(VLOOKUP(C336,'बँक जमा खर्च पासबुक'!$C$9:$R$111,2,0),"")</f>
        <v/>
      </c>
      <c r="E336" s="229" t="str">
        <f>IFERROR(VLOOKUP(C336,'बँक जमा खर्च पासबुक'!$C$9:$R$111,3,0),"")</f>
        <v/>
      </c>
      <c r="F336" s="229" t="str">
        <f>IFERROR(VLOOKUP(C336,'बँक जमा खर्च पासबुक'!$C$9:$R$111,4,0),"")</f>
        <v/>
      </c>
      <c r="G336" s="229" t="str">
        <f>IFERROR(VLOOKUP(C336,'बँक जमा खर्च पासबुक'!$C$9:$R$111,5,0),"")</f>
        <v/>
      </c>
      <c r="H336" s="229" t="str">
        <f>IFERROR(VLOOKUP(C336,'बँक जमा खर्च पासबुक'!$C$9:$R$111,6,0),"")</f>
        <v/>
      </c>
      <c r="I336" s="229" t="str">
        <f>IFERROR(VLOOKUP(C336,'बँक जमा खर्च पासबुक'!$C$9:$R$111,7,0),"")</f>
        <v/>
      </c>
      <c r="J336" s="233">
        <f>SUMIF('बँक जमा खर्च पासबुक'!$C$9:$C$111,'बँक खर्च व्हाउचर पावती'!C336,'बँक जमा खर्च पासबुक'!$J$9:$J$111)</f>
        <v>0</v>
      </c>
      <c r="K336" s="233">
        <f>SUMIF('बँक जमा खर्च पासबुक'!$C$9:$C$111,'बँक खर्च व्हाउचर पावती'!C336,'बँक जमा खर्च पासबुक'!$K$9:$K$111)</f>
        <v>0</v>
      </c>
      <c r="L336" s="233">
        <f ca="1">SUMIF('बँक जमा खर्च पासबुक'!$C$9:$C$111,'बँक खर्च व्हाउचर पावती'!C336,'बँक जमा खर्च पासबुक'!$L$9:$L$110)</f>
        <v>0</v>
      </c>
      <c r="M336" s="228">
        <f>SUMIF('बँक जमा खर्च पासबुक'!$C$9:$C$111,'बँक खर्च व्हाउचर पावती'!C336,'बँक जमा खर्च पासबुक'!$M$9:$M$111)</f>
        <v>0</v>
      </c>
      <c r="N336" s="233">
        <f t="shared" ca="1" si="192"/>
        <v>3000</v>
      </c>
      <c r="O336" s="228">
        <f t="shared" si="193"/>
        <v>3000</v>
      </c>
      <c r="P336" s="228">
        <f t="shared" ca="1" si="191"/>
        <v>6000</v>
      </c>
      <c r="Q336" s="399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  <c r="AZ336" s="380"/>
      <c r="BA336" s="380"/>
      <c r="BB336" s="380"/>
      <c r="BC336" s="380"/>
      <c r="BD336" s="380"/>
      <c r="BE336" s="380"/>
      <c r="BF336" s="380"/>
      <c r="BG336" s="380"/>
      <c r="BH336" s="380"/>
      <c r="BI336" s="380"/>
      <c r="BJ336" s="380"/>
      <c r="BK336" s="380"/>
      <c r="BL336" s="380"/>
      <c r="BM336" s="380"/>
      <c r="BN336" s="380"/>
      <c r="BO336" s="380"/>
      <c r="BP336" s="380"/>
      <c r="BQ336" s="380"/>
      <c r="BR336" s="380"/>
      <c r="BS336" s="380"/>
      <c r="BT336" s="380"/>
    </row>
    <row r="337" spans="1:72" ht="22.5" customHeight="1" x14ac:dyDescent="0.4">
      <c r="A337" s="399"/>
      <c r="B337" s="376">
        <v>329</v>
      </c>
      <c r="C337" s="310">
        <v>44250</v>
      </c>
      <c r="D337" s="229" t="str">
        <f>IFERROR(VLOOKUP(C337,'बँक जमा खर्च पासबुक'!$C$9:$R$111,2,0),"")</f>
        <v/>
      </c>
      <c r="E337" s="229" t="str">
        <f>IFERROR(VLOOKUP(C337,'बँक जमा खर्च पासबुक'!$C$9:$R$111,3,0),"")</f>
        <v/>
      </c>
      <c r="F337" s="229" t="str">
        <f>IFERROR(VLOOKUP(C337,'बँक जमा खर्च पासबुक'!$C$9:$R$111,4,0),"")</f>
        <v/>
      </c>
      <c r="G337" s="229" t="str">
        <f>IFERROR(VLOOKUP(C337,'बँक जमा खर्च पासबुक'!$C$9:$R$111,5,0),"")</f>
        <v/>
      </c>
      <c r="H337" s="229" t="str">
        <f>IFERROR(VLOOKUP(C337,'बँक जमा खर्च पासबुक'!$C$9:$R$111,6,0),"")</f>
        <v/>
      </c>
      <c r="I337" s="229" t="str">
        <f>IFERROR(VLOOKUP(C337,'बँक जमा खर्च पासबुक'!$C$9:$R$111,7,0),"")</f>
        <v/>
      </c>
      <c r="J337" s="233">
        <f>SUMIF('बँक जमा खर्च पासबुक'!$C$9:$C$111,'बँक खर्च व्हाउचर पावती'!C337,'बँक जमा खर्च पासबुक'!$J$9:$J$111)</f>
        <v>0</v>
      </c>
      <c r="K337" s="233">
        <f>SUMIF('बँक जमा खर्च पासबुक'!$C$9:$C$111,'बँक खर्च व्हाउचर पावती'!C337,'बँक जमा खर्च पासबुक'!$K$9:$K$111)</f>
        <v>0</v>
      </c>
      <c r="L337" s="233">
        <f ca="1">SUMIF('बँक जमा खर्च पासबुक'!$C$9:$C$111,'बँक खर्च व्हाउचर पावती'!C337,'बँक जमा खर्च पासबुक'!$L$9:$L$110)</f>
        <v>0</v>
      </c>
      <c r="M337" s="228">
        <f>SUMIF('बँक जमा खर्च पासबुक'!$C$9:$C$111,'बँक खर्च व्हाउचर पावती'!C337,'बँक जमा खर्च पासबुक'!$M$9:$M$111)</f>
        <v>0</v>
      </c>
      <c r="N337" s="233">
        <f t="shared" ca="1" si="192"/>
        <v>3000</v>
      </c>
      <c r="O337" s="228">
        <f t="shared" si="193"/>
        <v>3000</v>
      </c>
      <c r="P337" s="228">
        <f t="shared" ca="1" si="191"/>
        <v>6000</v>
      </c>
      <c r="Q337" s="399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  <c r="AZ337" s="380"/>
      <c r="BA337" s="380"/>
      <c r="BB337" s="380"/>
      <c r="BC337" s="380"/>
      <c r="BD337" s="380"/>
      <c r="BE337" s="380"/>
      <c r="BF337" s="380"/>
      <c r="BG337" s="380"/>
      <c r="BH337" s="380"/>
      <c r="BI337" s="380"/>
      <c r="BJ337" s="380"/>
      <c r="BK337" s="380"/>
      <c r="BL337" s="380"/>
      <c r="BM337" s="380"/>
      <c r="BN337" s="380"/>
      <c r="BO337" s="380"/>
      <c r="BP337" s="380"/>
      <c r="BQ337" s="380"/>
      <c r="BR337" s="380"/>
      <c r="BS337" s="380"/>
      <c r="BT337" s="380"/>
    </row>
    <row r="338" spans="1:72" ht="22.5" customHeight="1" x14ac:dyDescent="0.4">
      <c r="A338" s="399"/>
      <c r="B338" s="376">
        <v>330</v>
      </c>
      <c r="C338" s="310">
        <v>44251</v>
      </c>
      <c r="D338" s="229" t="str">
        <f>IFERROR(VLOOKUP(C338,'बँक जमा खर्च पासबुक'!$C$9:$R$111,2,0),"")</f>
        <v/>
      </c>
      <c r="E338" s="229" t="str">
        <f>IFERROR(VLOOKUP(C338,'बँक जमा खर्च पासबुक'!$C$9:$R$111,3,0),"")</f>
        <v/>
      </c>
      <c r="F338" s="229" t="str">
        <f>IFERROR(VLOOKUP(C338,'बँक जमा खर्च पासबुक'!$C$9:$R$111,4,0),"")</f>
        <v/>
      </c>
      <c r="G338" s="229" t="str">
        <f>IFERROR(VLOOKUP(C338,'बँक जमा खर्च पासबुक'!$C$9:$R$111,5,0),"")</f>
        <v/>
      </c>
      <c r="H338" s="229" t="str">
        <f>IFERROR(VLOOKUP(C338,'बँक जमा खर्च पासबुक'!$C$9:$R$111,6,0),"")</f>
        <v/>
      </c>
      <c r="I338" s="229" t="str">
        <f>IFERROR(VLOOKUP(C338,'बँक जमा खर्च पासबुक'!$C$9:$R$111,7,0),"")</f>
        <v/>
      </c>
      <c r="J338" s="233">
        <f>SUMIF('बँक जमा खर्च पासबुक'!$C$9:$C$111,'बँक खर्च व्हाउचर पावती'!C338,'बँक जमा खर्च पासबुक'!$J$9:$J$111)</f>
        <v>0</v>
      </c>
      <c r="K338" s="233">
        <f>SUMIF('बँक जमा खर्च पासबुक'!$C$9:$C$111,'बँक खर्च व्हाउचर पावती'!C338,'बँक जमा खर्च पासबुक'!$K$9:$K$111)</f>
        <v>0</v>
      </c>
      <c r="L338" s="233">
        <f ca="1">SUMIF('बँक जमा खर्च पासबुक'!$C$9:$C$111,'बँक खर्च व्हाउचर पावती'!C338,'बँक जमा खर्च पासबुक'!$L$9:$L$110)</f>
        <v>0</v>
      </c>
      <c r="M338" s="228">
        <f>SUMIF('बँक जमा खर्च पासबुक'!$C$9:$C$111,'बँक खर्च व्हाउचर पावती'!C338,'बँक जमा खर्च पासबुक'!$M$9:$M$111)</f>
        <v>0</v>
      </c>
      <c r="N338" s="233">
        <f t="shared" ca="1" si="192"/>
        <v>3000</v>
      </c>
      <c r="O338" s="228">
        <f t="shared" si="193"/>
        <v>3000</v>
      </c>
      <c r="P338" s="228">
        <f t="shared" ca="1" si="191"/>
        <v>6000</v>
      </c>
      <c r="Q338" s="399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  <c r="AZ338" s="380"/>
      <c r="BA338" s="380"/>
      <c r="BB338" s="380"/>
      <c r="BC338" s="380"/>
      <c r="BD338" s="380"/>
      <c r="BE338" s="380"/>
      <c r="BF338" s="380"/>
      <c r="BG338" s="380"/>
      <c r="BH338" s="380"/>
      <c r="BI338" s="380"/>
      <c r="BJ338" s="380"/>
      <c r="BK338" s="380"/>
      <c r="BL338" s="380"/>
      <c r="BM338" s="380"/>
      <c r="BN338" s="380"/>
      <c r="BO338" s="380"/>
      <c r="BP338" s="380"/>
      <c r="BQ338" s="380"/>
      <c r="BR338" s="380"/>
      <c r="BS338" s="380"/>
      <c r="BT338" s="380"/>
    </row>
    <row r="339" spans="1:72" ht="22.5" customHeight="1" x14ac:dyDescent="0.4">
      <c r="A339" s="399"/>
      <c r="B339" s="376">
        <v>331</v>
      </c>
      <c r="C339" s="310">
        <v>44252</v>
      </c>
      <c r="D339" s="229" t="str">
        <f>IFERROR(VLOOKUP(C339,'बँक जमा खर्च पासबुक'!$C$9:$R$111,2,0),"")</f>
        <v/>
      </c>
      <c r="E339" s="229" t="str">
        <f>IFERROR(VLOOKUP(C339,'बँक जमा खर्च पासबुक'!$C$9:$R$111,3,0),"")</f>
        <v/>
      </c>
      <c r="F339" s="229" t="str">
        <f>IFERROR(VLOOKUP(C339,'बँक जमा खर्च पासबुक'!$C$9:$R$111,4,0),"")</f>
        <v/>
      </c>
      <c r="G339" s="229" t="str">
        <f>IFERROR(VLOOKUP(C339,'बँक जमा खर्च पासबुक'!$C$9:$R$111,5,0),"")</f>
        <v/>
      </c>
      <c r="H339" s="229" t="str">
        <f>IFERROR(VLOOKUP(C339,'बँक जमा खर्च पासबुक'!$C$9:$R$111,6,0),"")</f>
        <v/>
      </c>
      <c r="I339" s="229" t="str">
        <f>IFERROR(VLOOKUP(C339,'बँक जमा खर्च पासबुक'!$C$9:$R$111,7,0),"")</f>
        <v/>
      </c>
      <c r="J339" s="233">
        <f>SUMIF('बँक जमा खर्च पासबुक'!$C$9:$C$111,'बँक खर्च व्हाउचर पावती'!C339,'बँक जमा खर्च पासबुक'!$J$9:$J$111)</f>
        <v>0</v>
      </c>
      <c r="K339" s="233">
        <f>SUMIF('बँक जमा खर्च पासबुक'!$C$9:$C$111,'बँक खर्च व्हाउचर पावती'!C339,'बँक जमा खर्च पासबुक'!$K$9:$K$111)</f>
        <v>0</v>
      </c>
      <c r="L339" s="233">
        <f ca="1">SUMIF('बँक जमा खर्च पासबुक'!$C$9:$C$111,'बँक खर्च व्हाउचर पावती'!C339,'बँक जमा खर्च पासबुक'!$L$9:$L$110)</f>
        <v>0</v>
      </c>
      <c r="M339" s="228">
        <f>SUMIF('बँक जमा खर्च पासबुक'!$C$9:$C$111,'बँक खर्च व्हाउचर पावती'!C339,'बँक जमा खर्च पासबुक'!$M$9:$M$111)</f>
        <v>0</v>
      </c>
      <c r="N339" s="233">
        <f t="shared" ca="1" si="192"/>
        <v>3000</v>
      </c>
      <c r="O339" s="228">
        <f t="shared" si="193"/>
        <v>3000</v>
      </c>
      <c r="P339" s="228">
        <f t="shared" ca="1" si="191"/>
        <v>6000</v>
      </c>
      <c r="Q339" s="399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0"/>
      <c r="BJ339" s="380"/>
      <c r="BK339" s="380"/>
      <c r="BL339" s="380"/>
      <c r="BM339" s="380"/>
      <c r="BN339" s="380"/>
      <c r="BO339" s="380"/>
      <c r="BP339" s="380"/>
      <c r="BQ339" s="380"/>
      <c r="BR339" s="380"/>
      <c r="BS339" s="380"/>
      <c r="BT339" s="380"/>
    </row>
    <row r="340" spans="1:72" ht="22.5" customHeight="1" x14ac:dyDescent="0.4">
      <c r="A340" s="399"/>
      <c r="B340" s="376">
        <v>332</v>
      </c>
      <c r="C340" s="310">
        <v>44253</v>
      </c>
      <c r="D340" s="229" t="str">
        <f>IFERROR(VLOOKUP(C340,'बँक जमा खर्च पासबुक'!$C$9:$R$111,2,0),"")</f>
        <v/>
      </c>
      <c r="E340" s="229" t="str">
        <f>IFERROR(VLOOKUP(C340,'बँक जमा खर्च पासबुक'!$C$9:$R$111,3,0),"")</f>
        <v/>
      </c>
      <c r="F340" s="229" t="str">
        <f>IFERROR(VLOOKUP(C340,'बँक जमा खर्च पासबुक'!$C$9:$R$111,4,0),"")</f>
        <v/>
      </c>
      <c r="G340" s="229" t="str">
        <f>IFERROR(VLOOKUP(C340,'बँक जमा खर्च पासबुक'!$C$9:$R$111,5,0),"")</f>
        <v/>
      </c>
      <c r="H340" s="229" t="str">
        <f>IFERROR(VLOOKUP(C340,'बँक जमा खर्च पासबुक'!$C$9:$R$111,6,0),"")</f>
        <v/>
      </c>
      <c r="I340" s="229" t="str">
        <f>IFERROR(VLOOKUP(C340,'बँक जमा खर्च पासबुक'!$C$9:$R$111,7,0),"")</f>
        <v/>
      </c>
      <c r="J340" s="233">
        <f>SUMIF('बँक जमा खर्च पासबुक'!$C$9:$C$111,'बँक खर्च व्हाउचर पावती'!C340,'बँक जमा खर्च पासबुक'!$J$9:$J$111)</f>
        <v>0</v>
      </c>
      <c r="K340" s="233">
        <f>SUMIF('बँक जमा खर्च पासबुक'!$C$9:$C$111,'बँक खर्च व्हाउचर पावती'!C340,'बँक जमा खर्च पासबुक'!$K$9:$K$111)</f>
        <v>0</v>
      </c>
      <c r="L340" s="233">
        <f ca="1">SUMIF('बँक जमा खर्च पासबुक'!$C$9:$C$111,'बँक खर्च व्हाउचर पावती'!C340,'बँक जमा खर्च पासबुक'!$L$9:$L$110)</f>
        <v>0</v>
      </c>
      <c r="M340" s="228">
        <f>SUMIF('बँक जमा खर्च पासबुक'!$C$9:$C$111,'बँक खर्च व्हाउचर पावती'!C340,'बँक जमा खर्च पासबुक'!$M$9:$M$111)</f>
        <v>0</v>
      </c>
      <c r="N340" s="233">
        <f t="shared" ca="1" si="192"/>
        <v>3000</v>
      </c>
      <c r="O340" s="228">
        <f t="shared" si="193"/>
        <v>3000</v>
      </c>
      <c r="P340" s="228">
        <f t="shared" ca="1" si="191"/>
        <v>6000</v>
      </c>
      <c r="Q340" s="399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  <c r="AZ340" s="380"/>
      <c r="BA340" s="380"/>
      <c r="BB340" s="380"/>
      <c r="BC340" s="380"/>
      <c r="BD340" s="380"/>
      <c r="BE340" s="380"/>
      <c r="BF340" s="380"/>
      <c r="BG340" s="380"/>
      <c r="BH340" s="380"/>
      <c r="BI340" s="380"/>
      <c r="BJ340" s="380"/>
      <c r="BK340" s="380"/>
      <c r="BL340" s="380"/>
      <c r="BM340" s="380"/>
      <c r="BN340" s="380"/>
      <c r="BO340" s="380"/>
      <c r="BP340" s="380"/>
      <c r="BQ340" s="380"/>
      <c r="BR340" s="380"/>
      <c r="BS340" s="380"/>
      <c r="BT340" s="380"/>
    </row>
    <row r="341" spans="1:72" ht="22.5" customHeight="1" x14ac:dyDescent="0.4">
      <c r="A341" s="399"/>
      <c r="B341" s="376">
        <v>333</v>
      </c>
      <c r="C341" s="310">
        <v>44254</v>
      </c>
      <c r="D341" s="229" t="str">
        <f>IFERROR(VLOOKUP(C341,'बँक जमा खर्च पासबुक'!$C$9:$R$111,2,0),"")</f>
        <v/>
      </c>
      <c r="E341" s="229" t="str">
        <f>IFERROR(VLOOKUP(C341,'बँक जमा खर्च पासबुक'!$C$9:$R$111,3,0),"")</f>
        <v/>
      </c>
      <c r="F341" s="229" t="str">
        <f>IFERROR(VLOOKUP(C341,'बँक जमा खर्च पासबुक'!$C$9:$R$111,4,0),"")</f>
        <v/>
      </c>
      <c r="G341" s="229" t="str">
        <f>IFERROR(VLOOKUP(C341,'बँक जमा खर्च पासबुक'!$C$9:$R$111,5,0),"")</f>
        <v/>
      </c>
      <c r="H341" s="229" t="str">
        <f>IFERROR(VLOOKUP(C341,'बँक जमा खर्च पासबुक'!$C$9:$R$111,6,0),"")</f>
        <v/>
      </c>
      <c r="I341" s="229" t="str">
        <f>IFERROR(VLOOKUP(C341,'बँक जमा खर्च पासबुक'!$C$9:$R$111,7,0),"")</f>
        <v/>
      </c>
      <c r="J341" s="233">
        <f>SUMIF('बँक जमा खर्च पासबुक'!$C$9:$C$111,'बँक खर्च व्हाउचर पावती'!C341,'बँक जमा खर्च पासबुक'!$J$9:$J$111)</f>
        <v>0</v>
      </c>
      <c r="K341" s="233">
        <f>SUMIF('बँक जमा खर्च पासबुक'!$C$9:$C$111,'बँक खर्च व्हाउचर पावती'!C341,'बँक जमा खर्च पासबुक'!$K$9:$K$111)</f>
        <v>0</v>
      </c>
      <c r="L341" s="233">
        <f ca="1">SUMIF('बँक जमा खर्च पासबुक'!$C$9:$C$111,'बँक खर्च व्हाउचर पावती'!C341,'बँक जमा खर्च पासबुक'!$L$9:$L$110)</f>
        <v>0</v>
      </c>
      <c r="M341" s="228">
        <f>SUMIF('बँक जमा खर्च पासबुक'!$C$9:$C$111,'बँक खर्च व्हाउचर पावती'!C341,'बँक जमा खर्च पासबुक'!$M$9:$M$111)</f>
        <v>0</v>
      </c>
      <c r="N341" s="233">
        <f t="shared" ca="1" si="192"/>
        <v>3000</v>
      </c>
      <c r="O341" s="228">
        <f t="shared" si="193"/>
        <v>3000</v>
      </c>
      <c r="P341" s="228">
        <f t="shared" ca="1" si="191"/>
        <v>6000</v>
      </c>
      <c r="Q341" s="399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  <c r="AZ341" s="380"/>
      <c r="BA341" s="380"/>
      <c r="BB341" s="380"/>
      <c r="BC341" s="380"/>
      <c r="BD341" s="380"/>
      <c r="BE341" s="380"/>
      <c r="BF341" s="380"/>
      <c r="BG341" s="380"/>
      <c r="BH341" s="380"/>
      <c r="BI341" s="380"/>
      <c r="BJ341" s="380"/>
      <c r="BK341" s="380"/>
      <c r="BL341" s="380"/>
      <c r="BM341" s="380"/>
      <c r="BN341" s="380"/>
      <c r="BO341" s="380"/>
      <c r="BP341" s="380"/>
      <c r="BQ341" s="380"/>
      <c r="BR341" s="380"/>
      <c r="BS341" s="380"/>
      <c r="BT341" s="380"/>
    </row>
    <row r="342" spans="1:72" ht="22.5" customHeight="1" x14ac:dyDescent="0.4">
      <c r="A342" s="399"/>
      <c r="B342" s="376">
        <v>334</v>
      </c>
      <c r="C342" s="310">
        <v>44255</v>
      </c>
      <c r="D342" s="229" t="str">
        <f>IFERROR(VLOOKUP(C342,'बँक जमा खर्च पासबुक'!$C$9:$R$111,2,0),"")</f>
        <v/>
      </c>
      <c r="E342" s="229" t="str">
        <f>IFERROR(VLOOKUP(C342,'बँक जमा खर्च पासबुक'!$C$9:$R$111,3,0),"")</f>
        <v/>
      </c>
      <c r="F342" s="229" t="str">
        <f>IFERROR(VLOOKUP(C342,'बँक जमा खर्च पासबुक'!$C$9:$R$111,4,0),"")</f>
        <v/>
      </c>
      <c r="G342" s="229" t="str">
        <f>IFERROR(VLOOKUP(C342,'बँक जमा खर्च पासबुक'!$C$9:$R$111,5,0),"")</f>
        <v/>
      </c>
      <c r="H342" s="229" t="str">
        <f>IFERROR(VLOOKUP(C342,'बँक जमा खर्च पासबुक'!$C$9:$R$111,6,0),"")</f>
        <v/>
      </c>
      <c r="I342" s="229" t="str">
        <f>IFERROR(VLOOKUP(C342,'बँक जमा खर्च पासबुक'!$C$9:$R$111,7,0),"")</f>
        <v/>
      </c>
      <c r="J342" s="233">
        <f>SUMIF('बँक जमा खर्च पासबुक'!$C$9:$C$111,'बँक खर्च व्हाउचर पावती'!C342,'बँक जमा खर्च पासबुक'!$J$9:$J$111)</f>
        <v>0</v>
      </c>
      <c r="K342" s="233">
        <f>SUMIF('बँक जमा खर्च पासबुक'!$C$9:$C$111,'बँक खर्च व्हाउचर पावती'!C342,'बँक जमा खर्च पासबुक'!$K$9:$K$111)</f>
        <v>0</v>
      </c>
      <c r="L342" s="233">
        <f ca="1">SUMIF('बँक जमा खर्च पासबुक'!$C$9:$C$111,'बँक खर्च व्हाउचर पावती'!C342,'बँक जमा खर्च पासबुक'!$L$9:$L$110)</f>
        <v>0</v>
      </c>
      <c r="M342" s="228">
        <f>SUMIF('बँक जमा खर्च पासबुक'!$C$9:$C$111,'बँक खर्च व्हाउचर पावती'!C342,'बँक जमा खर्च पासबुक'!$M$9:$M$111)</f>
        <v>0</v>
      </c>
      <c r="N342" s="233">
        <f t="shared" ca="1" si="192"/>
        <v>3000</v>
      </c>
      <c r="O342" s="228">
        <f t="shared" si="193"/>
        <v>3000</v>
      </c>
      <c r="P342" s="228">
        <f t="shared" ca="1" si="191"/>
        <v>6000</v>
      </c>
      <c r="Q342" s="399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  <c r="AZ342" s="380"/>
      <c r="BA342" s="380"/>
      <c r="BB342" s="380"/>
      <c r="BC342" s="380"/>
      <c r="BD342" s="380"/>
      <c r="BE342" s="380"/>
      <c r="BF342" s="380"/>
      <c r="BG342" s="380"/>
      <c r="BH342" s="380"/>
      <c r="BI342" s="380"/>
      <c r="BJ342" s="380"/>
      <c r="BK342" s="380"/>
      <c r="BL342" s="380"/>
      <c r="BM342" s="380"/>
      <c r="BN342" s="380"/>
      <c r="BO342" s="380"/>
      <c r="BP342" s="380"/>
      <c r="BQ342" s="380"/>
      <c r="BR342" s="380"/>
      <c r="BS342" s="380"/>
      <c r="BT342" s="380"/>
    </row>
    <row r="343" spans="1:72" ht="22.5" customHeight="1" x14ac:dyDescent="0.4">
      <c r="A343" s="399"/>
      <c r="B343" s="376">
        <v>335</v>
      </c>
      <c r="C343" s="310"/>
      <c r="D343" s="376"/>
      <c r="E343" s="229" t="str">
        <f>IFERROR(VLOOKUP(C343,'बँक जमा खर्च पासबुक'!$C$9:$R$111,3,0),"")</f>
        <v/>
      </c>
      <c r="F343" s="229" t="str">
        <f>IFERROR(VLOOKUP(C343,'बँक जमा खर्च पासबुक'!$C$9:$R$111,4,0),"")</f>
        <v/>
      </c>
      <c r="G343" s="229" t="str">
        <f>IFERROR(VLOOKUP(C343,'बँक जमा खर्च पासबुक'!$C$9:$R$111,5,0),"")</f>
        <v/>
      </c>
      <c r="H343" s="229" t="str">
        <f>IFERROR(VLOOKUP(C343,'बँक जमा खर्च पासबुक'!$C$9:$R$111,6,0),"")</f>
        <v/>
      </c>
      <c r="I343" s="229" t="str">
        <f>IFERROR(VLOOKUP(C343,'बँक जमा खर्च पासबुक'!$C$9:$R$111,7,0),"")</f>
        <v/>
      </c>
      <c r="J343" s="233">
        <f>SUMIF('बँक जमा खर्च पासबुक'!$C$9:$C$111,'बँक खर्च व्हाउचर पावती'!C343,'बँक जमा खर्च पासबुक'!$J$9:$J$111)</f>
        <v>0</v>
      </c>
      <c r="K343" s="233">
        <f>SUMIF('बँक जमा खर्च पासबुक'!$C$9:$C$111,'बँक खर्च व्हाउचर पावती'!C343,'बँक जमा खर्च पासबुक'!$K$9:$K$111)</f>
        <v>0</v>
      </c>
      <c r="L343" s="233">
        <f ca="1">SUMIF('बँक जमा खर्च पासबुक'!$C$9:$C$111,'बँक खर्च व्हाउचर पावती'!C343,'बँक जमा खर्च पासबुक'!$L$9:$L$110)</f>
        <v>0</v>
      </c>
      <c r="M343" s="228">
        <f>SUMIF('बँक जमा खर्च पासबुक'!$C$9:$C$111,'बँक खर्च व्हाउचर पावती'!C343,'बँक जमा खर्च पासबुक'!$M$9:$M$111)</f>
        <v>0</v>
      </c>
      <c r="N343" s="233">
        <f t="shared" ca="1" si="192"/>
        <v>3000</v>
      </c>
      <c r="O343" s="228">
        <f t="shared" si="193"/>
        <v>3000</v>
      </c>
      <c r="P343" s="228">
        <f t="shared" ca="1" si="191"/>
        <v>6000</v>
      </c>
      <c r="Q343" s="399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0"/>
      <c r="BJ343" s="380"/>
      <c r="BK343" s="380"/>
      <c r="BL343" s="380"/>
      <c r="BM343" s="380"/>
      <c r="BN343" s="380"/>
      <c r="BO343" s="380"/>
      <c r="BP343" s="380"/>
      <c r="BQ343" s="380"/>
      <c r="BR343" s="380"/>
      <c r="BS343" s="380"/>
      <c r="BT343" s="380"/>
    </row>
    <row r="344" spans="1:72" ht="22.5" customHeight="1" x14ac:dyDescent="0.4">
      <c r="A344" s="399" t="s">
        <v>41</v>
      </c>
      <c r="B344" s="376">
        <v>336</v>
      </c>
      <c r="C344" s="310">
        <v>44256</v>
      </c>
      <c r="D344" s="229" t="str">
        <f>IFERROR(VLOOKUP(C344,'बँक जमा खर्च पासबुक'!$C$9:$R$111,2,0),"")</f>
        <v/>
      </c>
      <c r="E344" s="229" t="str">
        <f>IFERROR(VLOOKUP(C344,'बँक जमा खर्च पासबुक'!$C$9:$R$111,3,0),"")</f>
        <v/>
      </c>
      <c r="F344" s="229" t="str">
        <f>IFERROR(VLOOKUP(C344,'बँक जमा खर्च पासबुक'!$C$9:$R$111,4,0),"")</f>
        <v/>
      </c>
      <c r="G344" s="229" t="str">
        <f>IFERROR(VLOOKUP(C344,'बँक जमा खर्च पासबुक'!$C$9:$R$111,5,0),"")</f>
        <v/>
      </c>
      <c r="H344" s="229" t="str">
        <f>IFERROR(VLOOKUP(C344,'बँक जमा खर्च पासबुक'!$C$9:$R$111,6,0),"")</f>
        <v/>
      </c>
      <c r="I344" s="229" t="str">
        <f>IFERROR(VLOOKUP(C344,'बँक जमा खर्च पासबुक'!$C$9:$R$111,7,0),"")</f>
        <v/>
      </c>
      <c r="J344" s="233">
        <f>SUMIF('बँक जमा खर्च पासबुक'!$C$9:$C$111,'बँक खर्च व्हाउचर पावती'!C344,'बँक जमा खर्च पासबुक'!$J$9:$J$111)</f>
        <v>0</v>
      </c>
      <c r="K344" s="233">
        <f>SUMIF('बँक जमा खर्च पासबुक'!$C$9:$C$111,'बँक खर्च व्हाउचर पावती'!C344,'बँक जमा खर्च पासबुक'!$K$9:$K$111)</f>
        <v>0</v>
      </c>
      <c r="L344" s="233">
        <f ca="1">SUMIF('बँक जमा खर्च पासबुक'!$C$9:$C$111,'बँक खर्च व्हाउचर पावती'!C344,'बँक जमा खर्च पासबुक'!$L$9:$L$110)</f>
        <v>0</v>
      </c>
      <c r="M344" s="228">
        <f>SUMIF('बँक जमा खर्च पासबुक'!$C$9:$C$111,'बँक खर्च व्हाउचर पावती'!C344,'बँक जमा खर्च पासबुक'!$M$9:$M$111)</f>
        <v>0</v>
      </c>
      <c r="N344" s="233">
        <f t="shared" ca="1" si="192"/>
        <v>3000</v>
      </c>
      <c r="O344" s="228">
        <f t="shared" si="193"/>
        <v>3000</v>
      </c>
      <c r="P344" s="228">
        <f t="shared" ca="1" si="191"/>
        <v>6000</v>
      </c>
      <c r="Q344" s="399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  <c r="AZ344" s="380"/>
      <c r="BA344" s="380"/>
      <c r="BB344" s="380"/>
      <c r="BC344" s="380"/>
      <c r="BD344" s="380"/>
      <c r="BE344" s="380"/>
      <c r="BF344" s="380"/>
      <c r="BG344" s="380"/>
      <c r="BH344" s="380"/>
      <c r="BI344" s="380"/>
      <c r="BJ344" s="380"/>
      <c r="BK344" s="380"/>
      <c r="BL344" s="380"/>
      <c r="BM344" s="380"/>
      <c r="BN344" s="380"/>
      <c r="BO344" s="380"/>
      <c r="BP344" s="380"/>
      <c r="BQ344" s="380"/>
      <c r="BR344" s="380"/>
      <c r="BS344" s="380"/>
      <c r="BT344" s="380"/>
    </row>
    <row r="345" spans="1:72" ht="22.5" customHeight="1" x14ac:dyDescent="0.4">
      <c r="A345" s="399"/>
      <c r="B345" s="376">
        <v>337</v>
      </c>
      <c r="C345" s="310">
        <v>44257</v>
      </c>
      <c r="D345" s="229" t="str">
        <f>IFERROR(VLOOKUP(C345,'बँक जमा खर्च पासबुक'!$C$9:$R$111,2,0),"")</f>
        <v/>
      </c>
      <c r="E345" s="229" t="str">
        <f>IFERROR(VLOOKUP(C345,'बँक जमा खर्च पासबुक'!$C$9:$R$111,3,0),"")</f>
        <v/>
      </c>
      <c r="F345" s="229" t="str">
        <f>IFERROR(VLOOKUP(C345,'बँक जमा खर्च पासबुक'!$C$9:$R$111,4,0),"")</f>
        <v/>
      </c>
      <c r="G345" s="229" t="str">
        <f>IFERROR(VLOOKUP(C345,'बँक जमा खर्च पासबुक'!$C$9:$R$111,5,0),"")</f>
        <v/>
      </c>
      <c r="H345" s="229" t="str">
        <f>IFERROR(VLOOKUP(C345,'बँक जमा खर्च पासबुक'!$C$9:$R$111,6,0),"")</f>
        <v/>
      </c>
      <c r="I345" s="229" t="str">
        <f>IFERROR(VLOOKUP(C345,'बँक जमा खर्च पासबुक'!$C$9:$R$111,7,0),"")</f>
        <v/>
      </c>
      <c r="J345" s="233">
        <f>SUMIF('बँक जमा खर्च पासबुक'!$C$9:$C$111,'बँक खर्च व्हाउचर पावती'!C345,'बँक जमा खर्च पासबुक'!$J$9:$J$111)</f>
        <v>0</v>
      </c>
      <c r="K345" s="233">
        <f>SUMIF('बँक जमा खर्च पासबुक'!$C$9:$C$111,'बँक खर्च व्हाउचर पावती'!C345,'बँक जमा खर्च पासबुक'!$K$9:$K$111)</f>
        <v>0</v>
      </c>
      <c r="L345" s="233">
        <f ca="1">SUMIF('बँक जमा खर्च पासबुक'!$C$9:$C$111,'बँक खर्च व्हाउचर पावती'!C345,'बँक जमा खर्च पासबुक'!$L$9:$L$110)</f>
        <v>0</v>
      </c>
      <c r="M345" s="228">
        <f>SUMIF('बँक जमा खर्च पासबुक'!$C$9:$C$111,'बँक खर्च व्हाउचर पावती'!C345,'बँक जमा खर्च पासबुक'!$M$9:$M$111)</f>
        <v>0</v>
      </c>
      <c r="N345" s="233">
        <f t="shared" ca="1" si="192"/>
        <v>3000</v>
      </c>
      <c r="O345" s="228">
        <f t="shared" si="193"/>
        <v>3000</v>
      </c>
      <c r="P345" s="228">
        <f t="shared" ca="1" si="191"/>
        <v>6000</v>
      </c>
      <c r="Q345" s="399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  <c r="AZ345" s="380"/>
      <c r="BA345" s="380"/>
      <c r="BB345" s="380"/>
      <c r="BC345" s="380"/>
      <c r="BD345" s="380"/>
      <c r="BE345" s="380"/>
      <c r="BF345" s="380"/>
      <c r="BG345" s="380"/>
      <c r="BH345" s="380"/>
      <c r="BI345" s="380"/>
      <c r="BJ345" s="380"/>
      <c r="BK345" s="380"/>
      <c r="BL345" s="380"/>
      <c r="BM345" s="380"/>
      <c r="BN345" s="380"/>
      <c r="BO345" s="380"/>
      <c r="BP345" s="380"/>
      <c r="BQ345" s="380"/>
      <c r="BR345" s="380"/>
      <c r="BS345" s="380"/>
      <c r="BT345" s="380"/>
    </row>
    <row r="346" spans="1:72" ht="22.5" customHeight="1" x14ac:dyDescent="0.4">
      <c r="A346" s="399"/>
      <c r="B346" s="376">
        <v>338</v>
      </c>
      <c r="C346" s="310">
        <v>44258</v>
      </c>
      <c r="D346" s="229" t="str">
        <f>IFERROR(VLOOKUP(C346,'बँक जमा खर्च पासबुक'!$C$9:$R$111,2,0),"")</f>
        <v/>
      </c>
      <c r="E346" s="229" t="str">
        <f>IFERROR(VLOOKUP(C346,'बँक जमा खर्च पासबुक'!$C$9:$R$111,3,0),"")</f>
        <v/>
      </c>
      <c r="F346" s="229" t="str">
        <f>IFERROR(VLOOKUP(C346,'बँक जमा खर्च पासबुक'!$C$9:$R$111,4,0),"")</f>
        <v/>
      </c>
      <c r="G346" s="229" t="str">
        <f>IFERROR(VLOOKUP(C346,'बँक जमा खर्च पासबुक'!$C$9:$R$111,5,0),"")</f>
        <v/>
      </c>
      <c r="H346" s="229" t="str">
        <f>IFERROR(VLOOKUP(C346,'बँक जमा खर्च पासबुक'!$C$9:$R$111,6,0),"")</f>
        <v/>
      </c>
      <c r="I346" s="229" t="str">
        <f>IFERROR(VLOOKUP(C346,'बँक जमा खर्च पासबुक'!$C$9:$R$111,7,0),"")</f>
        <v/>
      </c>
      <c r="J346" s="233">
        <f>SUMIF('बँक जमा खर्च पासबुक'!$C$9:$C$111,'बँक खर्च व्हाउचर पावती'!C346,'बँक जमा खर्च पासबुक'!$J$9:$J$111)</f>
        <v>0</v>
      </c>
      <c r="K346" s="233">
        <f>SUMIF('बँक जमा खर्च पासबुक'!$C$9:$C$111,'बँक खर्च व्हाउचर पावती'!C346,'बँक जमा खर्च पासबुक'!$K$9:$K$111)</f>
        <v>0</v>
      </c>
      <c r="L346" s="233">
        <f ca="1">SUMIF('बँक जमा खर्च पासबुक'!$C$9:$C$111,'बँक खर्च व्हाउचर पावती'!C346,'बँक जमा खर्च पासबुक'!$L$9:$L$110)</f>
        <v>0</v>
      </c>
      <c r="M346" s="228">
        <f>SUMIF('बँक जमा खर्च पासबुक'!$C$9:$C$111,'बँक खर्च व्हाउचर पावती'!C346,'बँक जमा खर्च पासबुक'!$M$9:$M$111)</f>
        <v>0</v>
      </c>
      <c r="N346" s="233">
        <f t="shared" ca="1" si="192"/>
        <v>3000</v>
      </c>
      <c r="O346" s="228">
        <f t="shared" si="193"/>
        <v>3000</v>
      </c>
      <c r="P346" s="228">
        <f t="shared" ca="1" si="191"/>
        <v>6000</v>
      </c>
      <c r="Q346" s="399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  <c r="AZ346" s="380"/>
      <c r="BA346" s="380"/>
      <c r="BB346" s="380"/>
      <c r="BC346" s="380"/>
      <c r="BD346" s="380"/>
      <c r="BE346" s="380"/>
      <c r="BF346" s="380"/>
      <c r="BG346" s="380"/>
      <c r="BH346" s="380"/>
      <c r="BI346" s="380"/>
      <c r="BJ346" s="380"/>
      <c r="BK346" s="380"/>
      <c r="BL346" s="380"/>
      <c r="BM346" s="380"/>
      <c r="BN346" s="380"/>
      <c r="BO346" s="380"/>
      <c r="BP346" s="380"/>
      <c r="BQ346" s="380"/>
      <c r="BR346" s="380"/>
      <c r="BS346" s="380"/>
      <c r="BT346" s="380"/>
    </row>
    <row r="347" spans="1:72" ht="22.5" customHeight="1" x14ac:dyDescent="0.4">
      <c r="A347" s="399"/>
      <c r="B347" s="376">
        <v>339</v>
      </c>
      <c r="C347" s="310">
        <v>44259</v>
      </c>
      <c r="D347" s="229" t="str">
        <f>IFERROR(VLOOKUP(C347,'बँक जमा खर्च पासबुक'!$C$9:$R$111,2,0),"")</f>
        <v/>
      </c>
      <c r="E347" s="229" t="str">
        <f>IFERROR(VLOOKUP(C347,'बँक जमा खर्च पासबुक'!$C$9:$R$111,3,0),"")</f>
        <v/>
      </c>
      <c r="F347" s="229" t="str">
        <f>IFERROR(VLOOKUP(C347,'बँक जमा खर्च पासबुक'!$C$9:$R$111,4,0),"")</f>
        <v/>
      </c>
      <c r="G347" s="229" t="str">
        <f>IFERROR(VLOOKUP(C347,'बँक जमा खर्च पासबुक'!$C$9:$R$111,5,0),"")</f>
        <v/>
      </c>
      <c r="H347" s="229" t="str">
        <f>IFERROR(VLOOKUP(C347,'बँक जमा खर्च पासबुक'!$C$9:$R$111,6,0),"")</f>
        <v/>
      </c>
      <c r="I347" s="229" t="str">
        <f>IFERROR(VLOOKUP(C347,'बँक जमा खर्च पासबुक'!$C$9:$R$111,7,0),"")</f>
        <v/>
      </c>
      <c r="J347" s="233">
        <f>SUMIF('बँक जमा खर्च पासबुक'!$C$9:$C$111,'बँक खर्च व्हाउचर पावती'!C347,'बँक जमा खर्च पासबुक'!$J$9:$J$111)</f>
        <v>0</v>
      </c>
      <c r="K347" s="233">
        <f>SUMIF('बँक जमा खर्च पासबुक'!$C$9:$C$111,'बँक खर्च व्हाउचर पावती'!C347,'बँक जमा खर्च पासबुक'!$K$9:$K$111)</f>
        <v>0</v>
      </c>
      <c r="L347" s="233">
        <f ca="1">SUMIF('बँक जमा खर्च पासबुक'!$C$9:$C$111,'बँक खर्च व्हाउचर पावती'!C347,'बँक जमा खर्च पासबुक'!$L$9:$L$110)</f>
        <v>0</v>
      </c>
      <c r="M347" s="228">
        <f>SUMIF('बँक जमा खर्च पासबुक'!$C$9:$C$111,'बँक खर्च व्हाउचर पावती'!C347,'बँक जमा खर्च पासबुक'!$M$9:$M$111)</f>
        <v>0</v>
      </c>
      <c r="N347" s="233">
        <f t="shared" ca="1" si="192"/>
        <v>3000</v>
      </c>
      <c r="O347" s="228">
        <f t="shared" si="193"/>
        <v>3000</v>
      </c>
      <c r="P347" s="228">
        <f t="shared" ca="1" si="191"/>
        <v>6000</v>
      </c>
      <c r="Q347" s="399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0"/>
      <c r="BJ347" s="380"/>
      <c r="BK347" s="380"/>
      <c r="BL347" s="380"/>
      <c r="BM347" s="380"/>
      <c r="BN347" s="380"/>
      <c r="BO347" s="380"/>
      <c r="BP347" s="380"/>
      <c r="BQ347" s="380"/>
      <c r="BR347" s="380"/>
      <c r="BS347" s="380"/>
      <c r="BT347" s="380"/>
    </row>
    <row r="348" spans="1:72" ht="22.5" customHeight="1" x14ac:dyDescent="0.4">
      <c r="A348" s="399"/>
      <c r="B348" s="376">
        <v>340</v>
      </c>
      <c r="C348" s="310">
        <v>44260</v>
      </c>
      <c r="D348" s="229" t="str">
        <f>IFERROR(VLOOKUP(C348,'बँक जमा खर्च पासबुक'!$C$9:$R$111,2,0),"")</f>
        <v/>
      </c>
      <c r="E348" s="229" t="str">
        <f>IFERROR(VLOOKUP(C348,'बँक जमा खर्च पासबुक'!$C$9:$R$111,3,0),"")</f>
        <v/>
      </c>
      <c r="F348" s="229" t="str">
        <f>IFERROR(VLOOKUP(C348,'बँक जमा खर्च पासबुक'!$C$9:$R$111,4,0),"")</f>
        <v/>
      </c>
      <c r="G348" s="229" t="str">
        <f>IFERROR(VLOOKUP(C348,'बँक जमा खर्च पासबुक'!$C$9:$R$111,5,0),"")</f>
        <v/>
      </c>
      <c r="H348" s="229" t="str">
        <f>IFERROR(VLOOKUP(C348,'बँक जमा खर्च पासबुक'!$C$9:$R$111,6,0),"")</f>
        <v/>
      </c>
      <c r="I348" s="229" t="str">
        <f>IFERROR(VLOOKUP(C348,'बँक जमा खर्च पासबुक'!$C$9:$R$111,7,0),"")</f>
        <v/>
      </c>
      <c r="J348" s="233">
        <f>SUMIF('बँक जमा खर्च पासबुक'!$C$9:$C$111,'बँक खर्च व्हाउचर पावती'!C348,'बँक जमा खर्च पासबुक'!$J$9:$J$111)</f>
        <v>0</v>
      </c>
      <c r="K348" s="233">
        <f>SUMIF('बँक जमा खर्च पासबुक'!$C$9:$C$111,'बँक खर्च व्हाउचर पावती'!C348,'बँक जमा खर्च पासबुक'!$K$9:$K$111)</f>
        <v>0</v>
      </c>
      <c r="L348" s="233">
        <f ca="1">SUMIF('बँक जमा खर्च पासबुक'!$C$9:$C$111,'बँक खर्च व्हाउचर पावती'!C348,'बँक जमा खर्च पासबुक'!$L$9:$L$110)</f>
        <v>0</v>
      </c>
      <c r="M348" s="228">
        <f>SUMIF('बँक जमा खर्च पासबुक'!$C$9:$C$111,'बँक खर्च व्हाउचर पावती'!C348,'बँक जमा खर्च पासबुक'!$M$9:$M$111)</f>
        <v>0</v>
      </c>
      <c r="N348" s="233">
        <f t="shared" ca="1" si="192"/>
        <v>3000</v>
      </c>
      <c r="O348" s="228">
        <f t="shared" si="193"/>
        <v>3000</v>
      </c>
      <c r="P348" s="228">
        <f t="shared" ca="1" si="191"/>
        <v>6000</v>
      </c>
      <c r="Q348" s="399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  <c r="AZ348" s="380"/>
      <c r="BA348" s="380"/>
      <c r="BB348" s="380"/>
      <c r="BC348" s="380"/>
      <c r="BD348" s="380"/>
      <c r="BE348" s="380"/>
      <c r="BF348" s="380"/>
      <c r="BG348" s="380"/>
      <c r="BH348" s="380"/>
      <c r="BI348" s="380"/>
      <c r="BJ348" s="380"/>
      <c r="BK348" s="380"/>
      <c r="BL348" s="380"/>
      <c r="BM348" s="380"/>
      <c r="BN348" s="380"/>
      <c r="BO348" s="380"/>
      <c r="BP348" s="380"/>
      <c r="BQ348" s="380"/>
      <c r="BR348" s="380"/>
      <c r="BS348" s="380"/>
      <c r="BT348" s="380"/>
    </row>
    <row r="349" spans="1:72" ht="22.5" customHeight="1" x14ac:dyDescent="0.4">
      <c r="A349" s="399"/>
      <c r="B349" s="376">
        <v>341</v>
      </c>
      <c r="C349" s="310">
        <v>44261</v>
      </c>
      <c r="D349" s="229" t="str">
        <f>IFERROR(VLOOKUP(C349,'बँक जमा खर्च पासबुक'!$C$9:$R$111,2,0),"")</f>
        <v/>
      </c>
      <c r="E349" s="229" t="str">
        <f>IFERROR(VLOOKUP(C349,'बँक जमा खर्च पासबुक'!$C$9:$R$111,3,0),"")</f>
        <v/>
      </c>
      <c r="F349" s="229" t="str">
        <f>IFERROR(VLOOKUP(C349,'बँक जमा खर्च पासबुक'!$C$9:$R$111,4,0),"")</f>
        <v/>
      </c>
      <c r="G349" s="229" t="str">
        <f>IFERROR(VLOOKUP(C349,'बँक जमा खर्च पासबुक'!$C$9:$R$111,5,0),"")</f>
        <v/>
      </c>
      <c r="H349" s="229" t="str">
        <f>IFERROR(VLOOKUP(C349,'बँक जमा खर्च पासबुक'!$C$9:$R$111,6,0),"")</f>
        <v/>
      </c>
      <c r="I349" s="229" t="str">
        <f>IFERROR(VLOOKUP(C349,'बँक जमा खर्च पासबुक'!$C$9:$R$111,7,0),"")</f>
        <v/>
      </c>
      <c r="J349" s="233">
        <f>SUMIF('बँक जमा खर्च पासबुक'!$C$9:$C$111,'बँक खर्च व्हाउचर पावती'!C349,'बँक जमा खर्च पासबुक'!$J$9:$J$111)</f>
        <v>0</v>
      </c>
      <c r="K349" s="233">
        <f>SUMIF('बँक जमा खर्च पासबुक'!$C$9:$C$111,'बँक खर्च व्हाउचर पावती'!C349,'बँक जमा खर्च पासबुक'!$K$9:$K$111)</f>
        <v>0</v>
      </c>
      <c r="L349" s="233">
        <f ca="1">SUMIF('बँक जमा खर्च पासबुक'!$C$9:$C$111,'बँक खर्च व्हाउचर पावती'!C349,'बँक जमा खर्च पासबुक'!$L$9:$L$110)</f>
        <v>0</v>
      </c>
      <c r="M349" s="228">
        <f>SUMIF('बँक जमा खर्च पासबुक'!$C$9:$C$111,'बँक खर्च व्हाउचर पावती'!C349,'बँक जमा खर्च पासबुक'!$M$9:$M$111)</f>
        <v>0</v>
      </c>
      <c r="N349" s="233">
        <f t="shared" ca="1" si="192"/>
        <v>3000</v>
      </c>
      <c r="O349" s="228">
        <f t="shared" si="193"/>
        <v>3000</v>
      </c>
      <c r="P349" s="228">
        <f t="shared" ca="1" si="191"/>
        <v>6000</v>
      </c>
      <c r="Q349" s="399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  <c r="AZ349" s="380"/>
      <c r="BA349" s="380"/>
      <c r="BB349" s="380"/>
      <c r="BC349" s="380"/>
      <c r="BD349" s="380"/>
      <c r="BE349" s="380"/>
      <c r="BF349" s="380"/>
      <c r="BG349" s="380"/>
      <c r="BH349" s="380"/>
      <c r="BI349" s="380"/>
      <c r="BJ349" s="380"/>
      <c r="BK349" s="380"/>
      <c r="BL349" s="380"/>
      <c r="BM349" s="380"/>
      <c r="BN349" s="380"/>
      <c r="BO349" s="380"/>
      <c r="BP349" s="380"/>
      <c r="BQ349" s="380"/>
      <c r="BR349" s="380"/>
      <c r="BS349" s="380"/>
      <c r="BT349" s="380"/>
    </row>
    <row r="350" spans="1:72" ht="22.5" customHeight="1" x14ac:dyDescent="0.4">
      <c r="A350" s="399"/>
      <c r="B350" s="376">
        <v>342</v>
      </c>
      <c r="C350" s="310">
        <v>44262</v>
      </c>
      <c r="D350" s="229" t="str">
        <f>IFERROR(VLOOKUP(C350,'बँक जमा खर्च पासबुक'!$C$9:$R$111,2,0),"")</f>
        <v/>
      </c>
      <c r="E350" s="229" t="str">
        <f>IFERROR(VLOOKUP(C350,'बँक जमा खर्च पासबुक'!$C$9:$R$111,3,0),"")</f>
        <v/>
      </c>
      <c r="F350" s="229" t="str">
        <f>IFERROR(VLOOKUP(C350,'बँक जमा खर्च पासबुक'!$C$9:$R$111,4,0),"")</f>
        <v/>
      </c>
      <c r="G350" s="229" t="str">
        <f>IFERROR(VLOOKUP(C350,'बँक जमा खर्च पासबुक'!$C$9:$R$111,5,0),"")</f>
        <v/>
      </c>
      <c r="H350" s="229" t="str">
        <f>IFERROR(VLOOKUP(C350,'बँक जमा खर्च पासबुक'!$C$9:$R$111,6,0),"")</f>
        <v/>
      </c>
      <c r="I350" s="229" t="str">
        <f>IFERROR(VLOOKUP(C350,'बँक जमा खर्च पासबुक'!$C$9:$R$111,7,0),"")</f>
        <v/>
      </c>
      <c r="J350" s="233">
        <f>SUMIF('बँक जमा खर्च पासबुक'!$C$9:$C$111,'बँक खर्च व्हाउचर पावती'!C350,'बँक जमा खर्च पासबुक'!$J$9:$J$111)</f>
        <v>0</v>
      </c>
      <c r="K350" s="233">
        <f>SUMIF('बँक जमा खर्च पासबुक'!$C$9:$C$111,'बँक खर्च व्हाउचर पावती'!C350,'बँक जमा खर्च पासबुक'!$K$9:$K$111)</f>
        <v>0</v>
      </c>
      <c r="L350" s="233">
        <f ca="1">SUMIF('बँक जमा खर्च पासबुक'!$C$9:$C$111,'बँक खर्च व्हाउचर पावती'!C350,'बँक जमा खर्च पासबुक'!$L$9:$L$110)</f>
        <v>0</v>
      </c>
      <c r="M350" s="228">
        <f>SUMIF('बँक जमा खर्च पासबुक'!$C$9:$C$111,'बँक खर्च व्हाउचर पावती'!C350,'बँक जमा खर्च पासबुक'!$M$9:$M$111)</f>
        <v>0</v>
      </c>
      <c r="N350" s="233">
        <f t="shared" ca="1" si="192"/>
        <v>3000</v>
      </c>
      <c r="O350" s="228">
        <f t="shared" si="193"/>
        <v>3000</v>
      </c>
      <c r="P350" s="228">
        <f t="shared" ca="1" si="191"/>
        <v>6000</v>
      </c>
      <c r="Q350" s="399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  <c r="AZ350" s="380"/>
      <c r="BA350" s="380"/>
      <c r="BB350" s="380"/>
      <c r="BC350" s="380"/>
      <c r="BD350" s="380"/>
      <c r="BE350" s="380"/>
      <c r="BF350" s="380"/>
      <c r="BG350" s="380"/>
      <c r="BH350" s="380"/>
      <c r="BI350" s="380"/>
      <c r="BJ350" s="380"/>
      <c r="BK350" s="380"/>
      <c r="BL350" s="380"/>
      <c r="BM350" s="380"/>
      <c r="BN350" s="380"/>
      <c r="BO350" s="380"/>
      <c r="BP350" s="380"/>
      <c r="BQ350" s="380"/>
      <c r="BR350" s="380"/>
      <c r="BS350" s="380"/>
      <c r="BT350" s="380"/>
    </row>
    <row r="351" spans="1:72" ht="22.5" customHeight="1" x14ac:dyDescent="0.4">
      <c r="A351" s="399"/>
      <c r="B351" s="376">
        <v>343</v>
      </c>
      <c r="C351" s="310">
        <v>44263</v>
      </c>
      <c r="D351" s="229" t="str">
        <f>IFERROR(VLOOKUP(C351,'बँक जमा खर्च पासबुक'!$C$9:$R$111,2,0),"")</f>
        <v/>
      </c>
      <c r="E351" s="229" t="str">
        <f>IFERROR(VLOOKUP(C351,'बँक जमा खर्च पासबुक'!$C$9:$R$111,3,0),"")</f>
        <v/>
      </c>
      <c r="F351" s="229" t="str">
        <f>IFERROR(VLOOKUP(C351,'बँक जमा खर्च पासबुक'!$C$9:$R$111,4,0),"")</f>
        <v/>
      </c>
      <c r="G351" s="229" t="str">
        <f>IFERROR(VLOOKUP(C351,'बँक जमा खर्च पासबुक'!$C$9:$R$111,5,0),"")</f>
        <v/>
      </c>
      <c r="H351" s="229" t="str">
        <f>IFERROR(VLOOKUP(C351,'बँक जमा खर्च पासबुक'!$C$9:$R$111,6,0),"")</f>
        <v/>
      </c>
      <c r="I351" s="229" t="str">
        <f>IFERROR(VLOOKUP(C351,'बँक जमा खर्च पासबुक'!$C$9:$R$111,7,0),"")</f>
        <v/>
      </c>
      <c r="J351" s="233">
        <f>SUMIF('बँक जमा खर्च पासबुक'!$C$9:$C$111,'बँक खर्च व्हाउचर पावती'!C351,'बँक जमा खर्च पासबुक'!$J$9:$J$111)</f>
        <v>0</v>
      </c>
      <c r="K351" s="233">
        <f>SUMIF('बँक जमा खर्च पासबुक'!$C$9:$C$111,'बँक खर्च व्हाउचर पावती'!C351,'बँक जमा खर्च पासबुक'!$K$9:$K$111)</f>
        <v>0</v>
      </c>
      <c r="L351" s="233">
        <f ca="1">SUMIF('बँक जमा खर्च पासबुक'!$C$9:$C$111,'बँक खर्च व्हाउचर पावती'!C351,'बँक जमा खर्च पासबुक'!$L$9:$L$110)</f>
        <v>0</v>
      </c>
      <c r="M351" s="228">
        <f>SUMIF('बँक जमा खर्च पासबुक'!$C$9:$C$111,'बँक खर्च व्हाउचर पावती'!C351,'बँक जमा खर्च पासबुक'!$M$9:$M$111)</f>
        <v>0</v>
      </c>
      <c r="N351" s="233">
        <f t="shared" ca="1" si="192"/>
        <v>3000</v>
      </c>
      <c r="O351" s="228">
        <f t="shared" si="193"/>
        <v>3000</v>
      </c>
      <c r="P351" s="228">
        <f t="shared" ca="1" si="191"/>
        <v>6000</v>
      </c>
      <c r="Q351" s="399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0"/>
      <c r="BJ351" s="380"/>
      <c r="BK351" s="380"/>
      <c r="BL351" s="380"/>
      <c r="BM351" s="380"/>
      <c r="BN351" s="380"/>
      <c r="BO351" s="380"/>
      <c r="BP351" s="380"/>
      <c r="BQ351" s="380"/>
      <c r="BR351" s="380"/>
      <c r="BS351" s="380"/>
      <c r="BT351" s="380"/>
    </row>
    <row r="352" spans="1:72" ht="22.5" customHeight="1" x14ac:dyDescent="0.4">
      <c r="A352" s="399"/>
      <c r="B352" s="376">
        <v>344</v>
      </c>
      <c r="C352" s="310">
        <v>44264</v>
      </c>
      <c r="D352" s="229" t="str">
        <f>IFERROR(VLOOKUP(C352,'बँक जमा खर्च पासबुक'!$C$9:$R$111,2,0),"")</f>
        <v/>
      </c>
      <c r="E352" s="229" t="str">
        <f>IFERROR(VLOOKUP(C352,'बँक जमा खर्च पासबुक'!$C$9:$R$111,3,0),"")</f>
        <v/>
      </c>
      <c r="F352" s="229" t="str">
        <f>IFERROR(VLOOKUP(C352,'बँक जमा खर्च पासबुक'!$C$9:$R$111,4,0),"")</f>
        <v/>
      </c>
      <c r="G352" s="229" t="str">
        <f>IFERROR(VLOOKUP(C352,'बँक जमा खर्च पासबुक'!$C$9:$R$111,5,0),"")</f>
        <v/>
      </c>
      <c r="H352" s="229" t="str">
        <f>IFERROR(VLOOKUP(C352,'बँक जमा खर्च पासबुक'!$C$9:$R$111,6,0),"")</f>
        <v/>
      </c>
      <c r="I352" s="229" t="str">
        <f>IFERROR(VLOOKUP(C352,'बँक जमा खर्च पासबुक'!$C$9:$R$111,7,0),"")</f>
        <v/>
      </c>
      <c r="J352" s="233">
        <f>SUMIF('बँक जमा खर्च पासबुक'!$C$9:$C$111,'बँक खर्च व्हाउचर पावती'!C352,'बँक जमा खर्च पासबुक'!$J$9:$J$111)</f>
        <v>0</v>
      </c>
      <c r="K352" s="233">
        <f>SUMIF('बँक जमा खर्च पासबुक'!$C$9:$C$111,'बँक खर्च व्हाउचर पावती'!C352,'बँक जमा खर्च पासबुक'!$K$9:$K$111)</f>
        <v>0</v>
      </c>
      <c r="L352" s="233">
        <f ca="1">SUMIF('बँक जमा खर्च पासबुक'!$C$9:$C$111,'बँक खर्च व्हाउचर पावती'!C352,'बँक जमा खर्च पासबुक'!$L$9:$L$110)</f>
        <v>0</v>
      </c>
      <c r="M352" s="228">
        <f>SUMIF('बँक जमा खर्च पासबुक'!$C$9:$C$111,'बँक खर्च व्हाउचर पावती'!C352,'बँक जमा खर्च पासबुक'!$M$9:$M$111)</f>
        <v>0</v>
      </c>
      <c r="N352" s="233">
        <f t="shared" ca="1" si="192"/>
        <v>3000</v>
      </c>
      <c r="O352" s="228">
        <f t="shared" si="193"/>
        <v>3000</v>
      </c>
      <c r="P352" s="228">
        <f t="shared" ca="1" si="191"/>
        <v>6000</v>
      </c>
      <c r="Q352" s="399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  <c r="AZ352" s="380"/>
      <c r="BA352" s="380"/>
      <c r="BB352" s="380"/>
      <c r="BC352" s="380"/>
      <c r="BD352" s="380"/>
      <c r="BE352" s="380"/>
      <c r="BF352" s="380"/>
      <c r="BG352" s="380"/>
      <c r="BH352" s="380"/>
      <c r="BI352" s="380"/>
      <c r="BJ352" s="380"/>
      <c r="BK352" s="380"/>
      <c r="BL352" s="380"/>
      <c r="BM352" s="380"/>
      <c r="BN352" s="380"/>
      <c r="BO352" s="380"/>
      <c r="BP352" s="380"/>
      <c r="BQ352" s="380"/>
      <c r="BR352" s="380"/>
      <c r="BS352" s="380"/>
      <c r="BT352" s="380"/>
    </row>
    <row r="353" spans="1:72" ht="22.5" customHeight="1" x14ac:dyDescent="0.4">
      <c r="A353" s="399"/>
      <c r="B353" s="376">
        <v>345</v>
      </c>
      <c r="C353" s="310">
        <v>44265</v>
      </c>
      <c r="D353" s="229" t="str">
        <f>IFERROR(VLOOKUP(C353,'बँक जमा खर्च पासबुक'!$C$9:$R$111,2,0),"")</f>
        <v/>
      </c>
      <c r="E353" s="229" t="str">
        <f>IFERROR(VLOOKUP(C353,'बँक जमा खर्च पासबुक'!$C$9:$R$111,3,0),"")</f>
        <v/>
      </c>
      <c r="F353" s="229" t="str">
        <f>IFERROR(VLOOKUP(C353,'बँक जमा खर्च पासबुक'!$C$9:$R$111,4,0),"")</f>
        <v/>
      </c>
      <c r="G353" s="229" t="str">
        <f>IFERROR(VLOOKUP(C353,'बँक जमा खर्च पासबुक'!$C$9:$R$111,5,0),"")</f>
        <v/>
      </c>
      <c r="H353" s="229" t="str">
        <f>IFERROR(VLOOKUP(C353,'बँक जमा खर्च पासबुक'!$C$9:$R$111,6,0),"")</f>
        <v/>
      </c>
      <c r="I353" s="229" t="str">
        <f>IFERROR(VLOOKUP(C353,'बँक जमा खर्च पासबुक'!$C$9:$R$111,7,0),"")</f>
        <v/>
      </c>
      <c r="J353" s="233">
        <f>SUMIF('बँक जमा खर्च पासबुक'!$C$9:$C$111,'बँक खर्च व्हाउचर पावती'!C353,'बँक जमा खर्च पासबुक'!$J$9:$J$111)</f>
        <v>0</v>
      </c>
      <c r="K353" s="233">
        <f>SUMIF('बँक जमा खर्च पासबुक'!$C$9:$C$111,'बँक खर्च व्हाउचर पावती'!C353,'बँक जमा खर्च पासबुक'!$K$9:$K$111)</f>
        <v>0</v>
      </c>
      <c r="L353" s="233">
        <f ca="1">SUMIF('बँक जमा खर्च पासबुक'!$C$9:$C$111,'बँक खर्च व्हाउचर पावती'!C353,'बँक जमा खर्च पासबुक'!$L$9:$L$110)</f>
        <v>0</v>
      </c>
      <c r="M353" s="228">
        <f>SUMIF('बँक जमा खर्च पासबुक'!$C$9:$C$111,'बँक खर्च व्हाउचर पावती'!C353,'बँक जमा खर्च पासबुक'!$M$9:$M$111)</f>
        <v>0</v>
      </c>
      <c r="N353" s="233">
        <f t="shared" ca="1" si="192"/>
        <v>3000</v>
      </c>
      <c r="O353" s="228">
        <f t="shared" si="193"/>
        <v>3000</v>
      </c>
      <c r="P353" s="228">
        <f t="shared" ca="1" si="191"/>
        <v>6000</v>
      </c>
      <c r="Q353" s="399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  <c r="AZ353" s="380"/>
      <c r="BA353" s="380"/>
      <c r="BB353" s="380"/>
      <c r="BC353" s="380"/>
      <c r="BD353" s="380"/>
      <c r="BE353" s="380"/>
      <c r="BF353" s="380"/>
      <c r="BG353" s="380"/>
      <c r="BH353" s="380"/>
      <c r="BI353" s="380"/>
      <c r="BJ353" s="380"/>
      <c r="BK353" s="380"/>
      <c r="BL353" s="380"/>
      <c r="BM353" s="380"/>
      <c r="BN353" s="380"/>
      <c r="BO353" s="380"/>
      <c r="BP353" s="380"/>
      <c r="BQ353" s="380"/>
      <c r="BR353" s="380"/>
      <c r="BS353" s="380"/>
      <c r="BT353" s="380"/>
    </row>
    <row r="354" spans="1:72" ht="22.5" customHeight="1" x14ac:dyDescent="0.4">
      <c r="A354" s="399"/>
      <c r="B354" s="376">
        <v>346</v>
      </c>
      <c r="C354" s="310">
        <v>44266</v>
      </c>
      <c r="D354" s="229" t="str">
        <f>IFERROR(VLOOKUP(C354,'बँक जमा खर्च पासबुक'!$C$9:$R$111,2,0),"")</f>
        <v/>
      </c>
      <c r="E354" s="229" t="str">
        <f>IFERROR(VLOOKUP(C354,'बँक जमा खर्च पासबुक'!$C$9:$R$111,3,0),"")</f>
        <v/>
      </c>
      <c r="F354" s="229" t="str">
        <f>IFERROR(VLOOKUP(C354,'बँक जमा खर्च पासबुक'!$C$9:$R$111,4,0),"")</f>
        <v/>
      </c>
      <c r="G354" s="229" t="str">
        <f>IFERROR(VLOOKUP(C354,'बँक जमा खर्च पासबुक'!$C$9:$R$111,5,0),"")</f>
        <v/>
      </c>
      <c r="H354" s="229" t="str">
        <f>IFERROR(VLOOKUP(C354,'बँक जमा खर्च पासबुक'!$C$9:$R$111,6,0),"")</f>
        <v/>
      </c>
      <c r="I354" s="229" t="str">
        <f>IFERROR(VLOOKUP(C354,'बँक जमा खर्च पासबुक'!$C$9:$R$111,7,0),"")</f>
        <v/>
      </c>
      <c r="J354" s="233">
        <f>SUMIF('बँक जमा खर्च पासबुक'!$C$9:$C$111,'बँक खर्च व्हाउचर पावती'!C354,'बँक जमा खर्च पासबुक'!$J$9:$J$111)</f>
        <v>0</v>
      </c>
      <c r="K354" s="233">
        <f>SUMIF('बँक जमा खर्च पासबुक'!$C$9:$C$111,'बँक खर्च व्हाउचर पावती'!C354,'बँक जमा खर्च पासबुक'!$K$9:$K$111)</f>
        <v>0</v>
      </c>
      <c r="L354" s="233">
        <f ca="1">SUMIF('बँक जमा खर्च पासबुक'!$C$9:$C$111,'बँक खर्च व्हाउचर पावती'!C354,'बँक जमा खर्च पासबुक'!$L$9:$L$110)</f>
        <v>0</v>
      </c>
      <c r="M354" s="228">
        <f>SUMIF('बँक जमा खर्च पासबुक'!$C$9:$C$111,'बँक खर्च व्हाउचर पावती'!C354,'बँक जमा खर्च पासबुक'!$M$9:$M$111)</f>
        <v>0</v>
      </c>
      <c r="N354" s="233">
        <f t="shared" ca="1" si="192"/>
        <v>3000</v>
      </c>
      <c r="O354" s="228">
        <f t="shared" si="193"/>
        <v>3000</v>
      </c>
      <c r="P354" s="228">
        <f t="shared" ca="1" si="191"/>
        <v>6000</v>
      </c>
      <c r="Q354" s="399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  <c r="AZ354" s="380"/>
      <c r="BA354" s="380"/>
      <c r="BB354" s="380"/>
      <c r="BC354" s="380"/>
      <c r="BD354" s="380"/>
      <c r="BE354" s="380"/>
      <c r="BF354" s="380"/>
      <c r="BG354" s="380"/>
      <c r="BH354" s="380"/>
      <c r="BI354" s="380"/>
      <c r="BJ354" s="380"/>
      <c r="BK354" s="380"/>
      <c r="BL354" s="380"/>
      <c r="BM354" s="380"/>
      <c r="BN354" s="380"/>
      <c r="BO354" s="380"/>
      <c r="BP354" s="380"/>
      <c r="BQ354" s="380"/>
      <c r="BR354" s="380"/>
      <c r="BS354" s="380"/>
      <c r="BT354" s="380"/>
    </row>
    <row r="355" spans="1:72" ht="22.5" customHeight="1" x14ac:dyDescent="0.4">
      <c r="A355" s="399"/>
      <c r="B355" s="376">
        <v>347</v>
      </c>
      <c r="C355" s="310">
        <v>44267</v>
      </c>
      <c r="D355" s="229" t="str">
        <f>IFERROR(VLOOKUP(C355,'बँक जमा खर्च पासबुक'!$C$9:$R$111,2,0),"")</f>
        <v/>
      </c>
      <c r="E355" s="229" t="str">
        <f>IFERROR(VLOOKUP(C355,'बँक जमा खर्च पासबुक'!$C$9:$R$111,3,0),"")</f>
        <v/>
      </c>
      <c r="F355" s="229" t="str">
        <f>IFERROR(VLOOKUP(C355,'बँक जमा खर्च पासबुक'!$C$9:$R$111,4,0),"")</f>
        <v/>
      </c>
      <c r="G355" s="229" t="str">
        <f>IFERROR(VLOOKUP(C355,'बँक जमा खर्च पासबुक'!$C$9:$R$111,5,0),"")</f>
        <v/>
      </c>
      <c r="H355" s="229" t="str">
        <f>IFERROR(VLOOKUP(C355,'बँक जमा खर्च पासबुक'!$C$9:$R$111,6,0),"")</f>
        <v/>
      </c>
      <c r="I355" s="229" t="str">
        <f>IFERROR(VLOOKUP(C355,'बँक जमा खर्च पासबुक'!$C$9:$R$111,7,0),"")</f>
        <v/>
      </c>
      <c r="J355" s="233">
        <f>SUMIF('बँक जमा खर्च पासबुक'!$C$9:$C$111,'बँक खर्च व्हाउचर पावती'!C355,'बँक जमा खर्च पासबुक'!$J$9:$J$111)</f>
        <v>0</v>
      </c>
      <c r="K355" s="233">
        <f>SUMIF('बँक जमा खर्च पासबुक'!$C$9:$C$111,'बँक खर्च व्हाउचर पावती'!C355,'बँक जमा खर्च पासबुक'!$K$9:$K$111)</f>
        <v>0</v>
      </c>
      <c r="L355" s="233">
        <f ca="1">SUMIF('बँक जमा खर्च पासबुक'!$C$9:$C$111,'बँक खर्च व्हाउचर पावती'!C355,'बँक जमा खर्च पासबुक'!$L$9:$L$110)</f>
        <v>0</v>
      </c>
      <c r="M355" s="228">
        <f>SUMIF('बँक जमा खर्च पासबुक'!$C$9:$C$111,'बँक खर्च व्हाउचर पावती'!C355,'बँक जमा खर्च पासबुक'!$M$9:$M$111)</f>
        <v>0</v>
      </c>
      <c r="N355" s="233">
        <f t="shared" ca="1" si="192"/>
        <v>3000</v>
      </c>
      <c r="O355" s="228">
        <f t="shared" si="193"/>
        <v>3000</v>
      </c>
      <c r="P355" s="228">
        <f t="shared" ca="1" si="191"/>
        <v>6000</v>
      </c>
      <c r="Q355" s="399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0"/>
      <c r="BJ355" s="380"/>
      <c r="BK355" s="380"/>
      <c r="BL355" s="380"/>
      <c r="BM355" s="380"/>
      <c r="BN355" s="380"/>
      <c r="BO355" s="380"/>
      <c r="BP355" s="380"/>
      <c r="BQ355" s="380"/>
      <c r="BR355" s="380"/>
      <c r="BS355" s="380"/>
      <c r="BT355" s="380"/>
    </row>
    <row r="356" spans="1:72" ht="22.5" customHeight="1" x14ac:dyDescent="0.4">
      <c r="A356" s="399"/>
      <c r="B356" s="376">
        <v>348</v>
      </c>
      <c r="C356" s="310">
        <v>44268</v>
      </c>
      <c r="D356" s="229" t="str">
        <f>IFERROR(VLOOKUP(C356,'बँक जमा खर्च पासबुक'!$C$9:$R$111,2,0),"")</f>
        <v/>
      </c>
      <c r="E356" s="229" t="str">
        <f>IFERROR(VLOOKUP(C356,'बँक जमा खर्च पासबुक'!$C$9:$R$111,3,0),"")</f>
        <v/>
      </c>
      <c r="F356" s="229" t="str">
        <f>IFERROR(VLOOKUP(C356,'बँक जमा खर्च पासबुक'!$C$9:$R$111,4,0),"")</f>
        <v/>
      </c>
      <c r="G356" s="229" t="str">
        <f>IFERROR(VLOOKUP(C356,'बँक जमा खर्च पासबुक'!$C$9:$R$111,5,0),"")</f>
        <v/>
      </c>
      <c r="H356" s="229" t="str">
        <f>IFERROR(VLOOKUP(C356,'बँक जमा खर्च पासबुक'!$C$9:$R$111,6,0),"")</f>
        <v/>
      </c>
      <c r="I356" s="229" t="str">
        <f>IFERROR(VLOOKUP(C356,'बँक जमा खर्च पासबुक'!$C$9:$R$111,7,0),"")</f>
        <v/>
      </c>
      <c r="J356" s="233">
        <f>SUMIF('बँक जमा खर्च पासबुक'!$C$9:$C$111,'बँक खर्च व्हाउचर पावती'!C356,'बँक जमा खर्च पासबुक'!$J$9:$J$111)</f>
        <v>0</v>
      </c>
      <c r="K356" s="233">
        <f>SUMIF('बँक जमा खर्च पासबुक'!$C$9:$C$111,'बँक खर्च व्हाउचर पावती'!C356,'बँक जमा खर्च पासबुक'!$K$9:$K$111)</f>
        <v>0</v>
      </c>
      <c r="L356" s="233">
        <f ca="1">SUMIF('बँक जमा खर्च पासबुक'!$C$9:$C$111,'बँक खर्च व्हाउचर पावती'!C356,'बँक जमा खर्च पासबुक'!$L$9:$L$110)</f>
        <v>0</v>
      </c>
      <c r="M356" s="228">
        <f>SUMIF('बँक जमा खर्च पासबुक'!$C$9:$C$111,'बँक खर्च व्हाउचर पावती'!C356,'बँक जमा खर्च पासबुक'!$M$9:$M$111)</f>
        <v>0</v>
      </c>
      <c r="N356" s="233">
        <f t="shared" ca="1" si="192"/>
        <v>3000</v>
      </c>
      <c r="O356" s="228">
        <f t="shared" si="193"/>
        <v>3000</v>
      </c>
      <c r="P356" s="228">
        <f t="shared" ca="1" si="191"/>
        <v>6000</v>
      </c>
      <c r="Q356" s="399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  <c r="AZ356" s="380"/>
      <c r="BA356" s="380"/>
      <c r="BB356" s="380"/>
      <c r="BC356" s="380"/>
      <c r="BD356" s="380"/>
      <c r="BE356" s="380"/>
      <c r="BF356" s="380"/>
      <c r="BG356" s="380"/>
      <c r="BH356" s="380"/>
      <c r="BI356" s="380"/>
      <c r="BJ356" s="380"/>
      <c r="BK356" s="380"/>
      <c r="BL356" s="380"/>
      <c r="BM356" s="380"/>
      <c r="BN356" s="380"/>
      <c r="BO356" s="380"/>
      <c r="BP356" s="380"/>
      <c r="BQ356" s="380"/>
      <c r="BR356" s="380"/>
      <c r="BS356" s="380"/>
      <c r="BT356" s="380"/>
    </row>
    <row r="357" spans="1:72" ht="22.5" customHeight="1" x14ac:dyDescent="0.4">
      <c r="A357" s="399"/>
      <c r="B357" s="376">
        <v>349</v>
      </c>
      <c r="C357" s="310">
        <v>44269</v>
      </c>
      <c r="D357" s="229" t="str">
        <f>IFERROR(VLOOKUP(C357,'बँक जमा खर्च पासबुक'!$C$9:$R$111,2,0),"")</f>
        <v/>
      </c>
      <c r="E357" s="229" t="str">
        <f>IFERROR(VLOOKUP(C357,'बँक जमा खर्च पासबुक'!$C$9:$R$111,3,0),"")</f>
        <v/>
      </c>
      <c r="F357" s="229" t="str">
        <f>IFERROR(VLOOKUP(C357,'बँक जमा खर्च पासबुक'!$C$9:$R$111,4,0),"")</f>
        <v/>
      </c>
      <c r="G357" s="229" t="str">
        <f>IFERROR(VLOOKUP(C357,'बँक जमा खर्च पासबुक'!$C$9:$R$111,5,0),"")</f>
        <v/>
      </c>
      <c r="H357" s="229" t="str">
        <f>IFERROR(VLOOKUP(C357,'बँक जमा खर्च पासबुक'!$C$9:$R$111,6,0),"")</f>
        <v/>
      </c>
      <c r="I357" s="229" t="str">
        <f>IFERROR(VLOOKUP(C357,'बँक जमा खर्च पासबुक'!$C$9:$R$111,7,0),"")</f>
        <v/>
      </c>
      <c r="J357" s="233">
        <f>SUMIF('बँक जमा खर्च पासबुक'!$C$9:$C$111,'बँक खर्च व्हाउचर पावती'!C357,'बँक जमा खर्च पासबुक'!$J$9:$J$111)</f>
        <v>0</v>
      </c>
      <c r="K357" s="233">
        <f>SUMIF('बँक जमा खर्च पासबुक'!$C$9:$C$111,'बँक खर्च व्हाउचर पावती'!C357,'बँक जमा खर्च पासबुक'!$K$9:$K$111)</f>
        <v>0</v>
      </c>
      <c r="L357" s="233">
        <f ca="1">SUMIF('बँक जमा खर्च पासबुक'!$C$9:$C$111,'बँक खर्च व्हाउचर पावती'!C357,'बँक जमा खर्च पासबुक'!$L$9:$L$110)</f>
        <v>0</v>
      </c>
      <c r="M357" s="228">
        <f>SUMIF('बँक जमा खर्च पासबुक'!$C$9:$C$111,'बँक खर्च व्हाउचर पावती'!C357,'बँक जमा खर्च पासबुक'!$M$9:$M$111)</f>
        <v>0</v>
      </c>
      <c r="N357" s="233">
        <f t="shared" ca="1" si="192"/>
        <v>3000</v>
      </c>
      <c r="O357" s="228">
        <f t="shared" si="193"/>
        <v>3000</v>
      </c>
      <c r="P357" s="228">
        <f t="shared" ca="1" si="191"/>
        <v>6000</v>
      </c>
      <c r="Q357" s="399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  <c r="AZ357" s="380"/>
      <c r="BA357" s="380"/>
      <c r="BB357" s="380"/>
      <c r="BC357" s="380"/>
      <c r="BD357" s="380"/>
      <c r="BE357" s="380"/>
      <c r="BF357" s="380"/>
      <c r="BG357" s="380"/>
      <c r="BH357" s="380"/>
      <c r="BI357" s="380"/>
      <c r="BJ357" s="380"/>
      <c r="BK357" s="380"/>
      <c r="BL357" s="380"/>
      <c r="BM357" s="380"/>
      <c r="BN357" s="380"/>
      <c r="BO357" s="380"/>
      <c r="BP357" s="380"/>
      <c r="BQ357" s="380"/>
      <c r="BR357" s="380"/>
      <c r="BS357" s="380"/>
      <c r="BT357" s="380"/>
    </row>
    <row r="358" spans="1:72" ht="22.5" customHeight="1" x14ac:dyDescent="0.4">
      <c r="A358" s="399"/>
      <c r="B358" s="376">
        <v>350</v>
      </c>
      <c r="C358" s="310">
        <v>44270</v>
      </c>
      <c r="D358" s="229" t="str">
        <f>IFERROR(VLOOKUP(C358,'बँक जमा खर्च पासबुक'!$C$9:$R$111,2,0),"")</f>
        <v/>
      </c>
      <c r="E358" s="229" t="str">
        <f>IFERROR(VLOOKUP(C358,'बँक जमा खर्च पासबुक'!$C$9:$R$111,3,0),"")</f>
        <v/>
      </c>
      <c r="F358" s="229" t="str">
        <f>IFERROR(VLOOKUP(C358,'बँक जमा खर्च पासबुक'!$C$9:$R$111,4,0),"")</f>
        <v/>
      </c>
      <c r="G358" s="229" t="str">
        <f>IFERROR(VLOOKUP(C358,'बँक जमा खर्च पासबुक'!$C$9:$R$111,5,0),"")</f>
        <v/>
      </c>
      <c r="H358" s="229" t="str">
        <f>IFERROR(VLOOKUP(C358,'बँक जमा खर्च पासबुक'!$C$9:$R$111,6,0),"")</f>
        <v/>
      </c>
      <c r="I358" s="229" t="str">
        <f>IFERROR(VLOOKUP(C358,'बँक जमा खर्च पासबुक'!$C$9:$R$111,7,0),"")</f>
        <v/>
      </c>
      <c r="J358" s="233">
        <f>SUMIF('बँक जमा खर्च पासबुक'!$C$9:$C$111,'बँक खर्च व्हाउचर पावती'!C358,'बँक जमा खर्च पासबुक'!$J$9:$J$111)</f>
        <v>0</v>
      </c>
      <c r="K358" s="233">
        <f>SUMIF('बँक जमा खर्च पासबुक'!$C$9:$C$111,'बँक खर्च व्हाउचर पावती'!C358,'बँक जमा खर्च पासबुक'!$K$9:$K$111)</f>
        <v>0</v>
      </c>
      <c r="L358" s="233">
        <f ca="1">SUMIF('बँक जमा खर्च पासबुक'!$C$9:$C$111,'बँक खर्च व्हाउचर पावती'!C358,'बँक जमा खर्च पासबुक'!$L$9:$L$110)</f>
        <v>0</v>
      </c>
      <c r="M358" s="228">
        <f>SUMIF('बँक जमा खर्च पासबुक'!$C$9:$C$111,'बँक खर्च व्हाउचर पावती'!C358,'बँक जमा खर्च पासबुक'!$M$9:$M$111)</f>
        <v>0</v>
      </c>
      <c r="N358" s="233">
        <f t="shared" ca="1" si="192"/>
        <v>3000</v>
      </c>
      <c r="O358" s="228">
        <f t="shared" si="193"/>
        <v>3000</v>
      </c>
      <c r="P358" s="228">
        <f t="shared" ca="1" si="191"/>
        <v>6000</v>
      </c>
      <c r="Q358" s="399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  <c r="AZ358" s="380"/>
      <c r="BA358" s="380"/>
      <c r="BB358" s="380"/>
      <c r="BC358" s="380"/>
      <c r="BD358" s="380"/>
      <c r="BE358" s="380"/>
      <c r="BF358" s="380"/>
      <c r="BG358" s="380"/>
      <c r="BH358" s="380"/>
      <c r="BI358" s="380"/>
      <c r="BJ358" s="380"/>
      <c r="BK358" s="380"/>
      <c r="BL358" s="380"/>
      <c r="BM358" s="380"/>
      <c r="BN358" s="380"/>
      <c r="BO358" s="380"/>
      <c r="BP358" s="380"/>
      <c r="BQ358" s="380"/>
      <c r="BR358" s="380"/>
      <c r="BS358" s="380"/>
      <c r="BT358" s="380"/>
    </row>
    <row r="359" spans="1:72" ht="22.5" customHeight="1" x14ac:dyDescent="0.4">
      <c r="A359" s="399"/>
      <c r="B359" s="376">
        <v>351</v>
      </c>
      <c r="C359" s="310">
        <v>44271</v>
      </c>
      <c r="D359" s="229" t="str">
        <f>IFERROR(VLOOKUP(C359,'बँक जमा खर्च पासबुक'!$C$9:$R$111,2,0),"")</f>
        <v/>
      </c>
      <c r="E359" s="229" t="str">
        <f>IFERROR(VLOOKUP(C359,'बँक जमा खर्च पासबुक'!$C$9:$R$111,3,0),"")</f>
        <v/>
      </c>
      <c r="F359" s="229" t="str">
        <f>IFERROR(VLOOKUP(C359,'बँक जमा खर्च पासबुक'!$C$9:$R$111,4,0),"")</f>
        <v/>
      </c>
      <c r="G359" s="229" t="str">
        <f>IFERROR(VLOOKUP(C359,'बँक जमा खर्च पासबुक'!$C$9:$R$111,5,0),"")</f>
        <v/>
      </c>
      <c r="H359" s="229" t="str">
        <f>IFERROR(VLOOKUP(C359,'बँक जमा खर्च पासबुक'!$C$9:$R$111,6,0),"")</f>
        <v/>
      </c>
      <c r="I359" s="229" t="str">
        <f>IFERROR(VLOOKUP(C359,'बँक जमा खर्च पासबुक'!$C$9:$R$111,7,0),"")</f>
        <v/>
      </c>
      <c r="J359" s="233">
        <f>SUMIF('बँक जमा खर्च पासबुक'!$C$9:$C$111,'बँक खर्च व्हाउचर पावती'!C359,'बँक जमा खर्च पासबुक'!$J$9:$J$111)</f>
        <v>0</v>
      </c>
      <c r="K359" s="233">
        <f>SUMIF('बँक जमा खर्च पासबुक'!$C$9:$C$111,'बँक खर्च व्हाउचर पावती'!C359,'बँक जमा खर्च पासबुक'!$K$9:$K$111)</f>
        <v>0</v>
      </c>
      <c r="L359" s="233">
        <f ca="1">SUMIF('बँक जमा खर्च पासबुक'!$C$9:$C$111,'बँक खर्च व्हाउचर पावती'!C359,'बँक जमा खर्च पासबुक'!$L$9:$L$110)</f>
        <v>0</v>
      </c>
      <c r="M359" s="228">
        <f>SUMIF('बँक जमा खर्च पासबुक'!$C$9:$C$111,'बँक खर्च व्हाउचर पावती'!C359,'बँक जमा खर्च पासबुक'!$M$9:$M$111)</f>
        <v>0</v>
      </c>
      <c r="N359" s="233">
        <f t="shared" ca="1" si="192"/>
        <v>3000</v>
      </c>
      <c r="O359" s="228">
        <f t="shared" si="193"/>
        <v>3000</v>
      </c>
      <c r="P359" s="228">
        <f t="shared" ca="1" si="191"/>
        <v>6000</v>
      </c>
      <c r="Q359" s="399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0"/>
      <c r="BJ359" s="380"/>
      <c r="BK359" s="380"/>
      <c r="BL359" s="380"/>
      <c r="BM359" s="380"/>
      <c r="BN359" s="380"/>
      <c r="BO359" s="380"/>
      <c r="BP359" s="380"/>
      <c r="BQ359" s="380"/>
      <c r="BR359" s="380"/>
      <c r="BS359" s="380"/>
      <c r="BT359" s="380"/>
    </row>
    <row r="360" spans="1:72" ht="22.5" customHeight="1" x14ac:dyDescent="0.4">
      <c r="A360" s="399"/>
      <c r="B360" s="376">
        <v>352</v>
      </c>
      <c r="C360" s="310">
        <v>44272</v>
      </c>
      <c r="D360" s="229" t="str">
        <f>IFERROR(VLOOKUP(C360,'बँक जमा खर्च पासबुक'!$C$9:$R$111,2,0),"")</f>
        <v/>
      </c>
      <c r="E360" s="229" t="str">
        <f>IFERROR(VLOOKUP(C360,'बँक जमा खर्च पासबुक'!$C$9:$R$111,3,0),"")</f>
        <v/>
      </c>
      <c r="F360" s="229" t="str">
        <f>IFERROR(VLOOKUP(C360,'बँक जमा खर्च पासबुक'!$C$9:$R$111,4,0),"")</f>
        <v/>
      </c>
      <c r="G360" s="229" t="str">
        <f>IFERROR(VLOOKUP(C360,'बँक जमा खर्च पासबुक'!$C$9:$R$111,5,0),"")</f>
        <v/>
      </c>
      <c r="H360" s="229" t="str">
        <f>IFERROR(VLOOKUP(C360,'बँक जमा खर्च पासबुक'!$C$9:$R$111,6,0),"")</f>
        <v/>
      </c>
      <c r="I360" s="229" t="str">
        <f>IFERROR(VLOOKUP(C360,'बँक जमा खर्च पासबुक'!$C$9:$R$111,7,0),"")</f>
        <v/>
      </c>
      <c r="J360" s="233">
        <f>SUMIF('बँक जमा खर्च पासबुक'!$C$9:$C$111,'बँक खर्च व्हाउचर पावती'!C360,'बँक जमा खर्च पासबुक'!$J$9:$J$111)</f>
        <v>0</v>
      </c>
      <c r="K360" s="233">
        <f>SUMIF('बँक जमा खर्च पासबुक'!$C$9:$C$111,'बँक खर्च व्हाउचर पावती'!C360,'बँक जमा खर्च पासबुक'!$K$9:$K$111)</f>
        <v>0</v>
      </c>
      <c r="L360" s="233">
        <f ca="1">SUMIF('बँक जमा खर्च पासबुक'!$C$9:$C$111,'बँक खर्च व्हाउचर पावती'!C360,'बँक जमा खर्च पासबुक'!$L$9:$L$110)</f>
        <v>0</v>
      </c>
      <c r="M360" s="228">
        <f>SUMIF('बँक जमा खर्च पासबुक'!$C$9:$C$111,'बँक खर्च व्हाउचर पावती'!C360,'बँक जमा खर्च पासबुक'!$M$9:$M$111)</f>
        <v>0</v>
      </c>
      <c r="N360" s="233">
        <f t="shared" ca="1" si="192"/>
        <v>3000</v>
      </c>
      <c r="O360" s="228">
        <f t="shared" si="193"/>
        <v>3000</v>
      </c>
      <c r="P360" s="228">
        <f t="shared" ca="1" si="191"/>
        <v>6000</v>
      </c>
      <c r="Q360" s="399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  <c r="AZ360" s="380"/>
      <c r="BA360" s="380"/>
      <c r="BB360" s="380"/>
      <c r="BC360" s="380"/>
      <c r="BD360" s="380"/>
      <c r="BE360" s="380"/>
      <c r="BF360" s="380"/>
      <c r="BG360" s="380"/>
      <c r="BH360" s="380"/>
      <c r="BI360" s="380"/>
      <c r="BJ360" s="380"/>
      <c r="BK360" s="380"/>
      <c r="BL360" s="380"/>
      <c r="BM360" s="380"/>
      <c r="BN360" s="380"/>
      <c r="BO360" s="380"/>
      <c r="BP360" s="380"/>
      <c r="BQ360" s="380"/>
      <c r="BR360" s="380"/>
      <c r="BS360" s="380"/>
      <c r="BT360" s="380"/>
    </row>
    <row r="361" spans="1:72" ht="22.5" customHeight="1" x14ac:dyDescent="0.4">
      <c r="A361" s="399"/>
      <c r="B361" s="376">
        <v>353</v>
      </c>
      <c r="C361" s="310">
        <v>44273</v>
      </c>
      <c r="D361" s="229" t="str">
        <f>IFERROR(VLOOKUP(C361,'बँक जमा खर्च पासबुक'!$C$9:$R$111,2,0),"")</f>
        <v/>
      </c>
      <c r="E361" s="229" t="str">
        <f>IFERROR(VLOOKUP(C361,'बँक जमा खर्च पासबुक'!$C$9:$R$111,3,0),"")</f>
        <v/>
      </c>
      <c r="F361" s="229" t="str">
        <f>IFERROR(VLOOKUP(C361,'बँक जमा खर्च पासबुक'!$C$9:$R$111,4,0),"")</f>
        <v/>
      </c>
      <c r="G361" s="229" t="str">
        <f>IFERROR(VLOOKUP(C361,'बँक जमा खर्च पासबुक'!$C$9:$R$111,5,0),"")</f>
        <v/>
      </c>
      <c r="H361" s="229" t="str">
        <f>IFERROR(VLOOKUP(C361,'बँक जमा खर्च पासबुक'!$C$9:$R$111,6,0),"")</f>
        <v/>
      </c>
      <c r="I361" s="229" t="str">
        <f>IFERROR(VLOOKUP(C361,'बँक जमा खर्च पासबुक'!$C$9:$R$111,7,0),"")</f>
        <v/>
      </c>
      <c r="J361" s="233">
        <f>SUMIF('बँक जमा खर्च पासबुक'!$C$9:$C$111,'बँक खर्च व्हाउचर पावती'!C361,'बँक जमा खर्च पासबुक'!$J$9:$J$111)</f>
        <v>0</v>
      </c>
      <c r="K361" s="233">
        <f>SUMIF('बँक जमा खर्च पासबुक'!$C$9:$C$111,'बँक खर्च व्हाउचर पावती'!C361,'बँक जमा खर्च पासबुक'!$K$9:$K$111)</f>
        <v>0</v>
      </c>
      <c r="L361" s="233">
        <f ca="1">SUMIF('बँक जमा खर्च पासबुक'!$C$9:$C$111,'बँक खर्च व्हाउचर पावती'!C361,'बँक जमा खर्च पासबुक'!$L$9:$L$110)</f>
        <v>0</v>
      </c>
      <c r="M361" s="228">
        <f>SUMIF('बँक जमा खर्च पासबुक'!$C$9:$C$111,'बँक खर्च व्हाउचर पावती'!C361,'बँक जमा खर्च पासबुक'!$M$9:$M$111)</f>
        <v>0</v>
      </c>
      <c r="N361" s="233">
        <f t="shared" ca="1" si="192"/>
        <v>3000</v>
      </c>
      <c r="O361" s="228">
        <f t="shared" si="193"/>
        <v>3000</v>
      </c>
      <c r="P361" s="228">
        <f t="shared" ca="1" si="191"/>
        <v>6000</v>
      </c>
      <c r="Q361" s="399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  <c r="AZ361" s="380"/>
      <c r="BA361" s="380"/>
      <c r="BB361" s="380"/>
      <c r="BC361" s="380"/>
      <c r="BD361" s="380"/>
      <c r="BE361" s="380"/>
      <c r="BF361" s="380"/>
      <c r="BG361" s="380"/>
      <c r="BH361" s="380"/>
      <c r="BI361" s="380"/>
      <c r="BJ361" s="380"/>
      <c r="BK361" s="380"/>
      <c r="BL361" s="380"/>
      <c r="BM361" s="380"/>
      <c r="BN361" s="380"/>
      <c r="BO361" s="380"/>
      <c r="BP361" s="380"/>
      <c r="BQ361" s="380"/>
      <c r="BR361" s="380"/>
      <c r="BS361" s="380"/>
      <c r="BT361" s="380"/>
    </row>
    <row r="362" spans="1:72" ht="22.5" customHeight="1" x14ac:dyDescent="0.4">
      <c r="A362" s="399"/>
      <c r="B362" s="376">
        <v>354</v>
      </c>
      <c r="C362" s="310">
        <v>44274</v>
      </c>
      <c r="D362" s="229" t="str">
        <f>IFERROR(VLOOKUP(C362,'बँक जमा खर्च पासबुक'!$C$9:$R$111,2,0),"")</f>
        <v/>
      </c>
      <c r="E362" s="229" t="str">
        <f>IFERROR(VLOOKUP(C362,'बँक जमा खर्च पासबुक'!$C$9:$R$111,3,0),"")</f>
        <v/>
      </c>
      <c r="F362" s="229" t="str">
        <f>IFERROR(VLOOKUP(C362,'बँक जमा खर्च पासबुक'!$C$9:$R$111,4,0),"")</f>
        <v/>
      </c>
      <c r="G362" s="229" t="str">
        <f>IFERROR(VLOOKUP(C362,'बँक जमा खर्च पासबुक'!$C$9:$R$111,5,0),"")</f>
        <v/>
      </c>
      <c r="H362" s="229" t="str">
        <f>IFERROR(VLOOKUP(C362,'बँक जमा खर्च पासबुक'!$C$9:$R$111,6,0),"")</f>
        <v/>
      </c>
      <c r="I362" s="229" t="str">
        <f>IFERROR(VLOOKUP(C362,'बँक जमा खर्च पासबुक'!$C$9:$R$111,7,0),"")</f>
        <v/>
      </c>
      <c r="J362" s="233">
        <f>SUMIF('बँक जमा खर्च पासबुक'!$C$9:$C$111,'बँक खर्च व्हाउचर पावती'!C362,'बँक जमा खर्च पासबुक'!$J$9:$J$111)</f>
        <v>0</v>
      </c>
      <c r="K362" s="233">
        <f>SUMIF('बँक जमा खर्च पासबुक'!$C$9:$C$111,'बँक खर्च व्हाउचर पावती'!C362,'बँक जमा खर्च पासबुक'!$K$9:$K$111)</f>
        <v>0</v>
      </c>
      <c r="L362" s="233">
        <f ca="1">SUMIF('बँक जमा खर्च पासबुक'!$C$9:$C$111,'बँक खर्च व्हाउचर पावती'!C362,'बँक जमा खर्च पासबुक'!$L$9:$L$110)</f>
        <v>0</v>
      </c>
      <c r="M362" s="228">
        <f>SUMIF('बँक जमा खर्च पासबुक'!$C$9:$C$111,'बँक खर्च व्हाउचर पावती'!C362,'बँक जमा खर्च पासबुक'!$M$9:$M$111)</f>
        <v>0</v>
      </c>
      <c r="N362" s="233">
        <f t="shared" ca="1" si="192"/>
        <v>3000</v>
      </c>
      <c r="O362" s="228">
        <f t="shared" si="193"/>
        <v>3000</v>
      </c>
      <c r="P362" s="228">
        <f t="shared" ca="1" si="191"/>
        <v>6000</v>
      </c>
      <c r="Q362" s="399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  <c r="AZ362" s="380"/>
      <c r="BA362" s="380"/>
      <c r="BB362" s="380"/>
      <c r="BC362" s="380"/>
      <c r="BD362" s="380"/>
      <c r="BE362" s="380"/>
      <c r="BF362" s="380"/>
      <c r="BG362" s="380"/>
      <c r="BH362" s="380"/>
      <c r="BI362" s="380"/>
      <c r="BJ362" s="380"/>
      <c r="BK362" s="380"/>
      <c r="BL362" s="380"/>
      <c r="BM362" s="380"/>
      <c r="BN362" s="380"/>
      <c r="BO362" s="380"/>
      <c r="BP362" s="380"/>
      <c r="BQ362" s="380"/>
      <c r="BR362" s="380"/>
      <c r="BS362" s="380"/>
      <c r="BT362" s="380"/>
    </row>
    <row r="363" spans="1:72" ht="22.5" customHeight="1" x14ac:dyDescent="0.4">
      <c r="A363" s="399"/>
      <c r="B363" s="376">
        <v>355</v>
      </c>
      <c r="C363" s="310">
        <v>44275</v>
      </c>
      <c r="D363" s="229" t="str">
        <f>IFERROR(VLOOKUP(C363,'बँक जमा खर्च पासबुक'!$C$9:$R$111,2,0),"")</f>
        <v/>
      </c>
      <c r="E363" s="229" t="str">
        <f>IFERROR(VLOOKUP(C363,'बँक जमा खर्च पासबुक'!$C$9:$R$111,3,0),"")</f>
        <v/>
      </c>
      <c r="F363" s="229" t="str">
        <f>IFERROR(VLOOKUP(C363,'बँक जमा खर्च पासबुक'!$C$9:$R$111,4,0),"")</f>
        <v/>
      </c>
      <c r="G363" s="229" t="str">
        <f>IFERROR(VLOOKUP(C363,'बँक जमा खर्च पासबुक'!$C$9:$R$111,5,0),"")</f>
        <v/>
      </c>
      <c r="H363" s="229" t="str">
        <f>IFERROR(VLOOKUP(C363,'बँक जमा खर्च पासबुक'!$C$9:$R$111,6,0),"")</f>
        <v/>
      </c>
      <c r="I363" s="229" t="str">
        <f>IFERROR(VLOOKUP(C363,'बँक जमा खर्च पासबुक'!$C$9:$R$111,7,0),"")</f>
        <v/>
      </c>
      <c r="J363" s="233">
        <f>SUMIF('बँक जमा खर्च पासबुक'!$C$9:$C$111,'बँक खर्च व्हाउचर पावती'!C363,'बँक जमा खर्च पासबुक'!$J$9:$J$111)</f>
        <v>0</v>
      </c>
      <c r="K363" s="233">
        <f>SUMIF('बँक जमा खर्च पासबुक'!$C$9:$C$111,'बँक खर्च व्हाउचर पावती'!C363,'बँक जमा खर्च पासबुक'!$K$9:$K$111)</f>
        <v>0</v>
      </c>
      <c r="L363" s="233">
        <f ca="1">SUMIF('बँक जमा खर्च पासबुक'!$C$9:$C$111,'बँक खर्च व्हाउचर पावती'!C363,'बँक जमा खर्च पासबुक'!$L$9:$L$110)</f>
        <v>0</v>
      </c>
      <c r="M363" s="228">
        <f>SUMIF('बँक जमा खर्च पासबुक'!$C$9:$C$111,'बँक खर्च व्हाउचर पावती'!C363,'बँक जमा खर्च पासबुक'!$M$9:$M$111)</f>
        <v>0</v>
      </c>
      <c r="N363" s="233">
        <f t="shared" ca="1" si="192"/>
        <v>3000</v>
      </c>
      <c r="O363" s="228">
        <f t="shared" si="193"/>
        <v>3000</v>
      </c>
      <c r="P363" s="228">
        <f t="shared" ca="1" si="191"/>
        <v>6000</v>
      </c>
      <c r="Q363" s="399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0"/>
      <c r="BJ363" s="380"/>
      <c r="BK363" s="380"/>
      <c r="BL363" s="380"/>
      <c r="BM363" s="380"/>
      <c r="BN363" s="380"/>
      <c r="BO363" s="380"/>
      <c r="BP363" s="380"/>
      <c r="BQ363" s="380"/>
      <c r="BR363" s="380"/>
      <c r="BS363" s="380"/>
      <c r="BT363" s="380"/>
    </row>
    <row r="364" spans="1:72" ht="22.5" customHeight="1" x14ac:dyDescent="0.4">
      <c r="A364" s="399"/>
      <c r="B364" s="376">
        <v>356</v>
      </c>
      <c r="C364" s="310">
        <v>44276</v>
      </c>
      <c r="D364" s="229" t="str">
        <f>IFERROR(VLOOKUP(C364,'बँक जमा खर्च पासबुक'!$C$9:$R$111,2,0),"")</f>
        <v/>
      </c>
      <c r="E364" s="229" t="str">
        <f>IFERROR(VLOOKUP(C364,'बँक जमा खर्च पासबुक'!$C$9:$R$111,3,0),"")</f>
        <v/>
      </c>
      <c r="F364" s="229" t="str">
        <f>IFERROR(VLOOKUP(C364,'बँक जमा खर्च पासबुक'!$C$9:$R$111,4,0),"")</f>
        <v/>
      </c>
      <c r="G364" s="229" t="str">
        <f>IFERROR(VLOOKUP(C364,'बँक जमा खर्च पासबुक'!$C$9:$R$111,5,0),"")</f>
        <v/>
      </c>
      <c r="H364" s="229" t="str">
        <f>IFERROR(VLOOKUP(C364,'बँक जमा खर्च पासबुक'!$C$9:$R$111,6,0),"")</f>
        <v/>
      </c>
      <c r="I364" s="229" t="str">
        <f>IFERROR(VLOOKUP(C364,'बँक जमा खर्च पासबुक'!$C$9:$R$111,7,0),"")</f>
        <v/>
      </c>
      <c r="J364" s="233">
        <f>SUMIF('बँक जमा खर्च पासबुक'!$C$9:$C$111,'बँक खर्च व्हाउचर पावती'!C364,'बँक जमा खर्च पासबुक'!$J$9:$J$111)</f>
        <v>0</v>
      </c>
      <c r="K364" s="233">
        <f>SUMIF('बँक जमा खर्च पासबुक'!$C$9:$C$111,'बँक खर्च व्हाउचर पावती'!C364,'बँक जमा खर्च पासबुक'!$K$9:$K$111)</f>
        <v>0</v>
      </c>
      <c r="L364" s="233">
        <f ca="1">SUMIF('बँक जमा खर्च पासबुक'!$C$9:$C$111,'बँक खर्च व्हाउचर पावती'!C364,'बँक जमा खर्च पासबुक'!$L$9:$L$110)</f>
        <v>0</v>
      </c>
      <c r="M364" s="228">
        <f>SUMIF('बँक जमा खर्च पासबुक'!$C$9:$C$111,'बँक खर्च व्हाउचर पावती'!C364,'बँक जमा खर्च पासबुक'!$M$9:$M$111)</f>
        <v>0</v>
      </c>
      <c r="N364" s="233">
        <f t="shared" ca="1" si="192"/>
        <v>3000</v>
      </c>
      <c r="O364" s="228">
        <f t="shared" si="193"/>
        <v>3000</v>
      </c>
      <c r="P364" s="228">
        <f t="shared" ca="1" si="191"/>
        <v>6000</v>
      </c>
      <c r="Q364" s="399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  <c r="AZ364" s="380"/>
      <c r="BA364" s="380"/>
      <c r="BB364" s="380"/>
      <c r="BC364" s="380"/>
      <c r="BD364" s="380"/>
      <c r="BE364" s="380"/>
      <c r="BF364" s="380"/>
      <c r="BG364" s="380"/>
      <c r="BH364" s="380"/>
      <c r="BI364" s="380"/>
      <c r="BJ364" s="380"/>
      <c r="BK364" s="380"/>
      <c r="BL364" s="380"/>
      <c r="BM364" s="380"/>
      <c r="BN364" s="380"/>
      <c r="BO364" s="380"/>
      <c r="BP364" s="380"/>
      <c r="BQ364" s="380"/>
      <c r="BR364" s="380"/>
      <c r="BS364" s="380"/>
      <c r="BT364" s="380"/>
    </row>
    <row r="365" spans="1:72" ht="22.5" customHeight="1" x14ac:dyDescent="0.4">
      <c r="A365" s="399"/>
      <c r="B365" s="376">
        <v>357</v>
      </c>
      <c r="C365" s="310">
        <v>44277</v>
      </c>
      <c r="D365" s="229" t="str">
        <f>IFERROR(VLOOKUP(C365,'बँक जमा खर्च पासबुक'!$C$9:$R$111,2,0),"")</f>
        <v/>
      </c>
      <c r="E365" s="229" t="str">
        <f>IFERROR(VLOOKUP(C365,'बँक जमा खर्च पासबुक'!$C$9:$R$111,3,0),"")</f>
        <v/>
      </c>
      <c r="F365" s="229" t="str">
        <f>IFERROR(VLOOKUP(C365,'बँक जमा खर्च पासबुक'!$C$9:$R$111,4,0),"")</f>
        <v/>
      </c>
      <c r="G365" s="229" t="str">
        <f>IFERROR(VLOOKUP(C365,'बँक जमा खर्च पासबुक'!$C$9:$R$111,5,0),"")</f>
        <v/>
      </c>
      <c r="H365" s="229" t="str">
        <f>IFERROR(VLOOKUP(C365,'बँक जमा खर्च पासबुक'!$C$9:$R$111,6,0),"")</f>
        <v/>
      </c>
      <c r="I365" s="229" t="str">
        <f>IFERROR(VLOOKUP(C365,'बँक जमा खर्च पासबुक'!$C$9:$R$111,7,0),"")</f>
        <v/>
      </c>
      <c r="J365" s="233">
        <f>SUMIF('बँक जमा खर्च पासबुक'!$C$9:$C$111,'बँक खर्च व्हाउचर पावती'!C365,'बँक जमा खर्च पासबुक'!$J$9:$J$111)</f>
        <v>0</v>
      </c>
      <c r="K365" s="233">
        <f>SUMIF('बँक जमा खर्च पासबुक'!$C$9:$C$111,'बँक खर्च व्हाउचर पावती'!C365,'बँक जमा खर्च पासबुक'!$K$9:$K$111)</f>
        <v>0</v>
      </c>
      <c r="L365" s="233">
        <f ca="1">SUMIF('बँक जमा खर्च पासबुक'!$C$9:$C$111,'बँक खर्च व्हाउचर पावती'!C365,'बँक जमा खर्च पासबुक'!$L$9:$L$110)</f>
        <v>0</v>
      </c>
      <c r="M365" s="228">
        <f>SUMIF('बँक जमा खर्च पासबुक'!$C$9:$C$111,'बँक खर्च व्हाउचर पावती'!C365,'बँक जमा खर्च पासबुक'!$M$9:$M$111)</f>
        <v>0</v>
      </c>
      <c r="N365" s="233">
        <f t="shared" ca="1" si="192"/>
        <v>3000</v>
      </c>
      <c r="O365" s="228">
        <f t="shared" si="193"/>
        <v>3000</v>
      </c>
      <c r="P365" s="228">
        <f t="shared" ca="1" si="191"/>
        <v>6000</v>
      </c>
      <c r="Q365" s="399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  <c r="AZ365" s="380"/>
      <c r="BA365" s="380"/>
      <c r="BB365" s="380"/>
      <c r="BC365" s="380"/>
      <c r="BD365" s="380"/>
      <c r="BE365" s="380"/>
      <c r="BF365" s="380"/>
      <c r="BG365" s="380"/>
      <c r="BH365" s="380"/>
      <c r="BI365" s="380"/>
      <c r="BJ365" s="380"/>
      <c r="BK365" s="380"/>
      <c r="BL365" s="380"/>
      <c r="BM365" s="380"/>
      <c r="BN365" s="380"/>
      <c r="BO365" s="380"/>
      <c r="BP365" s="380"/>
      <c r="BQ365" s="380"/>
      <c r="BR365" s="380"/>
      <c r="BS365" s="380"/>
      <c r="BT365" s="380"/>
    </row>
    <row r="366" spans="1:72" ht="22.5" customHeight="1" x14ac:dyDescent="0.4">
      <c r="A366" s="399"/>
      <c r="B366" s="376">
        <v>358</v>
      </c>
      <c r="C366" s="310">
        <v>44278</v>
      </c>
      <c r="D366" s="229" t="str">
        <f>IFERROR(VLOOKUP(C366,'बँक जमा खर्च पासबुक'!$C$9:$R$111,2,0),"")</f>
        <v/>
      </c>
      <c r="E366" s="229" t="str">
        <f>IFERROR(VLOOKUP(C366,'बँक जमा खर्च पासबुक'!$C$9:$R$111,3,0),"")</f>
        <v/>
      </c>
      <c r="F366" s="229" t="str">
        <f>IFERROR(VLOOKUP(C366,'बँक जमा खर्च पासबुक'!$C$9:$R$111,4,0),"")</f>
        <v/>
      </c>
      <c r="G366" s="229" t="str">
        <f>IFERROR(VLOOKUP(C366,'बँक जमा खर्च पासबुक'!$C$9:$R$111,5,0),"")</f>
        <v/>
      </c>
      <c r="H366" s="229" t="str">
        <f>IFERROR(VLOOKUP(C366,'बँक जमा खर्च पासबुक'!$C$9:$R$111,6,0),"")</f>
        <v/>
      </c>
      <c r="I366" s="229" t="str">
        <f>IFERROR(VLOOKUP(C366,'बँक जमा खर्च पासबुक'!$C$9:$R$111,7,0),"")</f>
        <v/>
      </c>
      <c r="J366" s="233">
        <f>SUMIF('बँक जमा खर्च पासबुक'!$C$9:$C$111,'बँक खर्च व्हाउचर पावती'!C366,'बँक जमा खर्च पासबुक'!$J$9:$J$111)</f>
        <v>0</v>
      </c>
      <c r="K366" s="233">
        <f>SUMIF('बँक जमा खर्च पासबुक'!$C$9:$C$111,'बँक खर्च व्हाउचर पावती'!C366,'बँक जमा खर्च पासबुक'!$K$9:$K$111)</f>
        <v>0</v>
      </c>
      <c r="L366" s="233">
        <f ca="1">SUMIF('बँक जमा खर्च पासबुक'!$C$9:$C$111,'बँक खर्च व्हाउचर पावती'!C366,'बँक जमा खर्च पासबुक'!$L$9:$L$110)</f>
        <v>0</v>
      </c>
      <c r="M366" s="228">
        <f>SUMIF('बँक जमा खर्च पासबुक'!$C$9:$C$111,'बँक खर्च व्हाउचर पावती'!C366,'बँक जमा खर्च पासबुक'!$M$9:$M$111)</f>
        <v>0</v>
      </c>
      <c r="N366" s="233">
        <f t="shared" ca="1" si="192"/>
        <v>3000</v>
      </c>
      <c r="O366" s="228">
        <f t="shared" si="193"/>
        <v>3000</v>
      </c>
      <c r="P366" s="228">
        <f t="shared" ca="1" si="191"/>
        <v>6000</v>
      </c>
      <c r="Q366" s="399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  <c r="AZ366" s="380"/>
      <c r="BA366" s="380"/>
      <c r="BB366" s="380"/>
      <c r="BC366" s="380"/>
      <c r="BD366" s="380"/>
      <c r="BE366" s="380"/>
      <c r="BF366" s="380"/>
      <c r="BG366" s="380"/>
      <c r="BH366" s="380"/>
      <c r="BI366" s="380"/>
      <c r="BJ366" s="380"/>
      <c r="BK366" s="380"/>
      <c r="BL366" s="380"/>
      <c r="BM366" s="380"/>
      <c r="BN366" s="380"/>
      <c r="BO366" s="380"/>
      <c r="BP366" s="380"/>
      <c r="BQ366" s="380"/>
      <c r="BR366" s="380"/>
      <c r="BS366" s="380"/>
      <c r="BT366" s="380"/>
    </row>
    <row r="367" spans="1:72" ht="22.5" customHeight="1" x14ac:dyDescent="0.4">
      <c r="A367" s="399"/>
      <c r="B367" s="376">
        <v>359</v>
      </c>
      <c r="C367" s="310">
        <v>44279</v>
      </c>
      <c r="D367" s="229" t="str">
        <f>IFERROR(VLOOKUP(C367,'बँक जमा खर्च पासबुक'!$C$9:$R$111,2,0),"")</f>
        <v/>
      </c>
      <c r="E367" s="229" t="str">
        <f>IFERROR(VLOOKUP(C367,'बँक जमा खर्च पासबुक'!$C$9:$R$111,3,0),"")</f>
        <v/>
      </c>
      <c r="F367" s="229" t="str">
        <f>IFERROR(VLOOKUP(C367,'बँक जमा खर्च पासबुक'!$C$9:$R$111,4,0),"")</f>
        <v/>
      </c>
      <c r="G367" s="229" t="str">
        <f>IFERROR(VLOOKUP(C367,'बँक जमा खर्च पासबुक'!$C$9:$R$111,5,0),"")</f>
        <v/>
      </c>
      <c r="H367" s="229" t="str">
        <f>IFERROR(VLOOKUP(C367,'बँक जमा खर्च पासबुक'!$C$9:$R$111,6,0),"")</f>
        <v/>
      </c>
      <c r="I367" s="229" t="str">
        <f>IFERROR(VLOOKUP(C367,'बँक जमा खर्च पासबुक'!$C$9:$R$111,7,0),"")</f>
        <v/>
      </c>
      <c r="J367" s="233">
        <f>SUMIF('बँक जमा खर्च पासबुक'!$C$9:$C$111,'बँक खर्च व्हाउचर पावती'!C367,'बँक जमा खर्च पासबुक'!$J$9:$J$111)</f>
        <v>0</v>
      </c>
      <c r="K367" s="233">
        <f>SUMIF('बँक जमा खर्च पासबुक'!$C$9:$C$111,'बँक खर्च व्हाउचर पावती'!C367,'बँक जमा खर्च पासबुक'!$K$9:$K$111)</f>
        <v>0</v>
      </c>
      <c r="L367" s="233">
        <f ca="1">SUMIF('बँक जमा खर्च पासबुक'!$C$9:$C$111,'बँक खर्च व्हाउचर पावती'!C367,'बँक जमा खर्च पासबुक'!$L$9:$L$110)</f>
        <v>0</v>
      </c>
      <c r="M367" s="228">
        <f>SUMIF('बँक जमा खर्च पासबुक'!$C$9:$C$111,'बँक खर्च व्हाउचर पावती'!C367,'बँक जमा खर्च पासबुक'!$M$9:$M$111)</f>
        <v>0</v>
      </c>
      <c r="N367" s="233">
        <f t="shared" ca="1" si="192"/>
        <v>3000</v>
      </c>
      <c r="O367" s="228">
        <f t="shared" si="193"/>
        <v>3000</v>
      </c>
      <c r="P367" s="228">
        <f t="shared" ca="1" si="191"/>
        <v>6000</v>
      </c>
      <c r="Q367" s="399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0"/>
      <c r="BJ367" s="380"/>
      <c r="BK367" s="380"/>
      <c r="BL367" s="380"/>
      <c r="BM367" s="380"/>
      <c r="BN367" s="380"/>
      <c r="BO367" s="380"/>
      <c r="BP367" s="380"/>
      <c r="BQ367" s="380"/>
      <c r="BR367" s="380"/>
      <c r="BS367" s="380"/>
      <c r="BT367" s="380"/>
    </row>
    <row r="368" spans="1:72" ht="22.5" customHeight="1" x14ac:dyDescent="0.4">
      <c r="A368" s="399"/>
      <c r="B368" s="376">
        <v>360</v>
      </c>
      <c r="C368" s="310">
        <v>44280</v>
      </c>
      <c r="D368" s="229" t="str">
        <f>IFERROR(VLOOKUP(C368,'बँक जमा खर्च पासबुक'!$C$9:$R$111,2,0),"")</f>
        <v/>
      </c>
      <c r="E368" s="229" t="str">
        <f>IFERROR(VLOOKUP(C368,'बँक जमा खर्च पासबुक'!$C$9:$R$111,3,0),"")</f>
        <v/>
      </c>
      <c r="F368" s="229" t="str">
        <f>IFERROR(VLOOKUP(C368,'बँक जमा खर्च पासबुक'!$C$9:$R$111,4,0),"")</f>
        <v/>
      </c>
      <c r="G368" s="229" t="str">
        <f>IFERROR(VLOOKUP(C368,'बँक जमा खर्च पासबुक'!$C$9:$R$111,5,0),"")</f>
        <v/>
      </c>
      <c r="H368" s="229" t="str">
        <f>IFERROR(VLOOKUP(C368,'बँक जमा खर्च पासबुक'!$C$9:$R$111,6,0),"")</f>
        <v/>
      </c>
      <c r="I368" s="229" t="str">
        <f>IFERROR(VLOOKUP(C368,'बँक जमा खर्च पासबुक'!$C$9:$R$111,7,0),"")</f>
        <v/>
      </c>
      <c r="J368" s="233">
        <f>SUMIF('बँक जमा खर्च पासबुक'!$C$9:$C$111,'बँक खर्च व्हाउचर पावती'!C368,'बँक जमा खर्च पासबुक'!$J$9:$J$111)</f>
        <v>0</v>
      </c>
      <c r="K368" s="233">
        <f>SUMIF('बँक जमा खर्च पासबुक'!$C$9:$C$111,'बँक खर्च व्हाउचर पावती'!C368,'बँक जमा खर्च पासबुक'!$K$9:$K$111)</f>
        <v>0</v>
      </c>
      <c r="L368" s="233">
        <f ca="1">SUMIF('बँक जमा खर्च पासबुक'!$C$9:$C$111,'बँक खर्च व्हाउचर पावती'!C368,'बँक जमा खर्च पासबुक'!$L$9:$L$110)</f>
        <v>0</v>
      </c>
      <c r="M368" s="228">
        <f>SUMIF('बँक जमा खर्च पासबुक'!$C$9:$C$111,'बँक खर्च व्हाउचर पावती'!C368,'बँक जमा खर्च पासबुक'!$M$9:$M$111)</f>
        <v>0</v>
      </c>
      <c r="N368" s="233">
        <f t="shared" ca="1" si="192"/>
        <v>3000</v>
      </c>
      <c r="O368" s="228">
        <f t="shared" si="193"/>
        <v>3000</v>
      </c>
      <c r="P368" s="228">
        <f t="shared" ca="1" si="191"/>
        <v>6000</v>
      </c>
      <c r="Q368" s="399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  <c r="AZ368" s="380"/>
      <c r="BA368" s="380"/>
      <c r="BB368" s="380"/>
      <c r="BC368" s="380"/>
      <c r="BD368" s="380"/>
      <c r="BE368" s="380"/>
      <c r="BF368" s="380"/>
      <c r="BG368" s="380"/>
      <c r="BH368" s="380"/>
      <c r="BI368" s="380"/>
      <c r="BJ368" s="380"/>
      <c r="BK368" s="380"/>
      <c r="BL368" s="380"/>
      <c r="BM368" s="380"/>
      <c r="BN368" s="380"/>
      <c r="BO368" s="380"/>
      <c r="BP368" s="380"/>
      <c r="BQ368" s="380"/>
      <c r="BR368" s="380"/>
      <c r="BS368" s="380"/>
      <c r="BT368" s="380"/>
    </row>
    <row r="369" spans="1:72" ht="22.5" customHeight="1" x14ac:dyDescent="0.4">
      <c r="A369" s="399"/>
      <c r="B369" s="376">
        <v>361</v>
      </c>
      <c r="C369" s="310">
        <v>44281</v>
      </c>
      <c r="D369" s="229" t="str">
        <f>IFERROR(VLOOKUP(C369,'बँक जमा खर्च पासबुक'!$C$9:$R$111,2,0),"")</f>
        <v/>
      </c>
      <c r="E369" s="229" t="str">
        <f>IFERROR(VLOOKUP(C369,'बँक जमा खर्च पासबुक'!$C$9:$R$111,3,0),"")</f>
        <v/>
      </c>
      <c r="F369" s="229" t="str">
        <f>IFERROR(VLOOKUP(C369,'बँक जमा खर्च पासबुक'!$C$9:$R$111,4,0),"")</f>
        <v/>
      </c>
      <c r="G369" s="229" t="str">
        <f>IFERROR(VLOOKUP(C369,'बँक जमा खर्च पासबुक'!$C$9:$R$111,5,0),"")</f>
        <v/>
      </c>
      <c r="H369" s="229" t="str">
        <f>IFERROR(VLOOKUP(C369,'बँक जमा खर्च पासबुक'!$C$9:$R$111,6,0),"")</f>
        <v/>
      </c>
      <c r="I369" s="229" t="str">
        <f>IFERROR(VLOOKUP(C369,'बँक जमा खर्च पासबुक'!$C$9:$R$111,7,0),"")</f>
        <v/>
      </c>
      <c r="J369" s="233">
        <f>SUMIF('बँक जमा खर्च पासबुक'!$C$9:$C$111,'बँक खर्च व्हाउचर पावती'!C369,'बँक जमा खर्च पासबुक'!$J$9:$J$111)</f>
        <v>0</v>
      </c>
      <c r="K369" s="233">
        <f>SUMIF('बँक जमा खर्च पासबुक'!$C$9:$C$111,'बँक खर्च व्हाउचर पावती'!C369,'बँक जमा खर्च पासबुक'!$K$9:$K$111)</f>
        <v>0</v>
      </c>
      <c r="L369" s="233">
        <f ca="1">SUMIF('बँक जमा खर्च पासबुक'!$C$9:$C$111,'बँक खर्च व्हाउचर पावती'!C369,'बँक जमा खर्च पासबुक'!$L$9:$L$110)</f>
        <v>0</v>
      </c>
      <c r="M369" s="228">
        <f>SUMIF('बँक जमा खर्च पासबुक'!$C$9:$C$111,'बँक खर्च व्हाउचर पावती'!C369,'बँक जमा खर्च पासबुक'!$M$9:$M$111)</f>
        <v>0</v>
      </c>
      <c r="N369" s="233">
        <f t="shared" ca="1" si="192"/>
        <v>3000</v>
      </c>
      <c r="O369" s="228">
        <f t="shared" si="193"/>
        <v>3000</v>
      </c>
      <c r="P369" s="228">
        <f t="shared" ca="1" si="191"/>
        <v>6000</v>
      </c>
      <c r="Q369" s="399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  <c r="AZ369" s="380"/>
      <c r="BA369" s="380"/>
      <c r="BB369" s="380"/>
      <c r="BC369" s="380"/>
      <c r="BD369" s="380"/>
      <c r="BE369" s="380"/>
      <c r="BF369" s="380"/>
      <c r="BG369" s="380"/>
      <c r="BH369" s="380"/>
      <c r="BI369" s="380"/>
      <c r="BJ369" s="380"/>
      <c r="BK369" s="380"/>
      <c r="BL369" s="380"/>
      <c r="BM369" s="380"/>
      <c r="BN369" s="380"/>
      <c r="BO369" s="380"/>
      <c r="BP369" s="380"/>
      <c r="BQ369" s="380"/>
      <c r="BR369" s="380"/>
      <c r="BS369" s="380"/>
      <c r="BT369" s="380"/>
    </row>
    <row r="370" spans="1:72" ht="22.5" customHeight="1" x14ac:dyDescent="0.4">
      <c r="A370" s="399"/>
      <c r="B370" s="376">
        <v>362</v>
      </c>
      <c r="C370" s="310">
        <v>44282</v>
      </c>
      <c r="D370" s="229" t="str">
        <f>IFERROR(VLOOKUP(C370,'बँक जमा खर्च पासबुक'!$C$9:$R$111,2,0),"")</f>
        <v/>
      </c>
      <c r="E370" s="229" t="str">
        <f>IFERROR(VLOOKUP(C370,'बँक जमा खर्च पासबुक'!$C$9:$R$111,3,0),"")</f>
        <v/>
      </c>
      <c r="F370" s="229" t="str">
        <f>IFERROR(VLOOKUP(C370,'बँक जमा खर्च पासबुक'!$C$9:$R$111,4,0),"")</f>
        <v/>
      </c>
      <c r="G370" s="229" t="str">
        <f>IFERROR(VLOOKUP(C370,'बँक जमा खर्च पासबुक'!$C$9:$R$111,5,0),"")</f>
        <v/>
      </c>
      <c r="H370" s="229" t="str">
        <f>IFERROR(VLOOKUP(C370,'बँक जमा खर्च पासबुक'!$C$9:$R$111,6,0),"")</f>
        <v/>
      </c>
      <c r="I370" s="229" t="str">
        <f>IFERROR(VLOOKUP(C370,'बँक जमा खर्च पासबुक'!$C$9:$R$111,7,0),"")</f>
        <v/>
      </c>
      <c r="J370" s="233">
        <f>SUMIF('बँक जमा खर्च पासबुक'!$C$9:$C$111,'बँक खर्च व्हाउचर पावती'!C370,'बँक जमा खर्च पासबुक'!$J$9:$J$111)</f>
        <v>0</v>
      </c>
      <c r="K370" s="233">
        <f>SUMIF('बँक जमा खर्च पासबुक'!$C$9:$C$111,'बँक खर्च व्हाउचर पावती'!C370,'बँक जमा खर्च पासबुक'!$K$9:$K$111)</f>
        <v>0</v>
      </c>
      <c r="L370" s="233">
        <f ca="1">SUMIF('बँक जमा खर्च पासबुक'!$C$9:$C$111,'बँक खर्च व्हाउचर पावती'!C370,'बँक जमा खर्च पासबुक'!$L$9:$L$110)</f>
        <v>0</v>
      </c>
      <c r="M370" s="228">
        <f>SUMIF('बँक जमा खर्च पासबुक'!$C$9:$C$111,'बँक खर्च व्हाउचर पावती'!C370,'बँक जमा खर्च पासबुक'!$M$9:$M$111)</f>
        <v>0</v>
      </c>
      <c r="N370" s="233">
        <f t="shared" ca="1" si="192"/>
        <v>3000</v>
      </c>
      <c r="O370" s="228">
        <f t="shared" si="193"/>
        <v>3000</v>
      </c>
      <c r="P370" s="228">
        <f t="shared" ca="1" si="191"/>
        <v>6000</v>
      </c>
      <c r="Q370" s="399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  <c r="AZ370" s="380"/>
      <c r="BA370" s="380"/>
      <c r="BB370" s="380"/>
      <c r="BC370" s="380"/>
      <c r="BD370" s="380"/>
      <c r="BE370" s="380"/>
      <c r="BF370" s="380"/>
      <c r="BG370" s="380"/>
      <c r="BH370" s="380"/>
      <c r="BI370" s="380"/>
      <c r="BJ370" s="380"/>
      <c r="BK370" s="380"/>
      <c r="BL370" s="380"/>
      <c r="BM370" s="380"/>
      <c r="BN370" s="380"/>
      <c r="BO370" s="380"/>
      <c r="BP370" s="380"/>
      <c r="BQ370" s="380"/>
      <c r="BR370" s="380"/>
      <c r="BS370" s="380"/>
      <c r="BT370" s="380"/>
    </row>
    <row r="371" spans="1:72" ht="22.5" customHeight="1" x14ac:dyDescent="0.4">
      <c r="A371" s="399"/>
      <c r="B371" s="376">
        <v>363</v>
      </c>
      <c r="C371" s="310">
        <v>44283</v>
      </c>
      <c r="D371" s="229" t="str">
        <f>IFERROR(VLOOKUP(C371,'बँक जमा खर्च पासबुक'!$C$9:$R$111,2,0),"")</f>
        <v/>
      </c>
      <c r="E371" s="229" t="str">
        <f>IFERROR(VLOOKUP(C371,'बँक जमा खर्च पासबुक'!$C$9:$R$111,3,0),"")</f>
        <v/>
      </c>
      <c r="F371" s="229" t="str">
        <f>IFERROR(VLOOKUP(C371,'बँक जमा खर्च पासबुक'!$C$9:$R$111,4,0),"")</f>
        <v/>
      </c>
      <c r="G371" s="229" t="str">
        <f>IFERROR(VLOOKUP(C371,'बँक जमा खर्च पासबुक'!$C$9:$R$111,5,0),"")</f>
        <v/>
      </c>
      <c r="H371" s="229" t="str">
        <f>IFERROR(VLOOKUP(C371,'बँक जमा खर्च पासबुक'!$C$9:$R$111,6,0),"")</f>
        <v/>
      </c>
      <c r="I371" s="229" t="str">
        <f>IFERROR(VLOOKUP(C371,'बँक जमा खर्च पासबुक'!$C$9:$R$111,7,0),"")</f>
        <v/>
      </c>
      <c r="J371" s="233">
        <f>SUMIF('बँक जमा खर्च पासबुक'!$C$9:$C$111,'बँक खर्च व्हाउचर पावती'!C371,'बँक जमा खर्च पासबुक'!$J$9:$J$111)</f>
        <v>0</v>
      </c>
      <c r="K371" s="233">
        <f>SUMIF('बँक जमा खर्च पासबुक'!$C$9:$C$111,'बँक खर्च व्हाउचर पावती'!C371,'बँक जमा खर्च पासबुक'!$K$9:$K$111)</f>
        <v>0</v>
      </c>
      <c r="L371" s="233">
        <f ca="1">SUMIF('बँक जमा खर्च पासबुक'!$C$9:$C$111,'बँक खर्च व्हाउचर पावती'!C371,'बँक जमा खर्च पासबुक'!$L$9:$L$110)</f>
        <v>0</v>
      </c>
      <c r="M371" s="228">
        <f>SUMIF('बँक जमा खर्च पासबुक'!$C$9:$C$111,'बँक खर्च व्हाउचर पावती'!C371,'बँक जमा खर्च पासबुक'!$M$9:$M$111)</f>
        <v>0</v>
      </c>
      <c r="N371" s="233">
        <f t="shared" ca="1" si="192"/>
        <v>3000</v>
      </c>
      <c r="O371" s="228">
        <f t="shared" si="193"/>
        <v>3000</v>
      </c>
      <c r="P371" s="228">
        <f t="shared" ca="1" si="191"/>
        <v>6000</v>
      </c>
      <c r="Q371" s="399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  <c r="AZ371" s="380"/>
      <c r="BA371" s="380"/>
      <c r="BB371" s="380"/>
      <c r="BC371" s="380"/>
      <c r="BD371" s="380"/>
      <c r="BE371" s="380"/>
      <c r="BF371" s="380"/>
      <c r="BG371" s="380"/>
      <c r="BH371" s="380"/>
      <c r="BI371" s="380"/>
      <c r="BJ371" s="380"/>
      <c r="BK371" s="380"/>
      <c r="BL371" s="380"/>
      <c r="BM371" s="380"/>
      <c r="BN371" s="380"/>
      <c r="BO371" s="380"/>
      <c r="BP371" s="380"/>
      <c r="BQ371" s="380"/>
      <c r="BR371" s="380"/>
      <c r="BS371" s="380"/>
      <c r="BT371" s="380"/>
    </row>
    <row r="372" spans="1:72" ht="22.5" customHeight="1" x14ac:dyDescent="0.4">
      <c r="A372" s="399"/>
      <c r="B372" s="376">
        <v>364</v>
      </c>
      <c r="C372" s="310">
        <v>44284</v>
      </c>
      <c r="D372" s="229" t="str">
        <f>IFERROR(VLOOKUP(C372,'बँक जमा खर्च पासबुक'!$C$9:$R$111,2,0),"")</f>
        <v/>
      </c>
      <c r="E372" s="229" t="str">
        <f>IFERROR(VLOOKUP(C372,'बँक जमा खर्च पासबुक'!$C$9:$R$111,3,0),"")</f>
        <v/>
      </c>
      <c r="F372" s="229" t="str">
        <f>IFERROR(VLOOKUP(C372,'बँक जमा खर्च पासबुक'!$C$9:$R$111,4,0),"")</f>
        <v/>
      </c>
      <c r="G372" s="229" t="str">
        <f>IFERROR(VLOOKUP(C372,'बँक जमा खर्च पासबुक'!$C$9:$R$111,5,0),"")</f>
        <v/>
      </c>
      <c r="H372" s="229" t="str">
        <f>IFERROR(VLOOKUP(C372,'बँक जमा खर्च पासबुक'!$C$9:$R$111,6,0),"")</f>
        <v/>
      </c>
      <c r="I372" s="229" t="str">
        <f>IFERROR(VLOOKUP(C372,'बँक जमा खर्च पासबुक'!$C$9:$R$111,7,0),"")</f>
        <v/>
      </c>
      <c r="J372" s="233">
        <f>SUMIF('बँक जमा खर्च पासबुक'!$C$9:$C$111,'बँक खर्च व्हाउचर पावती'!C372,'बँक जमा खर्च पासबुक'!$J$9:$J$111)</f>
        <v>0</v>
      </c>
      <c r="K372" s="233">
        <f>SUMIF('बँक जमा खर्च पासबुक'!$C$9:$C$111,'बँक खर्च व्हाउचर पावती'!C372,'बँक जमा खर्च पासबुक'!$K$9:$K$111)</f>
        <v>0</v>
      </c>
      <c r="L372" s="233">
        <f ca="1">SUMIF('बँक जमा खर्च पासबुक'!$C$9:$C$111,'बँक खर्च व्हाउचर पावती'!C372,'बँक जमा खर्च पासबुक'!$L$9:$L$110)</f>
        <v>0</v>
      </c>
      <c r="M372" s="228">
        <f>SUMIF('बँक जमा खर्च पासबुक'!$C$9:$C$111,'बँक खर्च व्हाउचर पावती'!C372,'बँक जमा खर्च पासबुक'!$M$9:$M$111)</f>
        <v>0</v>
      </c>
      <c r="N372" s="233">
        <f t="shared" ca="1" si="192"/>
        <v>3000</v>
      </c>
      <c r="O372" s="228">
        <f t="shared" si="193"/>
        <v>3000</v>
      </c>
      <c r="P372" s="228">
        <f t="shared" ca="1" si="191"/>
        <v>6000</v>
      </c>
      <c r="Q372" s="399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  <c r="AZ372" s="380"/>
      <c r="BA372" s="380"/>
      <c r="BB372" s="380"/>
      <c r="BC372" s="380"/>
      <c r="BD372" s="380"/>
      <c r="BE372" s="380"/>
      <c r="BF372" s="380"/>
      <c r="BG372" s="380"/>
      <c r="BH372" s="380"/>
      <c r="BI372" s="380"/>
      <c r="BJ372" s="380"/>
      <c r="BK372" s="380"/>
      <c r="BL372" s="380"/>
      <c r="BM372" s="380"/>
      <c r="BN372" s="380"/>
      <c r="BO372" s="380"/>
      <c r="BP372" s="380"/>
      <c r="BQ372" s="380"/>
      <c r="BR372" s="380"/>
      <c r="BS372" s="380"/>
      <c r="BT372" s="380"/>
    </row>
    <row r="373" spans="1:72" ht="22.5" customHeight="1" x14ac:dyDescent="0.4">
      <c r="A373" s="399"/>
      <c r="B373" s="376">
        <v>365</v>
      </c>
      <c r="C373" s="310">
        <v>44285</v>
      </c>
      <c r="D373" s="229" t="str">
        <f>IFERROR(VLOOKUP(C373,'बँक जमा खर्च पासबुक'!$C$9:$R$111,2,0),"")</f>
        <v/>
      </c>
      <c r="E373" s="229" t="str">
        <f>IFERROR(VLOOKUP(C373,'बँक जमा खर्च पासबुक'!$C$9:$R$111,3,0),"")</f>
        <v/>
      </c>
      <c r="F373" s="229" t="str">
        <f>IFERROR(VLOOKUP(C373,'बँक जमा खर्च पासबुक'!$C$9:$R$111,4,0),"")</f>
        <v/>
      </c>
      <c r="G373" s="229" t="str">
        <f>IFERROR(VLOOKUP(C373,'बँक जमा खर्च पासबुक'!$C$9:$R$111,5,0),"")</f>
        <v/>
      </c>
      <c r="H373" s="229" t="str">
        <f>IFERROR(VLOOKUP(C373,'बँक जमा खर्च पासबुक'!$C$9:$R$111,6,0),"")</f>
        <v/>
      </c>
      <c r="I373" s="229" t="str">
        <f>IFERROR(VLOOKUP(C373,'बँक जमा खर्च पासबुक'!$C$9:$R$111,7,0),"")</f>
        <v/>
      </c>
      <c r="J373" s="233">
        <f>SUMIF('बँक जमा खर्च पासबुक'!$C$9:$C$111,'बँक खर्च व्हाउचर पावती'!C373,'बँक जमा खर्च पासबुक'!$J$9:$J$111)</f>
        <v>0</v>
      </c>
      <c r="K373" s="233">
        <f>SUMIF('बँक जमा खर्च पासबुक'!$C$9:$C$111,'बँक खर्च व्हाउचर पावती'!C373,'बँक जमा खर्च पासबुक'!$K$9:$K$111)</f>
        <v>0</v>
      </c>
      <c r="L373" s="233">
        <f ca="1">SUMIF('बँक जमा खर्च पासबुक'!$C$9:$C$111,'बँक खर्च व्हाउचर पावती'!C373,'बँक जमा खर्च पासबुक'!$L$9:$L$110)</f>
        <v>0</v>
      </c>
      <c r="M373" s="228">
        <f>SUMIF('बँक जमा खर्च पासबुक'!$C$9:$C$111,'बँक खर्च व्हाउचर पावती'!C373,'बँक जमा खर्च पासबुक'!$M$9:$M$111)</f>
        <v>0</v>
      </c>
      <c r="N373" s="233">
        <f t="shared" ca="1" si="192"/>
        <v>3000</v>
      </c>
      <c r="O373" s="228">
        <f t="shared" si="193"/>
        <v>3000</v>
      </c>
      <c r="P373" s="228">
        <f t="shared" ca="1" si="191"/>
        <v>6000</v>
      </c>
      <c r="Q373" s="399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  <c r="AZ373" s="380"/>
      <c r="BA373" s="380"/>
      <c r="BB373" s="380"/>
      <c r="BC373" s="380"/>
      <c r="BD373" s="380"/>
      <c r="BE373" s="380"/>
      <c r="BF373" s="380"/>
      <c r="BG373" s="380"/>
      <c r="BH373" s="380"/>
      <c r="BI373" s="380"/>
      <c r="BJ373" s="380"/>
      <c r="BK373" s="380"/>
      <c r="BL373" s="380"/>
      <c r="BM373" s="380"/>
      <c r="BN373" s="380"/>
      <c r="BO373" s="380"/>
      <c r="BP373" s="380"/>
      <c r="BQ373" s="380"/>
      <c r="BR373" s="380"/>
      <c r="BS373" s="380"/>
      <c r="BT373" s="380"/>
    </row>
    <row r="374" spans="1:72" ht="22.5" customHeight="1" x14ac:dyDescent="0.4">
      <c r="A374" s="399"/>
      <c r="B374" s="376">
        <v>366</v>
      </c>
      <c r="C374" s="310">
        <v>44286</v>
      </c>
      <c r="D374" s="229" t="str">
        <f>IFERROR(VLOOKUP(C374,'बँक जमा खर्च पासबुक'!$C$9:$R$111,2,0),"")</f>
        <v/>
      </c>
      <c r="E374" s="229" t="str">
        <f>IFERROR(VLOOKUP(C374,'बँक जमा खर्च पासबुक'!$C$9:$R$111,3,0),"")</f>
        <v/>
      </c>
      <c r="F374" s="229" t="str">
        <f>IFERROR(VLOOKUP(C374,'बँक जमा खर्च पासबुक'!$C$9:$R$111,4,0),"")</f>
        <v/>
      </c>
      <c r="G374" s="229" t="str">
        <f>IFERROR(VLOOKUP(C374,'बँक जमा खर्च पासबुक'!$C$9:$R$111,5,0),"")</f>
        <v/>
      </c>
      <c r="H374" s="229" t="str">
        <f>IFERROR(VLOOKUP(C374,'बँक जमा खर्च पासबुक'!$C$9:$R$111,6,0),"")</f>
        <v/>
      </c>
      <c r="I374" s="229" t="str">
        <f>IFERROR(VLOOKUP(C374,'बँक जमा खर्च पासबुक'!$C$9:$R$111,7,0),"")</f>
        <v/>
      </c>
      <c r="J374" s="233">
        <f>SUMIF('बँक जमा खर्च पासबुक'!$C$9:$C$111,'बँक खर्च व्हाउचर पावती'!C374,'बँक जमा खर्च पासबुक'!$J$9:$J$111)</f>
        <v>0</v>
      </c>
      <c r="K374" s="233">
        <f>SUMIF('बँक जमा खर्च पासबुक'!$C$9:$C$111,'बँक खर्च व्हाउचर पावती'!C374,'बँक जमा खर्च पासबुक'!$K$9:$K$111)</f>
        <v>0</v>
      </c>
      <c r="L374" s="233">
        <f ca="1">SUMIF('बँक जमा खर्च पासबुक'!$C$9:$C$111,'बँक खर्च व्हाउचर पावती'!C374,'बँक जमा खर्च पासबुक'!$L$9:$L$110)</f>
        <v>0</v>
      </c>
      <c r="M374" s="228">
        <f>SUMIF('बँक जमा खर्च पासबुक'!$C$9:$C$111,'बँक खर्च व्हाउचर पावती'!C374,'बँक जमा खर्च पासबुक'!$M$9:$M$111)</f>
        <v>0</v>
      </c>
      <c r="N374" s="233">
        <f t="shared" ca="1" si="192"/>
        <v>3000</v>
      </c>
      <c r="O374" s="228">
        <f t="shared" si="193"/>
        <v>3000</v>
      </c>
      <c r="P374" s="228">
        <f t="shared" ca="1" si="191"/>
        <v>6000</v>
      </c>
      <c r="Q374" s="399"/>
    </row>
    <row r="375" spans="1:72" ht="22.5" customHeight="1" x14ac:dyDescent="0.4">
      <c r="A375" s="399"/>
      <c r="B375" s="376"/>
      <c r="C375" s="376"/>
      <c r="D375" s="376"/>
      <c r="E375" s="376"/>
      <c r="F375" s="399"/>
      <c r="G375" s="399"/>
      <c r="H375" s="399"/>
      <c r="I375" s="399"/>
      <c r="J375" s="228">
        <f>SUM(J9:J374)+Q8</f>
        <v>3000</v>
      </c>
      <c r="K375" s="233">
        <f>SUM(K9:K374)+Q10</f>
        <v>3000</v>
      </c>
      <c r="L375" s="233">
        <f ca="1">SUM(L9:L374)</f>
        <v>0</v>
      </c>
      <c r="M375" s="228">
        <f>SUM(M9:M374)</f>
        <v>0</v>
      </c>
      <c r="N375" s="233">
        <f ca="1">J375-L375</f>
        <v>3000</v>
      </c>
      <c r="O375" s="228">
        <f>K375-M375</f>
        <v>3000</v>
      </c>
      <c r="P375" s="228">
        <f t="shared" ca="1" si="191"/>
        <v>6000</v>
      </c>
      <c r="Q375" s="399"/>
    </row>
    <row r="376" spans="1:72" ht="22.5" customHeight="1" x14ac:dyDescent="0.4">
      <c r="A376" s="399"/>
      <c r="B376" s="376"/>
      <c r="C376" s="376"/>
      <c r="D376" s="376"/>
      <c r="E376" s="376"/>
      <c r="F376" s="399"/>
      <c r="G376" s="399"/>
      <c r="H376" s="399"/>
      <c r="I376" s="399"/>
      <c r="J376" s="399"/>
      <c r="K376" s="376"/>
      <c r="L376" s="376"/>
      <c r="M376" s="399"/>
      <c r="N376" s="399"/>
      <c r="O376" s="399"/>
      <c r="P376" s="399"/>
      <c r="Q376" s="399"/>
    </row>
  </sheetData>
  <sheetProtection algorithmName="SHA-512" hashValue="mDsUhlImk4tD6Vu83Bcg9kuk/ASqphNvUHqFLKqT2xlWcLoMLT1RwpGCQ9u2V4pKmgCvujjSDxdtrFLteQqdhQ==" saltValue="qpqw+jKM/vZdUL3hm2MiDQ==" spinCount="100000" sheet="1" objects="1" scenarios="1" selectLockedCells="1"/>
  <protectedRanges>
    <protectedRange sqref="W6" name="Range1"/>
  </protectedRanges>
  <mergeCells count="70">
    <mergeCell ref="Y30:Z30"/>
    <mergeCell ref="AA30:AD30"/>
    <mergeCell ref="V31:Z31"/>
    <mergeCell ref="AA31:AD31"/>
    <mergeCell ref="AA24:AB24"/>
    <mergeCell ref="AC24:AD24"/>
    <mergeCell ref="V25:W25"/>
    <mergeCell ref="X25:AA25"/>
    <mergeCell ref="V28:Y28"/>
    <mergeCell ref="AA26:AD26"/>
    <mergeCell ref="X22:Z22"/>
    <mergeCell ref="AA22:AB22"/>
    <mergeCell ref="AC22:AD22"/>
    <mergeCell ref="X23:Z23"/>
    <mergeCell ref="AA23:AB23"/>
    <mergeCell ref="AC23:AD23"/>
    <mergeCell ref="X20:Z20"/>
    <mergeCell ref="AA20:AB20"/>
    <mergeCell ref="AC20:AD20"/>
    <mergeCell ref="X21:Z21"/>
    <mergeCell ref="AA21:AB21"/>
    <mergeCell ref="AC21:AD21"/>
    <mergeCell ref="X18:Z18"/>
    <mergeCell ref="AA18:AB18"/>
    <mergeCell ref="AC18:AD18"/>
    <mergeCell ref="X19:Z19"/>
    <mergeCell ref="AA19:AB19"/>
    <mergeCell ref="AC19:AD19"/>
    <mergeCell ref="X16:Z16"/>
    <mergeCell ref="AA16:AB16"/>
    <mergeCell ref="AC16:AD16"/>
    <mergeCell ref="X17:Z17"/>
    <mergeCell ref="AA17:AB17"/>
    <mergeCell ref="AC17:AD17"/>
    <mergeCell ref="AA14:AB14"/>
    <mergeCell ref="AC14:AD14"/>
    <mergeCell ref="X15:Z15"/>
    <mergeCell ref="AA15:AB15"/>
    <mergeCell ref="AC15:AD15"/>
    <mergeCell ref="B1:P1"/>
    <mergeCell ref="B7:B8"/>
    <mergeCell ref="C7:C8"/>
    <mergeCell ref="D7:F7"/>
    <mergeCell ref="P7:P8"/>
    <mergeCell ref="J7:K7"/>
    <mergeCell ref="L7:M7"/>
    <mergeCell ref="N7:O7"/>
    <mergeCell ref="D8:E8"/>
    <mergeCell ref="G8:H8"/>
    <mergeCell ref="X6:Y6"/>
    <mergeCell ref="AC8:AD8"/>
    <mergeCell ref="AC6:AD6"/>
    <mergeCell ref="AC7:AD7"/>
    <mergeCell ref="X8:AA8"/>
    <mergeCell ref="U9:V9"/>
    <mergeCell ref="U11:AD11"/>
    <mergeCell ref="U24:Z24"/>
    <mergeCell ref="U4:AD4"/>
    <mergeCell ref="U5:AD5"/>
    <mergeCell ref="U6:V6"/>
    <mergeCell ref="U7:AA7"/>
    <mergeCell ref="U8:W8"/>
    <mergeCell ref="W9:X9"/>
    <mergeCell ref="Z9:AA9"/>
    <mergeCell ref="AC9:AD9"/>
    <mergeCell ref="V13:W13"/>
    <mergeCell ref="X13:Z13"/>
    <mergeCell ref="AA13:AB13"/>
    <mergeCell ref="AC13:AD13"/>
    <mergeCell ref="X14:Z14"/>
  </mergeCells>
  <conditionalFormatting sqref="X6">
    <cfRule type="cellIs" dxfId="134" priority="1" operator="equal">
      <formula>0</formula>
    </cfRule>
  </conditionalFormatting>
  <dataValidations count="1">
    <dataValidation type="list" allowBlank="1" showInputMessage="1" showErrorMessage="1" sqref="W6">
      <formula1>"1,2,3,4,5,6,7,8,9,10,11,12,13,14,15,16,17,18,19,20,21,22,23,24,25,26,27,28,29,30,31,32,33,34,35,36,37,38,39,40,41,42,43,44,45,46,47,48,49,50"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8" orientation="portrait" r:id="rId1"/>
  <rowBreaks count="1" manualBreakCount="1">
    <brk id="34" max="16383" man="1"/>
  </rowBreaks>
  <colBreaks count="2" manualBreakCount="2">
    <brk id="31" min="2" max="34" man="1"/>
    <brk id="3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5DE64A"/>
    <pageSetUpPr fitToPage="1"/>
  </sheetPr>
  <dimension ref="B2:BK409"/>
  <sheetViews>
    <sheetView showZeros="0" zoomScaleNormal="100" workbookViewId="0">
      <selection activeCell="D5" sqref="D5:J5"/>
    </sheetView>
  </sheetViews>
  <sheetFormatPr defaultRowHeight="35.25" customHeight="1" x14ac:dyDescent="0.5"/>
  <cols>
    <col min="1" max="1" width="0.28515625" style="370" customWidth="1"/>
    <col min="2" max="2" width="5.85546875" style="995" customWidth="1"/>
    <col min="3" max="3" width="7.42578125" style="873" customWidth="1"/>
    <col min="4" max="4" width="19" style="874" customWidth="1"/>
    <col min="5" max="5" width="9.28515625" style="370" bestFit="1" customWidth="1"/>
    <col min="6" max="6" width="15.28515625" style="873" customWidth="1"/>
    <col min="7" max="7" width="13" style="873" customWidth="1"/>
    <col min="8" max="8" width="42" style="370" customWidth="1"/>
    <col min="9" max="9" width="15.5703125" style="370" customWidth="1"/>
    <col min="10" max="10" width="17.140625" style="370" customWidth="1"/>
    <col min="11" max="11" width="9.140625" style="370"/>
    <col min="12" max="12" width="9.28515625" style="370" bestFit="1" customWidth="1"/>
    <col min="13" max="13" width="19" style="370" customWidth="1"/>
    <col min="14" max="14" width="9.140625" style="370"/>
    <col min="15" max="15" width="15.140625" style="370" customWidth="1"/>
    <col min="16" max="16" width="16.140625" style="370" customWidth="1"/>
    <col min="17" max="17" width="45.42578125" style="370" customWidth="1"/>
    <col min="18" max="18" width="16.7109375" style="370" customWidth="1"/>
    <col min="19" max="19" width="17.85546875" style="370" customWidth="1"/>
    <col min="20" max="20" width="9.140625" style="370"/>
    <col min="21" max="21" width="8.85546875" style="370" customWidth="1"/>
    <col min="22" max="23" width="9.140625" style="370" hidden="1" customWidth="1"/>
    <col min="24" max="25" width="9.28515625" style="370" hidden="1" customWidth="1"/>
    <col min="26" max="26" width="8.140625" style="370" hidden="1" customWidth="1"/>
    <col min="27" max="34" width="9.28515625" style="370" hidden="1" customWidth="1"/>
    <col min="35" max="35" width="9.28515625" style="875" hidden="1" customWidth="1"/>
    <col min="36" max="36" width="9.140625" style="370" hidden="1" customWidth="1"/>
    <col min="37" max="38" width="9.28515625" style="370" hidden="1" customWidth="1"/>
    <col min="39" max="39" width="13.140625" style="876" hidden="1" customWidth="1"/>
    <col min="40" max="40" width="12.7109375" style="370" hidden="1" customWidth="1"/>
    <col min="41" max="41" width="13.85546875" style="370" hidden="1" customWidth="1"/>
    <col min="42" max="42" width="28.7109375" style="370" hidden="1" customWidth="1"/>
    <col min="43" max="43" width="12.7109375" style="370" hidden="1" customWidth="1"/>
    <col min="44" max="44" width="11.5703125" style="370" hidden="1" customWidth="1"/>
    <col min="45" max="45" width="26.140625" style="370" hidden="1" customWidth="1"/>
    <col min="46" max="46" width="0.140625" style="370" hidden="1" customWidth="1"/>
    <col min="47" max="47" width="10.42578125" style="370" hidden="1" customWidth="1"/>
    <col min="48" max="48" width="11.7109375" style="370" hidden="1" customWidth="1"/>
    <col min="49" max="49" width="13.140625" style="370" hidden="1" customWidth="1"/>
    <col min="50" max="50" width="11.42578125" style="370" hidden="1" customWidth="1"/>
    <col min="51" max="51" width="12.28515625" style="370" hidden="1" customWidth="1"/>
    <col min="52" max="56" width="9.140625" style="370" hidden="1" customWidth="1"/>
    <col min="57" max="57" width="11.28515625" style="370" hidden="1" customWidth="1"/>
    <col min="58" max="58" width="14.42578125" style="370" hidden="1" customWidth="1"/>
    <col min="59" max="63" width="9.140625" style="370" hidden="1" customWidth="1"/>
    <col min="64" max="16384" width="9.140625" style="370"/>
  </cols>
  <sheetData>
    <row r="2" spans="2:60" ht="27.75" customHeight="1" thickBot="1" x14ac:dyDescent="0.55000000000000004"/>
    <row r="3" spans="2:60" ht="35.25" customHeight="1" thickBot="1" x14ac:dyDescent="0.55000000000000004">
      <c r="C3" s="1477" t="s">
        <v>628</v>
      </c>
      <c r="D3" s="1478"/>
      <c r="E3" s="1478"/>
      <c r="F3" s="1478"/>
      <c r="G3" s="1479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80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77"/>
      <c r="AG3" s="877"/>
      <c r="AH3" s="877"/>
      <c r="AI3" s="878"/>
      <c r="AJ3" s="877"/>
      <c r="AK3" s="877"/>
      <c r="AL3" s="877"/>
      <c r="AM3" s="879"/>
      <c r="AN3" s="877"/>
      <c r="AO3" s="877"/>
      <c r="AP3" s="877"/>
      <c r="AQ3" s="877"/>
      <c r="AR3" s="877"/>
      <c r="AS3" s="877"/>
      <c r="AT3" s="877"/>
      <c r="AU3" s="877"/>
      <c r="AV3" s="877"/>
      <c r="AW3" s="877"/>
      <c r="AX3" s="877"/>
      <c r="AY3" s="877"/>
      <c r="AZ3" s="877"/>
      <c r="BA3" s="877"/>
      <c r="BB3" s="877"/>
      <c r="BC3" s="877"/>
      <c r="BD3" s="877"/>
      <c r="BE3" s="877"/>
      <c r="BF3" s="877"/>
      <c r="BG3" s="877"/>
      <c r="BH3" s="877"/>
    </row>
    <row r="4" spans="2:60" ht="31.5" customHeight="1" thickBot="1" x14ac:dyDescent="0.55000000000000004">
      <c r="C4" s="747" t="s">
        <v>257</v>
      </c>
      <c r="D4" s="750" t="s">
        <v>42</v>
      </c>
      <c r="E4" s="751">
        <v>2022</v>
      </c>
      <c r="F4" s="880"/>
      <c r="G4" s="881" t="s">
        <v>627</v>
      </c>
      <c r="L4" s="586" t="s">
        <v>256</v>
      </c>
      <c r="M4" s="882" t="str">
        <f>'शाळा माहिती'!D6</f>
        <v>जामगाव</v>
      </c>
      <c r="N4" s="883"/>
      <c r="O4" s="586" t="s">
        <v>258</v>
      </c>
      <c r="P4" s="157" t="str">
        <f>'शाळा माहिती'!D7</f>
        <v>गंगापूर</v>
      </c>
      <c r="Q4" s="748" t="s">
        <v>312</v>
      </c>
      <c r="R4" s="157">
        <f>HOME!E2</f>
        <v>2022</v>
      </c>
      <c r="S4" s="884">
        <f>HOME!F2</f>
        <v>2023</v>
      </c>
      <c r="V4" s="877"/>
      <c r="W4" s="877"/>
      <c r="X4" s="877"/>
      <c r="Y4" s="877"/>
      <c r="Z4" s="877"/>
      <c r="AA4" s="877"/>
      <c r="AB4" s="877"/>
      <c r="AC4" s="877"/>
      <c r="AD4" s="877"/>
      <c r="AE4" s="877"/>
      <c r="AF4" s="877"/>
      <c r="AG4" s="877"/>
      <c r="AH4" s="877"/>
      <c r="AI4" s="878"/>
      <c r="AJ4" s="877"/>
      <c r="AK4" s="877"/>
      <c r="AL4" s="877"/>
      <c r="AM4" s="879"/>
      <c r="AN4" s="877"/>
      <c r="AO4" s="877"/>
      <c r="AP4" s="877"/>
      <c r="AQ4" s="877"/>
      <c r="AR4" s="877"/>
      <c r="AS4" s="877"/>
      <c r="AT4" s="877"/>
      <c r="AU4" s="877"/>
      <c r="AV4" s="877"/>
      <c r="AW4" s="877"/>
      <c r="AX4" s="877"/>
      <c r="AY4" s="877"/>
      <c r="AZ4" s="877"/>
      <c r="BA4" s="877"/>
      <c r="BB4" s="877"/>
      <c r="BC4" s="877"/>
      <c r="BD4" s="877"/>
      <c r="BE4" s="877"/>
      <c r="BF4" s="877"/>
      <c r="BG4" s="877"/>
      <c r="BH4" s="877"/>
    </row>
    <row r="5" spans="2:60" ht="30" customHeight="1" thickBot="1" x14ac:dyDescent="0.55000000000000004">
      <c r="G5" s="586" t="s">
        <v>334</v>
      </c>
      <c r="H5" s="1481" t="str">
        <f>'शाळा माहिती'!D4</f>
        <v>जि.प.प्रा.शा.बोरजाई वस्ती</v>
      </c>
      <c r="I5" s="1481"/>
      <c r="L5" s="885"/>
      <c r="M5" s="886"/>
      <c r="N5" s="886"/>
      <c r="O5" s="586" t="s">
        <v>378</v>
      </c>
      <c r="P5" s="157" t="str">
        <f>'शाळा माहिती'!D8</f>
        <v>औरंगाबाद</v>
      </c>
      <c r="V5" s="877"/>
      <c r="W5" s="877"/>
      <c r="X5" s="877"/>
      <c r="Y5" s="877"/>
      <c r="Z5" s="877"/>
      <c r="AA5" s="877"/>
      <c r="AB5" s="877"/>
      <c r="AC5" s="877"/>
      <c r="AD5" s="877"/>
      <c r="AE5" s="877"/>
      <c r="AF5" s="877"/>
      <c r="AG5" s="877"/>
      <c r="AH5" s="877"/>
      <c r="AI5" s="878"/>
      <c r="AJ5" s="877"/>
      <c r="AK5" s="877"/>
      <c r="AL5" s="877"/>
      <c r="AM5" s="879"/>
      <c r="AN5" s="877"/>
      <c r="AO5" s="877"/>
      <c r="AP5" s="877"/>
      <c r="AQ5" s="877"/>
      <c r="AR5" s="877"/>
      <c r="AS5" s="877"/>
      <c r="AT5" s="877"/>
      <c r="AU5" s="877"/>
      <c r="AV5" s="877"/>
      <c r="AW5" s="877"/>
      <c r="AX5" s="877"/>
      <c r="AY5" s="877"/>
      <c r="AZ5" s="877"/>
      <c r="BA5" s="877"/>
      <c r="BB5" s="877"/>
      <c r="BC5" s="877"/>
      <c r="BD5" s="877"/>
      <c r="BE5" s="877"/>
      <c r="BF5" s="877"/>
      <c r="BG5" s="877"/>
      <c r="BH5" s="877"/>
    </row>
    <row r="6" spans="2:60" ht="21.75" customHeight="1" x14ac:dyDescent="0.5">
      <c r="C6" s="1482" t="s">
        <v>544</v>
      </c>
      <c r="D6" s="1483"/>
      <c r="E6" s="1483"/>
      <c r="F6" s="1483"/>
      <c r="G6" s="1483"/>
      <c r="H6" s="1483"/>
      <c r="I6" s="1484"/>
      <c r="J6" s="1485"/>
      <c r="K6" s="873"/>
      <c r="L6" s="1486" t="s">
        <v>545</v>
      </c>
      <c r="M6" s="1487"/>
      <c r="N6" s="1487"/>
      <c r="O6" s="1487"/>
      <c r="P6" s="1487"/>
      <c r="Q6" s="1487"/>
      <c r="R6" s="1487"/>
      <c r="S6" s="1488"/>
      <c r="V6" s="877"/>
      <c r="W6" s="877"/>
      <c r="X6" s="877"/>
      <c r="Y6" s="877"/>
      <c r="Z6" s="877"/>
      <c r="AA6" s="887">
        <f>HOME!E2</f>
        <v>2022</v>
      </c>
      <c r="AB6" s="887">
        <f>HOME!F2</f>
        <v>2023</v>
      </c>
      <c r="AC6" s="877"/>
      <c r="AD6" s="877"/>
      <c r="AE6" s="877"/>
      <c r="AF6" s="877"/>
      <c r="AG6" s="877"/>
      <c r="AH6" s="877"/>
      <c r="AI6" s="878"/>
      <c r="AJ6" s="877"/>
      <c r="AK6" s="877"/>
      <c r="AL6" s="877" t="s">
        <v>663</v>
      </c>
      <c r="AM6" s="879" t="s">
        <v>664</v>
      </c>
      <c r="AN6" s="877" t="s">
        <v>665</v>
      </c>
      <c r="AO6" s="879" t="s">
        <v>666</v>
      </c>
      <c r="AP6" s="877" t="s">
        <v>667</v>
      </c>
      <c r="AQ6" s="879" t="s">
        <v>668</v>
      </c>
      <c r="AR6" s="877" t="s">
        <v>669</v>
      </c>
      <c r="AS6" s="879" t="s">
        <v>670</v>
      </c>
      <c r="AT6" s="877" t="s">
        <v>671</v>
      </c>
      <c r="AU6" s="879" t="s">
        <v>672</v>
      </c>
      <c r="AV6" s="877" t="s">
        <v>673</v>
      </c>
      <c r="AW6" s="879" t="s">
        <v>674</v>
      </c>
      <c r="AX6" s="877"/>
      <c r="AY6" s="877"/>
      <c r="AZ6" s="877"/>
      <c r="BA6" s="877"/>
      <c r="BB6" s="877"/>
      <c r="BC6" s="877"/>
      <c r="BD6" s="877"/>
      <c r="BE6" s="877"/>
      <c r="BF6" s="877"/>
      <c r="BG6" s="877"/>
      <c r="BH6" s="877"/>
    </row>
    <row r="7" spans="2:60" ht="51.75" customHeight="1" x14ac:dyDescent="0.5">
      <c r="C7" s="888" t="s">
        <v>86</v>
      </c>
      <c r="D7" s="889" t="s">
        <v>17</v>
      </c>
      <c r="E7" s="890" t="s">
        <v>546</v>
      </c>
      <c r="F7" s="1495" t="s">
        <v>541</v>
      </c>
      <c r="G7" s="1496"/>
      <c r="H7" s="1497"/>
      <c r="I7" s="890" t="s">
        <v>547</v>
      </c>
      <c r="J7" s="891" t="s">
        <v>548</v>
      </c>
      <c r="K7" s="873"/>
      <c r="L7" s="888" t="s">
        <v>86</v>
      </c>
      <c r="M7" s="892" t="s">
        <v>17</v>
      </c>
      <c r="N7" s="893" t="s">
        <v>549</v>
      </c>
      <c r="O7" s="1498" t="s">
        <v>541</v>
      </c>
      <c r="P7" s="1498"/>
      <c r="Q7" s="1497"/>
      <c r="R7" s="893" t="s">
        <v>550</v>
      </c>
      <c r="S7" s="891" t="s">
        <v>551</v>
      </c>
      <c r="V7" s="877"/>
      <c r="W7" s="877"/>
      <c r="X7" s="877"/>
      <c r="Y7" s="877"/>
      <c r="Z7" s="877"/>
      <c r="AA7" s="877"/>
      <c r="AB7" s="877"/>
      <c r="AC7" s="877"/>
      <c r="AD7" s="877"/>
      <c r="AE7" s="877"/>
      <c r="AF7" s="877"/>
      <c r="AG7" s="877"/>
      <c r="AH7" s="877"/>
      <c r="AI7" s="878"/>
      <c r="AJ7" s="877"/>
      <c r="AK7" s="877"/>
      <c r="AL7" s="877" t="s">
        <v>86</v>
      </c>
      <c r="AM7" s="879" t="s">
        <v>17</v>
      </c>
      <c r="AN7" s="1489" t="s">
        <v>553</v>
      </c>
      <c r="AO7" s="1489"/>
      <c r="AP7" s="1489"/>
      <c r="AQ7" s="1489" t="s">
        <v>554</v>
      </c>
      <c r="AR7" s="1489"/>
      <c r="AS7" s="1489"/>
      <c r="AT7" s="877" t="s">
        <v>543</v>
      </c>
      <c r="AU7" s="877"/>
      <c r="AV7" s="1494" t="s">
        <v>660</v>
      </c>
      <c r="AW7" s="1494"/>
      <c r="AX7" s="877"/>
      <c r="AY7" s="877"/>
      <c r="AZ7" s="877"/>
      <c r="BA7" s="877"/>
      <c r="BB7" s="877"/>
      <c r="BC7" s="877"/>
      <c r="BD7" s="877"/>
      <c r="BE7" s="877"/>
      <c r="BF7" s="877"/>
      <c r="BG7" s="877"/>
      <c r="BH7" s="877"/>
    </row>
    <row r="8" spans="2:60" ht="35.25" customHeight="1" x14ac:dyDescent="0.5">
      <c r="C8" s="894"/>
      <c r="D8" s="895"/>
      <c r="E8" s="896"/>
      <c r="F8" s="896"/>
      <c r="G8" s="897"/>
      <c r="H8" s="898" t="s">
        <v>682</v>
      </c>
      <c r="I8" s="899">
        <f>IFERROR(VLOOKUP(D4,$BD$143:$BF$154,2,0),"")</f>
        <v>3000</v>
      </c>
      <c r="J8" s="900">
        <f>IFERROR(VLOOKUP(D4,$BD$143:$BF$154,3,0),"")</f>
        <v>3000</v>
      </c>
      <c r="K8" s="901"/>
      <c r="L8" s="894"/>
      <c r="M8" s="902"/>
      <c r="N8" s="902"/>
      <c r="O8" s="903"/>
      <c r="P8" s="904"/>
      <c r="Q8" s="905"/>
      <c r="R8" s="906"/>
      <c r="S8" s="907"/>
      <c r="V8" s="877"/>
      <c r="W8" s="877"/>
      <c r="X8" s="908" t="s">
        <v>663</v>
      </c>
      <c r="Y8" s="908" t="s">
        <v>664</v>
      </c>
      <c r="Z8" s="908" t="s">
        <v>665</v>
      </c>
      <c r="AA8" s="908" t="s">
        <v>666</v>
      </c>
      <c r="AB8" s="908" t="s">
        <v>667</v>
      </c>
      <c r="AC8" s="908" t="s">
        <v>668</v>
      </c>
      <c r="AD8" s="908" t="s">
        <v>669</v>
      </c>
      <c r="AE8" s="908" t="s">
        <v>670</v>
      </c>
      <c r="AF8" s="908" t="s">
        <v>671</v>
      </c>
      <c r="AG8" s="908" t="s">
        <v>672</v>
      </c>
      <c r="AH8" s="908" t="s">
        <v>673</v>
      </c>
      <c r="AI8" s="908" t="s">
        <v>674</v>
      </c>
      <c r="AJ8" s="877"/>
      <c r="AK8" s="877"/>
      <c r="AL8" s="877"/>
      <c r="AM8" s="879"/>
      <c r="AN8" s="877" t="s">
        <v>363</v>
      </c>
      <c r="AO8" s="877"/>
      <c r="AP8" s="877" t="s">
        <v>541</v>
      </c>
      <c r="AQ8" s="877" t="s">
        <v>363</v>
      </c>
      <c r="AR8" s="877"/>
      <c r="AS8" s="877" t="s">
        <v>541</v>
      </c>
      <c r="AT8" s="877" t="s">
        <v>586</v>
      </c>
      <c r="AU8" s="877" t="s">
        <v>587</v>
      </c>
      <c r="AV8" s="877" t="s">
        <v>586</v>
      </c>
      <c r="AW8" s="877" t="s">
        <v>587</v>
      </c>
      <c r="AX8" s="877"/>
      <c r="AY8" s="877"/>
      <c r="AZ8" s="877"/>
      <c r="BA8" s="877"/>
      <c r="BB8" s="877"/>
      <c r="BC8" s="877"/>
      <c r="BD8" s="877"/>
      <c r="BE8" s="877"/>
      <c r="BF8" s="877"/>
      <c r="BG8" s="877"/>
      <c r="BH8" s="877"/>
    </row>
    <row r="9" spans="2:60" ht="35.25" customHeight="1" x14ac:dyDescent="0.5">
      <c r="B9" s="996">
        <f>HLOOKUP(D4,$AL$386:$AW$406,2,0)</f>
        <v>1</v>
      </c>
      <c r="C9" s="909" t="str">
        <f>IF(D9="","",ROW(1:1))</f>
        <v/>
      </c>
      <c r="D9" s="910" t="str">
        <f t="shared" ref="D9:D28" si="0">IFERROR(VLOOKUP(B9,$AK$125:$AW$375,3,0),"")</f>
        <v/>
      </c>
      <c r="E9" s="911"/>
      <c r="F9" s="912" t="str">
        <f t="shared" ref="F9:F28" si="1">IFERROR(VLOOKUP(B9,$AK$125:$AW$375,4,0),"")</f>
        <v/>
      </c>
      <c r="G9" s="913" t="str">
        <f t="shared" ref="G9:G28" si="2">IFERROR(VLOOKUP(B9,$AK$125:$AW$375,5,0),"")</f>
        <v/>
      </c>
      <c r="H9" s="914" t="str">
        <f t="shared" ref="H9:H28" si="3">IFERROR(VLOOKUP(B9,$AK$125:$AW$375,6,0),"")</f>
        <v/>
      </c>
      <c r="I9" s="899" t="str">
        <f t="shared" ref="I9:I28" si="4">IFERROR(VLOOKUP(B9,$AK$125:$AW$375,10,0),"")</f>
        <v/>
      </c>
      <c r="J9" s="900" t="str">
        <f t="shared" ref="J9:J28" si="5">IFERROR(VLOOKUP(B9,$AK$125:$AW$375,11,0),"")</f>
        <v/>
      </c>
      <c r="K9" s="873"/>
      <c r="L9" s="909" t="str">
        <f>IF(M9="","",ROW(1:1))</f>
        <v/>
      </c>
      <c r="M9" s="910" t="str">
        <f t="shared" ref="M9:M28" si="6">IFERROR(VLOOKUP(B9,$AK$125:$AW$375,3,0),"")</f>
        <v/>
      </c>
      <c r="N9" s="915"/>
      <c r="O9" s="916" t="str">
        <f t="shared" ref="O9:O28" si="7">IFERROR(VLOOKUP(B9,$AK$125:$AW$375,7,0),"")</f>
        <v/>
      </c>
      <c r="P9" s="917" t="str">
        <f t="shared" ref="P9:P28" si="8">IFERROR(VLOOKUP(B9,$AK$125:$AW$375,8,0),"")</f>
        <v/>
      </c>
      <c r="Q9" s="914" t="str">
        <f t="shared" ref="Q9:Q28" si="9">IFERROR(VLOOKUP(B9,$AK$125:$AW$375,9,0),"")</f>
        <v/>
      </c>
      <c r="R9" s="918" t="str">
        <f t="shared" ref="R9:R28" si="10">IFERROR(VLOOKUP(B9,$AK$125:$AW$375,12,0),"")</f>
        <v/>
      </c>
      <c r="S9" s="919" t="str">
        <f t="shared" ref="S9:S28" si="11">IFERROR(VLOOKUP(B9,$AK$125:$AW$375,13,0),"")</f>
        <v/>
      </c>
      <c r="V9" s="877"/>
      <c r="W9" s="877"/>
      <c r="X9" s="877"/>
      <c r="Y9" s="877"/>
      <c r="Z9" s="877"/>
      <c r="AA9" s="877"/>
      <c r="AB9" s="877"/>
      <c r="AC9" s="877"/>
      <c r="AD9" s="877"/>
      <c r="AE9" s="877"/>
      <c r="AF9" s="877"/>
      <c r="AG9" s="877"/>
      <c r="AH9" s="877"/>
      <c r="AI9" s="878"/>
      <c r="AJ9" s="877"/>
      <c r="AK9" s="877"/>
      <c r="AL9" s="877"/>
      <c r="AM9" s="879"/>
      <c r="AN9" s="877"/>
      <c r="AO9" s="877"/>
      <c r="AP9" s="877"/>
      <c r="AQ9" s="877"/>
      <c r="AR9" s="877"/>
      <c r="AS9" s="877"/>
      <c r="AT9" s="887">
        <f>'Balance sheet'!D22</f>
        <v>3000</v>
      </c>
      <c r="AU9" s="887">
        <f>'Balance sheet'!E22</f>
        <v>3000</v>
      </c>
      <c r="AV9" s="877"/>
      <c r="AW9" s="877"/>
      <c r="AX9" s="877"/>
      <c r="AY9" s="877"/>
      <c r="AZ9" s="877"/>
      <c r="BA9" s="877"/>
      <c r="BB9" s="877"/>
      <c r="BC9" s="877"/>
      <c r="BD9" s="877"/>
      <c r="BE9" s="877"/>
      <c r="BF9" s="877"/>
      <c r="BG9" s="877"/>
      <c r="BH9" s="877"/>
    </row>
    <row r="10" spans="2:60" ht="35.25" customHeight="1" x14ac:dyDescent="0.5">
      <c r="B10" s="996">
        <f>HLOOKUP(D4,$AL$386:$AW$406,3,0)</f>
        <v>2</v>
      </c>
      <c r="C10" s="909" t="str">
        <f t="shared" ref="C10" si="12">IF(D10="","",ROW(2:2))</f>
        <v/>
      </c>
      <c r="D10" s="910" t="str">
        <f t="shared" si="0"/>
        <v/>
      </c>
      <c r="E10" s="911"/>
      <c r="F10" s="912" t="str">
        <f t="shared" si="1"/>
        <v/>
      </c>
      <c r="G10" s="913" t="str">
        <f t="shared" si="2"/>
        <v/>
      </c>
      <c r="H10" s="914" t="str">
        <f t="shared" si="3"/>
        <v/>
      </c>
      <c r="I10" s="899" t="str">
        <f t="shared" si="4"/>
        <v/>
      </c>
      <c r="J10" s="900" t="str">
        <f t="shared" si="5"/>
        <v/>
      </c>
      <c r="K10" s="873"/>
      <c r="L10" s="909" t="str">
        <f t="shared" ref="L10" si="13">IF(M10="","",ROW(2:2))</f>
        <v/>
      </c>
      <c r="M10" s="910" t="str">
        <f t="shared" si="6"/>
        <v/>
      </c>
      <c r="N10" s="915"/>
      <c r="O10" s="916" t="str">
        <f t="shared" si="7"/>
        <v/>
      </c>
      <c r="P10" s="917" t="str">
        <f t="shared" si="8"/>
        <v/>
      </c>
      <c r="Q10" s="914" t="str">
        <f t="shared" si="9"/>
        <v/>
      </c>
      <c r="R10" s="918" t="str">
        <f t="shared" si="10"/>
        <v/>
      </c>
      <c r="S10" s="919" t="str">
        <f t="shared" si="11"/>
        <v/>
      </c>
      <c r="V10" s="877"/>
      <c r="W10" s="887" t="str">
        <f>AJ10</f>
        <v>January</v>
      </c>
      <c r="X10" s="887" t="str">
        <f>IF(AND(AJ10=$X$8,AK10=$AA$6),MAX($X$9:X9)+1,"")</f>
        <v/>
      </c>
      <c r="Y10" s="887" t="str">
        <f>IF(AND(AJ10=$Y$8,AK10=$AA$6),MAX($Y$9:Y9)+1,"")</f>
        <v/>
      </c>
      <c r="Z10" s="887" t="str">
        <f>IF(AND(AJ10=$Z$8,AK10=$AA$6),MAX($Z$9:Z9)+1,"")</f>
        <v/>
      </c>
      <c r="AA10" s="887" t="str">
        <f>IF(AND(AJ10=$AA$8,AK10=$AA$6),MAX(AA$9:$AA9)+1,"")</f>
        <v/>
      </c>
      <c r="AB10" s="887" t="str">
        <f>IF(AND(AJ10=$AB$8,AK10=$AA$6),MAX(AB$9:$AB9)+1,"")</f>
        <v/>
      </c>
      <c r="AC10" s="887" t="str">
        <f>IF(AND(AJ10=$AC$8,AK10=$AA$6),MAX(AC$9:$AC9)+1,"")</f>
        <v/>
      </c>
      <c r="AD10" s="887" t="str">
        <f>IF(AND(AJ10=$AD$8,AK10=$AA$6),MAX(AD$9:$AD9)+1,"")</f>
        <v/>
      </c>
      <c r="AE10" s="887" t="str">
        <f>IF(AND(AJ10=$AE$8,AK10=$AA$6),MAX(AE$9:$AE9)+1,"")</f>
        <v/>
      </c>
      <c r="AF10" s="887" t="str">
        <f>IF(AND(AJ10=$AF$8,AK10=$AA$6),MAX(AF$9:$AF9)+1,"")</f>
        <v/>
      </c>
      <c r="AG10" s="887" t="str">
        <f>IF(AND(AJ10=$AG$8,AK10=$AB$6),MAX(AG$9:$AG9)+1,"")</f>
        <v/>
      </c>
      <c r="AH10" s="887" t="str">
        <f>IF(AND(AJ10=$AH$8,AK10=$AB$6),MAX(AH$9:$AH9)+1,"")</f>
        <v/>
      </c>
      <c r="AI10" s="920" t="str">
        <f>IF(AND(AJ10=$AI$8,AK10=$AB$6),MAX(AI$9:$AI9)+1,"")</f>
        <v/>
      </c>
      <c r="AJ10" s="887" t="str">
        <f>TEXT(AM10,"MMMM")</f>
        <v>January</v>
      </c>
      <c r="AK10" s="887">
        <f>YEAR(AM10)</f>
        <v>1900</v>
      </c>
      <c r="AL10" s="887" t="str">
        <f>'बँक जमा खर्च पासबुक'!B9</f>
        <v/>
      </c>
      <c r="AM10" s="921">
        <f>_xlfn.IFNA('बँक जमा खर्च पासबुक'!C9,"")</f>
        <v>0</v>
      </c>
      <c r="AN10" s="887">
        <f>'बँक जमा खर्च पासबुक'!D9</f>
        <v>0</v>
      </c>
      <c r="AO10" s="887">
        <f>'बँक जमा खर्च पासबुक'!E9</f>
        <v>0</v>
      </c>
      <c r="AP10" s="887">
        <f>'बँक जमा खर्च पासबुक'!F9</f>
        <v>0</v>
      </c>
      <c r="AQ10" s="887">
        <f>'बँक जमा खर्च पासबुक'!G9</f>
        <v>0</v>
      </c>
      <c r="AR10" s="887">
        <f>'बँक जमा खर्च पासबुक'!H9</f>
        <v>0</v>
      </c>
      <c r="AS10" s="887">
        <f>'बँक जमा खर्च पासबुक'!I9</f>
        <v>0</v>
      </c>
      <c r="AT10" s="887">
        <f>'बँक जमा खर्च पासबुक'!J9</f>
        <v>0</v>
      </c>
      <c r="AU10" s="887">
        <f>'बँक जमा खर्च पासबुक'!K9</f>
        <v>0</v>
      </c>
      <c r="AV10" s="887">
        <f>'बँक जमा खर्च पासबुक'!L9</f>
        <v>0</v>
      </c>
      <c r="AW10" s="887">
        <f>'बँक जमा खर्च पासबुक'!M9</f>
        <v>0</v>
      </c>
      <c r="AX10" s="877"/>
      <c r="AY10" s="877"/>
      <c r="AZ10" s="877"/>
      <c r="BA10" s="877"/>
      <c r="BB10" s="877"/>
      <c r="BC10" s="877"/>
      <c r="BD10" s="877"/>
      <c r="BE10" s="877"/>
      <c r="BF10" s="877"/>
      <c r="BG10" s="877"/>
      <c r="BH10" s="877"/>
    </row>
    <row r="11" spans="2:60" ht="35.25" customHeight="1" x14ac:dyDescent="0.5">
      <c r="B11" s="996">
        <f>HLOOKUP(D4,$AL$386:$AW$406,4,0)</f>
        <v>3</v>
      </c>
      <c r="C11" s="909" t="str">
        <f t="shared" ref="C11:C28" si="14">IF(D11="","",ROW(3:3))</f>
        <v/>
      </c>
      <c r="D11" s="910" t="str">
        <f t="shared" si="0"/>
        <v/>
      </c>
      <c r="E11" s="911"/>
      <c r="F11" s="912" t="str">
        <f t="shared" si="1"/>
        <v/>
      </c>
      <c r="G11" s="913" t="str">
        <f t="shared" si="2"/>
        <v/>
      </c>
      <c r="H11" s="914" t="str">
        <f t="shared" si="3"/>
        <v/>
      </c>
      <c r="I11" s="899" t="str">
        <f t="shared" si="4"/>
        <v/>
      </c>
      <c r="J11" s="900" t="str">
        <f t="shared" si="5"/>
        <v/>
      </c>
      <c r="K11" s="873"/>
      <c r="L11" s="909" t="str">
        <f t="shared" ref="L11:L28" si="15">IF(M11="","",ROW(3:3))</f>
        <v/>
      </c>
      <c r="M11" s="910" t="str">
        <f t="shared" si="6"/>
        <v/>
      </c>
      <c r="N11" s="915"/>
      <c r="O11" s="916" t="str">
        <f t="shared" si="7"/>
        <v/>
      </c>
      <c r="P11" s="917" t="str">
        <f t="shared" si="8"/>
        <v/>
      </c>
      <c r="Q11" s="914" t="str">
        <f t="shared" si="9"/>
        <v/>
      </c>
      <c r="R11" s="918" t="str">
        <f t="shared" si="10"/>
        <v/>
      </c>
      <c r="S11" s="919" t="str">
        <f t="shared" si="11"/>
        <v/>
      </c>
      <c r="V11" s="877"/>
      <c r="W11" s="887" t="str">
        <f t="shared" ref="W11:W73" si="16">AJ11</f>
        <v>January</v>
      </c>
      <c r="X11" s="887" t="str">
        <f>IF(AND(AJ11=$X$8,AK11=$AA$6),MAX($X$9:X10)+1,"")</f>
        <v/>
      </c>
      <c r="Y11" s="887" t="str">
        <f>IF(AND(AJ11=$Y$8,AK11=$AA$6),MAX($Y$9:Y10)+1,"")</f>
        <v/>
      </c>
      <c r="Z11" s="887" t="str">
        <f>IF(AND(AJ11=$Z$8,AK11=$AA$6),MAX($Z$9:Z10)+1,"")</f>
        <v/>
      </c>
      <c r="AA11" s="887" t="str">
        <f>IF(AND(AJ11=$AA$8,AK11=$AA$6),MAX(AA$9:$AA10)+1,"")</f>
        <v/>
      </c>
      <c r="AB11" s="887" t="str">
        <f>IF(AND(AJ11=$AB$8,AK11=$AA$6),MAX(AB$9:$AB10)+1,"")</f>
        <v/>
      </c>
      <c r="AC11" s="887" t="str">
        <f>IF(AND(AJ11=$AC$8,AK11=$AA$6),MAX(AC$9:$AC10)+1,"")</f>
        <v/>
      </c>
      <c r="AD11" s="887" t="str">
        <f>IF(AND(AJ11=$AD$8,AK11=$AA$6),MAX(AD$9:$AD10)+1,"")</f>
        <v/>
      </c>
      <c r="AE11" s="887" t="str">
        <f>IF(AND(AJ11=$AE$8,AK11=$AA$6),MAX(AE$9:$AE10)+1,"")</f>
        <v/>
      </c>
      <c r="AF11" s="887" t="str">
        <f>IF(AND(AJ11=$AF$8,AK11=$AA$6),MAX(AF$9:$AF10)+1,"")</f>
        <v/>
      </c>
      <c r="AG11" s="887" t="str">
        <f>IF(AND(AJ11=$AG$8,AK11=$AB$6),MAX(AG$9:$AG10)+1,"")</f>
        <v/>
      </c>
      <c r="AH11" s="887" t="str">
        <f>IF(AND(AJ11=$AH$8,AK11=$AB$6),MAX(AH$9:$AH10)+1,"")</f>
        <v/>
      </c>
      <c r="AI11" s="920" t="str">
        <f>IF(AND(AJ11=$AI$8,AK11=$AB$6),MAX(AI$9:$AI10)+1,"")</f>
        <v/>
      </c>
      <c r="AJ11" s="887" t="str">
        <f t="shared" ref="AJ11:AJ73" si="17">TEXT(AM11,"MMMM")</f>
        <v>January</v>
      </c>
      <c r="AK11" s="887">
        <f t="shared" ref="AK11:AK73" si="18">YEAR(AM11)</f>
        <v>1900</v>
      </c>
      <c r="AL11" s="887" t="str">
        <f>'बँक जमा खर्च पासबुक'!B10</f>
        <v/>
      </c>
      <c r="AM11" s="921">
        <f>_xlfn.IFNA('बँक जमा खर्च पासबुक'!C10,"")</f>
        <v>0</v>
      </c>
      <c r="AN11" s="887">
        <f>'बँक जमा खर्च पासबुक'!D10</f>
        <v>0</v>
      </c>
      <c r="AO11" s="887">
        <f>'बँक जमा खर्च पासबुक'!E10</f>
        <v>0</v>
      </c>
      <c r="AP11" s="887">
        <f>'बँक जमा खर्च पासबुक'!F10</f>
        <v>0</v>
      </c>
      <c r="AQ11" s="887">
        <f>'बँक जमा खर्च पासबुक'!G10</f>
        <v>0</v>
      </c>
      <c r="AR11" s="887">
        <f>'बँक जमा खर्च पासबुक'!H10</f>
        <v>0</v>
      </c>
      <c r="AS11" s="887">
        <f>'बँक जमा खर्च पासबुक'!I10</f>
        <v>0</v>
      </c>
      <c r="AT11" s="887">
        <f>'बँक जमा खर्च पासबुक'!J10</f>
        <v>0</v>
      </c>
      <c r="AU11" s="887">
        <f>'बँक जमा खर्च पासबुक'!K10</f>
        <v>0</v>
      </c>
      <c r="AV11" s="887">
        <f>'बँक जमा खर्च पासबुक'!L10</f>
        <v>0</v>
      </c>
      <c r="AW11" s="887">
        <f>'बँक जमा खर्च पासबुक'!M10</f>
        <v>0</v>
      </c>
      <c r="AX11" s="877"/>
      <c r="AY11" s="877"/>
      <c r="AZ11" s="877"/>
      <c r="BA11" s="877"/>
      <c r="BB11" s="877"/>
      <c r="BC11" s="877"/>
      <c r="BD11" s="877"/>
      <c r="BE11" s="877"/>
      <c r="BF11" s="877"/>
      <c r="BG11" s="877"/>
      <c r="BH11" s="877"/>
    </row>
    <row r="12" spans="2:60" ht="35.25" customHeight="1" x14ac:dyDescent="0.5">
      <c r="B12" s="996">
        <f>HLOOKUP(D4,$AL$386:$AW$406,5,0)</f>
        <v>4</v>
      </c>
      <c r="C12" s="909" t="str">
        <f t="shared" si="14"/>
        <v/>
      </c>
      <c r="D12" s="910" t="str">
        <f t="shared" si="0"/>
        <v/>
      </c>
      <c r="E12" s="911"/>
      <c r="F12" s="912" t="str">
        <f t="shared" si="1"/>
        <v/>
      </c>
      <c r="G12" s="913" t="str">
        <f t="shared" si="2"/>
        <v/>
      </c>
      <c r="H12" s="914" t="str">
        <f t="shared" si="3"/>
        <v/>
      </c>
      <c r="I12" s="899" t="str">
        <f t="shared" si="4"/>
        <v/>
      </c>
      <c r="J12" s="900" t="str">
        <f t="shared" si="5"/>
        <v/>
      </c>
      <c r="K12" s="873"/>
      <c r="L12" s="909" t="str">
        <f t="shared" si="15"/>
        <v/>
      </c>
      <c r="M12" s="910" t="str">
        <f t="shared" si="6"/>
        <v/>
      </c>
      <c r="N12" s="915"/>
      <c r="O12" s="916" t="str">
        <f t="shared" si="7"/>
        <v/>
      </c>
      <c r="P12" s="917" t="str">
        <f t="shared" si="8"/>
        <v/>
      </c>
      <c r="Q12" s="914" t="str">
        <f t="shared" si="9"/>
        <v/>
      </c>
      <c r="R12" s="918" t="str">
        <f t="shared" si="10"/>
        <v/>
      </c>
      <c r="S12" s="919" t="str">
        <f t="shared" si="11"/>
        <v/>
      </c>
      <c r="V12" s="877"/>
      <c r="W12" s="887" t="str">
        <f t="shared" si="16"/>
        <v>January</v>
      </c>
      <c r="X12" s="887" t="str">
        <f>IF(AND(AJ12=$X$8,AK12=$AA$6),MAX($X$9:X11)+1,"")</f>
        <v/>
      </c>
      <c r="Y12" s="887" t="str">
        <f>IF(AND(AJ12=$Y$8,AK12=$AA$6),MAX($Y$9:Y11)+1,"")</f>
        <v/>
      </c>
      <c r="Z12" s="887" t="str">
        <f>IF(AND(AJ12=$Z$8,AK12=$AA$6),MAX($Z$9:Z11)+1,"")</f>
        <v/>
      </c>
      <c r="AA12" s="887" t="str">
        <f>IF(AND(AJ12=$AA$8,AK12=$AA$6),MAX(AA$9:$AA11)+1,"")</f>
        <v/>
      </c>
      <c r="AB12" s="887" t="str">
        <f>IF(AND(AJ12=$AB$8,AK12=$AA$6),MAX(AB$9:$AB11)+1,"")</f>
        <v/>
      </c>
      <c r="AC12" s="887" t="str">
        <f>IF(AND(AJ12=$AC$8,AK12=$AA$6),MAX(AC$9:$AC11)+1,"")</f>
        <v/>
      </c>
      <c r="AD12" s="887" t="str">
        <f>IF(AND(AJ12=$AD$8,AK12=$AA$6),MAX(AD$9:$AD11)+1,"")</f>
        <v/>
      </c>
      <c r="AE12" s="887" t="str">
        <f>IF(AND(AJ12=$AE$8,AK12=$AA$6),MAX(AE$9:$AE11)+1,"")</f>
        <v/>
      </c>
      <c r="AF12" s="887" t="str">
        <f>IF(AND(AJ12=$AF$8,AK12=$AA$6),MAX(AF$9:$AF11)+1,"")</f>
        <v/>
      </c>
      <c r="AG12" s="887" t="str">
        <f>IF(AND(AJ12=$AG$8,AK12=$AB$6),MAX(AG$9:$AG11)+1,"")</f>
        <v/>
      </c>
      <c r="AH12" s="887" t="str">
        <f>IF(AND(AJ12=$AH$8,AK12=$AB$6),MAX(AH$9:$AH11)+1,"")</f>
        <v/>
      </c>
      <c r="AI12" s="920" t="str">
        <f>IF(AND(AJ12=$AI$8,AK12=$AB$6),MAX(AI$9:$AI11)+1,"")</f>
        <v/>
      </c>
      <c r="AJ12" s="887" t="str">
        <f t="shared" si="17"/>
        <v>January</v>
      </c>
      <c r="AK12" s="887">
        <f t="shared" si="18"/>
        <v>1900</v>
      </c>
      <c r="AL12" s="887" t="str">
        <f>'बँक जमा खर्च पासबुक'!B11</f>
        <v/>
      </c>
      <c r="AM12" s="921">
        <f>'बँक जमा खर्च पासबुक'!C11</f>
        <v>0</v>
      </c>
      <c r="AN12" s="887">
        <f>'बँक जमा खर्च पासबुक'!D11</f>
        <v>0</v>
      </c>
      <c r="AO12" s="887">
        <f>'बँक जमा खर्च पासबुक'!E11</f>
        <v>0</v>
      </c>
      <c r="AP12" s="887">
        <f>'बँक जमा खर्च पासबुक'!F11</f>
        <v>0</v>
      </c>
      <c r="AQ12" s="887">
        <f>'बँक जमा खर्च पासबुक'!G11</f>
        <v>0</v>
      </c>
      <c r="AR12" s="887">
        <f>'बँक जमा खर्च पासबुक'!H11</f>
        <v>0</v>
      </c>
      <c r="AS12" s="887">
        <f>'बँक जमा खर्च पासबुक'!I11</f>
        <v>0</v>
      </c>
      <c r="AT12" s="887">
        <f>'बँक जमा खर्च पासबुक'!J11</f>
        <v>0</v>
      </c>
      <c r="AU12" s="887">
        <f>'बँक जमा खर्च पासबुक'!K11</f>
        <v>0</v>
      </c>
      <c r="AV12" s="887">
        <f>'बँक जमा खर्च पासबुक'!L11</f>
        <v>0</v>
      </c>
      <c r="AW12" s="887">
        <f>'बँक जमा खर्च पासबुक'!M11</f>
        <v>0</v>
      </c>
      <c r="AX12" s="877"/>
      <c r="AY12" s="877"/>
      <c r="AZ12" s="877"/>
      <c r="BA12" s="877"/>
      <c r="BB12" s="877"/>
      <c r="BC12" s="877"/>
      <c r="BD12" s="877"/>
      <c r="BE12" s="877"/>
      <c r="BF12" s="877"/>
      <c r="BG12" s="877"/>
      <c r="BH12" s="877"/>
    </row>
    <row r="13" spans="2:60" ht="35.25" customHeight="1" x14ac:dyDescent="0.5">
      <c r="B13" s="996">
        <f>HLOOKUP(D4,$AL$386:$AW$406,6,0)</f>
        <v>5</v>
      </c>
      <c r="C13" s="909" t="str">
        <f t="shared" si="14"/>
        <v/>
      </c>
      <c r="D13" s="910" t="str">
        <f t="shared" si="0"/>
        <v/>
      </c>
      <c r="E13" s="911"/>
      <c r="F13" s="912" t="str">
        <f t="shared" si="1"/>
        <v/>
      </c>
      <c r="G13" s="913" t="str">
        <f t="shared" si="2"/>
        <v/>
      </c>
      <c r="H13" s="914" t="str">
        <f t="shared" si="3"/>
        <v/>
      </c>
      <c r="I13" s="899" t="str">
        <f t="shared" si="4"/>
        <v/>
      </c>
      <c r="J13" s="900" t="str">
        <f t="shared" si="5"/>
        <v/>
      </c>
      <c r="K13" s="873"/>
      <c r="L13" s="909" t="str">
        <f t="shared" si="15"/>
        <v/>
      </c>
      <c r="M13" s="910" t="str">
        <f t="shared" si="6"/>
        <v/>
      </c>
      <c r="N13" s="915"/>
      <c r="O13" s="916" t="str">
        <f t="shared" si="7"/>
        <v/>
      </c>
      <c r="P13" s="917" t="str">
        <f t="shared" si="8"/>
        <v/>
      </c>
      <c r="Q13" s="914" t="str">
        <f t="shared" si="9"/>
        <v/>
      </c>
      <c r="R13" s="918" t="str">
        <f t="shared" si="10"/>
        <v/>
      </c>
      <c r="S13" s="919" t="str">
        <f t="shared" si="11"/>
        <v/>
      </c>
      <c r="V13" s="877"/>
      <c r="W13" s="887" t="str">
        <f t="shared" si="16"/>
        <v>January</v>
      </c>
      <c r="X13" s="887" t="str">
        <f>IF(AND(AJ13=$X$8,AK13=$AA$6),MAX($X$9:X12)+1,"")</f>
        <v/>
      </c>
      <c r="Y13" s="887" t="str">
        <f>IF(AND(AJ13=$Y$8,AK13=$AA$6),MAX($Y$9:Y12)+1,"")</f>
        <v/>
      </c>
      <c r="Z13" s="887" t="str">
        <f>IF(AND(AJ13=$Z$8,AK13=$AA$6),MAX($Z$9:Z12)+1,"")</f>
        <v/>
      </c>
      <c r="AA13" s="887" t="str">
        <f>IF(AND(AJ13=$AA$8,AK13=$AA$6),MAX(AA$9:$AA12)+1,"")</f>
        <v/>
      </c>
      <c r="AB13" s="887" t="str">
        <f>IF(AND(AJ13=$AB$8,AK13=$AA$6),MAX(AB$9:$AB12)+1,"")</f>
        <v/>
      </c>
      <c r="AC13" s="887" t="str">
        <f>IF(AND(AJ13=$AC$8,AK13=$AA$6),MAX(AC$9:$AC12)+1,"")</f>
        <v/>
      </c>
      <c r="AD13" s="887" t="str">
        <f>IF(AND(AJ13=$AD$8,AK13=$AA$6),MAX(AD$9:$AD12)+1,"")</f>
        <v/>
      </c>
      <c r="AE13" s="887" t="str">
        <f>IF(AND(AJ13=$AE$8,AK13=$AA$6),MAX(AE$9:$AE12)+1,"")</f>
        <v/>
      </c>
      <c r="AF13" s="887" t="str">
        <f>IF(AND(AJ13=$AF$8,AK13=$AA$6),MAX(AF$9:$AF12)+1,"")</f>
        <v/>
      </c>
      <c r="AG13" s="887" t="str">
        <f>IF(AND(AJ13=$AG$8,AK13=$AB$6),MAX(AG$9:$AG12)+1,"")</f>
        <v/>
      </c>
      <c r="AH13" s="887" t="str">
        <f>IF(AND(AJ13=$AH$8,AK13=$AB$6),MAX(AH$9:$AH12)+1,"")</f>
        <v/>
      </c>
      <c r="AI13" s="920" t="str">
        <f>IF(AND(AJ13=$AI$8,AK13=$AB$6),MAX(AI$9:$AI12)+1,"")</f>
        <v/>
      </c>
      <c r="AJ13" s="887" t="str">
        <f t="shared" si="17"/>
        <v>January</v>
      </c>
      <c r="AK13" s="887">
        <f t="shared" si="18"/>
        <v>1900</v>
      </c>
      <c r="AL13" s="887" t="str">
        <f>'बँक जमा खर्च पासबुक'!B12</f>
        <v/>
      </c>
      <c r="AM13" s="921">
        <f>IFERROR('बँक जमा खर्च पासबुक'!C12,"")</f>
        <v>0</v>
      </c>
      <c r="AN13" s="887">
        <f>'बँक जमा खर्च पासबुक'!D12</f>
        <v>0</v>
      </c>
      <c r="AO13" s="887">
        <f>'बँक जमा खर्च पासबुक'!E12</f>
        <v>0</v>
      </c>
      <c r="AP13" s="887">
        <f>'बँक जमा खर्च पासबुक'!F12</f>
        <v>0</v>
      </c>
      <c r="AQ13" s="887">
        <f>'बँक जमा खर्च पासबुक'!G12</f>
        <v>0</v>
      </c>
      <c r="AR13" s="887">
        <f>'बँक जमा खर्च पासबुक'!H12</f>
        <v>0</v>
      </c>
      <c r="AS13" s="887">
        <f>'बँक जमा खर्च पासबुक'!I12</f>
        <v>0</v>
      </c>
      <c r="AT13" s="887">
        <f>'बँक जमा खर्च पासबुक'!J12</f>
        <v>0</v>
      </c>
      <c r="AU13" s="887">
        <f>'बँक जमा खर्च पासबुक'!K12</f>
        <v>0</v>
      </c>
      <c r="AV13" s="887">
        <f>'बँक जमा खर्च पासबुक'!L12</f>
        <v>0</v>
      </c>
      <c r="AW13" s="887">
        <f>'बँक जमा खर्च पासबुक'!M12</f>
        <v>0</v>
      </c>
      <c r="AX13" s="877"/>
      <c r="AY13" s="877"/>
      <c r="AZ13" s="877"/>
      <c r="BA13" s="877"/>
      <c r="BB13" s="877"/>
      <c r="BC13" s="877"/>
      <c r="BD13" s="877"/>
      <c r="BE13" s="877"/>
      <c r="BF13" s="877"/>
      <c r="BG13" s="877"/>
      <c r="BH13" s="877"/>
    </row>
    <row r="14" spans="2:60" ht="35.25" customHeight="1" x14ac:dyDescent="0.5">
      <c r="B14" s="996">
        <f>HLOOKUP(D4,$AL$386:$AW$406,7,0)</f>
        <v>6</v>
      </c>
      <c r="C14" s="909" t="str">
        <f t="shared" si="14"/>
        <v/>
      </c>
      <c r="D14" s="910" t="str">
        <f t="shared" si="0"/>
        <v/>
      </c>
      <c r="E14" s="911"/>
      <c r="F14" s="912" t="str">
        <f t="shared" si="1"/>
        <v/>
      </c>
      <c r="G14" s="913" t="str">
        <f t="shared" si="2"/>
        <v/>
      </c>
      <c r="H14" s="914" t="str">
        <f t="shared" si="3"/>
        <v/>
      </c>
      <c r="I14" s="899" t="str">
        <f t="shared" si="4"/>
        <v/>
      </c>
      <c r="J14" s="900" t="str">
        <f t="shared" si="5"/>
        <v/>
      </c>
      <c r="K14" s="873"/>
      <c r="L14" s="909" t="str">
        <f t="shared" si="15"/>
        <v/>
      </c>
      <c r="M14" s="910" t="str">
        <f t="shared" si="6"/>
        <v/>
      </c>
      <c r="N14" s="915"/>
      <c r="O14" s="916" t="str">
        <f t="shared" si="7"/>
        <v/>
      </c>
      <c r="P14" s="917" t="str">
        <f t="shared" si="8"/>
        <v/>
      </c>
      <c r="Q14" s="914" t="str">
        <f t="shared" si="9"/>
        <v/>
      </c>
      <c r="R14" s="918" t="str">
        <f t="shared" si="10"/>
        <v/>
      </c>
      <c r="S14" s="919" t="str">
        <f t="shared" si="11"/>
        <v/>
      </c>
      <c r="V14" s="877"/>
      <c r="W14" s="887" t="str">
        <f t="shared" si="16"/>
        <v>January</v>
      </c>
      <c r="X14" s="887" t="str">
        <f>IF(AND(AJ14=$X$8,AK14=$AA$6),MAX($X$9:X13)+1,"")</f>
        <v/>
      </c>
      <c r="Y14" s="887" t="str">
        <f>IF(AND(AJ14=$Y$8,AK14=$AA$6),MAX($Y$9:Y13)+1,"")</f>
        <v/>
      </c>
      <c r="Z14" s="887" t="str">
        <f>IF(AND(AJ14=$Z$8,AK14=$AA$6),MAX($Z$9:Z13)+1,"")</f>
        <v/>
      </c>
      <c r="AA14" s="887" t="str">
        <f>IF(AND(AJ14=$AA$8,AK14=$AA$6),MAX(AA$9:$AA13)+1,"")</f>
        <v/>
      </c>
      <c r="AB14" s="887" t="str">
        <f>IF(AND(AJ14=$AB$8,AK14=$AA$6),MAX(AB$9:$AB13)+1,"")</f>
        <v/>
      </c>
      <c r="AC14" s="887" t="str">
        <f>IF(AND(AJ14=$AC$8,AK14=$AA$6),MAX(AC$9:$AC13)+1,"")</f>
        <v/>
      </c>
      <c r="AD14" s="887" t="str">
        <f>IF(AND(AJ14=$AD$8,AK14=$AA$6),MAX(AD$9:$AD13)+1,"")</f>
        <v/>
      </c>
      <c r="AE14" s="887" t="str">
        <f>IF(AND(AJ14=$AE$8,AK14=$AA$6),MAX(AE$9:$AE13)+1,"")</f>
        <v/>
      </c>
      <c r="AF14" s="887" t="str">
        <f>IF(AND(AJ14=$AF$8,AK14=$AA$6),MAX(AF$9:$AF13)+1,"")</f>
        <v/>
      </c>
      <c r="AG14" s="887" t="str">
        <f>IF(AND(AJ14=$AG$8,AK14=$AB$6),MAX(AG$9:$AG13)+1,"")</f>
        <v/>
      </c>
      <c r="AH14" s="887" t="str">
        <f>IF(AND(AJ14=$AH$8,AK14=$AB$6),MAX(AH$9:$AH13)+1,"")</f>
        <v/>
      </c>
      <c r="AI14" s="920" t="str">
        <f>IF(AND(AJ14=$AI$8,AK14=$AB$6),MAX(AI$9:$AI13)+1,"")</f>
        <v/>
      </c>
      <c r="AJ14" s="887" t="str">
        <f t="shared" si="17"/>
        <v>January</v>
      </c>
      <c r="AK14" s="887">
        <f t="shared" si="18"/>
        <v>1900</v>
      </c>
      <c r="AL14" s="887" t="str">
        <f>'बँक जमा खर्च पासबुक'!B13</f>
        <v/>
      </c>
      <c r="AM14" s="921">
        <f>IFERROR('बँक जमा खर्च पासबुक'!C13,"")</f>
        <v>0</v>
      </c>
      <c r="AN14" s="887">
        <f>'बँक जमा खर्च पासबुक'!D13</f>
        <v>0</v>
      </c>
      <c r="AO14" s="887">
        <f>'बँक जमा खर्च पासबुक'!E13</f>
        <v>0</v>
      </c>
      <c r="AP14" s="887">
        <f>'बँक जमा खर्च पासबुक'!F13</f>
        <v>0</v>
      </c>
      <c r="AQ14" s="887">
        <f>'बँक जमा खर्च पासबुक'!G13</f>
        <v>0</v>
      </c>
      <c r="AR14" s="887">
        <f>'बँक जमा खर्च पासबुक'!H13</f>
        <v>0</v>
      </c>
      <c r="AS14" s="887">
        <f>'बँक जमा खर्च पासबुक'!I13</f>
        <v>0</v>
      </c>
      <c r="AT14" s="887">
        <f>'बँक जमा खर्च पासबुक'!J13</f>
        <v>0</v>
      </c>
      <c r="AU14" s="887">
        <f>'बँक जमा खर्च पासबुक'!K13</f>
        <v>0</v>
      </c>
      <c r="AV14" s="887">
        <f>'बँक जमा खर्च पासबुक'!L13</f>
        <v>0</v>
      </c>
      <c r="AW14" s="887">
        <f>'बँक जमा खर्च पासबुक'!M13</f>
        <v>0</v>
      </c>
      <c r="AX14" s="877"/>
      <c r="AY14" s="877"/>
      <c r="AZ14" s="877"/>
      <c r="BA14" s="877"/>
      <c r="BB14" s="877"/>
      <c r="BC14" s="877"/>
      <c r="BD14" s="877"/>
      <c r="BE14" s="877"/>
      <c r="BF14" s="877"/>
      <c r="BG14" s="877"/>
      <c r="BH14" s="877"/>
    </row>
    <row r="15" spans="2:60" ht="35.25" customHeight="1" x14ac:dyDescent="0.5">
      <c r="B15" s="996">
        <f>HLOOKUP(D4,$AL$386:$AW$406,8,0)</f>
        <v>7</v>
      </c>
      <c r="C15" s="909" t="str">
        <f t="shared" si="14"/>
        <v/>
      </c>
      <c r="D15" s="910" t="str">
        <f t="shared" si="0"/>
        <v/>
      </c>
      <c r="E15" s="911"/>
      <c r="F15" s="912" t="str">
        <f t="shared" si="1"/>
        <v/>
      </c>
      <c r="G15" s="913" t="str">
        <f t="shared" si="2"/>
        <v/>
      </c>
      <c r="H15" s="914" t="str">
        <f t="shared" si="3"/>
        <v/>
      </c>
      <c r="I15" s="899" t="str">
        <f t="shared" si="4"/>
        <v/>
      </c>
      <c r="J15" s="900" t="str">
        <f t="shared" si="5"/>
        <v/>
      </c>
      <c r="K15" s="873"/>
      <c r="L15" s="909" t="str">
        <f t="shared" si="15"/>
        <v/>
      </c>
      <c r="M15" s="910" t="str">
        <f t="shared" si="6"/>
        <v/>
      </c>
      <c r="N15" s="915"/>
      <c r="O15" s="916" t="str">
        <f t="shared" si="7"/>
        <v/>
      </c>
      <c r="P15" s="917" t="str">
        <f t="shared" si="8"/>
        <v/>
      </c>
      <c r="Q15" s="914" t="str">
        <f t="shared" si="9"/>
        <v/>
      </c>
      <c r="R15" s="918" t="str">
        <f t="shared" si="10"/>
        <v/>
      </c>
      <c r="S15" s="919" t="str">
        <f t="shared" si="11"/>
        <v/>
      </c>
      <c r="V15" s="877"/>
      <c r="W15" s="887" t="str">
        <f t="shared" si="16"/>
        <v>January</v>
      </c>
      <c r="X15" s="887" t="str">
        <f>IF(AND(AJ15=$X$8,AK15=$AA$6),MAX($X$9:X14)+1,"")</f>
        <v/>
      </c>
      <c r="Y15" s="887" t="str">
        <f>IF(AND(AJ15=$Y$8,AK15=$AA$6),MAX($Y$9:Y14)+1,"")</f>
        <v/>
      </c>
      <c r="Z15" s="887" t="str">
        <f>IF(AND(AJ15=$Z$8,AK15=$AA$6),MAX($Z$9:Z14)+1,"")</f>
        <v/>
      </c>
      <c r="AA15" s="887" t="str">
        <f>IF(AND(AJ15=$AA$8,AK15=$AA$6),MAX(AA$9:$AA14)+1,"")</f>
        <v/>
      </c>
      <c r="AB15" s="887" t="str">
        <f>IF(AND(AJ15=$AB$8,AK15=$AA$6),MAX(AB$9:$AB14)+1,"")</f>
        <v/>
      </c>
      <c r="AC15" s="887" t="str">
        <f>IF(AND(AJ15=$AC$8,AK15=$AA$6),MAX(AC$9:$AC14)+1,"")</f>
        <v/>
      </c>
      <c r="AD15" s="887" t="str">
        <f>IF(AND(AJ15=$AD$8,AK15=$AA$6),MAX(AD$9:$AD14)+1,"")</f>
        <v/>
      </c>
      <c r="AE15" s="887" t="str">
        <f>IF(AND(AJ15=$AE$8,AK15=$AA$6),MAX(AE$9:$AE14)+1,"")</f>
        <v/>
      </c>
      <c r="AF15" s="887" t="str">
        <f>IF(AND(AJ15=$AF$8,AK15=$AA$6),MAX(AF$9:$AF14)+1,"")</f>
        <v/>
      </c>
      <c r="AG15" s="887" t="str">
        <f>IF(AND(AJ15=$AG$8,AK15=$AB$6),MAX(AG$9:$AG14)+1,"")</f>
        <v/>
      </c>
      <c r="AH15" s="887" t="str">
        <f>IF(AND(AJ15=$AH$8,AK15=$AB$6),MAX(AH$9:$AH14)+1,"")</f>
        <v/>
      </c>
      <c r="AI15" s="920" t="str">
        <f>IF(AND(AJ15=$AI$8,AK15=$AB$6),MAX(AI$9:$AI14)+1,"")</f>
        <v/>
      </c>
      <c r="AJ15" s="887" t="str">
        <f t="shared" si="17"/>
        <v>January</v>
      </c>
      <c r="AK15" s="887">
        <f t="shared" si="18"/>
        <v>1900</v>
      </c>
      <c r="AL15" s="887" t="str">
        <f>'बँक जमा खर्च पासबुक'!B14</f>
        <v/>
      </c>
      <c r="AM15" s="921">
        <f>IFERROR('बँक जमा खर्च पासबुक'!C14,"")</f>
        <v>0</v>
      </c>
      <c r="AN15" s="887">
        <f>'बँक जमा खर्च पासबुक'!D14</f>
        <v>0</v>
      </c>
      <c r="AO15" s="887">
        <f>'बँक जमा खर्च पासबुक'!E14</f>
        <v>0</v>
      </c>
      <c r="AP15" s="887">
        <f>'बँक जमा खर्च पासबुक'!F14</f>
        <v>0</v>
      </c>
      <c r="AQ15" s="887">
        <f>'बँक जमा खर्च पासबुक'!G14</f>
        <v>0</v>
      </c>
      <c r="AR15" s="887">
        <f>'बँक जमा खर्च पासबुक'!H14</f>
        <v>0</v>
      </c>
      <c r="AS15" s="887">
        <f>'बँक जमा खर्च पासबुक'!I14</f>
        <v>0</v>
      </c>
      <c r="AT15" s="887">
        <f>'बँक जमा खर्च पासबुक'!J14</f>
        <v>0</v>
      </c>
      <c r="AU15" s="887">
        <f>'बँक जमा खर्च पासबुक'!K14</f>
        <v>0</v>
      </c>
      <c r="AV15" s="887">
        <f>'बँक जमा खर्च पासबुक'!L14</f>
        <v>0</v>
      </c>
      <c r="AW15" s="887">
        <f>'बँक जमा खर्च पासबुक'!M14</f>
        <v>0</v>
      </c>
      <c r="AX15" s="877"/>
      <c r="AY15" s="877"/>
      <c r="AZ15" s="877"/>
      <c r="BA15" s="877"/>
      <c r="BB15" s="877"/>
      <c r="BC15" s="877"/>
      <c r="BD15" s="877"/>
      <c r="BE15" s="877"/>
      <c r="BF15" s="877"/>
      <c r="BG15" s="877"/>
      <c r="BH15" s="877"/>
    </row>
    <row r="16" spans="2:60" ht="35.25" customHeight="1" x14ac:dyDescent="0.5">
      <c r="B16" s="996">
        <f>HLOOKUP(D4,$AL$386:$AW$406,9,0)</f>
        <v>8</v>
      </c>
      <c r="C16" s="909" t="str">
        <f t="shared" si="14"/>
        <v/>
      </c>
      <c r="D16" s="910" t="str">
        <f t="shared" si="0"/>
        <v/>
      </c>
      <c r="E16" s="911"/>
      <c r="F16" s="912" t="str">
        <f t="shared" si="1"/>
        <v/>
      </c>
      <c r="G16" s="913" t="str">
        <f t="shared" si="2"/>
        <v/>
      </c>
      <c r="H16" s="914" t="str">
        <f t="shared" si="3"/>
        <v/>
      </c>
      <c r="I16" s="899" t="str">
        <f t="shared" si="4"/>
        <v/>
      </c>
      <c r="J16" s="900" t="str">
        <f t="shared" si="5"/>
        <v/>
      </c>
      <c r="K16" s="873"/>
      <c r="L16" s="909" t="str">
        <f t="shared" si="15"/>
        <v/>
      </c>
      <c r="M16" s="910" t="str">
        <f t="shared" si="6"/>
        <v/>
      </c>
      <c r="N16" s="915"/>
      <c r="O16" s="916" t="str">
        <f t="shared" si="7"/>
        <v/>
      </c>
      <c r="P16" s="917" t="str">
        <f t="shared" si="8"/>
        <v/>
      </c>
      <c r="Q16" s="914" t="str">
        <f t="shared" si="9"/>
        <v/>
      </c>
      <c r="R16" s="918" t="str">
        <f t="shared" si="10"/>
        <v/>
      </c>
      <c r="S16" s="919" t="str">
        <f t="shared" si="11"/>
        <v/>
      </c>
      <c r="V16" s="877"/>
      <c r="W16" s="887" t="str">
        <f t="shared" si="16"/>
        <v>January</v>
      </c>
      <c r="X16" s="887" t="str">
        <f>IF(AND(AJ16=$X$8,AK16=$AA$6),MAX($X$9:X15)+1,"")</f>
        <v/>
      </c>
      <c r="Y16" s="887" t="str">
        <f>IF(AND(AJ16=$Y$8,AK16=$AA$6),MAX($Y$9:Y15)+1,"")</f>
        <v/>
      </c>
      <c r="Z16" s="887" t="str">
        <f>IF(AND(AJ16=$Z$8,AK16=$AA$6),MAX($Z$9:Z15)+1,"")</f>
        <v/>
      </c>
      <c r="AA16" s="887" t="str">
        <f>IF(AND(AJ16=$AA$8,AK16=$AA$6),MAX(AA$9:$AA15)+1,"")</f>
        <v/>
      </c>
      <c r="AB16" s="887" t="str">
        <f>IF(AND(AJ16=$AB$8,AK16=$AA$6),MAX(AB$9:$AB15)+1,"")</f>
        <v/>
      </c>
      <c r="AC16" s="887" t="str">
        <f>IF(AND(AJ16=$AC$8,AK16=$AA$6),MAX(AC$9:$AC15)+1,"")</f>
        <v/>
      </c>
      <c r="AD16" s="887" t="str">
        <f>IF(AND(AJ16=$AD$8,AK16=$AA$6),MAX(AD$9:$AD15)+1,"")</f>
        <v/>
      </c>
      <c r="AE16" s="887" t="str">
        <f>IF(AND(AJ16=$AE$8,AK16=$AA$6),MAX(AE$9:$AE15)+1,"")</f>
        <v/>
      </c>
      <c r="AF16" s="887" t="str">
        <f>IF(AND(AJ16=$AF$8,AK16=$AA$6),MAX(AF$9:$AF15)+1,"")</f>
        <v/>
      </c>
      <c r="AG16" s="887" t="str">
        <f>IF(AND(AJ16=$AG$8,AK16=$AB$6),MAX(AG$9:$AG15)+1,"")</f>
        <v/>
      </c>
      <c r="AH16" s="887" t="str">
        <f>IF(AND(AJ16=$AH$8,AK16=$AB$6),MAX(AH$9:$AH15)+1,"")</f>
        <v/>
      </c>
      <c r="AI16" s="920" t="str">
        <f>IF(AND(AJ16=$AI$8,AK16=$AB$6),MAX(AI$9:$AI15)+1,"")</f>
        <v/>
      </c>
      <c r="AJ16" s="887" t="str">
        <f t="shared" si="17"/>
        <v>January</v>
      </c>
      <c r="AK16" s="887">
        <f t="shared" si="18"/>
        <v>1900</v>
      </c>
      <c r="AL16" s="887" t="str">
        <f>'बँक जमा खर्च पासबुक'!B15</f>
        <v/>
      </c>
      <c r="AM16" s="921">
        <f>IFERROR('बँक जमा खर्च पासबुक'!C15,"")</f>
        <v>0</v>
      </c>
      <c r="AN16" s="887">
        <f>'बँक जमा खर्च पासबुक'!D15</f>
        <v>0</v>
      </c>
      <c r="AO16" s="887">
        <f>'बँक जमा खर्च पासबुक'!E15</f>
        <v>0</v>
      </c>
      <c r="AP16" s="887">
        <f>'बँक जमा खर्च पासबुक'!F15</f>
        <v>0</v>
      </c>
      <c r="AQ16" s="887">
        <f>'बँक जमा खर्च पासबुक'!G15</f>
        <v>0</v>
      </c>
      <c r="AR16" s="887">
        <f>'बँक जमा खर्च पासबुक'!H15</f>
        <v>0</v>
      </c>
      <c r="AS16" s="887">
        <f>'बँक जमा खर्च पासबुक'!I15</f>
        <v>0</v>
      </c>
      <c r="AT16" s="887">
        <f>'बँक जमा खर्च पासबुक'!J15</f>
        <v>0</v>
      </c>
      <c r="AU16" s="887">
        <f>'बँक जमा खर्च पासबुक'!K15</f>
        <v>0</v>
      </c>
      <c r="AV16" s="887">
        <f>'बँक जमा खर्च पासबुक'!L15</f>
        <v>0</v>
      </c>
      <c r="AW16" s="887">
        <f>'बँक जमा खर्च पासबुक'!M15</f>
        <v>0</v>
      </c>
      <c r="AX16" s="877"/>
      <c r="AY16" s="877"/>
      <c r="AZ16" s="877"/>
      <c r="BA16" s="877"/>
      <c r="BB16" s="877"/>
      <c r="BC16" s="877"/>
      <c r="BD16" s="877"/>
      <c r="BE16" s="877"/>
      <c r="BF16" s="877"/>
      <c r="BG16" s="877"/>
      <c r="BH16" s="877"/>
    </row>
    <row r="17" spans="2:60" ht="35.25" customHeight="1" x14ac:dyDescent="0.5">
      <c r="B17" s="996">
        <f>HLOOKUP(D4,$AL$386:$AW$406,10,0)</f>
        <v>9</v>
      </c>
      <c r="C17" s="909" t="str">
        <f t="shared" si="14"/>
        <v/>
      </c>
      <c r="D17" s="910" t="str">
        <f t="shared" si="0"/>
        <v/>
      </c>
      <c r="E17" s="911"/>
      <c r="F17" s="912" t="str">
        <f t="shared" si="1"/>
        <v/>
      </c>
      <c r="G17" s="913" t="str">
        <f t="shared" si="2"/>
        <v/>
      </c>
      <c r="H17" s="914" t="str">
        <f t="shared" si="3"/>
        <v/>
      </c>
      <c r="I17" s="899" t="str">
        <f t="shared" si="4"/>
        <v/>
      </c>
      <c r="J17" s="900" t="str">
        <f t="shared" si="5"/>
        <v/>
      </c>
      <c r="K17" s="873"/>
      <c r="L17" s="909" t="str">
        <f t="shared" si="15"/>
        <v/>
      </c>
      <c r="M17" s="910" t="str">
        <f t="shared" si="6"/>
        <v/>
      </c>
      <c r="N17" s="915"/>
      <c r="O17" s="916" t="str">
        <f t="shared" si="7"/>
        <v/>
      </c>
      <c r="P17" s="917" t="str">
        <f t="shared" si="8"/>
        <v/>
      </c>
      <c r="Q17" s="914" t="str">
        <f t="shared" si="9"/>
        <v/>
      </c>
      <c r="R17" s="918" t="str">
        <f t="shared" si="10"/>
        <v/>
      </c>
      <c r="S17" s="919" t="str">
        <f t="shared" si="11"/>
        <v/>
      </c>
      <c r="V17" s="877"/>
      <c r="W17" s="887" t="str">
        <f t="shared" si="16"/>
        <v>January</v>
      </c>
      <c r="X17" s="887" t="str">
        <f>IF(AND(AJ17=$X$8,AK17=$AA$6),MAX($X$9:X16)+1,"")</f>
        <v/>
      </c>
      <c r="Y17" s="887" t="str">
        <f>IF(AND(AJ17=$Y$8,AK17=$AA$6),MAX($Y$9:Y16)+1,"")</f>
        <v/>
      </c>
      <c r="Z17" s="887" t="str">
        <f>IF(AND(AJ17=$Z$8,AK17=$AA$6),MAX($Z$9:Z16)+1,"")</f>
        <v/>
      </c>
      <c r="AA17" s="887" t="str">
        <f>IF(AND(AJ17=$AA$8,AK17=$AA$6),MAX(AA$9:$AA16)+1,"")</f>
        <v/>
      </c>
      <c r="AB17" s="887" t="str">
        <f>IF(AND(AJ17=$AB$8,AK17=$AA$6),MAX(AB$9:$AB16)+1,"")</f>
        <v/>
      </c>
      <c r="AC17" s="887" t="str">
        <f>IF(AND(AJ17=$AC$8,AK17=$AA$6),MAX(AC$9:$AC16)+1,"")</f>
        <v/>
      </c>
      <c r="AD17" s="887" t="str">
        <f>IF(AND(AJ17=$AD$8,AK17=$AA$6),MAX(AD$9:$AD16)+1,"")</f>
        <v/>
      </c>
      <c r="AE17" s="887" t="str">
        <f>IF(AND(AJ17=$AE$8,AK17=$AA$6),MAX(AE$9:$AE16)+1,"")</f>
        <v/>
      </c>
      <c r="AF17" s="887" t="str">
        <f>IF(AND(AJ17=$AF$8,AK17=$AA$6),MAX(AF$9:$AF16)+1,"")</f>
        <v/>
      </c>
      <c r="AG17" s="887" t="str">
        <f>IF(AND(AJ17=$AG$8,AK17=$AB$6),MAX(AG$9:$AG16)+1,"")</f>
        <v/>
      </c>
      <c r="AH17" s="887" t="str">
        <f>IF(AND(AJ17=$AH$8,AK17=$AB$6),MAX(AH$9:$AH16)+1,"")</f>
        <v/>
      </c>
      <c r="AI17" s="920" t="str">
        <f>IF(AND(AJ17=$AI$8,AK17=$AB$6),MAX(AI$9:$AI16)+1,"")</f>
        <v/>
      </c>
      <c r="AJ17" s="887" t="str">
        <f t="shared" si="17"/>
        <v>January</v>
      </c>
      <c r="AK17" s="887">
        <f t="shared" si="18"/>
        <v>1900</v>
      </c>
      <c r="AL17" s="887" t="str">
        <f>'बँक जमा खर्च पासबुक'!B16</f>
        <v/>
      </c>
      <c r="AM17" s="921">
        <f>IFERROR('बँक जमा खर्च पासबुक'!C16,"")</f>
        <v>0</v>
      </c>
      <c r="AN17" s="887">
        <f>'बँक जमा खर्च पासबुक'!D16</f>
        <v>0</v>
      </c>
      <c r="AO17" s="887">
        <f>'बँक जमा खर्च पासबुक'!E16</f>
        <v>0</v>
      </c>
      <c r="AP17" s="887">
        <f>'बँक जमा खर्च पासबुक'!F16</f>
        <v>0</v>
      </c>
      <c r="AQ17" s="887">
        <f>'बँक जमा खर्च पासबुक'!G16</f>
        <v>0</v>
      </c>
      <c r="AR17" s="887">
        <f>'बँक जमा खर्च पासबुक'!H16</f>
        <v>0</v>
      </c>
      <c r="AS17" s="887">
        <f>'बँक जमा खर्च पासबुक'!I16</f>
        <v>0</v>
      </c>
      <c r="AT17" s="887">
        <f>'बँक जमा खर्च पासबुक'!J16</f>
        <v>0</v>
      </c>
      <c r="AU17" s="887">
        <f>'बँक जमा खर्च पासबुक'!K16</f>
        <v>0</v>
      </c>
      <c r="AV17" s="887">
        <f>'बँक जमा खर्च पासबुक'!L16</f>
        <v>0</v>
      </c>
      <c r="AW17" s="887">
        <f>'बँक जमा खर्च पासबुक'!M16</f>
        <v>0</v>
      </c>
      <c r="AX17" s="877"/>
      <c r="AY17" s="877"/>
      <c r="AZ17" s="877"/>
      <c r="BA17" s="877"/>
      <c r="BB17" s="877"/>
      <c r="BC17" s="877"/>
      <c r="BD17" s="877"/>
      <c r="BE17" s="877"/>
      <c r="BF17" s="877"/>
      <c r="BG17" s="877"/>
      <c r="BH17" s="877"/>
    </row>
    <row r="18" spans="2:60" ht="35.25" customHeight="1" x14ac:dyDescent="0.5">
      <c r="B18" s="996">
        <f>HLOOKUP(D4,$AL$386:$AW$406,11,0)</f>
        <v>10</v>
      </c>
      <c r="C18" s="909" t="str">
        <f t="shared" si="14"/>
        <v/>
      </c>
      <c r="D18" s="910" t="str">
        <f t="shared" si="0"/>
        <v/>
      </c>
      <c r="E18" s="911"/>
      <c r="F18" s="912" t="str">
        <f t="shared" si="1"/>
        <v/>
      </c>
      <c r="G18" s="913" t="str">
        <f t="shared" si="2"/>
        <v/>
      </c>
      <c r="H18" s="914" t="str">
        <f t="shared" si="3"/>
        <v/>
      </c>
      <c r="I18" s="899" t="str">
        <f t="shared" si="4"/>
        <v/>
      </c>
      <c r="J18" s="900" t="str">
        <f t="shared" si="5"/>
        <v/>
      </c>
      <c r="K18" s="873"/>
      <c r="L18" s="909" t="str">
        <f t="shared" si="15"/>
        <v/>
      </c>
      <c r="M18" s="910" t="str">
        <f t="shared" si="6"/>
        <v/>
      </c>
      <c r="N18" s="915"/>
      <c r="O18" s="916" t="str">
        <f t="shared" si="7"/>
        <v/>
      </c>
      <c r="P18" s="917" t="str">
        <f t="shared" si="8"/>
        <v/>
      </c>
      <c r="Q18" s="914" t="str">
        <f t="shared" si="9"/>
        <v/>
      </c>
      <c r="R18" s="918" t="str">
        <f t="shared" si="10"/>
        <v/>
      </c>
      <c r="S18" s="919" t="str">
        <f t="shared" si="11"/>
        <v/>
      </c>
      <c r="V18" s="877"/>
      <c r="W18" s="887" t="str">
        <f t="shared" si="16"/>
        <v>January</v>
      </c>
      <c r="X18" s="887" t="str">
        <f>IF(AND(AJ18=$X$8,AK18=$AA$6),MAX($X$9:X17)+1,"")</f>
        <v/>
      </c>
      <c r="Y18" s="887" t="str">
        <f>IF(AND(AJ18=$Y$8,AK18=$AA$6),MAX($Y$9:Y17)+1,"")</f>
        <v/>
      </c>
      <c r="Z18" s="887" t="str">
        <f>IF(AND(AJ18=$Z$8,AK18=$AA$6),MAX($Z$9:Z17)+1,"")</f>
        <v/>
      </c>
      <c r="AA18" s="887" t="str">
        <f>IF(AND(AJ18=$AA$8,AK18=$AA$6),MAX(AA$9:$AA17)+1,"")</f>
        <v/>
      </c>
      <c r="AB18" s="887" t="str">
        <f>IF(AND(AJ18=$AB$8,AK18=$AA$6),MAX(AB$9:$AB17)+1,"")</f>
        <v/>
      </c>
      <c r="AC18" s="887" t="str">
        <f>IF(AND(AJ18=$AC$8,AK18=$AA$6),MAX(AC$9:$AC17)+1,"")</f>
        <v/>
      </c>
      <c r="AD18" s="887" t="str">
        <f>IF(AND(AJ18=$AD$8,AK18=$AA$6),MAX(AD$9:$AD17)+1,"")</f>
        <v/>
      </c>
      <c r="AE18" s="887" t="str">
        <f>IF(AND(AJ18=$AE$8,AK18=$AA$6),MAX(AE$9:$AE17)+1,"")</f>
        <v/>
      </c>
      <c r="AF18" s="887" t="str">
        <f>IF(AND(AJ18=$AF$8,AK18=$AA$6),MAX(AF$9:$AF17)+1,"")</f>
        <v/>
      </c>
      <c r="AG18" s="887" t="str">
        <f>IF(AND(AJ18=$AG$8,AK18=$AB$6),MAX(AG$9:$AG17)+1,"")</f>
        <v/>
      </c>
      <c r="AH18" s="887" t="str">
        <f>IF(AND(AJ18=$AH$8,AK18=$AB$6),MAX(AH$9:$AH17)+1,"")</f>
        <v/>
      </c>
      <c r="AI18" s="920" t="str">
        <f>IF(AND(AJ18=$AI$8,AK18=$AB$6),MAX(AI$9:$AI17)+1,"")</f>
        <v/>
      </c>
      <c r="AJ18" s="887" t="str">
        <f t="shared" si="17"/>
        <v>January</v>
      </c>
      <c r="AK18" s="887">
        <f t="shared" si="18"/>
        <v>1900</v>
      </c>
      <c r="AL18" s="887" t="str">
        <f>'बँक जमा खर्च पासबुक'!B17</f>
        <v/>
      </c>
      <c r="AM18" s="921">
        <f>IFERROR('बँक जमा खर्च पासबुक'!C17,"")</f>
        <v>0</v>
      </c>
      <c r="AN18" s="887">
        <f>'बँक जमा खर्च पासबुक'!D17</f>
        <v>0</v>
      </c>
      <c r="AO18" s="887">
        <f>'बँक जमा खर्च पासबुक'!E17</f>
        <v>0</v>
      </c>
      <c r="AP18" s="887">
        <f>'बँक जमा खर्च पासबुक'!F17</f>
        <v>0</v>
      </c>
      <c r="AQ18" s="887">
        <f>'बँक जमा खर्च पासबुक'!G17</f>
        <v>0</v>
      </c>
      <c r="AR18" s="887">
        <f>'बँक जमा खर्च पासबुक'!H17</f>
        <v>0</v>
      </c>
      <c r="AS18" s="887">
        <f>'बँक जमा खर्च पासबुक'!I17</f>
        <v>0</v>
      </c>
      <c r="AT18" s="887">
        <f>'बँक जमा खर्च पासबुक'!J17</f>
        <v>0</v>
      </c>
      <c r="AU18" s="887">
        <f>'बँक जमा खर्च पासबुक'!K17</f>
        <v>0</v>
      </c>
      <c r="AV18" s="887">
        <f>'बँक जमा खर्च पासबुक'!L17</f>
        <v>0</v>
      </c>
      <c r="AW18" s="887">
        <f>'बँक जमा खर्च पासबुक'!M17</f>
        <v>0</v>
      </c>
      <c r="AX18" s="877"/>
      <c r="AY18" s="877"/>
      <c r="AZ18" s="877"/>
      <c r="BA18" s="877"/>
      <c r="BB18" s="877"/>
      <c r="BC18" s="877"/>
      <c r="BD18" s="877"/>
      <c r="BE18" s="877"/>
      <c r="BF18" s="877"/>
      <c r="BG18" s="877"/>
      <c r="BH18" s="877"/>
    </row>
    <row r="19" spans="2:60" ht="35.25" customHeight="1" x14ac:dyDescent="0.5">
      <c r="B19" s="996">
        <f>HLOOKUP(D4,$AL$386:$AW$406,12,0)</f>
        <v>11</v>
      </c>
      <c r="C19" s="909" t="str">
        <f t="shared" si="14"/>
        <v/>
      </c>
      <c r="D19" s="910" t="str">
        <f t="shared" si="0"/>
        <v/>
      </c>
      <c r="E19" s="911"/>
      <c r="F19" s="912" t="str">
        <f t="shared" si="1"/>
        <v/>
      </c>
      <c r="G19" s="913" t="str">
        <f t="shared" si="2"/>
        <v/>
      </c>
      <c r="H19" s="914" t="str">
        <f t="shared" si="3"/>
        <v/>
      </c>
      <c r="I19" s="899" t="str">
        <f t="shared" si="4"/>
        <v/>
      </c>
      <c r="J19" s="900" t="str">
        <f t="shared" si="5"/>
        <v/>
      </c>
      <c r="K19" s="873"/>
      <c r="L19" s="909" t="str">
        <f t="shared" si="15"/>
        <v/>
      </c>
      <c r="M19" s="910" t="str">
        <f t="shared" si="6"/>
        <v/>
      </c>
      <c r="N19" s="915"/>
      <c r="O19" s="916" t="str">
        <f t="shared" si="7"/>
        <v/>
      </c>
      <c r="P19" s="917" t="str">
        <f t="shared" si="8"/>
        <v/>
      </c>
      <c r="Q19" s="914" t="str">
        <f t="shared" si="9"/>
        <v/>
      </c>
      <c r="R19" s="918" t="str">
        <f t="shared" si="10"/>
        <v/>
      </c>
      <c r="S19" s="919" t="str">
        <f t="shared" si="11"/>
        <v/>
      </c>
      <c r="V19" s="877"/>
      <c r="W19" s="887" t="str">
        <f t="shared" si="16"/>
        <v>January</v>
      </c>
      <c r="X19" s="887" t="str">
        <f>IF(AND(AJ19=$X$8,AK19=$AA$6),MAX($X$9:X18)+1,"")</f>
        <v/>
      </c>
      <c r="Y19" s="887" t="str">
        <f>IF(AND(AJ19=$Y$8,AK19=$AA$6),MAX($Y$9:Y18)+1,"")</f>
        <v/>
      </c>
      <c r="Z19" s="887" t="str">
        <f>IF(AND(AJ19=$Z$8,AK19=$AA$6),MAX($Z$9:Z18)+1,"")</f>
        <v/>
      </c>
      <c r="AA19" s="887" t="str">
        <f>IF(AND(AJ19=$AA$8,AK19=$AA$6),MAX(AA$9:$AA18)+1,"")</f>
        <v/>
      </c>
      <c r="AB19" s="887" t="str">
        <f>IF(AND(AJ19=$AB$8,AK19=$AA$6),MAX(AB$9:$AB18)+1,"")</f>
        <v/>
      </c>
      <c r="AC19" s="887" t="str">
        <f>IF(AND(AJ19=$AC$8,AK19=$AA$6),MAX(AC$9:$AC18)+1,"")</f>
        <v/>
      </c>
      <c r="AD19" s="887" t="str">
        <f>IF(AND(AJ19=$AD$8,AK19=$AA$6),MAX(AD$9:$AD18)+1,"")</f>
        <v/>
      </c>
      <c r="AE19" s="887" t="str">
        <f>IF(AND(AJ19=$AE$8,AK19=$AA$6),MAX(AE$9:$AE18)+1,"")</f>
        <v/>
      </c>
      <c r="AF19" s="887" t="str">
        <f>IF(AND(AJ19=$AF$8,AK19=$AA$6),MAX(AF$9:$AF18)+1,"")</f>
        <v/>
      </c>
      <c r="AG19" s="887" t="str">
        <f>IF(AND(AJ19=$AG$8,AK19=$AB$6),MAX(AG$9:$AG18)+1,"")</f>
        <v/>
      </c>
      <c r="AH19" s="887" t="str">
        <f>IF(AND(AJ19=$AH$8,AK19=$AB$6),MAX(AH$9:$AH18)+1,"")</f>
        <v/>
      </c>
      <c r="AI19" s="920" t="str">
        <f>IF(AND(AJ19=$AI$8,AK19=$AB$6),MAX(AI$9:$AI18)+1,"")</f>
        <v/>
      </c>
      <c r="AJ19" s="887" t="str">
        <f t="shared" si="17"/>
        <v>January</v>
      </c>
      <c r="AK19" s="887">
        <f t="shared" si="18"/>
        <v>1900</v>
      </c>
      <c r="AL19" s="887" t="str">
        <f>'बँक जमा खर्च पासबुक'!B18</f>
        <v/>
      </c>
      <c r="AM19" s="921">
        <f>IFERROR('बँक जमा खर्च पासबुक'!C18,"")</f>
        <v>0</v>
      </c>
      <c r="AN19" s="887">
        <f>'बँक जमा खर्च पासबुक'!D18</f>
        <v>0</v>
      </c>
      <c r="AO19" s="887">
        <f>'बँक जमा खर्च पासबुक'!E18</f>
        <v>0</v>
      </c>
      <c r="AP19" s="887">
        <f>'बँक जमा खर्च पासबुक'!F18</f>
        <v>0</v>
      </c>
      <c r="AQ19" s="887">
        <f>'बँक जमा खर्च पासबुक'!G18</f>
        <v>0</v>
      </c>
      <c r="AR19" s="887">
        <f>'बँक जमा खर्च पासबुक'!H18</f>
        <v>0</v>
      </c>
      <c r="AS19" s="887">
        <f>'बँक जमा खर्च पासबुक'!I18</f>
        <v>0</v>
      </c>
      <c r="AT19" s="887">
        <f>'बँक जमा खर्च पासबुक'!J18</f>
        <v>0</v>
      </c>
      <c r="AU19" s="887">
        <f>'बँक जमा खर्च पासबुक'!K18</f>
        <v>0</v>
      </c>
      <c r="AV19" s="887">
        <f>'बँक जमा खर्च पासबुक'!L18</f>
        <v>0</v>
      </c>
      <c r="AW19" s="887">
        <f>'बँक जमा खर्च पासबुक'!M18</f>
        <v>0</v>
      </c>
      <c r="AX19" s="877"/>
      <c r="AY19" s="877"/>
      <c r="AZ19" s="877"/>
      <c r="BA19" s="877"/>
      <c r="BB19" s="877"/>
      <c r="BC19" s="877"/>
      <c r="BD19" s="877"/>
      <c r="BE19" s="877"/>
      <c r="BF19" s="877"/>
      <c r="BG19" s="877"/>
      <c r="BH19" s="877"/>
    </row>
    <row r="20" spans="2:60" ht="35.25" customHeight="1" x14ac:dyDescent="0.5">
      <c r="B20" s="996">
        <f>HLOOKUP(D4,$AL$386:$AW$406,13,0)</f>
        <v>12</v>
      </c>
      <c r="C20" s="909" t="str">
        <f t="shared" si="14"/>
        <v/>
      </c>
      <c r="D20" s="910" t="str">
        <f t="shared" si="0"/>
        <v/>
      </c>
      <c r="E20" s="911"/>
      <c r="F20" s="912" t="str">
        <f t="shared" si="1"/>
        <v/>
      </c>
      <c r="G20" s="913" t="str">
        <f t="shared" si="2"/>
        <v/>
      </c>
      <c r="H20" s="914" t="str">
        <f t="shared" si="3"/>
        <v/>
      </c>
      <c r="I20" s="899" t="str">
        <f t="shared" si="4"/>
        <v/>
      </c>
      <c r="J20" s="900" t="str">
        <f t="shared" si="5"/>
        <v/>
      </c>
      <c r="K20" s="873"/>
      <c r="L20" s="909" t="str">
        <f t="shared" si="15"/>
        <v/>
      </c>
      <c r="M20" s="910" t="str">
        <f t="shared" si="6"/>
        <v/>
      </c>
      <c r="N20" s="915"/>
      <c r="O20" s="916" t="str">
        <f t="shared" si="7"/>
        <v/>
      </c>
      <c r="P20" s="917" t="str">
        <f t="shared" si="8"/>
        <v/>
      </c>
      <c r="Q20" s="914" t="str">
        <f t="shared" si="9"/>
        <v/>
      </c>
      <c r="R20" s="918" t="str">
        <f t="shared" si="10"/>
        <v/>
      </c>
      <c r="S20" s="919" t="str">
        <f t="shared" si="11"/>
        <v/>
      </c>
      <c r="V20" s="877"/>
      <c r="W20" s="887" t="str">
        <f t="shared" si="16"/>
        <v>January</v>
      </c>
      <c r="X20" s="887" t="str">
        <f>IF(AND(AJ20=$X$8,AK20=$AA$6),MAX($X$9:X19)+1,"")</f>
        <v/>
      </c>
      <c r="Y20" s="887" t="str">
        <f>IF(AND(AJ20=$Y$8,AK20=$AA$6),MAX($Y$9:Y19)+1,"")</f>
        <v/>
      </c>
      <c r="Z20" s="887" t="str">
        <f>IF(AND(AJ20=$Z$8,AK20=$AA$6),MAX($Z$9:Z19)+1,"")</f>
        <v/>
      </c>
      <c r="AA20" s="887" t="str">
        <f>IF(AND(AJ20=$AA$8,AK20=$AA$6),MAX(AA$9:$AA19)+1,"")</f>
        <v/>
      </c>
      <c r="AB20" s="887" t="str">
        <f>IF(AND(AJ20=$AB$8,AK20=$AA$6),MAX(AB$9:$AB19)+1,"")</f>
        <v/>
      </c>
      <c r="AC20" s="887" t="str">
        <f>IF(AND(AJ20=$AC$8,AK20=$AA$6),MAX(AC$9:$AC19)+1,"")</f>
        <v/>
      </c>
      <c r="AD20" s="887" t="str">
        <f>IF(AND(AJ20=$AD$8,AK20=$AA$6),MAX(AD$9:$AD19)+1,"")</f>
        <v/>
      </c>
      <c r="AE20" s="887" t="str">
        <f>IF(AND(AJ20=$AE$8,AK20=$AA$6),MAX(AE$9:$AE19)+1,"")</f>
        <v/>
      </c>
      <c r="AF20" s="887" t="str">
        <f>IF(AND(AJ20=$AF$8,AK20=$AA$6),MAX(AF$9:$AF19)+1,"")</f>
        <v/>
      </c>
      <c r="AG20" s="887" t="str">
        <f>IF(AND(AJ20=$AG$8,AK20=$AB$6),MAX(AG$9:$AG19)+1,"")</f>
        <v/>
      </c>
      <c r="AH20" s="887" t="str">
        <f>IF(AND(AJ20=$AH$8,AK20=$AB$6),MAX(AH$9:$AH19)+1,"")</f>
        <v/>
      </c>
      <c r="AI20" s="920" t="str">
        <f>IF(AND(AJ20=$AI$8,AK20=$AB$6),MAX(AI$9:$AI19)+1,"")</f>
        <v/>
      </c>
      <c r="AJ20" s="887" t="str">
        <f t="shared" si="17"/>
        <v>January</v>
      </c>
      <c r="AK20" s="887">
        <f t="shared" si="18"/>
        <v>1900</v>
      </c>
      <c r="AL20" s="887" t="str">
        <f>'बँक जमा खर्च पासबुक'!B19</f>
        <v/>
      </c>
      <c r="AM20" s="921">
        <f>IFERROR('बँक जमा खर्च पासबुक'!C19,"")</f>
        <v>0</v>
      </c>
      <c r="AN20" s="887">
        <f>'बँक जमा खर्च पासबुक'!D19</f>
        <v>0</v>
      </c>
      <c r="AO20" s="887">
        <f>'बँक जमा खर्च पासबुक'!E19</f>
        <v>0</v>
      </c>
      <c r="AP20" s="887">
        <f>'बँक जमा खर्च पासबुक'!F19</f>
        <v>0</v>
      </c>
      <c r="AQ20" s="887">
        <f>'बँक जमा खर्च पासबुक'!G19</f>
        <v>0</v>
      </c>
      <c r="AR20" s="887">
        <f>'बँक जमा खर्च पासबुक'!H19</f>
        <v>0</v>
      </c>
      <c r="AS20" s="887">
        <f>'बँक जमा खर्च पासबुक'!I19</f>
        <v>0</v>
      </c>
      <c r="AT20" s="887">
        <f>'बँक जमा खर्च पासबुक'!J19</f>
        <v>0</v>
      </c>
      <c r="AU20" s="887">
        <f>'बँक जमा खर्च पासबुक'!K19</f>
        <v>0</v>
      </c>
      <c r="AV20" s="887">
        <f>'बँक जमा खर्च पासबुक'!L19</f>
        <v>0</v>
      </c>
      <c r="AW20" s="887">
        <f>'बँक जमा खर्च पासबुक'!M19</f>
        <v>0</v>
      </c>
      <c r="AX20" s="877"/>
      <c r="AY20" s="877"/>
      <c r="AZ20" s="877"/>
      <c r="BA20" s="877"/>
      <c r="BB20" s="877"/>
      <c r="BC20" s="877"/>
      <c r="BD20" s="877"/>
      <c r="BE20" s="877"/>
      <c r="BF20" s="877"/>
      <c r="BG20" s="877"/>
      <c r="BH20" s="877"/>
    </row>
    <row r="21" spans="2:60" ht="35.25" customHeight="1" x14ac:dyDescent="0.5">
      <c r="B21" s="996">
        <f>HLOOKUP(D4,$AL$386:$AW$406,14,0)</f>
        <v>13</v>
      </c>
      <c r="C21" s="909" t="str">
        <f t="shared" si="14"/>
        <v/>
      </c>
      <c r="D21" s="910" t="str">
        <f t="shared" si="0"/>
        <v/>
      </c>
      <c r="E21" s="911"/>
      <c r="F21" s="912" t="str">
        <f t="shared" si="1"/>
        <v/>
      </c>
      <c r="G21" s="913" t="str">
        <f t="shared" si="2"/>
        <v/>
      </c>
      <c r="H21" s="914" t="str">
        <f t="shared" si="3"/>
        <v/>
      </c>
      <c r="I21" s="899" t="str">
        <f t="shared" si="4"/>
        <v/>
      </c>
      <c r="J21" s="900" t="str">
        <f t="shared" si="5"/>
        <v/>
      </c>
      <c r="K21" s="873"/>
      <c r="L21" s="909" t="str">
        <f t="shared" si="15"/>
        <v/>
      </c>
      <c r="M21" s="910" t="str">
        <f t="shared" si="6"/>
        <v/>
      </c>
      <c r="N21" s="915"/>
      <c r="O21" s="916" t="str">
        <f t="shared" si="7"/>
        <v/>
      </c>
      <c r="P21" s="917" t="str">
        <f t="shared" si="8"/>
        <v/>
      </c>
      <c r="Q21" s="914" t="str">
        <f t="shared" si="9"/>
        <v/>
      </c>
      <c r="R21" s="918" t="str">
        <f t="shared" si="10"/>
        <v/>
      </c>
      <c r="S21" s="919" t="str">
        <f t="shared" si="11"/>
        <v/>
      </c>
      <c r="V21" s="877"/>
      <c r="W21" s="887" t="str">
        <f t="shared" si="16"/>
        <v>January</v>
      </c>
      <c r="X21" s="887" t="str">
        <f>IF(AND(AJ21=$X$8,AK21=$AA$6),MAX($X$9:X20)+1,"")</f>
        <v/>
      </c>
      <c r="Y21" s="887" t="str">
        <f>IF(AND(AJ21=$Y$8,AK21=$AA$6),MAX($Y$9:Y20)+1,"")</f>
        <v/>
      </c>
      <c r="Z21" s="887" t="str">
        <f>IF(AND(AJ21=$Z$8,AK21=$AA$6),MAX($Z$9:Z20)+1,"")</f>
        <v/>
      </c>
      <c r="AA21" s="887" t="str">
        <f>IF(AND(AJ21=$AA$8,AK21=$AA$6),MAX(AA$9:$AA20)+1,"")</f>
        <v/>
      </c>
      <c r="AB21" s="887" t="str">
        <f>IF(AND(AJ21=$AB$8,AK21=$AA$6),MAX(AB$9:$AB20)+1,"")</f>
        <v/>
      </c>
      <c r="AC21" s="887" t="str">
        <f>IF(AND(AJ21=$AC$8,AK21=$AA$6),MAX(AC$9:$AC20)+1,"")</f>
        <v/>
      </c>
      <c r="AD21" s="887" t="str">
        <f>IF(AND(AJ21=$AD$8,AK21=$AA$6),MAX(AD$9:$AD20)+1,"")</f>
        <v/>
      </c>
      <c r="AE21" s="887" t="str">
        <f>IF(AND(AJ21=$AE$8,AK21=$AA$6),MAX(AE$9:$AE20)+1,"")</f>
        <v/>
      </c>
      <c r="AF21" s="887" t="str">
        <f>IF(AND(AJ21=$AF$8,AK21=$AA$6),MAX(AF$9:$AF20)+1,"")</f>
        <v/>
      </c>
      <c r="AG21" s="887" t="str">
        <f>IF(AND(AJ21=$AG$8,AK21=$AB$6),MAX(AG$9:$AG20)+1,"")</f>
        <v/>
      </c>
      <c r="AH21" s="887" t="str">
        <f>IF(AND(AJ21=$AH$8,AK21=$AB$6),MAX(AH$9:$AH20)+1,"")</f>
        <v/>
      </c>
      <c r="AI21" s="920" t="str">
        <f>IF(AND(AJ21=$AI$8,AK21=$AB$6),MAX(AI$9:$AI20)+1,"")</f>
        <v/>
      </c>
      <c r="AJ21" s="887" t="str">
        <f t="shared" si="17"/>
        <v>January</v>
      </c>
      <c r="AK21" s="887">
        <f t="shared" si="18"/>
        <v>1900</v>
      </c>
      <c r="AL21" s="887" t="str">
        <f>'बँक जमा खर्च पासबुक'!B20</f>
        <v/>
      </c>
      <c r="AM21" s="921">
        <f>IFERROR('बँक जमा खर्च पासबुक'!C20,"")</f>
        <v>0</v>
      </c>
      <c r="AN21" s="887">
        <f>'बँक जमा खर्च पासबुक'!D20</f>
        <v>0</v>
      </c>
      <c r="AO21" s="887">
        <f>'बँक जमा खर्च पासबुक'!E20</f>
        <v>0</v>
      </c>
      <c r="AP21" s="887">
        <f>'बँक जमा खर्च पासबुक'!F20</f>
        <v>0</v>
      </c>
      <c r="AQ21" s="887">
        <f>'बँक जमा खर्च पासबुक'!G20</f>
        <v>0</v>
      </c>
      <c r="AR21" s="887">
        <f>'बँक जमा खर्च पासबुक'!H20</f>
        <v>0</v>
      </c>
      <c r="AS21" s="887">
        <f>'बँक जमा खर्च पासबुक'!I20</f>
        <v>0</v>
      </c>
      <c r="AT21" s="887">
        <f>'बँक जमा खर्च पासबुक'!J20</f>
        <v>0</v>
      </c>
      <c r="AU21" s="887">
        <f>'बँक जमा खर्च पासबुक'!K20</f>
        <v>0</v>
      </c>
      <c r="AV21" s="887">
        <f>'बँक जमा खर्च पासबुक'!L20</f>
        <v>0</v>
      </c>
      <c r="AW21" s="887">
        <f>'बँक जमा खर्च पासबुक'!M20</f>
        <v>0</v>
      </c>
      <c r="AX21" s="877"/>
      <c r="AY21" s="877"/>
      <c r="AZ21" s="877"/>
      <c r="BA21" s="877"/>
      <c r="BB21" s="877"/>
      <c r="BC21" s="877"/>
      <c r="BD21" s="877"/>
      <c r="BE21" s="877"/>
      <c r="BF21" s="877"/>
      <c r="BG21" s="877"/>
      <c r="BH21" s="877"/>
    </row>
    <row r="22" spans="2:60" ht="35.25" customHeight="1" x14ac:dyDescent="0.5">
      <c r="B22" s="996">
        <f>HLOOKUP(D4,$AL$386:$AW$406,15,0)</f>
        <v>14</v>
      </c>
      <c r="C22" s="909" t="str">
        <f t="shared" si="14"/>
        <v/>
      </c>
      <c r="D22" s="910" t="str">
        <f t="shared" si="0"/>
        <v/>
      </c>
      <c r="E22" s="911"/>
      <c r="F22" s="912" t="str">
        <f t="shared" si="1"/>
        <v/>
      </c>
      <c r="G22" s="913" t="str">
        <f t="shared" si="2"/>
        <v/>
      </c>
      <c r="H22" s="914" t="str">
        <f t="shared" si="3"/>
        <v/>
      </c>
      <c r="I22" s="899" t="str">
        <f t="shared" si="4"/>
        <v/>
      </c>
      <c r="J22" s="900" t="str">
        <f t="shared" si="5"/>
        <v/>
      </c>
      <c r="K22" s="873"/>
      <c r="L22" s="909" t="str">
        <f t="shared" si="15"/>
        <v/>
      </c>
      <c r="M22" s="910" t="str">
        <f t="shared" si="6"/>
        <v/>
      </c>
      <c r="N22" s="915"/>
      <c r="O22" s="916" t="str">
        <f t="shared" si="7"/>
        <v/>
      </c>
      <c r="P22" s="917" t="str">
        <f t="shared" si="8"/>
        <v/>
      </c>
      <c r="Q22" s="914" t="str">
        <f t="shared" si="9"/>
        <v/>
      </c>
      <c r="R22" s="918" t="str">
        <f t="shared" si="10"/>
        <v/>
      </c>
      <c r="S22" s="919" t="str">
        <f t="shared" si="11"/>
        <v/>
      </c>
      <c r="V22" s="877"/>
      <c r="W22" s="887" t="str">
        <f t="shared" si="16"/>
        <v>January</v>
      </c>
      <c r="X22" s="887" t="str">
        <f>IF(AND(AJ22=$X$8,AK22=$AA$6),MAX($X$9:X21)+1,"")</f>
        <v/>
      </c>
      <c r="Y22" s="887" t="str">
        <f>IF(AND(AJ22=$Y$8,AK22=$AA$6),MAX($Y$9:Y21)+1,"")</f>
        <v/>
      </c>
      <c r="Z22" s="887" t="str">
        <f>IF(AND(AJ22=$Z$8,AK22=$AA$6),MAX($Z$9:Z21)+1,"")</f>
        <v/>
      </c>
      <c r="AA22" s="887" t="str">
        <f>IF(AND(AJ22=$AA$8,AK22=$AA$6),MAX(AA$9:$AA21)+1,"")</f>
        <v/>
      </c>
      <c r="AB22" s="887" t="str">
        <f>IF(AND(AJ22=$AB$8,AK22=$AA$6),MAX(AB$9:$AB21)+1,"")</f>
        <v/>
      </c>
      <c r="AC22" s="887" t="str">
        <f>IF(AND(AJ22=$AC$8,AK22=$AA$6),MAX(AC$9:$AC21)+1,"")</f>
        <v/>
      </c>
      <c r="AD22" s="887" t="str">
        <f>IF(AND(AJ22=$AD$8,AK22=$AA$6),MAX(AD$9:$AD21)+1,"")</f>
        <v/>
      </c>
      <c r="AE22" s="887" t="str">
        <f>IF(AND(AJ22=$AE$8,AK22=$AA$6),MAX(AE$9:$AE21)+1,"")</f>
        <v/>
      </c>
      <c r="AF22" s="887" t="str">
        <f>IF(AND(AJ22=$AF$8,AK22=$AA$6),MAX(AF$9:$AF21)+1,"")</f>
        <v/>
      </c>
      <c r="AG22" s="887" t="str">
        <f>IF(AND(AJ22=$AG$8,AK22=$AB$6),MAX(AG$9:$AG21)+1,"")</f>
        <v/>
      </c>
      <c r="AH22" s="887" t="str">
        <f>IF(AND(AJ22=$AH$8,AK22=$AB$6),MAX(AH$9:$AH21)+1,"")</f>
        <v/>
      </c>
      <c r="AI22" s="920" t="str">
        <f>IF(AND(AJ22=$AI$8,AK22=$AB$6),MAX(AI$9:$AI21)+1,"")</f>
        <v/>
      </c>
      <c r="AJ22" s="887" t="str">
        <f t="shared" si="17"/>
        <v>January</v>
      </c>
      <c r="AK22" s="887">
        <f t="shared" si="18"/>
        <v>1900</v>
      </c>
      <c r="AL22" s="887" t="str">
        <f>'बँक जमा खर्च पासबुक'!B21</f>
        <v/>
      </c>
      <c r="AM22" s="921">
        <f>IFERROR('बँक जमा खर्च पासबुक'!C21,"")</f>
        <v>0</v>
      </c>
      <c r="AN22" s="887">
        <f>'बँक जमा खर्च पासबुक'!D21</f>
        <v>0</v>
      </c>
      <c r="AO22" s="887">
        <f>'बँक जमा खर्च पासबुक'!E21</f>
        <v>0</v>
      </c>
      <c r="AP22" s="887">
        <f>'बँक जमा खर्च पासबुक'!F21</f>
        <v>0</v>
      </c>
      <c r="AQ22" s="887">
        <f>'बँक जमा खर्च पासबुक'!G21</f>
        <v>0</v>
      </c>
      <c r="AR22" s="887">
        <f>'बँक जमा खर्च पासबुक'!H21</f>
        <v>0</v>
      </c>
      <c r="AS22" s="887">
        <f>'बँक जमा खर्च पासबुक'!I21</f>
        <v>0</v>
      </c>
      <c r="AT22" s="887">
        <f>'बँक जमा खर्च पासबुक'!J21</f>
        <v>0</v>
      </c>
      <c r="AU22" s="887">
        <f>'बँक जमा खर्च पासबुक'!K21</f>
        <v>0</v>
      </c>
      <c r="AV22" s="887">
        <f>'बँक जमा खर्च पासबुक'!L21</f>
        <v>0</v>
      </c>
      <c r="AW22" s="887">
        <f>'बँक जमा खर्च पासबुक'!M21</f>
        <v>0</v>
      </c>
      <c r="AX22" s="877"/>
      <c r="AY22" s="877"/>
      <c r="AZ22" s="877"/>
      <c r="BA22" s="877"/>
      <c r="BB22" s="877"/>
      <c r="BC22" s="877"/>
      <c r="BD22" s="877"/>
      <c r="BE22" s="877"/>
      <c r="BF22" s="877"/>
      <c r="BG22" s="877"/>
      <c r="BH22" s="877"/>
    </row>
    <row r="23" spans="2:60" ht="35.25" customHeight="1" x14ac:dyDescent="0.5">
      <c r="B23" s="996">
        <f>HLOOKUP(D4,$AL$386:$AW$406,16,0)</f>
        <v>15</v>
      </c>
      <c r="C23" s="909" t="str">
        <f t="shared" si="14"/>
        <v/>
      </c>
      <c r="D23" s="910" t="str">
        <f t="shared" si="0"/>
        <v/>
      </c>
      <c r="E23" s="911"/>
      <c r="F23" s="912" t="str">
        <f t="shared" si="1"/>
        <v/>
      </c>
      <c r="G23" s="913" t="str">
        <f t="shared" si="2"/>
        <v/>
      </c>
      <c r="H23" s="914" t="str">
        <f t="shared" si="3"/>
        <v/>
      </c>
      <c r="I23" s="899" t="str">
        <f t="shared" si="4"/>
        <v/>
      </c>
      <c r="J23" s="900" t="str">
        <f t="shared" si="5"/>
        <v/>
      </c>
      <c r="K23" s="873"/>
      <c r="L23" s="909" t="str">
        <f t="shared" si="15"/>
        <v/>
      </c>
      <c r="M23" s="910" t="str">
        <f t="shared" si="6"/>
        <v/>
      </c>
      <c r="N23" s="915"/>
      <c r="O23" s="916" t="str">
        <f t="shared" si="7"/>
        <v/>
      </c>
      <c r="P23" s="917" t="str">
        <f t="shared" si="8"/>
        <v/>
      </c>
      <c r="Q23" s="914" t="str">
        <f t="shared" si="9"/>
        <v/>
      </c>
      <c r="R23" s="918" t="str">
        <f t="shared" si="10"/>
        <v/>
      </c>
      <c r="S23" s="919" t="str">
        <f t="shared" si="11"/>
        <v/>
      </c>
      <c r="V23" s="877"/>
      <c r="W23" s="887" t="str">
        <f t="shared" si="16"/>
        <v>January</v>
      </c>
      <c r="X23" s="887" t="str">
        <f>IF(AND(AJ23=$X$8,AK23=$AA$6),MAX($X$9:X22)+1,"")</f>
        <v/>
      </c>
      <c r="Y23" s="887" t="str">
        <f>IF(AND(AJ23=$Y$8,AK23=$AA$6),MAX($Y$9:Y22)+1,"")</f>
        <v/>
      </c>
      <c r="Z23" s="887" t="str">
        <f>IF(AND(AJ23=$Z$8,AK23=$AA$6),MAX($Z$9:Z22)+1,"")</f>
        <v/>
      </c>
      <c r="AA23" s="887" t="str">
        <f>IF(AND(AJ23=$AA$8,AK23=$AA$6),MAX(AA$9:$AA22)+1,"")</f>
        <v/>
      </c>
      <c r="AB23" s="887" t="str">
        <f>IF(AND(AJ23=$AB$8,AK23=$AA$6),MAX(AB$9:$AB22)+1,"")</f>
        <v/>
      </c>
      <c r="AC23" s="887" t="str">
        <f>IF(AND(AJ23=$AC$8,AK23=$AA$6),MAX(AC$9:$AC22)+1,"")</f>
        <v/>
      </c>
      <c r="AD23" s="887" t="str">
        <f>IF(AND(AJ23=$AD$8,AK23=$AA$6),MAX(AD$9:$AD22)+1,"")</f>
        <v/>
      </c>
      <c r="AE23" s="887" t="str">
        <f>IF(AND(AJ23=$AE$8,AK23=$AA$6),MAX(AE$9:$AE22)+1,"")</f>
        <v/>
      </c>
      <c r="AF23" s="887" t="str">
        <f>IF(AND(AJ23=$AF$8,AK23=$AA$6),MAX(AF$9:$AF22)+1,"")</f>
        <v/>
      </c>
      <c r="AG23" s="887" t="str">
        <f>IF(AND(AJ23=$AG$8,AK23=$AB$6),MAX(AG$9:$AG22)+1,"")</f>
        <v/>
      </c>
      <c r="AH23" s="887" t="str">
        <f>IF(AND(AJ23=$AH$8,AK23=$AB$6),MAX(AH$9:$AH22)+1,"")</f>
        <v/>
      </c>
      <c r="AI23" s="920" t="str">
        <f>IF(AND(AJ23=$AI$8,AK23=$AB$6),MAX(AI$9:$AI22)+1,"")</f>
        <v/>
      </c>
      <c r="AJ23" s="887" t="str">
        <f t="shared" si="17"/>
        <v>January</v>
      </c>
      <c r="AK23" s="887">
        <f t="shared" si="18"/>
        <v>1900</v>
      </c>
      <c r="AL23" s="887" t="str">
        <f>'बँक जमा खर्च पासबुक'!B22</f>
        <v/>
      </c>
      <c r="AM23" s="921">
        <f>IFERROR('बँक जमा खर्च पासबुक'!C22,"")</f>
        <v>0</v>
      </c>
      <c r="AN23" s="887">
        <f>'बँक जमा खर्च पासबुक'!D22</f>
        <v>0</v>
      </c>
      <c r="AO23" s="887">
        <f>'बँक जमा खर्च पासबुक'!E22</f>
        <v>0</v>
      </c>
      <c r="AP23" s="887">
        <f>'बँक जमा खर्च पासबुक'!F22</f>
        <v>0</v>
      </c>
      <c r="AQ23" s="887">
        <f>'बँक जमा खर्च पासबुक'!G22</f>
        <v>0</v>
      </c>
      <c r="AR23" s="887">
        <f>'बँक जमा खर्च पासबुक'!H22</f>
        <v>0</v>
      </c>
      <c r="AS23" s="887">
        <f>'बँक जमा खर्च पासबुक'!I22</f>
        <v>0</v>
      </c>
      <c r="AT23" s="887">
        <f>'बँक जमा खर्च पासबुक'!J22</f>
        <v>0</v>
      </c>
      <c r="AU23" s="887">
        <f>'बँक जमा खर्च पासबुक'!K22</f>
        <v>0</v>
      </c>
      <c r="AV23" s="887">
        <f>'बँक जमा खर्च पासबुक'!L22</f>
        <v>0</v>
      </c>
      <c r="AW23" s="887">
        <f>'बँक जमा खर्च पासबुक'!M22</f>
        <v>0</v>
      </c>
      <c r="AX23" s="877"/>
      <c r="AY23" s="877"/>
      <c r="AZ23" s="877"/>
      <c r="BA23" s="877"/>
      <c r="BB23" s="877"/>
      <c r="BC23" s="877"/>
      <c r="BD23" s="877"/>
      <c r="BE23" s="877"/>
      <c r="BF23" s="877"/>
      <c r="BG23" s="877"/>
      <c r="BH23" s="877"/>
    </row>
    <row r="24" spans="2:60" ht="35.25" customHeight="1" x14ac:dyDescent="0.5">
      <c r="B24" s="996">
        <f>HLOOKUP(D4,$AL$386:$AW$406,17,0)</f>
        <v>16</v>
      </c>
      <c r="C24" s="909" t="str">
        <f t="shared" si="14"/>
        <v/>
      </c>
      <c r="D24" s="910" t="str">
        <f t="shared" si="0"/>
        <v/>
      </c>
      <c r="E24" s="911"/>
      <c r="F24" s="912" t="str">
        <f t="shared" si="1"/>
        <v/>
      </c>
      <c r="G24" s="913" t="str">
        <f t="shared" si="2"/>
        <v/>
      </c>
      <c r="H24" s="914" t="str">
        <f t="shared" si="3"/>
        <v/>
      </c>
      <c r="I24" s="899" t="str">
        <f t="shared" si="4"/>
        <v/>
      </c>
      <c r="J24" s="900" t="str">
        <f t="shared" si="5"/>
        <v/>
      </c>
      <c r="K24" s="873"/>
      <c r="L24" s="909" t="str">
        <f t="shared" si="15"/>
        <v/>
      </c>
      <c r="M24" s="910" t="str">
        <f t="shared" si="6"/>
        <v/>
      </c>
      <c r="N24" s="915"/>
      <c r="O24" s="916" t="str">
        <f t="shared" si="7"/>
        <v/>
      </c>
      <c r="P24" s="917" t="str">
        <f t="shared" si="8"/>
        <v/>
      </c>
      <c r="Q24" s="914" t="str">
        <f t="shared" si="9"/>
        <v/>
      </c>
      <c r="R24" s="918" t="str">
        <f t="shared" si="10"/>
        <v/>
      </c>
      <c r="S24" s="919" t="str">
        <f t="shared" si="11"/>
        <v/>
      </c>
      <c r="V24" s="877"/>
      <c r="W24" s="887" t="str">
        <f t="shared" si="16"/>
        <v>January</v>
      </c>
      <c r="X24" s="887" t="str">
        <f>IF(AND(AJ24=$X$8,AK24=$AA$6),MAX($X$9:X23)+1,"")</f>
        <v/>
      </c>
      <c r="Y24" s="887" t="str">
        <f>IF(AND(AJ24=$Y$8,AK24=$AA$6),MAX($Y$9:Y23)+1,"")</f>
        <v/>
      </c>
      <c r="Z24" s="887" t="str">
        <f>IF(AND(AJ24=$Z$8,AK24=$AA$6),MAX($Z$9:Z23)+1,"")</f>
        <v/>
      </c>
      <c r="AA24" s="887" t="str">
        <f>IF(AND(AJ24=$AA$8,AK24=$AA$6),MAX(AA$9:$AA23)+1,"")</f>
        <v/>
      </c>
      <c r="AB24" s="887" t="str">
        <f>IF(AND(AJ24=$AB$8,AK24=$AA$6),MAX(AB$9:$AB23)+1,"")</f>
        <v/>
      </c>
      <c r="AC24" s="887" t="str">
        <f>IF(AND(AJ24=$AC$8,AK24=$AA$6),MAX(AC$9:$AC23)+1,"")</f>
        <v/>
      </c>
      <c r="AD24" s="887" t="str">
        <f>IF(AND(AJ24=$AD$8,AK24=$AA$6),MAX(AD$9:$AD23)+1,"")</f>
        <v/>
      </c>
      <c r="AE24" s="887" t="str">
        <f>IF(AND(AJ24=$AE$8,AK24=$AA$6),MAX(AE$9:$AE23)+1,"")</f>
        <v/>
      </c>
      <c r="AF24" s="887" t="str">
        <f>IF(AND(AJ24=$AF$8,AK24=$AA$6),MAX(AF$9:$AF23)+1,"")</f>
        <v/>
      </c>
      <c r="AG24" s="887" t="str">
        <f>IF(AND(AJ24=$AG$8,AK24=$AB$6),MAX(AG$9:$AG23)+1,"")</f>
        <v/>
      </c>
      <c r="AH24" s="887" t="str">
        <f>IF(AND(AJ24=$AH$8,AK24=$AB$6),MAX(AH$9:$AH23)+1,"")</f>
        <v/>
      </c>
      <c r="AI24" s="920" t="str">
        <f>IF(AND(AJ24=$AI$8,AK24=$AB$6),MAX(AI$9:$AI23)+1,"")</f>
        <v/>
      </c>
      <c r="AJ24" s="887" t="str">
        <f t="shared" si="17"/>
        <v>January</v>
      </c>
      <c r="AK24" s="887">
        <f t="shared" si="18"/>
        <v>1900</v>
      </c>
      <c r="AL24" s="887" t="str">
        <f>'बँक जमा खर्च पासबुक'!B23</f>
        <v/>
      </c>
      <c r="AM24" s="921">
        <f>IFERROR('बँक जमा खर्च पासबुक'!C23,"")</f>
        <v>0</v>
      </c>
      <c r="AN24" s="887">
        <f>'बँक जमा खर्च पासबुक'!D23</f>
        <v>0</v>
      </c>
      <c r="AO24" s="887">
        <f>'बँक जमा खर्च पासबुक'!E23</f>
        <v>0</v>
      </c>
      <c r="AP24" s="887">
        <f>'बँक जमा खर्च पासबुक'!F23</f>
        <v>0</v>
      </c>
      <c r="AQ24" s="887">
        <f>'बँक जमा खर्च पासबुक'!G23</f>
        <v>0</v>
      </c>
      <c r="AR24" s="887">
        <f>'बँक जमा खर्च पासबुक'!H23</f>
        <v>0</v>
      </c>
      <c r="AS24" s="887">
        <f>'बँक जमा खर्च पासबुक'!I23</f>
        <v>0</v>
      </c>
      <c r="AT24" s="887">
        <f>'बँक जमा खर्च पासबुक'!J23</f>
        <v>0</v>
      </c>
      <c r="AU24" s="887">
        <f>'बँक जमा खर्च पासबुक'!K23</f>
        <v>0</v>
      </c>
      <c r="AV24" s="887">
        <f>'बँक जमा खर्च पासबुक'!L23</f>
        <v>0</v>
      </c>
      <c r="AW24" s="887">
        <f>'बँक जमा खर्च पासबुक'!M23</f>
        <v>0</v>
      </c>
      <c r="AX24" s="877"/>
      <c r="AY24" s="877"/>
      <c r="AZ24" s="877"/>
      <c r="BA24" s="877"/>
      <c r="BB24" s="877"/>
      <c r="BC24" s="877"/>
      <c r="BD24" s="877"/>
      <c r="BE24" s="877"/>
      <c r="BF24" s="877"/>
      <c r="BG24" s="877"/>
      <c r="BH24" s="877"/>
    </row>
    <row r="25" spans="2:60" ht="35.25" customHeight="1" x14ac:dyDescent="0.5">
      <c r="B25" s="996">
        <f>HLOOKUP(D4,$AL$386:$AW$406,18,0)</f>
        <v>17</v>
      </c>
      <c r="C25" s="909" t="str">
        <f t="shared" si="14"/>
        <v/>
      </c>
      <c r="D25" s="910" t="str">
        <f t="shared" si="0"/>
        <v/>
      </c>
      <c r="E25" s="911"/>
      <c r="F25" s="912" t="str">
        <f t="shared" si="1"/>
        <v/>
      </c>
      <c r="G25" s="913" t="str">
        <f t="shared" si="2"/>
        <v/>
      </c>
      <c r="H25" s="914" t="str">
        <f t="shared" si="3"/>
        <v/>
      </c>
      <c r="I25" s="899" t="str">
        <f t="shared" si="4"/>
        <v/>
      </c>
      <c r="J25" s="900" t="str">
        <f t="shared" si="5"/>
        <v/>
      </c>
      <c r="K25" s="873"/>
      <c r="L25" s="909" t="str">
        <f t="shared" si="15"/>
        <v/>
      </c>
      <c r="M25" s="910" t="str">
        <f t="shared" si="6"/>
        <v/>
      </c>
      <c r="N25" s="915"/>
      <c r="O25" s="916" t="str">
        <f t="shared" si="7"/>
        <v/>
      </c>
      <c r="P25" s="917" t="str">
        <f t="shared" si="8"/>
        <v/>
      </c>
      <c r="Q25" s="914" t="str">
        <f t="shared" si="9"/>
        <v/>
      </c>
      <c r="R25" s="918" t="str">
        <f t="shared" si="10"/>
        <v/>
      </c>
      <c r="S25" s="919" t="str">
        <f t="shared" si="11"/>
        <v/>
      </c>
      <c r="V25" s="877"/>
      <c r="W25" s="887" t="str">
        <f t="shared" si="16"/>
        <v>January</v>
      </c>
      <c r="X25" s="887" t="str">
        <f>IF(AND(AJ25=$X$8,AK25=$AA$6),MAX($X$9:X24)+1,"")</f>
        <v/>
      </c>
      <c r="Y25" s="887" t="str">
        <f>IF(AND(AJ25=$Y$8,AK25=$AA$6),MAX($Y$9:Y24)+1,"")</f>
        <v/>
      </c>
      <c r="Z25" s="887" t="str">
        <f>IF(AND(AJ25=$Z$8,AK25=$AA$6),MAX($Z$9:Z24)+1,"")</f>
        <v/>
      </c>
      <c r="AA25" s="887" t="str">
        <f>IF(AND(AJ25=$AA$8,AK25=$AA$6),MAX(AA$9:$AA24)+1,"")</f>
        <v/>
      </c>
      <c r="AB25" s="887" t="str">
        <f>IF(AND(AJ25=$AB$8,AK25=$AA$6),MAX(AB$9:$AB24)+1,"")</f>
        <v/>
      </c>
      <c r="AC25" s="887" t="str">
        <f>IF(AND(AJ25=$AC$8,AK25=$AA$6),MAX(AC$9:$AC24)+1,"")</f>
        <v/>
      </c>
      <c r="AD25" s="887" t="str">
        <f>IF(AND(AJ25=$AD$8,AK25=$AA$6),MAX(AD$9:$AD24)+1,"")</f>
        <v/>
      </c>
      <c r="AE25" s="887" t="str">
        <f>IF(AND(AJ25=$AE$8,AK25=$AA$6),MAX(AE$9:$AE24)+1,"")</f>
        <v/>
      </c>
      <c r="AF25" s="887" t="str">
        <f>IF(AND(AJ25=$AF$8,AK25=$AA$6),MAX(AF$9:$AF24)+1,"")</f>
        <v/>
      </c>
      <c r="AG25" s="887" t="str">
        <f>IF(AND(AJ25=$AG$8,AK25=$AB$6),MAX(AG$9:$AG24)+1,"")</f>
        <v/>
      </c>
      <c r="AH25" s="887" t="str">
        <f>IF(AND(AJ25=$AH$8,AK25=$AB$6),MAX(AH$9:$AH24)+1,"")</f>
        <v/>
      </c>
      <c r="AI25" s="920" t="str">
        <f>IF(AND(AJ25=$AI$8,AK25=$AB$6),MAX(AI$9:$AI24)+1,"")</f>
        <v/>
      </c>
      <c r="AJ25" s="887" t="str">
        <f t="shared" si="17"/>
        <v>January</v>
      </c>
      <c r="AK25" s="887">
        <f t="shared" si="18"/>
        <v>1900</v>
      </c>
      <c r="AL25" s="887" t="str">
        <f>'बँक जमा खर्च पासबुक'!B24</f>
        <v/>
      </c>
      <c r="AM25" s="921">
        <f>IFERROR('बँक जमा खर्च पासबुक'!C24,"")</f>
        <v>0</v>
      </c>
      <c r="AN25" s="887">
        <f>'बँक जमा खर्च पासबुक'!D24</f>
        <v>0</v>
      </c>
      <c r="AO25" s="887">
        <f>'बँक जमा खर्च पासबुक'!E24</f>
        <v>0</v>
      </c>
      <c r="AP25" s="887">
        <f>'बँक जमा खर्च पासबुक'!F24</f>
        <v>0</v>
      </c>
      <c r="AQ25" s="887">
        <f>'बँक जमा खर्च पासबुक'!G24</f>
        <v>0</v>
      </c>
      <c r="AR25" s="887">
        <f>'बँक जमा खर्च पासबुक'!H24</f>
        <v>0</v>
      </c>
      <c r="AS25" s="887">
        <f>'बँक जमा खर्च पासबुक'!I24</f>
        <v>0</v>
      </c>
      <c r="AT25" s="887">
        <f>'बँक जमा खर्च पासबुक'!J24</f>
        <v>0</v>
      </c>
      <c r="AU25" s="887">
        <f>'बँक जमा खर्च पासबुक'!K24</f>
        <v>0</v>
      </c>
      <c r="AV25" s="887">
        <f>'बँक जमा खर्च पासबुक'!L24</f>
        <v>0</v>
      </c>
      <c r="AW25" s="887">
        <f>'बँक जमा खर्च पासबुक'!M24</f>
        <v>0</v>
      </c>
      <c r="AX25" s="877"/>
      <c r="AY25" s="877"/>
      <c r="AZ25" s="877"/>
      <c r="BA25" s="877"/>
      <c r="BB25" s="877"/>
      <c r="BC25" s="877"/>
      <c r="BD25" s="877"/>
      <c r="BE25" s="877"/>
      <c r="BF25" s="877"/>
      <c r="BG25" s="877"/>
      <c r="BH25" s="877"/>
    </row>
    <row r="26" spans="2:60" ht="35.25" customHeight="1" x14ac:dyDescent="0.5">
      <c r="B26" s="996">
        <f>HLOOKUP(D4,$AL$386:$AW$406,19,0)</f>
        <v>18</v>
      </c>
      <c r="C26" s="909" t="str">
        <f t="shared" si="14"/>
        <v/>
      </c>
      <c r="D26" s="910" t="str">
        <f t="shared" si="0"/>
        <v/>
      </c>
      <c r="E26" s="911"/>
      <c r="F26" s="912" t="str">
        <f t="shared" si="1"/>
        <v/>
      </c>
      <c r="G26" s="913" t="str">
        <f t="shared" si="2"/>
        <v/>
      </c>
      <c r="H26" s="914" t="str">
        <f t="shared" si="3"/>
        <v/>
      </c>
      <c r="I26" s="899" t="str">
        <f t="shared" si="4"/>
        <v/>
      </c>
      <c r="J26" s="900" t="str">
        <f t="shared" si="5"/>
        <v/>
      </c>
      <c r="K26" s="873"/>
      <c r="L26" s="909" t="str">
        <f t="shared" si="15"/>
        <v/>
      </c>
      <c r="M26" s="910" t="str">
        <f t="shared" si="6"/>
        <v/>
      </c>
      <c r="N26" s="915"/>
      <c r="O26" s="916" t="str">
        <f t="shared" si="7"/>
        <v/>
      </c>
      <c r="P26" s="917" t="str">
        <f t="shared" si="8"/>
        <v/>
      </c>
      <c r="Q26" s="914" t="str">
        <f t="shared" si="9"/>
        <v/>
      </c>
      <c r="R26" s="918" t="str">
        <f t="shared" si="10"/>
        <v/>
      </c>
      <c r="S26" s="919" t="str">
        <f t="shared" si="11"/>
        <v/>
      </c>
      <c r="V26" s="877"/>
      <c r="W26" s="887" t="str">
        <f t="shared" si="16"/>
        <v>January</v>
      </c>
      <c r="X26" s="887" t="str">
        <f>IF(AND(AJ26=$X$8,AK26=$AA$6),MAX($X$9:X25)+1,"")</f>
        <v/>
      </c>
      <c r="Y26" s="887" t="str">
        <f>IF(AND(AJ26=$Y$8,AK26=$AA$6),MAX($Y$9:Y25)+1,"")</f>
        <v/>
      </c>
      <c r="Z26" s="887" t="str">
        <f>IF(AND(AJ26=$Z$8,AK26=$AA$6),MAX($Z$9:Z25)+1,"")</f>
        <v/>
      </c>
      <c r="AA26" s="887" t="str">
        <f>IF(AND(AJ26=$AA$8,AK26=$AA$6),MAX(AA$9:$AA25)+1,"")</f>
        <v/>
      </c>
      <c r="AB26" s="887" t="str">
        <f>IF(AND(AJ26=$AB$8,AK26=$AA$6),MAX(AB$9:$AB25)+1,"")</f>
        <v/>
      </c>
      <c r="AC26" s="887" t="str">
        <f>IF(AND(AJ26=$AC$8,AK26=$AA$6),MAX(AC$9:$AC25)+1,"")</f>
        <v/>
      </c>
      <c r="AD26" s="887" t="str">
        <f>IF(AND(AJ26=$AD$8,AK26=$AA$6),MAX(AD$9:$AD25)+1,"")</f>
        <v/>
      </c>
      <c r="AE26" s="887" t="str">
        <f>IF(AND(AJ26=$AE$8,AK26=$AA$6),MAX(AE$9:$AE25)+1,"")</f>
        <v/>
      </c>
      <c r="AF26" s="887" t="str">
        <f>IF(AND(AJ26=$AF$8,AK26=$AA$6),MAX(AF$9:$AF25)+1,"")</f>
        <v/>
      </c>
      <c r="AG26" s="887" t="str">
        <f>IF(AND(AJ26=$AG$8,AK26=$AB$6),MAX(AG$9:$AG25)+1,"")</f>
        <v/>
      </c>
      <c r="AH26" s="887" t="str">
        <f>IF(AND(AJ26=$AH$8,AK26=$AB$6),MAX(AH$9:$AH25)+1,"")</f>
        <v/>
      </c>
      <c r="AI26" s="920" t="str">
        <f>IF(AND(AJ26=$AI$8,AK26=$AB$6),MAX(AI$9:$AI25)+1,"")</f>
        <v/>
      </c>
      <c r="AJ26" s="887" t="str">
        <f t="shared" si="17"/>
        <v>January</v>
      </c>
      <c r="AK26" s="887">
        <f t="shared" si="18"/>
        <v>1900</v>
      </c>
      <c r="AL26" s="887" t="str">
        <f>'बँक जमा खर्च पासबुक'!B25</f>
        <v/>
      </c>
      <c r="AM26" s="921">
        <f>IFERROR('बँक जमा खर्च पासबुक'!C25,"")</f>
        <v>0</v>
      </c>
      <c r="AN26" s="887">
        <f>'बँक जमा खर्च पासबुक'!D25</f>
        <v>0</v>
      </c>
      <c r="AO26" s="887">
        <f>'बँक जमा खर्च पासबुक'!E25</f>
        <v>0</v>
      </c>
      <c r="AP26" s="887">
        <f>'बँक जमा खर्च पासबुक'!F25</f>
        <v>0</v>
      </c>
      <c r="AQ26" s="887">
        <f>'बँक जमा खर्च पासबुक'!G25</f>
        <v>0</v>
      </c>
      <c r="AR26" s="887">
        <f>'बँक जमा खर्च पासबुक'!H25</f>
        <v>0</v>
      </c>
      <c r="AS26" s="887">
        <f>'बँक जमा खर्च पासबुक'!I25</f>
        <v>0</v>
      </c>
      <c r="AT26" s="887">
        <f>'बँक जमा खर्च पासबुक'!J25</f>
        <v>0</v>
      </c>
      <c r="AU26" s="887">
        <f>'बँक जमा खर्च पासबुक'!K25</f>
        <v>0</v>
      </c>
      <c r="AV26" s="887">
        <f>'बँक जमा खर्च पासबुक'!L25</f>
        <v>0</v>
      </c>
      <c r="AW26" s="887">
        <f>'बँक जमा खर्च पासबुक'!M25</f>
        <v>0</v>
      </c>
      <c r="AX26" s="877"/>
      <c r="AY26" s="877"/>
      <c r="AZ26" s="877"/>
      <c r="BA26" s="877"/>
      <c r="BB26" s="877"/>
      <c r="BC26" s="877"/>
      <c r="BD26" s="877"/>
      <c r="BE26" s="877"/>
      <c r="BF26" s="877"/>
      <c r="BG26" s="877"/>
      <c r="BH26" s="877"/>
    </row>
    <row r="27" spans="2:60" ht="35.25" customHeight="1" x14ac:dyDescent="0.5">
      <c r="B27" s="996">
        <f>HLOOKUP(D4,$AL$386:$AW$406,20,0)</f>
        <v>19</v>
      </c>
      <c r="C27" s="909" t="str">
        <f t="shared" si="14"/>
        <v/>
      </c>
      <c r="D27" s="910" t="str">
        <f t="shared" si="0"/>
        <v/>
      </c>
      <c r="E27" s="911"/>
      <c r="F27" s="912" t="str">
        <f t="shared" si="1"/>
        <v/>
      </c>
      <c r="G27" s="913" t="str">
        <f t="shared" si="2"/>
        <v/>
      </c>
      <c r="H27" s="914" t="str">
        <f t="shared" si="3"/>
        <v/>
      </c>
      <c r="I27" s="899" t="str">
        <f t="shared" si="4"/>
        <v/>
      </c>
      <c r="J27" s="900" t="str">
        <f t="shared" si="5"/>
        <v/>
      </c>
      <c r="K27" s="873"/>
      <c r="L27" s="909" t="str">
        <f t="shared" si="15"/>
        <v/>
      </c>
      <c r="M27" s="910" t="str">
        <f t="shared" si="6"/>
        <v/>
      </c>
      <c r="N27" s="915"/>
      <c r="O27" s="916" t="str">
        <f t="shared" si="7"/>
        <v/>
      </c>
      <c r="P27" s="917" t="str">
        <f t="shared" si="8"/>
        <v/>
      </c>
      <c r="Q27" s="914" t="str">
        <f t="shared" si="9"/>
        <v/>
      </c>
      <c r="R27" s="918" t="str">
        <f t="shared" si="10"/>
        <v/>
      </c>
      <c r="S27" s="919" t="str">
        <f t="shared" si="11"/>
        <v/>
      </c>
      <c r="V27" s="877"/>
      <c r="W27" s="887" t="str">
        <f t="shared" si="16"/>
        <v>January</v>
      </c>
      <c r="X27" s="887" t="str">
        <f>IF(AND(AJ27=$X$8,AK27=$AA$6),MAX($X$9:X26)+1,"")</f>
        <v/>
      </c>
      <c r="Y27" s="887" t="str">
        <f>IF(AND(AJ27=$Y$8,AK27=$AA$6),MAX($Y$9:Y26)+1,"")</f>
        <v/>
      </c>
      <c r="Z27" s="887" t="str">
        <f>IF(AND(AJ27=$Z$8,AK27=$AA$6),MAX($Z$9:Z26)+1,"")</f>
        <v/>
      </c>
      <c r="AA27" s="887" t="str">
        <f>IF(AND(AJ27=$AA$8,AK27=$AA$6),MAX(AA$9:$AA26)+1,"")</f>
        <v/>
      </c>
      <c r="AB27" s="887" t="str">
        <f>IF(AND(AJ27=$AB$8,AK27=$AA$6),MAX(AB$9:$AB26)+1,"")</f>
        <v/>
      </c>
      <c r="AC27" s="887" t="str">
        <f>IF(AND(AJ27=$AC$8,AK27=$AA$6),MAX(AC$9:$AC26)+1,"")</f>
        <v/>
      </c>
      <c r="AD27" s="887" t="str">
        <f>IF(AND(AJ27=$AD$8,AK27=$AA$6),MAX(AD$9:$AD26)+1,"")</f>
        <v/>
      </c>
      <c r="AE27" s="887" t="str">
        <f>IF(AND(AJ27=$AE$8,AK27=$AA$6),MAX(AE$9:$AE26)+1,"")</f>
        <v/>
      </c>
      <c r="AF27" s="887" t="str">
        <f>IF(AND(AJ27=$AF$8,AK27=$AA$6),MAX(AF$9:$AF26)+1,"")</f>
        <v/>
      </c>
      <c r="AG27" s="887" t="str">
        <f>IF(AND(AJ27=$AG$8,AK27=$AB$6),MAX(AG$9:$AG26)+1,"")</f>
        <v/>
      </c>
      <c r="AH27" s="887" t="str">
        <f>IF(AND(AJ27=$AH$8,AK27=$AB$6),MAX(AH$9:$AH26)+1,"")</f>
        <v/>
      </c>
      <c r="AI27" s="920" t="str">
        <f>IF(AND(AJ27=$AI$8,AK27=$AB$6),MAX(AI$9:$AI26)+1,"")</f>
        <v/>
      </c>
      <c r="AJ27" s="887" t="str">
        <f t="shared" si="17"/>
        <v>January</v>
      </c>
      <c r="AK27" s="887">
        <f t="shared" si="18"/>
        <v>1900</v>
      </c>
      <c r="AL27" s="887" t="str">
        <f>'बँक जमा खर्च पासबुक'!B26</f>
        <v/>
      </c>
      <c r="AM27" s="921">
        <f>IFERROR('बँक जमा खर्च पासबुक'!C26,"")</f>
        <v>0</v>
      </c>
      <c r="AN27" s="887">
        <f>'बँक जमा खर्च पासबुक'!D26</f>
        <v>0</v>
      </c>
      <c r="AO27" s="887">
        <f>'बँक जमा खर्च पासबुक'!E26</f>
        <v>0</v>
      </c>
      <c r="AP27" s="887">
        <f>'बँक जमा खर्च पासबुक'!F26</f>
        <v>0</v>
      </c>
      <c r="AQ27" s="887">
        <f>'बँक जमा खर्च पासबुक'!G26</f>
        <v>0</v>
      </c>
      <c r="AR27" s="887">
        <f>'बँक जमा खर्च पासबुक'!H26</f>
        <v>0</v>
      </c>
      <c r="AS27" s="887">
        <f>'बँक जमा खर्च पासबुक'!I26</f>
        <v>0</v>
      </c>
      <c r="AT27" s="887">
        <f>'बँक जमा खर्च पासबुक'!J26</f>
        <v>0</v>
      </c>
      <c r="AU27" s="887">
        <f>'बँक जमा खर्च पासबुक'!K26</f>
        <v>0</v>
      </c>
      <c r="AV27" s="887">
        <f>'बँक जमा खर्च पासबुक'!L26</f>
        <v>0</v>
      </c>
      <c r="AW27" s="887">
        <f>'बँक जमा खर्च पासबुक'!M26</f>
        <v>0</v>
      </c>
      <c r="AX27" s="877"/>
      <c r="AY27" s="877"/>
      <c r="AZ27" s="877"/>
      <c r="BA27" s="877"/>
      <c r="BB27" s="877"/>
      <c r="BC27" s="877"/>
      <c r="BD27" s="877"/>
      <c r="BE27" s="877"/>
      <c r="BF27" s="877"/>
      <c r="BG27" s="877"/>
      <c r="BH27" s="877"/>
    </row>
    <row r="28" spans="2:60" ht="35.25" customHeight="1" thickBot="1" x14ac:dyDescent="0.55000000000000004">
      <c r="B28" s="996">
        <f>HLOOKUP(D4,$AL$386:$AW$406,21,0)</f>
        <v>20</v>
      </c>
      <c r="C28" s="909" t="str">
        <f t="shared" si="14"/>
        <v/>
      </c>
      <c r="D28" s="910" t="str">
        <f t="shared" si="0"/>
        <v/>
      </c>
      <c r="E28" s="911"/>
      <c r="F28" s="912" t="str">
        <f t="shared" si="1"/>
        <v/>
      </c>
      <c r="G28" s="913" t="str">
        <f t="shared" si="2"/>
        <v/>
      </c>
      <c r="H28" s="914" t="str">
        <f t="shared" si="3"/>
        <v/>
      </c>
      <c r="I28" s="899" t="str">
        <f t="shared" si="4"/>
        <v/>
      </c>
      <c r="J28" s="900" t="str">
        <f t="shared" si="5"/>
        <v/>
      </c>
      <c r="K28" s="873"/>
      <c r="L28" s="909" t="str">
        <f t="shared" si="15"/>
        <v/>
      </c>
      <c r="M28" s="910" t="str">
        <f t="shared" si="6"/>
        <v/>
      </c>
      <c r="N28" s="915"/>
      <c r="O28" s="916" t="str">
        <f t="shared" si="7"/>
        <v/>
      </c>
      <c r="P28" s="917" t="str">
        <f t="shared" si="8"/>
        <v/>
      </c>
      <c r="Q28" s="914" t="str">
        <f t="shared" si="9"/>
        <v/>
      </c>
      <c r="R28" s="918" t="str">
        <f t="shared" si="10"/>
        <v/>
      </c>
      <c r="S28" s="919" t="str">
        <f t="shared" si="11"/>
        <v/>
      </c>
      <c r="V28" s="877"/>
      <c r="W28" s="887" t="str">
        <f t="shared" si="16"/>
        <v>January</v>
      </c>
      <c r="X28" s="887" t="str">
        <f>IF(AND(AJ28=$X$8,AK28=$AA$6),MAX($X$9:X27)+1,"")</f>
        <v/>
      </c>
      <c r="Y28" s="887" t="str">
        <f>IF(AND(AJ28=$Y$8,AK28=$AA$6),MAX($Y$9:Y27)+1,"")</f>
        <v/>
      </c>
      <c r="Z28" s="887" t="str">
        <f>IF(AND(AJ28=$Z$8,AK28=$AA$6),MAX($Z$9:Z27)+1,"")</f>
        <v/>
      </c>
      <c r="AA28" s="887" t="str">
        <f>IF(AND(AJ28=$AA$8,AK28=$AA$6),MAX(AA$9:$AA27)+1,"")</f>
        <v/>
      </c>
      <c r="AB28" s="887" t="str">
        <f>IF(AND(AJ28=$AB$8,AK28=$AA$6),MAX(AB$9:$AB27)+1,"")</f>
        <v/>
      </c>
      <c r="AC28" s="887" t="str">
        <f>IF(AND(AJ28=$AC$8,AK28=$AA$6),MAX(AC$9:$AC27)+1,"")</f>
        <v/>
      </c>
      <c r="AD28" s="887" t="str">
        <f>IF(AND(AJ28=$AD$8,AK28=$AA$6),MAX(AD$9:$AD27)+1,"")</f>
        <v/>
      </c>
      <c r="AE28" s="887" t="str">
        <f>IF(AND(AJ28=$AE$8,AK28=$AA$6),MAX(AE$9:$AE27)+1,"")</f>
        <v/>
      </c>
      <c r="AF28" s="887" t="str">
        <f>IF(AND(AJ28=$AF$8,AK28=$AA$6),MAX(AF$9:$AF27)+1,"")</f>
        <v/>
      </c>
      <c r="AG28" s="887" t="str">
        <f>IF(AND(AJ28=$AG$8,AK28=$AB$6),MAX(AG$9:$AG27)+1,"")</f>
        <v/>
      </c>
      <c r="AH28" s="887" t="str">
        <f>IF(AND(AJ28=$AH$8,AK28=$AB$6),MAX(AH$9:$AH27)+1,"")</f>
        <v/>
      </c>
      <c r="AI28" s="920" t="str">
        <f>IF(AND(AJ28=$AI$8,AK28=$AB$6),MAX(AI$9:$AI27)+1,"")</f>
        <v/>
      </c>
      <c r="AJ28" s="887" t="str">
        <f t="shared" si="17"/>
        <v>January</v>
      </c>
      <c r="AK28" s="887">
        <f t="shared" si="18"/>
        <v>1900</v>
      </c>
      <c r="AL28" s="887" t="str">
        <f>'बँक जमा खर्च पासबुक'!B27</f>
        <v/>
      </c>
      <c r="AM28" s="921">
        <f>IFERROR('बँक जमा खर्च पासबुक'!C27,"")</f>
        <v>0</v>
      </c>
      <c r="AN28" s="887">
        <f>'बँक जमा खर्च पासबुक'!D27</f>
        <v>0</v>
      </c>
      <c r="AO28" s="887">
        <f>'बँक जमा खर्च पासबुक'!E27</f>
        <v>0</v>
      </c>
      <c r="AP28" s="887">
        <f>'बँक जमा खर्च पासबुक'!F27</f>
        <v>0</v>
      </c>
      <c r="AQ28" s="887">
        <f>'बँक जमा खर्च पासबुक'!G27</f>
        <v>0</v>
      </c>
      <c r="AR28" s="887">
        <f>'बँक जमा खर्च पासबुक'!H27</f>
        <v>0</v>
      </c>
      <c r="AS28" s="887">
        <f>'बँक जमा खर्च पासबुक'!I27</f>
        <v>0</v>
      </c>
      <c r="AT28" s="887">
        <f>'बँक जमा खर्च पासबुक'!J27</f>
        <v>0</v>
      </c>
      <c r="AU28" s="887">
        <f>'बँक जमा खर्च पासबुक'!K27</f>
        <v>0</v>
      </c>
      <c r="AV28" s="887">
        <f>'बँक जमा खर्च पासबुक'!L27</f>
        <v>0</v>
      </c>
      <c r="AW28" s="887">
        <f>'बँक जमा खर्च पासबुक'!M27</f>
        <v>0</v>
      </c>
      <c r="AX28" s="877"/>
      <c r="AY28" s="877"/>
      <c r="AZ28" s="877"/>
      <c r="BA28" s="877"/>
      <c r="BB28" s="877"/>
      <c r="BC28" s="877"/>
      <c r="BD28" s="877"/>
      <c r="BE28" s="877"/>
      <c r="BF28" s="877"/>
      <c r="BG28" s="877"/>
      <c r="BH28" s="877"/>
    </row>
    <row r="29" spans="2:60" ht="35.25" customHeight="1" x14ac:dyDescent="0.5">
      <c r="C29" s="922"/>
      <c r="D29" s="923"/>
      <c r="E29" s="923"/>
      <c r="F29" s="924"/>
      <c r="G29" s="924"/>
      <c r="H29" s="925" t="s">
        <v>679</v>
      </c>
      <c r="I29" s="926">
        <f>SUM(I9:I28)</f>
        <v>0</v>
      </c>
      <c r="J29" s="927">
        <f>SUM(J9:J28)</f>
        <v>0</v>
      </c>
      <c r="L29" s="922"/>
      <c r="M29" s="928"/>
      <c r="N29" s="928"/>
      <c r="O29" s="928"/>
      <c r="P29" s="928"/>
      <c r="Q29" s="929" t="s">
        <v>581</v>
      </c>
      <c r="R29" s="930">
        <f>SUM(R9:R28)</f>
        <v>0</v>
      </c>
      <c r="S29" s="931">
        <f>SUM(S9:S28)</f>
        <v>0</v>
      </c>
      <c r="V29" s="877"/>
      <c r="W29" s="887" t="str">
        <f t="shared" si="16"/>
        <v>January</v>
      </c>
      <c r="X29" s="887" t="str">
        <f>IF(AND(AJ29=$X$8,AK29=$AA$6),MAX($X$9:X28)+1,"")</f>
        <v/>
      </c>
      <c r="Y29" s="887" t="str">
        <f>IF(AND(AJ29=$Y$8,AK29=$AA$6),MAX($Y$9:Y28)+1,"")</f>
        <v/>
      </c>
      <c r="Z29" s="887" t="str">
        <f>IF(AND(AJ29=$Z$8,AK29=$AA$6),MAX($Z$9:Z28)+1,"")</f>
        <v/>
      </c>
      <c r="AA29" s="887" t="str">
        <f>IF(AND(AJ29=$AA$8,AK29=$AA$6),MAX(AA$9:$AA28)+1,"")</f>
        <v/>
      </c>
      <c r="AB29" s="887" t="str">
        <f>IF(AND(AJ29=$AB$8,AK29=$AA$6),MAX(AB$9:$AB28)+1,"")</f>
        <v/>
      </c>
      <c r="AC29" s="887" t="str">
        <f>IF(AND(AJ29=$AC$8,AK29=$AA$6),MAX(AC$9:$AC28)+1,"")</f>
        <v/>
      </c>
      <c r="AD29" s="887" t="str">
        <f>IF(AND(AJ29=$AD$8,AK29=$AA$6),MAX(AD$9:$AD28)+1,"")</f>
        <v/>
      </c>
      <c r="AE29" s="887" t="str">
        <f>IF(AND(AJ29=$AE$8,AK29=$AA$6),MAX(AE$9:$AE28)+1,"")</f>
        <v/>
      </c>
      <c r="AF29" s="887" t="str">
        <f>IF(AND(AJ29=$AF$8,AK29=$AA$6),MAX(AF$9:$AF28)+1,"")</f>
        <v/>
      </c>
      <c r="AG29" s="887" t="str">
        <f>IF(AND(AJ29=$AG$8,AK29=$AB$6),MAX(AG$9:$AG28)+1,"")</f>
        <v/>
      </c>
      <c r="AH29" s="887" t="str">
        <f>IF(AND(AJ29=$AH$8,AK29=$AB$6),MAX(AH$9:$AH28)+1,"")</f>
        <v/>
      </c>
      <c r="AI29" s="920" t="str">
        <f>IF(AND(AJ29=$AI$8,AK29=$AB$6),MAX(AI$9:$AI28)+1,"")</f>
        <v/>
      </c>
      <c r="AJ29" s="887" t="str">
        <f t="shared" si="17"/>
        <v>January</v>
      </c>
      <c r="AK29" s="887">
        <f t="shared" si="18"/>
        <v>1900</v>
      </c>
      <c r="AL29" s="887" t="str">
        <f>'बँक जमा खर्च पासबुक'!B29</f>
        <v/>
      </c>
      <c r="AM29" s="921">
        <f>IFERROR('बँक जमा खर्च पासबुक'!C29,"")</f>
        <v>0</v>
      </c>
      <c r="AN29" s="887">
        <f>'बँक जमा खर्च पासबुक'!D29</f>
        <v>0</v>
      </c>
      <c r="AO29" s="887">
        <f>'बँक जमा खर्च पासबुक'!E29</f>
        <v>0</v>
      </c>
      <c r="AP29" s="887">
        <f>'बँक जमा खर्च पासबुक'!F29</f>
        <v>0</v>
      </c>
      <c r="AQ29" s="887">
        <f>'बँक जमा खर्च पासबुक'!G29</f>
        <v>0</v>
      </c>
      <c r="AR29" s="887">
        <f>'बँक जमा खर्च पासबुक'!H29</f>
        <v>0</v>
      </c>
      <c r="AS29" s="887">
        <f>'बँक जमा खर्च पासबुक'!I29</f>
        <v>0</v>
      </c>
      <c r="AT29" s="887">
        <f>'बँक जमा खर्च पासबुक'!J29</f>
        <v>0</v>
      </c>
      <c r="AU29" s="887">
        <f>'बँक जमा खर्च पासबुक'!K29</f>
        <v>0</v>
      </c>
      <c r="AV29" s="887">
        <f>'बँक जमा खर्च पासबुक'!L29</f>
        <v>0</v>
      </c>
      <c r="AW29" s="887">
        <f>'बँक जमा खर्च पासबुक'!M29</f>
        <v>0</v>
      </c>
      <c r="AX29" s="877"/>
      <c r="AY29" s="877"/>
      <c r="AZ29" s="877"/>
      <c r="BA29" s="877"/>
      <c r="BB29" s="877"/>
      <c r="BC29" s="877"/>
      <c r="BD29" s="877"/>
      <c r="BE29" s="877"/>
      <c r="BF29" s="877"/>
      <c r="BG29" s="877"/>
      <c r="BH29" s="877"/>
    </row>
    <row r="30" spans="2:60" ht="35.25" customHeight="1" x14ac:dyDescent="0.5">
      <c r="C30" s="932"/>
      <c r="D30" s="933"/>
      <c r="E30" s="933"/>
      <c r="F30" s="934"/>
      <c r="G30" s="934"/>
      <c r="H30" s="935" t="s">
        <v>680</v>
      </c>
      <c r="I30" s="936">
        <f>IFERROR(VLOOKUP(D4,$BD$143:$BF$154,2,0),"")</f>
        <v>3000</v>
      </c>
      <c r="J30" s="937">
        <f>IFERROR(VLOOKUP(D4,$BD$143:$BF$154,3,0),"")</f>
        <v>3000</v>
      </c>
      <c r="K30" s="938"/>
      <c r="L30" s="939"/>
      <c r="M30" s="940"/>
      <c r="N30" s="940"/>
      <c r="O30" s="941"/>
      <c r="P30" s="942"/>
      <c r="Q30" s="943" t="s">
        <v>681</v>
      </c>
      <c r="R30" s="944">
        <f>I31-R29</f>
        <v>3000</v>
      </c>
      <c r="S30" s="945">
        <f>J31-S29</f>
        <v>3000</v>
      </c>
      <c r="V30" s="877"/>
      <c r="W30" s="887" t="str">
        <f t="shared" si="16"/>
        <v>January</v>
      </c>
      <c r="X30" s="887" t="str">
        <f>IF(AND(AJ30=$X$8,AK30=$AA$6),MAX($X$9:X29)+1,"")</f>
        <v/>
      </c>
      <c r="Y30" s="887" t="str">
        <f>IF(AND(AJ30=$Y$8,AK30=$AA$6),MAX($Y$9:Y29)+1,"")</f>
        <v/>
      </c>
      <c r="Z30" s="887" t="str">
        <f>IF(AND(AJ30=$Z$8,AK30=$AA$6),MAX($Z$9:Z29)+1,"")</f>
        <v/>
      </c>
      <c r="AA30" s="887" t="str">
        <f>IF(AND(AJ30=$AA$8,AK30=$AA$6),MAX(AA$9:$AA29)+1,"")</f>
        <v/>
      </c>
      <c r="AB30" s="887" t="str">
        <f>IF(AND(AJ30=$AB$8,AK30=$AA$6),MAX(AB$9:$AB29)+1,"")</f>
        <v/>
      </c>
      <c r="AC30" s="887" t="str">
        <f>IF(AND(AJ30=$AC$8,AK30=$AA$6),MAX(AC$9:$AC29)+1,"")</f>
        <v/>
      </c>
      <c r="AD30" s="887" t="str">
        <f>IF(AND(AJ30=$AD$8,AK30=$AA$6),MAX(AD$9:$AD29)+1,"")</f>
        <v/>
      </c>
      <c r="AE30" s="887" t="str">
        <f>IF(AND(AJ30=$AE$8,AK30=$AA$6),MAX(AE$9:$AE29)+1,"")</f>
        <v/>
      </c>
      <c r="AF30" s="887" t="str">
        <f>IF(AND(AJ30=$AF$8,AK30=$AA$6),MAX(AF$9:$AF29)+1,"")</f>
        <v/>
      </c>
      <c r="AG30" s="887" t="str">
        <f>IF(AND(AJ30=$AG$8,AK30=$AB$6),MAX(AG$9:$AG29)+1,"")</f>
        <v/>
      </c>
      <c r="AH30" s="887" t="str">
        <f>IF(AND(AJ30=$AH$8,AK30=$AB$6),MAX(AH$9:$AH29)+1,"")</f>
        <v/>
      </c>
      <c r="AI30" s="920" t="str">
        <f>IF(AND(AJ30=$AI$8,AK30=$AB$6),MAX(AI$9:$AI29)+1,"")</f>
        <v/>
      </c>
      <c r="AJ30" s="887" t="str">
        <f t="shared" si="17"/>
        <v>January</v>
      </c>
      <c r="AK30" s="887">
        <f t="shared" si="18"/>
        <v>1900</v>
      </c>
      <c r="AL30" s="887" t="str">
        <f>'बँक जमा खर्च पासबुक'!B30</f>
        <v/>
      </c>
      <c r="AM30" s="921">
        <f>IFERROR('बँक जमा खर्च पासबुक'!C30,"")</f>
        <v>0</v>
      </c>
      <c r="AN30" s="887">
        <f>'बँक जमा खर्च पासबुक'!D30</f>
        <v>0</v>
      </c>
      <c r="AO30" s="887">
        <f>'बँक जमा खर्च पासबुक'!E30</f>
        <v>0</v>
      </c>
      <c r="AP30" s="887">
        <f>'बँक जमा खर्च पासबुक'!F30</f>
        <v>0</v>
      </c>
      <c r="AQ30" s="887">
        <f>'बँक जमा खर्च पासबुक'!G30</f>
        <v>0</v>
      </c>
      <c r="AR30" s="887">
        <f>'बँक जमा खर्च पासबुक'!H30</f>
        <v>0</v>
      </c>
      <c r="AS30" s="887">
        <f>'बँक जमा खर्च पासबुक'!I30</f>
        <v>0</v>
      </c>
      <c r="AT30" s="887">
        <f>'बँक जमा खर्च पासबुक'!J30</f>
        <v>0</v>
      </c>
      <c r="AU30" s="887">
        <f>'बँक जमा खर्च पासबुक'!K30</f>
        <v>0</v>
      </c>
      <c r="AV30" s="887">
        <f>'बँक जमा खर्च पासबुक'!L30</f>
        <v>0</v>
      </c>
      <c r="AW30" s="887">
        <f>'बँक जमा खर्च पासबुक'!M30</f>
        <v>0</v>
      </c>
      <c r="AX30" s="877"/>
      <c r="AY30" s="877"/>
      <c r="AZ30" s="877"/>
      <c r="BA30" s="877"/>
      <c r="BB30" s="877"/>
      <c r="BC30" s="877"/>
      <c r="BD30" s="877"/>
      <c r="BE30" s="877"/>
      <c r="BF30" s="877"/>
      <c r="BG30" s="877"/>
      <c r="BH30" s="877"/>
    </row>
    <row r="31" spans="2:60" ht="35.25" customHeight="1" thickBot="1" x14ac:dyDescent="0.55000000000000004">
      <c r="C31" s="946"/>
      <c r="D31" s="947"/>
      <c r="E31" s="948"/>
      <c r="F31" s="949"/>
      <c r="G31" s="950"/>
      <c r="H31" s="951" t="s">
        <v>29</v>
      </c>
      <c r="I31" s="952">
        <f>I29+I30</f>
        <v>3000</v>
      </c>
      <c r="J31" s="953">
        <f>J29+J30</f>
        <v>3000</v>
      </c>
      <c r="L31" s="946"/>
      <c r="M31" s="954"/>
      <c r="N31" s="954"/>
      <c r="O31" s="954"/>
      <c r="P31" s="954"/>
      <c r="Q31" s="955" t="s">
        <v>35</v>
      </c>
      <c r="R31" s="956">
        <f>R29+R30</f>
        <v>3000</v>
      </c>
      <c r="S31" s="957">
        <f>S29+S30</f>
        <v>3000</v>
      </c>
      <c r="V31" s="877"/>
      <c r="W31" s="887" t="str">
        <f t="shared" si="16"/>
        <v>January</v>
      </c>
      <c r="X31" s="887" t="str">
        <f>IF(AND(AJ31=$X$8,AK31=$AA$6),MAX($X$9:X30)+1,"")</f>
        <v/>
      </c>
      <c r="Y31" s="887" t="str">
        <f>IF(AND(AJ31=$Y$8,AK31=$AA$6),MAX($Y$9:Y30)+1,"")</f>
        <v/>
      </c>
      <c r="Z31" s="887" t="str">
        <f>IF(AND(AJ31=$Z$8,AK31=$AA$6),MAX($Z$9:Z30)+1,"")</f>
        <v/>
      </c>
      <c r="AA31" s="887" t="str">
        <f>IF(AND(AJ31=$AA$8,AK31=$AA$6),MAX(AA$9:$AA30)+1,"")</f>
        <v/>
      </c>
      <c r="AB31" s="887" t="str">
        <f>IF(AND(AJ31=$AB$8,AK31=$AA$6),MAX(AB$9:$AB30)+1,"")</f>
        <v/>
      </c>
      <c r="AC31" s="887" t="str">
        <f>IF(AND(AJ31=$AC$8,AK31=$AA$6),MAX(AC$9:$AC30)+1,"")</f>
        <v/>
      </c>
      <c r="AD31" s="887" t="str">
        <f>IF(AND(AJ31=$AD$8,AK31=$AA$6),MAX(AD$9:$AD30)+1,"")</f>
        <v/>
      </c>
      <c r="AE31" s="887" t="str">
        <f>IF(AND(AJ31=$AE$8,AK31=$AA$6),MAX(AE$9:$AE30)+1,"")</f>
        <v/>
      </c>
      <c r="AF31" s="887" t="str">
        <f>IF(AND(AJ31=$AF$8,AK31=$AA$6),MAX(AF$9:$AF30)+1,"")</f>
        <v/>
      </c>
      <c r="AG31" s="887" t="str">
        <f>IF(AND(AJ31=$AG$8,AK31=$AB$6),MAX(AG$9:$AG30)+1,"")</f>
        <v/>
      </c>
      <c r="AH31" s="887" t="str">
        <f>IF(AND(AJ31=$AH$8,AK31=$AB$6),MAX(AH$9:$AH30)+1,"")</f>
        <v/>
      </c>
      <c r="AI31" s="920" t="str">
        <f>IF(AND(AJ31=$AI$8,AK31=$AB$6),MAX(AI$9:$AI30)+1,"")</f>
        <v/>
      </c>
      <c r="AJ31" s="887" t="str">
        <f t="shared" si="17"/>
        <v>January</v>
      </c>
      <c r="AK31" s="887">
        <f t="shared" si="18"/>
        <v>1900</v>
      </c>
      <c r="AL31" s="887" t="str">
        <f>'बँक जमा खर्च पासबुक'!B31</f>
        <v/>
      </c>
      <c r="AM31" s="921">
        <f>IFERROR('बँक जमा खर्च पासबुक'!C31,"")</f>
        <v>0</v>
      </c>
      <c r="AN31" s="887">
        <f>'बँक जमा खर्च पासबुक'!D31</f>
        <v>0</v>
      </c>
      <c r="AO31" s="887">
        <f>'बँक जमा खर्च पासबुक'!E31</f>
        <v>0</v>
      </c>
      <c r="AP31" s="887">
        <f>'बँक जमा खर्च पासबुक'!F31</f>
        <v>0</v>
      </c>
      <c r="AQ31" s="887">
        <f>'बँक जमा खर्च पासबुक'!G31</f>
        <v>0</v>
      </c>
      <c r="AR31" s="887">
        <f>'बँक जमा खर्च पासबुक'!H31</f>
        <v>0</v>
      </c>
      <c r="AS31" s="887">
        <f>'बँक जमा खर्च पासबुक'!I31</f>
        <v>0</v>
      </c>
      <c r="AT31" s="887">
        <f>'बँक जमा खर्च पासबुक'!J31</f>
        <v>0</v>
      </c>
      <c r="AU31" s="887">
        <f>'बँक जमा खर्च पासबुक'!K31</f>
        <v>0</v>
      </c>
      <c r="AV31" s="887">
        <f>'बँक जमा खर्च पासबुक'!L31</f>
        <v>0</v>
      </c>
      <c r="AW31" s="887">
        <f>'बँक जमा खर्च पासबुक'!M31</f>
        <v>0</v>
      </c>
      <c r="AX31" s="877"/>
      <c r="AY31" s="877"/>
      <c r="AZ31" s="877"/>
      <c r="BA31" s="877"/>
      <c r="BB31" s="877"/>
      <c r="BC31" s="877"/>
      <c r="BD31" s="877"/>
      <c r="BE31" s="877"/>
      <c r="BF31" s="877"/>
      <c r="BG31" s="877"/>
      <c r="BH31" s="877"/>
    </row>
    <row r="32" spans="2:60" ht="22.5" customHeight="1" thickBot="1" x14ac:dyDescent="0.55000000000000004">
      <c r="V32" s="877"/>
      <c r="W32" s="887" t="str">
        <f t="shared" si="16"/>
        <v>January</v>
      </c>
      <c r="X32" s="887" t="str">
        <f>IF(AND(AJ32=$X$8,AK32=$AA$6),MAX($X$9:X31)+1,"")</f>
        <v/>
      </c>
      <c r="Y32" s="887" t="str">
        <f>IF(AND(AJ32=$Y$8,AK32=$AA$6),MAX($Y$9:Y31)+1,"")</f>
        <v/>
      </c>
      <c r="Z32" s="887" t="str">
        <f>IF(AND(AJ32=$Z$8,AK32=$AA$6),MAX($Z$9:Z31)+1,"")</f>
        <v/>
      </c>
      <c r="AA32" s="887" t="str">
        <f>IF(AND(AJ32=$AA$8,AK32=$AA$6),MAX(AA$9:$AA31)+1,"")</f>
        <v/>
      </c>
      <c r="AB32" s="887" t="str">
        <f>IF(AND(AJ32=$AB$8,AK32=$AA$6),MAX(AB$9:$AB31)+1,"")</f>
        <v/>
      </c>
      <c r="AC32" s="887" t="str">
        <f>IF(AND(AJ32=$AC$8,AK32=$AA$6),MAX(AC$9:$AC31)+1,"")</f>
        <v/>
      </c>
      <c r="AD32" s="887" t="str">
        <f>IF(AND(AJ32=$AD$8,AK32=$AA$6),MAX(AD$9:$AD31)+1,"")</f>
        <v/>
      </c>
      <c r="AE32" s="887" t="str">
        <f>IF(AND(AJ32=$AE$8,AK32=$AA$6),MAX(AE$9:$AE31)+1,"")</f>
        <v/>
      </c>
      <c r="AF32" s="887" t="str">
        <f>IF(AND(AJ32=$AF$8,AK32=$AA$6),MAX(AF$9:$AF31)+1,"")</f>
        <v/>
      </c>
      <c r="AG32" s="887" t="str">
        <f>IF(AND(AJ32=$AG$8,AK32=$AB$6),MAX(AG$9:$AG31)+1,"")</f>
        <v/>
      </c>
      <c r="AH32" s="887" t="str">
        <f>IF(AND(AJ32=$AH$8,AK32=$AB$6),MAX(AH$9:$AH31)+1,"")</f>
        <v/>
      </c>
      <c r="AI32" s="920" t="str">
        <f>IF(AND(AJ32=$AI$8,AK32=$AB$6),MAX(AI$9:$AI31)+1,"")</f>
        <v/>
      </c>
      <c r="AJ32" s="887" t="str">
        <f t="shared" si="17"/>
        <v>January</v>
      </c>
      <c r="AK32" s="887">
        <f t="shared" si="18"/>
        <v>1900</v>
      </c>
      <c r="AL32" s="887" t="str">
        <f>'बँक जमा खर्च पासबुक'!B32</f>
        <v/>
      </c>
      <c r="AM32" s="921">
        <f>IFERROR('बँक जमा खर्च पासबुक'!C32,"")</f>
        <v>0</v>
      </c>
      <c r="AN32" s="887">
        <f>'बँक जमा खर्च पासबुक'!D32</f>
        <v>0</v>
      </c>
      <c r="AO32" s="887">
        <f>'बँक जमा खर्च पासबुक'!E32</f>
        <v>0</v>
      </c>
      <c r="AP32" s="887">
        <f>'बँक जमा खर्च पासबुक'!F32</f>
        <v>0</v>
      </c>
      <c r="AQ32" s="887">
        <f>'बँक जमा खर्च पासबुक'!G32</f>
        <v>0</v>
      </c>
      <c r="AR32" s="887">
        <f>'बँक जमा खर्च पासबुक'!H32</f>
        <v>0</v>
      </c>
      <c r="AS32" s="887">
        <f>'बँक जमा खर्च पासबुक'!I32</f>
        <v>0</v>
      </c>
      <c r="AT32" s="887">
        <f>'बँक जमा खर्च पासबुक'!J32</f>
        <v>0</v>
      </c>
      <c r="AU32" s="887">
        <f>'बँक जमा खर्च पासबुक'!K32</f>
        <v>0</v>
      </c>
      <c r="AV32" s="887">
        <f>'बँक जमा खर्च पासबुक'!L32</f>
        <v>0</v>
      </c>
      <c r="AW32" s="887">
        <f>'बँक जमा खर्च पासबुक'!M32</f>
        <v>0</v>
      </c>
      <c r="AX32" s="877"/>
      <c r="AY32" s="877"/>
      <c r="AZ32" s="877"/>
      <c r="BA32" s="877"/>
      <c r="BB32" s="877"/>
      <c r="BC32" s="877"/>
      <c r="BD32" s="877"/>
      <c r="BE32" s="877"/>
      <c r="BF32" s="877"/>
      <c r="BG32" s="877"/>
      <c r="BH32" s="877"/>
    </row>
    <row r="33" spans="8:60" ht="47.25" customHeight="1" thickTop="1" thickBot="1" x14ac:dyDescent="0.55000000000000004">
      <c r="H33" s="958" t="s">
        <v>685</v>
      </c>
      <c r="I33" s="959">
        <f>I31+J31</f>
        <v>6000</v>
      </c>
      <c r="L33" s="1492" t="s">
        <v>684</v>
      </c>
      <c r="M33" s="1493"/>
      <c r="N33" s="1490">
        <f>R30</f>
        <v>3000</v>
      </c>
      <c r="O33" s="1491"/>
      <c r="P33" s="958" t="s">
        <v>597</v>
      </c>
      <c r="Q33" s="960">
        <f>S30</f>
        <v>3000</v>
      </c>
      <c r="R33" s="958" t="s">
        <v>576</v>
      </c>
      <c r="S33" s="961">
        <f>R30+S30</f>
        <v>6000</v>
      </c>
      <c r="T33" s="962"/>
      <c r="V33" s="877"/>
      <c r="W33" s="887" t="str">
        <f t="shared" si="16"/>
        <v>January</v>
      </c>
      <c r="X33" s="887" t="str">
        <f>IF(AND(AJ33=$X$8,AK33=$AA$6),MAX($X$9:X32)+1,"")</f>
        <v/>
      </c>
      <c r="Y33" s="887" t="str">
        <f>IF(AND(AJ33=$Y$8,AK33=$AA$6),MAX($Y$9:Y32)+1,"")</f>
        <v/>
      </c>
      <c r="Z33" s="887" t="str">
        <f>IF(AND(AJ33=$Z$8,AK33=$AA$6),MAX($Z$9:Z32)+1,"")</f>
        <v/>
      </c>
      <c r="AA33" s="887" t="str">
        <f>IF(AND(AJ33=$AA$8,AK33=$AA$6),MAX(AA$9:$AA32)+1,"")</f>
        <v/>
      </c>
      <c r="AB33" s="887" t="str">
        <f>IF(AND(AJ33=$AB$8,AK33=$AA$6),MAX(AB$9:$AB32)+1,"")</f>
        <v/>
      </c>
      <c r="AC33" s="887" t="str">
        <f>IF(AND(AJ33=$AC$8,AK33=$AA$6),MAX(AC$9:$AC32)+1,"")</f>
        <v/>
      </c>
      <c r="AD33" s="887" t="str">
        <f>IF(AND(AJ33=$AD$8,AK33=$AA$6),MAX(AD$9:$AD32)+1,"")</f>
        <v/>
      </c>
      <c r="AE33" s="887" t="str">
        <f>IF(AND(AJ33=$AE$8,AK33=$AA$6),MAX(AE$9:$AE32)+1,"")</f>
        <v/>
      </c>
      <c r="AF33" s="887" t="str">
        <f>IF(AND(AJ33=$AF$8,AK33=$AA$6),MAX(AF$9:$AF32)+1,"")</f>
        <v/>
      </c>
      <c r="AG33" s="887" t="str">
        <f>IF(AND(AJ33=$AG$8,AK33=$AB$6),MAX(AG$9:$AG32)+1,"")</f>
        <v/>
      </c>
      <c r="AH33" s="887" t="str">
        <f>IF(AND(AJ33=$AH$8,AK33=$AB$6),MAX(AH$9:$AH32)+1,"")</f>
        <v/>
      </c>
      <c r="AI33" s="920" t="str">
        <f>IF(AND(AJ33=$AI$8,AK33=$AB$6),MAX(AI$9:$AI32)+1,"")</f>
        <v/>
      </c>
      <c r="AJ33" s="887" t="str">
        <f t="shared" si="17"/>
        <v>January</v>
      </c>
      <c r="AK33" s="887">
        <f t="shared" si="18"/>
        <v>1900</v>
      </c>
      <c r="AL33" s="887" t="str">
        <f>'बँक जमा खर्च पासबुक'!B33</f>
        <v/>
      </c>
      <c r="AM33" s="921">
        <f>IFERROR('बँक जमा खर्च पासबुक'!C33,"")</f>
        <v>0</v>
      </c>
      <c r="AN33" s="887">
        <f>'बँक जमा खर्च पासबुक'!D33</f>
        <v>0</v>
      </c>
      <c r="AO33" s="887">
        <f>'बँक जमा खर्च पासबुक'!E33</f>
        <v>0</v>
      </c>
      <c r="AP33" s="887">
        <f>'बँक जमा खर्च पासबुक'!F33</f>
        <v>0</v>
      </c>
      <c r="AQ33" s="887">
        <f>'बँक जमा खर्च पासबुक'!G33</f>
        <v>0</v>
      </c>
      <c r="AR33" s="887">
        <f>'बँक जमा खर्च पासबुक'!H33</f>
        <v>0</v>
      </c>
      <c r="AS33" s="887">
        <f>'बँक जमा खर्च पासबुक'!I33</f>
        <v>0</v>
      </c>
      <c r="AT33" s="887">
        <f>'बँक जमा खर्च पासबुक'!J33</f>
        <v>0</v>
      </c>
      <c r="AU33" s="887">
        <f>'बँक जमा खर्च पासबुक'!K33</f>
        <v>0</v>
      </c>
      <c r="AV33" s="887">
        <f>'बँक जमा खर्च पासबुक'!L33</f>
        <v>0</v>
      </c>
      <c r="AW33" s="887">
        <f>'बँक जमा खर्च पासबुक'!M33</f>
        <v>0</v>
      </c>
      <c r="AX33" s="877"/>
      <c r="AY33" s="877"/>
      <c r="AZ33" s="877"/>
      <c r="BA33" s="877"/>
      <c r="BB33" s="877"/>
      <c r="BC33" s="877"/>
      <c r="BD33" s="877"/>
      <c r="BE33" s="877"/>
      <c r="BF33" s="877"/>
      <c r="BG33" s="877"/>
      <c r="BH33" s="877"/>
    </row>
    <row r="34" spans="8:60" ht="9" customHeight="1" thickTop="1" x14ac:dyDescent="0.5">
      <c r="H34" s="963"/>
      <c r="I34" s="964"/>
      <c r="L34" s="963"/>
      <c r="M34" s="963"/>
      <c r="N34" s="964"/>
      <c r="O34" s="964"/>
      <c r="P34" s="963"/>
      <c r="Q34" s="964"/>
      <c r="R34" s="963"/>
      <c r="S34" s="964"/>
      <c r="V34" s="877"/>
      <c r="W34" s="887" t="str">
        <f t="shared" si="16"/>
        <v>January</v>
      </c>
      <c r="X34" s="887" t="str">
        <f>IF(AND(AJ34=$X$8,AK34=$AA$6),MAX($X$9:X33)+1,"")</f>
        <v/>
      </c>
      <c r="Y34" s="887" t="str">
        <f>IF(AND(AJ34=$Y$8,AK34=$AA$6),MAX($Y$9:Y33)+1,"")</f>
        <v/>
      </c>
      <c r="Z34" s="887" t="str">
        <f>IF(AND(AJ34=$Z$8,AK34=$AA$6),MAX($Z$9:Z33)+1,"")</f>
        <v/>
      </c>
      <c r="AA34" s="887" t="str">
        <f>IF(AND(AJ34=$AA$8,AK34=$AA$6),MAX(AA$9:$AA33)+1,"")</f>
        <v/>
      </c>
      <c r="AB34" s="887" t="str">
        <f>IF(AND(AJ34=$AB$8,AK34=$AA$6),MAX(AB$9:$AB33)+1,"")</f>
        <v/>
      </c>
      <c r="AC34" s="887" t="str">
        <f>IF(AND(AJ34=$AC$8,AK34=$AA$6),MAX(AC$9:$AC33)+1,"")</f>
        <v/>
      </c>
      <c r="AD34" s="887" t="str">
        <f>IF(AND(AJ34=$AD$8,AK34=$AA$6),MAX(AD$9:$AD33)+1,"")</f>
        <v/>
      </c>
      <c r="AE34" s="887" t="str">
        <f>IF(AND(AJ34=$AE$8,AK34=$AA$6),MAX(AE$9:$AE33)+1,"")</f>
        <v/>
      </c>
      <c r="AF34" s="887" t="str">
        <f>IF(AND(AJ34=$AF$8,AK34=$AA$6),MAX(AF$9:$AF33)+1,"")</f>
        <v/>
      </c>
      <c r="AG34" s="887" t="str">
        <f>IF(AND(AJ34=$AG$8,AK34=$AB$6),MAX(AG$9:$AG33)+1,"")</f>
        <v/>
      </c>
      <c r="AH34" s="887" t="str">
        <f>IF(AND(AJ34=$AH$8,AK34=$AB$6),MAX(AH$9:$AH33)+1,"")</f>
        <v/>
      </c>
      <c r="AI34" s="920" t="str">
        <f>IF(AND(AJ34=$AI$8,AK34=$AB$6),MAX(AI$9:$AI33)+1,"")</f>
        <v/>
      </c>
      <c r="AJ34" s="887" t="str">
        <f t="shared" si="17"/>
        <v>January</v>
      </c>
      <c r="AK34" s="887">
        <f t="shared" si="18"/>
        <v>1900</v>
      </c>
      <c r="AL34" s="887" t="str">
        <f>'बँक जमा खर्च पासबुक'!B34</f>
        <v/>
      </c>
      <c r="AM34" s="921">
        <f>IFERROR('बँक जमा खर्च पासबुक'!C34,"")</f>
        <v>0</v>
      </c>
      <c r="AN34" s="887">
        <f>'बँक जमा खर्च पासबुक'!D34</f>
        <v>0</v>
      </c>
      <c r="AO34" s="887">
        <f>'बँक जमा खर्च पासबुक'!E34</f>
        <v>0</v>
      </c>
      <c r="AP34" s="887">
        <f>'बँक जमा खर्च पासबुक'!F34</f>
        <v>0</v>
      </c>
      <c r="AQ34" s="887">
        <f>'बँक जमा खर्च पासबुक'!G34</f>
        <v>0</v>
      </c>
      <c r="AR34" s="887">
        <f>'बँक जमा खर्च पासबुक'!H34</f>
        <v>0</v>
      </c>
      <c r="AS34" s="887">
        <f>'बँक जमा खर्च पासबुक'!I34</f>
        <v>0</v>
      </c>
      <c r="AT34" s="887">
        <f>'बँक जमा खर्च पासबुक'!J34</f>
        <v>0</v>
      </c>
      <c r="AU34" s="887">
        <f>'बँक जमा खर्च पासबुक'!K34</f>
        <v>0</v>
      </c>
      <c r="AV34" s="887">
        <f>'बँक जमा खर्च पासबुक'!L34</f>
        <v>0</v>
      </c>
      <c r="AW34" s="887">
        <f>'बँक जमा खर्च पासबुक'!M34</f>
        <v>0</v>
      </c>
      <c r="AX34" s="877"/>
      <c r="AY34" s="877"/>
      <c r="AZ34" s="877"/>
      <c r="BA34" s="877"/>
      <c r="BB34" s="877"/>
      <c r="BC34" s="877"/>
      <c r="BD34" s="877"/>
      <c r="BE34" s="877"/>
      <c r="BF34" s="877"/>
      <c r="BG34" s="877"/>
      <c r="BH34" s="877"/>
    </row>
    <row r="35" spans="8:60" ht="35.25" customHeight="1" x14ac:dyDescent="0.5">
      <c r="V35" s="877"/>
      <c r="W35" s="887" t="str">
        <f t="shared" si="16"/>
        <v>January</v>
      </c>
      <c r="X35" s="887" t="str">
        <f>IF(AND(AJ35=$X$8,AK35=$AA$6),MAX($X$9:X34)+1,"")</f>
        <v/>
      </c>
      <c r="Y35" s="887" t="str">
        <f>IF(AND(AJ35=$Y$8,AK35=$AA$6),MAX($Y$9:Y34)+1,"")</f>
        <v/>
      </c>
      <c r="Z35" s="887" t="str">
        <f>IF(AND(AJ35=$Z$8,AK35=$AA$6),MAX($Z$9:Z34)+1,"")</f>
        <v/>
      </c>
      <c r="AA35" s="887" t="str">
        <f>IF(AND(AJ35=$AA$8,AK35=$AA$6),MAX(AA$9:$AA34)+1,"")</f>
        <v/>
      </c>
      <c r="AB35" s="887" t="str">
        <f>IF(AND(AJ35=$AB$8,AK35=$AA$6),MAX(AB$9:$AB34)+1,"")</f>
        <v/>
      </c>
      <c r="AC35" s="887" t="str">
        <f>IF(AND(AJ35=$AC$8,AK35=$AA$6),MAX(AC$9:$AC34)+1,"")</f>
        <v/>
      </c>
      <c r="AD35" s="887" t="str">
        <f>IF(AND(AJ35=$AD$8,AK35=$AA$6),MAX(AD$9:$AD34)+1,"")</f>
        <v/>
      </c>
      <c r="AE35" s="887" t="str">
        <f>IF(AND(AJ35=$AE$8,AK35=$AA$6),MAX(AE$9:$AE34)+1,"")</f>
        <v/>
      </c>
      <c r="AF35" s="887" t="str">
        <f>IF(AND(AJ35=$AF$8,AK35=$AA$6),MAX(AF$9:$AF34)+1,"")</f>
        <v/>
      </c>
      <c r="AG35" s="887" t="str">
        <f>IF(AND(AJ35=$AG$8,AK35=$AB$6),MAX(AG$9:$AG34)+1,"")</f>
        <v/>
      </c>
      <c r="AH35" s="887" t="str">
        <f>IF(AND(AJ35=$AH$8,AK35=$AB$6),MAX(AH$9:$AH34)+1,"")</f>
        <v/>
      </c>
      <c r="AI35" s="920" t="str">
        <f>IF(AND(AJ35=$AI$8,AK35=$AB$6),MAX(AI$9:$AI34)+1,"")</f>
        <v/>
      </c>
      <c r="AJ35" s="887" t="str">
        <f t="shared" si="17"/>
        <v>January</v>
      </c>
      <c r="AK35" s="887">
        <f t="shared" si="18"/>
        <v>1900</v>
      </c>
      <c r="AL35" s="887" t="str">
        <f>'बँक जमा खर्च पासबुक'!B35</f>
        <v/>
      </c>
      <c r="AM35" s="921">
        <f>IFERROR('बँक जमा खर्च पासबुक'!C35,"")</f>
        <v>0</v>
      </c>
      <c r="AN35" s="887">
        <f>'बँक जमा खर्च पासबुक'!D35</f>
        <v>0</v>
      </c>
      <c r="AO35" s="887">
        <f>'बँक जमा खर्च पासबुक'!E35</f>
        <v>0</v>
      </c>
      <c r="AP35" s="887">
        <f>'बँक जमा खर्च पासबुक'!F35</f>
        <v>0</v>
      </c>
      <c r="AQ35" s="887">
        <f>'बँक जमा खर्च पासबुक'!G35</f>
        <v>0</v>
      </c>
      <c r="AR35" s="887">
        <f>'बँक जमा खर्च पासबुक'!H35</f>
        <v>0</v>
      </c>
      <c r="AS35" s="887">
        <f>'बँक जमा खर्च पासबुक'!I35</f>
        <v>0</v>
      </c>
      <c r="AT35" s="887">
        <f>'बँक जमा खर्च पासबुक'!J35</f>
        <v>0</v>
      </c>
      <c r="AU35" s="887">
        <f>'बँक जमा खर्च पासबुक'!K35</f>
        <v>0</v>
      </c>
      <c r="AV35" s="887">
        <f>'बँक जमा खर्च पासबुक'!L35</f>
        <v>0</v>
      </c>
      <c r="AW35" s="887">
        <f>'बँक जमा खर्च पासबुक'!M35</f>
        <v>0</v>
      </c>
      <c r="AX35" s="877"/>
      <c r="AY35" s="877"/>
      <c r="AZ35" s="877"/>
      <c r="BA35" s="877"/>
      <c r="BB35" s="877"/>
      <c r="BC35" s="877"/>
      <c r="BD35" s="877"/>
      <c r="BE35" s="877"/>
      <c r="BF35" s="877"/>
      <c r="BG35" s="877"/>
      <c r="BH35" s="877"/>
    </row>
    <row r="36" spans="8:60" ht="35.25" customHeight="1" x14ac:dyDescent="0.5">
      <c r="V36" s="877"/>
      <c r="W36" s="887" t="str">
        <f t="shared" si="16"/>
        <v>January</v>
      </c>
      <c r="X36" s="887" t="str">
        <f>IF(AND(AJ36=$X$8,AK36=$AA$6),MAX($X$9:X35)+1,"")</f>
        <v/>
      </c>
      <c r="Y36" s="887" t="str">
        <f>IF(AND(AJ36=$Y$8,AK36=$AA$6),MAX($Y$9:Y35)+1,"")</f>
        <v/>
      </c>
      <c r="Z36" s="887" t="str">
        <f>IF(AND(AJ36=$Z$8,AK36=$AA$6),MAX($Z$9:Z35)+1,"")</f>
        <v/>
      </c>
      <c r="AA36" s="887" t="str">
        <f>IF(AND(AJ36=$AA$8,AK36=$AA$6),MAX(AA$9:$AA35)+1,"")</f>
        <v/>
      </c>
      <c r="AB36" s="887" t="str">
        <f>IF(AND(AJ36=$AB$8,AK36=$AA$6),MAX(AB$9:$AB35)+1,"")</f>
        <v/>
      </c>
      <c r="AC36" s="887" t="str">
        <f>IF(AND(AJ36=$AC$8,AK36=$AA$6),MAX(AC$9:$AC35)+1,"")</f>
        <v/>
      </c>
      <c r="AD36" s="887" t="str">
        <f>IF(AND(AJ36=$AD$8,AK36=$AA$6),MAX(AD$9:$AD35)+1,"")</f>
        <v/>
      </c>
      <c r="AE36" s="887" t="str">
        <f>IF(AND(AJ36=$AE$8,AK36=$AA$6),MAX(AE$9:$AE35)+1,"")</f>
        <v/>
      </c>
      <c r="AF36" s="887" t="str">
        <f>IF(AND(AJ36=$AF$8,AK36=$AA$6),MAX(AF$9:$AF35)+1,"")</f>
        <v/>
      </c>
      <c r="AG36" s="887" t="str">
        <f>IF(AND(AJ36=$AG$8,AK36=$AB$6),MAX(AG$9:$AG35)+1,"")</f>
        <v/>
      </c>
      <c r="AH36" s="887" t="str">
        <f>IF(AND(AJ36=$AH$8,AK36=$AB$6),MAX(AH$9:$AH35)+1,"")</f>
        <v/>
      </c>
      <c r="AI36" s="920" t="str">
        <f>IF(AND(AJ36=$AI$8,AK36=$AB$6),MAX(AI$9:$AI35)+1,"")</f>
        <v/>
      </c>
      <c r="AJ36" s="887" t="str">
        <f t="shared" si="17"/>
        <v>January</v>
      </c>
      <c r="AK36" s="887">
        <f t="shared" si="18"/>
        <v>1900</v>
      </c>
      <c r="AL36" s="887" t="str">
        <f>'बँक जमा खर्च पासबुक'!B36</f>
        <v/>
      </c>
      <c r="AM36" s="921">
        <f>IFERROR('बँक जमा खर्च पासबुक'!C36,"")</f>
        <v>0</v>
      </c>
      <c r="AN36" s="887">
        <f>'बँक जमा खर्च पासबुक'!D36</f>
        <v>0</v>
      </c>
      <c r="AO36" s="887">
        <f>'बँक जमा खर्च पासबुक'!E36</f>
        <v>0</v>
      </c>
      <c r="AP36" s="887">
        <f>'बँक जमा खर्च पासबुक'!F36</f>
        <v>0</v>
      </c>
      <c r="AQ36" s="887">
        <f>'बँक जमा खर्च पासबुक'!G36</f>
        <v>0</v>
      </c>
      <c r="AR36" s="887">
        <f>'बँक जमा खर्च पासबुक'!H36</f>
        <v>0</v>
      </c>
      <c r="AS36" s="887">
        <f>'बँक जमा खर्च पासबुक'!I36</f>
        <v>0</v>
      </c>
      <c r="AT36" s="887">
        <f>'बँक जमा खर्च पासबुक'!J36</f>
        <v>0</v>
      </c>
      <c r="AU36" s="887">
        <f>'बँक जमा खर्च पासबुक'!K36</f>
        <v>0</v>
      </c>
      <c r="AV36" s="887">
        <f>'बँक जमा खर्च पासबुक'!L36</f>
        <v>0</v>
      </c>
      <c r="AW36" s="887">
        <f>'बँक जमा खर्च पासबुक'!M36</f>
        <v>0</v>
      </c>
      <c r="AX36" s="877"/>
      <c r="AY36" s="877"/>
      <c r="AZ36" s="877"/>
      <c r="BA36" s="877"/>
      <c r="BB36" s="877"/>
      <c r="BC36" s="877"/>
      <c r="BD36" s="877"/>
      <c r="BE36" s="877"/>
      <c r="BF36" s="877"/>
      <c r="BG36" s="877"/>
      <c r="BH36" s="877"/>
    </row>
    <row r="37" spans="8:60" ht="35.25" customHeight="1" x14ac:dyDescent="0.5">
      <c r="V37" s="877"/>
      <c r="W37" s="887" t="str">
        <f t="shared" si="16"/>
        <v>January</v>
      </c>
      <c r="X37" s="887" t="str">
        <f>IF(AND(AJ37=$X$8,AK37=$AA$6),MAX($X$9:X36)+1,"")</f>
        <v/>
      </c>
      <c r="Y37" s="887" t="str">
        <f>IF(AND(AJ37=$Y$8,AK37=$AA$6),MAX($Y$9:Y36)+1,"")</f>
        <v/>
      </c>
      <c r="Z37" s="887" t="str">
        <f>IF(AND(AJ37=$Z$8,AK37=$AA$6),MAX($Z$9:Z36)+1,"")</f>
        <v/>
      </c>
      <c r="AA37" s="887" t="str">
        <f>IF(AND(AJ37=$AA$8,AK37=$AA$6),MAX(AA$9:$AA36)+1,"")</f>
        <v/>
      </c>
      <c r="AB37" s="887" t="str">
        <f>IF(AND(AJ37=$AB$8,AK37=$AA$6),MAX(AB$9:$AB36)+1,"")</f>
        <v/>
      </c>
      <c r="AC37" s="887" t="str">
        <f>IF(AND(AJ37=$AC$8,AK37=$AA$6),MAX(AC$9:$AC36)+1,"")</f>
        <v/>
      </c>
      <c r="AD37" s="887" t="str">
        <f>IF(AND(AJ37=$AD$8,AK37=$AA$6),MAX(AD$9:$AD36)+1,"")</f>
        <v/>
      </c>
      <c r="AE37" s="887" t="str">
        <f>IF(AND(AJ37=$AE$8,AK37=$AA$6),MAX(AE$9:$AE36)+1,"")</f>
        <v/>
      </c>
      <c r="AF37" s="887" t="str">
        <f>IF(AND(AJ37=$AF$8,AK37=$AA$6),MAX(AF$9:$AF36)+1,"")</f>
        <v/>
      </c>
      <c r="AG37" s="887" t="str">
        <f>IF(AND(AJ37=$AG$8,AK37=$AB$6),MAX(AG$9:$AG36)+1,"")</f>
        <v/>
      </c>
      <c r="AH37" s="887" t="str">
        <f>IF(AND(AJ37=$AH$8,AK37=$AB$6),MAX(AH$9:$AH36)+1,"")</f>
        <v/>
      </c>
      <c r="AI37" s="920" t="str">
        <f>IF(AND(AJ37=$AI$8,AK37=$AB$6),MAX(AI$9:$AI36)+1,"")</f>
        <v/>
      </c>
      <c r="AJ37" s="887" t="str">
        <f t="shared" si="17"/>
        <v>January</v>
      </c>
      <c r="AK37" s="887">
        <f t="shared" si="18"/>
        <v>1900</v>
      </c>
      <c r="AL37" s="887" t="str">
        <f>'बँक जमा खर्च पासबुक'!B37</f>
        <v/>
      </c>
      <c r="AM37" s="921">
        <f>IFERROR('बँक जमा खर्च पासबुक'!C37,"")</f>
        <v>0</v>
      </c>
      <c r="AN37" s="887">
        <f>'बँक जमा खर्च पासबुक'!D37</f>
        <v>0</v>
      </c>
      <c r="AO37" s="887">
        <f>'बँक जमा खर्च पासबुक'!E37</f>
        <v>0</v>
      </c>
      <c r="AP37" s="887">
        <f>'बँक जमा खर्च पासबुक'!F37</f>
        <v>0</v>
      </c>
      <c r="AQ37" s="887">
        <f>'बँक जमा खर्च पासबुक'!G37</f>
        <v>0</v>
      </c>
      <c r="AR37" s="887">
        <f>'बँक जमा खर्च पासबुक'!H37</f>
        <v>0</v>
      </c>
      <c r="AS37" s="887">
        <f>'बँक जमा खर्च पासबुक'!I37</f>
        <v>0</v>
      </c>
      <c r="AT37" s="887">
        <f>'बँक जमा खर्च पासबुक'!J37</f>
        <v>0</v>
      </c>
      <c r="AU37" s="887">
        <f>'बँक जमा खर्च पासबुक'!K37</f>
        <v>0</v>
      </c>
      <c r="AV37" s="887">
        <f>'बँक जमा खर्च पासबुक'!L37</f>
        <v>0</v>
      </c>
      <c r="AW37" s="887">
        <f>'बँक जमा खर्च पासबुक'!M37</f>
        <v>0</v>
      </c>
      <c r="AX37" s="877"/>
      <c r="AY37" s="877"/>
      <c r="AZ37" s="877"/>
      <c r="BA37" s="877"/>
      <c r="BB37" s="877"/>
      <c r="BC37" s="877"/>
      <c r="BD37" s="877"/>
      <c r="BE37" s="877"/>
      <c r="BF37" s="877"/>
      <c r="BG37" s="877"/>
      <c r="BH37" s="877"/>
    </row>
    <row r="38" spans="8:60" ht="35.25" customHeight="1" x14ac:dyDescent="0.5">
      <c r="V38" s="877"/>
      <c r="W38" s="887" t="str">
        <f t="shared" si="16"/>
        <v>January</v>
      </c>
      <c r="X38" s="887" t="str">
        <f>IF(AND(AJ38=$X$8,AK38=$AA$6),MAX($X$9:X37)+1,"")</f>
        <v/>
      </c>
      <c r="Y38" s="887" t="str">
        <f>IF(AND(AJ38=$Y$8,AK38=$AA$6),MAX($Y$9:Y37)+1,"")</f>
        <v/>
      </c>
      <c r="Z38" s="887" t="str">
        <f>IF(AND(AJ38=$Z$8,AK38=$AA$6),MAX($Z$9:Z37)+1,"")</f>
        <v/>
      </c>
      <c r="AA38" s="887" t="str">
        <f>IF(AND(AJ38=$AA$8,AK38=$AA$6),MAX(AA$9:$AA37)+1,"")</f>
        <v/>
      </c>
      <c r="AB38" s="887" t="str">
        <f>IF(AND(AJ38=$AB$8,AK38=$AA$6),MAX(AB$9:$AB37)+1,"")</f>
        <v/>
      </c>
      <c r="AC38" s="887" t="str">
        <f>IF(AND(AJ38=$AC$8,AK38=$AA$6),MAX(AC$9:$AC37)+1,"")</f>
        <v/>
      </c>
      <c r="AD38" s="887" t="str">
        <f>IF(AND(AJ38=$AD$8,AK38=$AA$6),MAX(AD$9:$AD37)+1,"")</f>
        <v/>
      </c>
      <c r="AE38" s="887" t="str">
        <f>IF(AND(AJ38=$AE$8,AK38=$AA$6),MAX(AE$9:$AE37)+1,"")</f>
        <v/>
      </c>
      <c r="AF38" s="887" t="str">
        <f>IF(AND(AJ38=$AF$8,AK38=$AA$6),MAX(AF$9:$AF37)+1,"")</f>
        <v/>
      </c>
      <c r="AG38" s="887" t="str">
        <f>IF(AND(AJ38=$AG$8,AK38=$AB$6),MAX(AG$9:$AG37)+1,"")</f>
        <v/>
      </c>
      <c r="AH38" s="887" t="str">
        <f>IF(AND(AJ38=$AH$8,AK38=$AB$6),MAX(AH$9:$AH37)+1,"")</f>
        <v/>
      </c>
      <c r="AI38" s="920" t="str">
        <f>IF(AND(AJ38=$AI$8,AK38=$AB$6),MAX(AI$9:$AI37)+1,"")</f>
        <v/>
      </c>
      <c r="AJ38" s="887" t="str">
        <f t="shared" si="17"/>
        <v>January</v>
      </c>
      <c r="AK38" s="887">
        <f t="shared" si="18"/>
        <v>1900</v>
      </c>
      <c r="AL38" s="887" t="str">
        <f>'बँक जमा खर्च पासबुक'!B38</f>
        <v/>
      </c>
      <c r="AM38" s="921">
        <f>IFERROR('बँक जमा खर्च पासबुक'!C38,"")</f>
        <v>0</v>
      </c>
      <c r="AN38" s="887">
        <f>'बँक जमा खर्च पासबुक'!D38</f>
        <v>0</v>
      </c>
      <c r="AO38" s="887">
        <f>'बँक जमा खर्च पासबुक'!E38</f>
        <v>0</v>
      </c>
      <c r="AP38" s="887">
        <f>'बँक जमा खर्च पासबुक'!F38</f>
        <v>0</v>
      </c>
      <c r="AQ38" s="887">
        <f>'बँक जमा खर्च पासबुक'!G38</f>
        <v>0</v>
      </c>
      <c r="AR38" s="887">
        <f>'बँक जमा खर्च पासबुक'!H38</f>
        <v>0</v>
      </c>
      <c r="AS38" s="887">
        <f>'बँक जमा खर्च पासबुक'!I38</f>
        <v>0</v>
      </c>
      <c r="AT38" s="887">
        <f>'बँक जमा खर्च पासबुक'!J38</f>
        <v>0</v>
      </c>
      <c r="AU38" s="887">
        <f>'बँक जमा खर्च पासबुक'!K38</f>
        <v>0</v>
      </c>
      <c r="AV38" s="887">
        <f>'बँक जमा खर्च पासबुक'!L38</f>
        <v>0</v>
      </c>
      <c r="AW38" s="887">
        <f>'बँक जमा खर्च पासबुक'!M38</f>
        <v>0</v>
      </c>
      <c r="AX38" s="877"/>
      <c r="AY38" s="877"/>
      <c r="AZ38" s="877"/>
      <c r="BA38" s="877"/>
      <c r="BB38" s="877"/>
      <c r="BC38" s="877"/>
      <c r="BD38" s="877"/>
      <c r="BE38" s="877"/>
      <c r="BF38" s="877"/>
      <c r="BG38" s="877"/>
      <c r="BH38" s="877"/>
    </row>
    <row r="39" spans="8:60" ht="35.25" customHeight="1" x14ac:dyDescent="0.5">
      <c r="V39" s="877"/>
      <c r="W39" s="887" t="str">
        <f t="shared" si="16"/>
        <v>January</v>
      </c>
      <c r="X39" s="887" t="str">
        <f>IF(AND(AJ39=$X$8,AK39=$AA$6),MAX($X$9:X38)+1,"")</f>
        <v/>
      </c>
      <c r="Y39" s="887" t="str">
        <f>IF(AND(AJ39=$Y$8,AK39=$AA$6),MAX($Y$9:Y38)+1,"")</f>
        <v/>
      </c>
      <c r="Z39" s="887" t="str">
        <f>IF(AND(AJ39=$Z$8,AK39=$AA$6),MAX($Z$9:Z38)+1,"")</f>
        <v/>
      </c>
      <c r="AA39" s="887" t="str">
        <f>IF(AND(AJ39=$AA$8,AK39=$AA$6),MAX(AA$9:$AA38)+1,"")</f>
        <v/>
      </c>
      <c r="AB39" s="887" t="str">
        <f>IF(AND(AJ39=$AB$8,AK39=$AA$6),MAX(AB$9:$AB38)+1,"")</f>
        <v/>
      </c>
      <c r="AC39" s="887" t="str">
        <f>IF(AND(AJ39=$AC$8,AK39=$AA$6),MAX(AC$9:$AC38)+1,"")</f>
        <v/>
      </c>
      <c r="AD39" s="887" t="str">
        <f>IF(AND(AJ39=$AD$8,AK39=$AA$6),MAX(AD$9:$AD38)+1,"")</f>
        <v/>
      </c>
      <c r="AE39" s="887" t="str">
        <f>IF(AND(AJ39=$AE$8,AK39=$AA$6),MAX(AE$9:$AE38)+1,"")</f>
        <v/>
      </c>
      <c r="AF39" s="887" t="str">
        <f>IF(AND(AJ39=$AF$8,AK39=$AA$6),MAX(AF$9:$AF38)+1,"")</f>
        <v/>
      </c>
      <c r="AG39" s="887" t="str">
        <f>IF(AND(AJ39=$AG$8,AK39=$AB$6),MAX(AG$9:$AG38)+1,"")</f>
        <v/>
      </c>
      <c r="AH39" s="887" t="str">
        <f>IF(AND(AJ39=$AH$8,AK39=$AB$6),MAX(AH$9:$AH38)+1,"")</f>
        <v/>
      </c>
      <c r="AI39" s="920" t="str">
        <f>IF(AND(AJ39=$AI$8,AK39=$AB$6),MAX(AI$9:$AI38)+1,"")</f>
        <v/>
      </c>
      <c r="AJ39" s="887" t="str">
        <f t="shared" si="17"/>
        <v>January</v>
      </c>
      <c r="AK39" s="887">
        <f t="shared" si="18"/>
        <v>1900</v>
      </c>
      <c r="AL39" s="887" t="str">
        <f>'बँक जमा खर्च पासबुक'!B39</f>
        <v/>
      </c>
      <c r="AM39" s="921">
        <f>IFERROR('बँक जमा खर्च पासबुक'!C39,"")</f>
        <v>0</v>
      </c>
      <c r="AN39" s="887">
        <f>'बँक जमा खर्च पासबुक'!D39</f>
        <v>0</v>
      </c>
      <c r="AO39" s="887">
        <f>'बँक जमा खर्च पासबुक'!E39</f>
        <v>0</v>
      </c>
      <c r="AP39" s="887">
        <f>'बँक जमा खर्च पासबुक'!F39</f>
        <v>0</v>
      </c>
      <c r="AQ39" s="887">
        <f>'बँक जमा खर्च पासबुक'!G39</f>
        <v>0</v>
      </c>
      <c r="AR39" s="887">
        <f>'बँक जमा खर्च पासबुक'!H39</f>
        <v>0</v>
      </c>
      <c r="AS39" s="887">
        <f>'बँक जमा खर्च पासबुक'!I39</f>
        <v>0</v>
      </c>
      <c r="AT39" s="887">
        <f>'बँक जमा खर्च पासबुक'!J39</f>
        <v>0</v>
      </c>
      <c r="AU39" s="887">
        <f>'बँक जमा खर्च पासबुक'!K39</f>
        <v>0</v>
      </c>
      <c r="AV39" s="887">
        <f>'बँक जमा खर्च पासबुक'!L39</f>
        <v>0</v>
      </c>
      <c r="AW39" s="887">
        <f>'बँक जमा खर्च पासबुक'!M39</f>
        <v>0</v>
      </c>
      <c r="AX39" s="877"/>
      <c r="AY39" s="877"/>
      <c r="AZ39" s="877"/>
      <c r="BA39" s="877"/>
      <c r="BB39" s="877"/>
      <c r="BC39" s="877"/>
      <c r="BD39" s="877"/>
      <c r="BE39" s="877"/>
      <c r="BF39" s="877"/>
      <c r="BG39" s="877"/>
      <c r="BH39" s="877"/>
    </row>
    <row r="40" spans="8:60" ht="35.25" customHeight="1" x14ac:dyDescent="0.5">
      <c r="V40" s="877"/>
      <c r="W40" s="887" t="str">
        <f t="shared" si="16"/>
        <v>January</v>
      </c>
      <c r="X40" s="887" t="str">
        <f>IF(AND(AJ40=$X$8,AK40=$AA$6),MAX($X$9:X39)+1,"")</f>
        <v/>
      </c>
      <c r="Y40" s="887" t="str">
        <f>IF(AND(AJ40=$Y$8,AK40=$AA$6),MAX($Y$9:Y39)+1,"")</f>
        <v/>
      </c>
      <c r="Z40" s="887" t="str">
        <f>IF(AND(AJ40=$Z$8,AK40=$AA$6),MAX($Z$9:Z39)+1,"")</f>
        <v/>
      </c>
      <c r="AA40" s="887" t="str">
        <f>IF(AND(AJ40=$AA$8,AK40=$AA$6),MAX(AA$9:$AA39)+1,"")</f>
        <v/>
      </c>
      <c r="AB40" s="887" t="str">
        <f>IF(AND(AJ40=$AB$8,AK40=$AA$6),MAX(AB$9:$AB39)+1,"")</f>
        <v/>
      </c>
      <c r="AC40" s="887" t="str">
        <f>IF(AND(AJ40=$AC$8,AK40=$AA$6),MAX(AC$9:$AC39)+1,"")</f>
        <v/>
      </c>
      <c r="AD40" s="887" t="str">
        <f>IF(AND(AJ40=$AD$8,AK40=$AA$6),MAX(AD$9:$AD39)+1,"")</f>
        <v/>
      </c>
      <c r="AE40" s="887" t="str">
        <f>IF(AND(AJ40=$AE$8,AK40=$AA$6),MAX(AE$9:$AE39)+1,"")</f>
        <v/>
      </c>
      <c r="AF40" s="887" t="str">
        <f>IF(AND(AJ40=$AF$8,AK40=$AA$6),MAX(AF$9:$AF39)+1,"")</f>
        <v/>
      </c>
      <c r="AG40" s="887" t="str">
        <f>IF(AND(AJ40=$AG$8,AK40=$AB$6),MAX(AG$9:$AG39)+1,"")</f>
        <v/>
      </c>
      <c r="AH40" s="887" t="str">
        <f>IF(AND(AJ40=$AH$8,AK40=$AB$6),MAX(AH$9:$AH39)+1,"")</f>
        <v/>
      </c>
      <c r="AI40" s="920" t="str">
        <f>IF(AND(AJ40=$AI$8,AK40=$AB$6),MAX(AI$9:$AI39)+1,"")</f>
        <v/>
      </c>
      <c r="AJ40" s="887" t="str">
        <f t="shared" si="17"/>
        <v>January</v>
      </c>
      <c r="AK40" s="887">
        <f t="shared" si="18"/>
        <v>1900</v>
      </c>
      <c r="AL40" s="887" t="str">
        <f>'बँक जमा खर्च पासबुक'!B40</f>
        <v/>
      </c>
      <c r="AM40" s="921">
        <f>IFERROR('बँक जमा खर्च पासबुक'!C40,"")</f>
        <v>0</v>
      </c>
      <c r="AN40" s="887">
        <f>'बँक जमा खर्च पासबुक'!D40</f>
        <v>0</v>
      </c>
      <c r="AO40" s="887">
        <f>'बँक जमा खर्च पासबुक'!E40</f>
        <v>0</v>
      </c>
      <c r="AP40" s="887">
        <f>'बँक जमा खर्च पासबुक'!F40</f>
        <v>0</v>
      </c>
      <c r="AQ40" s="887">
        <f>'बँक जमा खर्च पासबुक'!G40</f>
        <v>0</v>
      </c>
      <c r="AR40" s="887">
        <f>'बँक जमा खर्च पासबुक'!H40</f>
        <v>0</v>
      </c>
      <c r="AS40" s="887">
        <f>'बँक जमा खर्च पासबुक'!I40</f>
        <v>0</v>
      </c>
      <c r="AT40" s="887">
        <f>'बँक जमा खर्च पासबुक'!J40</f>
        <v>0</v>
      </c>
      <c r="AU40" s="887">
        <f>'बँक जमा खर्च पासबुक'!K40</f>
        <v>0</v>
      </c>
      <c r="AV40" s="887">
        <f>'बँक जमा खर्च पासबुक'!L40</f>
        <v>0</v>
      </c>
      <c r="AW40" s="887">
        <f>'बँक जमा खर्च पासबुक'!M40</f>
        <v>0</v>
      </c>
      <c r="AX40" s="877"/>
      <c r="AY40" s="877"/>
      <c r="AZ40" s="877"/>
      <c r="BA40" s="877"/>
      <c r="BB40" s="877"/>
      <c r="BC40" s="877"/>
      <c r="BD40" s="877"/>
      <c r="BE40" s="877"/>
      <c r="BF40" s="877"/>
      <c r="BG40" s="877"/>
      <c r="BH40" s="877"/>
    </row>
    <row r="41" spans="8:60" ht="35.25" customHeight="1" x14ac:dyDescent="0.5">
      <c r="V41" s="877"/>
      <c r="W41" s="887" t="str">
        <f t="shared" si="16"/>
        <v>January</v>
      </c>
      <c r="X41" s="887" t="str">
        <f>IF(AND(AJ41=$X$8,AK41=$AA$6),MAX($X$9:X40)+1,"")</f>
        <v/>
      </c>
      <c r="Y41" s="887" t="str">
        <f>IF(AND(AJ41=$Y$8,AK41=$AA$6),MAX($Y$9:Y40)+1,"")</f>
        <v/>
      </c>
      <c r="Z41" s="887" t="str">
        <f>IF(AND(AJ41=$Z$8,AK41=$AA$6),MAX($Z$9:Z40)+1,"")</f>
        <v/>
      </c>
      <c r="AA41" s="887" t="str">
        <f>IF(AND(AJ41=$AA$8,AK41=$AA$6),MAX(AA$9:$AA40)+1,"")</f>
        <v/>
      </c>
      <c r="AB41" s="887" t="str">
        <f>IF(AND(AJ41=$AB$8,AK41=$AA$6),MAX(AB$9:$AB40)+1,"")</f>
        <v/>
      </c>
      <c r="AC41" s="887" t="str">
        <f>IF(AND(AJ41=$AC$8,AK41=$AA$6),MAX(AC$9:$AC40)+1,"")</f>
        <v/>
      </c>
      <c r="AD41" s="887" t="str">
        <f>IF(AND(AJ41=$AD$8,AK41=$AA$6),MAX(AD$9:$AD40)+1,"")</f>
        <v/>
      </c>
      <c r="AE41" s="887" t="str">
        <f>IF(AND(AJ41=$AE$8,AK41=$AA$6),MAX(AE$9:$AE40)+1,"")</f>
        <v/>
      </c>
      <c r="AF41" s="887" t="str">
        <f>IF(AND(AJ41=$AF$8,AK41=$AA$6),MAX(AF$9:$AF40)+1,"")</f>
        <v/>
      </c>
      <c r="AG41" s="887" t="str">
        <f>IF(AND(AJ41=$AG$8,AK41=$AB$6),MAX(AG$9:$AG40)+1,"")</f>
        <v/>
      </c>
      <c r="AH41" s="887" t="str">
        <f>IF(AND(AJ41=$AH$8,AK41=$AB$6),MAX(AH$9:$AH40)+1,"")</f>
        <v/>
      </c>
      <c r="AI41" s="920" t="str">
        <f>IF(AND(AJ41=$AI$8,AK41=$AB$6),MAX(AI$9:$AI40)+1,"")</f>
        <v/>
      </c>
      <c r="AJ41" s="887" t="str">
        <f t="shared" si="17"/>
        <v>January</v>
      </c>
      <c r="AK41" s="887">
        <f t="shared" si="18"/>
        <v>1900</v>
      </c>
      <c r="AL41" s="887" t="str">
        <f>'बँक जमा खर्च पासबुक'!B41</f>
        <v/>
      </c>
      <c r="AM41" s="921">
        <f>IFERROR('बँक जमा खर्च पासबुक'!C41,"")</f>
        <v>0</v>
      </c>
      <c r="AN41" s="887">
        <f>'बँक जमा खर्च पासबुक'!D41</f>
        <v>0</v>
      </c>
      <c r="AO41" s="887">
        <f>'बँक जमा खर्च पासबुक'!E41</f>
        <v>0</v>
      </c>
      <c r="AP41" s="887">
        <f>'बँक जमा खर्च पासबुक'!F41</f>
        <v>0</v>
      </c>
      <c r="AQ41" s="887">
        <f>'बँक जमा खर्च पासबुक'!G41</f>
        <v>0</v>
      </c>
      <c r="AR41" s="887">
        <f>'बँक जमा खर्च पासबुक'!H41</f>
        <v>0</v>
      </c>
      <c r="AS41" s="887">
        <f>'बँक जमा खर्च पासबुक'!I41</f>
        <v>0</v>
      </c>
      <c r="AT41" s="887">
        <f>'बँक जमा खर्च पासबुक'!J41</f>
        <v>0</v>
      </c>
      <c r="AU41" s="887">
        <f>'बँक जमा खर्च पासबुक'!K41</f>
        <v>0</v>
      </c>
      <c r="AV41" s="887">
        <f>'बँक जमा खर्च पासबुक'!L41</f>
        <v>0</v>
      </c>
      <c r="AW41" s="887">
        <f>'बँक जमा खर्च पासबुक'!M41</f>
        <v>0</v>
      </c>
      <c r="AX41" s="877"/>
      <c r="AY41" s="877"/>
      <c r="AZ41" s="877"/>
      <c r="BA41" s="877"/>
      <c r="BB41" s="877"/>
      <c r="BC41" s="877"/>
      <c r="BD41" s="877"/>
      <c r="BE41" s="877"/>
      <c r="BF41" s="877"/>
      <c r="BG41" s="877"/>
      <c r="BH41" s="877"/>
    </row>
    <row r="42" spans="8:60" ht="35.25" customHeight="1" x14ac:dyDescent="0.5">
      <c r="V42" s="877"/>
      <c r="W42" s="887" t="str">
        <f t="shared" si="16"/>
        <v>January</v>
      </c>
      <c r="X42" s="887" t="str">
        <f>IF(AND(AJ42=$X$8,AK42=$AA$6),MAX($X$9:X41)+1,"")</f>
        <v/>
      </c>
      <c r="Y42" s="887" t="str">
        <f>IF(AND(AJ42=$Y$8,AK42=$AA$6),MAX($Y$9:Y41)+1,"")</f>
        <v/>
      </c>
      <c r="Z42" s="887" t="str">
        <f>IF(AND(AJ42=$Z$8,AK42=$AA$6),MAX($Z$9:Z41)+1,"")</f>
        <v/>
      </c>
      <c r="AA42" s="887" t="str">
        <f>IF(AND(AJ42=$AA$8,AK42=$AA$6),MAX(AA$9:$AA41)+1,"")</f>
        <v/>
      </c>
      <c r="AB42" s="887" t="str">
        <f>IF(AND(AJ42=$AB$8,AK42=$AA$6),MAX(AB$9:$AB41)+1,"")</f>
        <v/>
      </c>
      <c r="AC42" s="887" t="str">
        <f>IF(AND(AJ42=$AC$8,AK42=$AA$6),MAX(AC$9:$AC41)+1,"")</f>
        <v/>
      </c>
      <c r="AD42" s="887" t="str">
        <f>IF(AND(AJ42=$AD$8,AK42=$AA$6),MAX(AD$9:$AD41)+1,"")</f>
        <v/>
      </c>
      <c r="AE42" s="887" t="str">
        <f>IF(AND(AJ42=$AE$8,AK42=$AA$6),MAX(AE$9:$AE41)+1,"")</f>
        <v/>
      </c>
      <c r="AF42" s="887" t="str">
        <f>IF(AND(AJ42=$AF$8,AK42=$AA$6),MAX(AF$9:$AF41)+1,"")</f>
        <v/>
      </c>
      <c r="AG42" s="887" t="str">
        <f>IF(AND(AJ42=$AG$8,AK42=$AB$6),MAX(AG$9:$AG41)+1,"")</f>
        <v/>
      </c>
      <c r="AH42" s="887" t="str">
        <f>IF(AND(AJ42=$AH$8,AK42=$AB$6),MAX(AH$9:$AH41)+1,"")</f>
        <v/>
      </c>
      <c r="AI42" s="920" t="str">
        <f>IF(AND(AJ42=$AI$8,AK42=$AB$6),MAX(AI$9:$AI41)+1,"")</f>
        <v/>
      </c>
      <c r="AJ42" s="887" t="str">
        <f t="shared" si="17"/>
        <v>January</v>
      </c>
      <c r="AK42" s="887">
        <f t="shared" si="18"/>
        <v>1900</v>
      </c>
      <c r="AL42" s="887" t="str">
        <f>'बँक जमा खर्च पासबुक'!B42</f>
        <v/>
      </c>
      <c r="AM42" s="921">
        <f>IFERROR('बँक जमा खर्च पासबुक'!C42,"")</f>
        <v>0</v>
      </c>
      <c r="AN42" s="887">
        <f>'बँक जमा खर्च पासबुक'!D42</f>
        <v>0</v>
      </c>
      <c r="AO42" s="887">
        <f>'बँक जमा खर्च पासबुक'!E42</f>
        <v>0</v>
      </c>
      <c r="AP42" s="887">
        <f>'बँक जमा खर्च पासबुक'!F42</f>
        <v>0</v>
      </c>
      <c r="AQ42" s="887">
        <f>'बँक जमा खर्च पासबुक'!G42</f>
        <v>0</v>
      </c>
      <c r="AR42" s="887">
        <f>'बँक जमा खर्च पासबुक'!H42</f>
        <v>0</v>
      </c>
      <c r="AS42" s="887">
        <f>'बँक जमा खर्च पासबुक'!I42</f>
        <v>0</v>
      </c>
      <c r="AT42" s="887">
        <f>'बँक जमा खर्च पासबुक'!J42</f>
        <v>0</v>
      </c>
      <c r="AU42" s="887">
        <f>'बँक जमा खर्च पासबुक'!K42</f>
        <v>0</v>
      </c>
      <c r="AV42" s="887">
        <f>'बँक जमा खर्च पासबुक'!L42</f>
        <v>0</v>
      </c>
      <c r="AW42" s="887">
        <f>'बँक जमा खर्च पासबुक'!M42</f>
        <v>0</v>
      </c>
      <c r="AX42" s="877"/>
      <c r="AY42" s="877"/>
      <c r="AZ42" s="877"/>
      <c r="BA42" s="877"/>
      <c r="BB42" s="877"/>
      <c r="BC42" s="877"/>
      <c r="BD42" s="877"/>
      <c r="BE42" s="877"/>
      <c r="BF42" s="877"/>
      <c r="BG42" s="877"/>
      <c r="BH42" s="877"/>
    </row>
    <row r="43" spans="8:60" ht="35.25" customHeight="1" x14ac:dyDescent="0.5">
      <c r="V43" s="877"/>
      <c r="W43" s="887" t="str">
        <f t="shared" si="16"/>
        <v>January</v>
      </c>
      <c r="X43" s="887" t="str">
        <f>IF(AND(AJ43=$X$8,AK43=$AA$6),MAX($X$9:X42)+1,"")</f>
        <v/>
      </c>
      <c r="Y43" s="887" t="str">
        <f>IF(AND(AJ43=$Y$8,AK43=$AA$6),MAX($Y$9:Y42)+1,"")</f>
        <v/>
      </c>
      <c r="Z43" s="887" t="str">
        <f>IF(AND(AJ43=$Z$8,AK43=$AA$6),MAX($Z$9:Z42)+1,"")</f>
        <v/>
      </c>
      <c r="AA43" s="887" t="str">
        <f>IF(AND(AJ43=$AA$8,AK43=$AA$6),MAX(AA$9:$AA42)+1,"")</f>
        <v/>
      </c>
      <c r="AB43" s="887" t="str">
        <f>IF(AND(AJ43=$AB$8,AK43=$AA$6),MAX(AB$9:$AB42)+1,"")</f>
        <v/>
      </c>
      <c r="AC43" s="887" t="str">
        <f>IF(AND(AJ43=$AC$8,AK43=$AA$6),MAX(AC$9:$AC42)+1,"")</f>
        <v/>
      </c>
      <c r="AD43" s="887" t="str">
        <f>IF(AND(AJ43=$AD$8,AK43=$AA$6),MAX(AD$9:$AD42)+1,"")</f>
        <v/>
      </c>
      <c r="AE43" s="887" t="str">
        <f>IF(AND(AJ43=$AE$8,AK43=$AA$6),MAX(AE$9:$AE42)+1,"")</f>
        <v/>
      </c>
      <c r="AF43" s="887" t="str">
        <f>IF(AND(AJ43=$AF$8,AK43=$AA$6),MAX(AF$9:$AF42)+1,"")</f>
        <v/>
      </c>
      <c r="AG43" s="887" t="str">
        <f>IF(AND(AJ43=$AG$8,AK43=$AB$6),MAX(AG$9:$AG42)+1,"")</f>
        <v/>
      </c>
      <c r="AH43" s="887" t="str">
        <f>IF(AND(AJ43=$AH$8,AK43=$AB$6),MAX(AH$9:$AH42)+1,"")</f>
        <v/>
      </c>
      <c r="AI43" s="920" t="str">
        <f>IF(AND(AJ43=$AI$8,AK43=$AB$6),MAX(AI$9:$AI42)+1,"")</f>
        <v/>
      </c>
      <c r="AJ43" s="887" t="str">
        <f t="shared" si="17"/>
        <v>January</v>
      </c>
      <c r="AK43" s="887">
        <f t="shared" si="18"/>
        <v>1900</v>
      </c>
      <c r="AL43" s="887" t="str">
        <f>'बँक जमा खर्च पासबुक'!B43</f>
        <v/>
      </c>
      <c r="AM43" s="921">
        <f>IFERROR('बँक जमा खर्च पासबुक'!C43,"")</f>
        <v>0</v>
      </c>
      <c r="AN43" s="887">
        <f>'बँक जमा खर्च पासबुक'!D43</f>
        <v>0</v>
      </c>
      <c r="AO43" s="887">
        <f>'बँक जमा खर्च पासबुक'!E43</f>
        <v>0</v>
      </c>
      <c r="AP43" s="887">
        <f>'बँक जमा खर्च पासबुक'!F43</f>
        <v>0</v>
      </c>
      <c r="AQ43" s="887">
        <f>'बँक जमा खर्च पासबुक'!G43</f>
        <v>0</v>
      </c>
      <c r="AR43" s="887">
        <f>'बँक जमा खर्च पासबुक'!H43</f>
        <v>0</v>
      </c>
      <c r="AS43" s="887">
        <f>'बँक जमा खर्च पासबुक'!I43</f>
        <v>0</v>
      </c>
      <c r="AT43" s="887">
        <f>'बँक जमा खर्च पासबुक'!J43</f>
        <v>0</v>
      </c>
      <c r="AU43" s="887">
        <f>'बँक जमा खर्च पासबुक'!K43</f>
        <v>0</v>
      </c>
      <c r="AV43" s="887">
        <f>'बँक जमा खर्च पासबुक'!L43</f>
        <v>0</v>
      </c>
      <c r="AW43" s="887">
        <f>'बँक जमा खर्च पासबुक'!M43</f>
        <v>0</v>
      </c>
      <c r="AX43" s="877"/>
      <c r="AY43" s="877"/>
      <c r="AZ43" s="877"/>
      <c r="BA43" s="877"/>
      <c r="BB43" s="877"/>
      <c r="BC43" s="877"/>
      <c r="BD43" s="877"/>
      <c r="BE43" s="877"/>
      <c r="BF43" s="877"/>
      <c r="BG43" s="877"/>
      <c r="BH43" s="877"/>
    </row>
    <row r="44" spans="8:60" ht="35.25" customHeight="1" x14ac:dyDescent="0.5">
      <c r="V44" s="877"/>
      <c r="W44" s="887" t="str">
        <f t="shared" si="16"/>
        <v>January</v>
      </c>
      <c r="X44" s="887" t="str">
        <f>IF(AND(AJ44=$X$8,AK44=$AA$6),MAX($X$9:X43)+1,"")</f>
        <v/>
      </c>
      <c r="Y44" s="887" t="str">
        <f>IF(AND(AJ44=$Y$8,AK44=$AA$6),MAX($Y$9:Y43)+1,"")</f>
        <v/>
      </c>
      <c r="Z44" s="887" t="str">
        <f>IF(AND(AJ44=$Z$8,AK44=$AA$6),MAX($Z$9:Z43)+1,"")</f>
        <v/>
      </c>
      <c r="AA44" s="887" t="str">
        <f>IF(AND(AJ44=$AA$8,AK44=$AA$6),MAX(AA$9:$AA43)+1,"")</f>
        <v/>
      </c>
      <c r="AB44" s="887" t="str">
        <f>IF(AND(AJ44=$AB$8,AK44=$AA$6),MAX(AB$9:$AB43)+1,"")</f>
        <v/>
      </c>
      <c r="AC44" s="887" t="str">
        <f>IF(AND(AJ44=$AC$8,AK44=$AA$6),MAX(AC$9:$AC43)+1,"")</f>
        <v/>
      </c>
      <c r="AD44" s="887" t="str">
        <f>IF(AND(AJ44=$AD$8,AK44=$AA$6),MAX(AD$9:$AD43)+1,"")</f>
        <v/>
      </c>
      <c r="AE44" s="887" t="str">
        <f>IF(AND(AJ44=$AE$8,AK44=$AA$6),MAX(AE$9:$AE43)+1,"")</f>
        <v/>
      </c>
      <c r="AF44" s="887" t="str">
        <f>IF(AND(AJ44=$AF$8,AK44=$AA$6),MAX(AF$9:$AF43)+1,"")</f>
        <v/>
      </c>
      <c r="AG44" s="887" t="str">
        <f>IF(AND(AJ44=$AG$8,AK44=$AB$6),MAX(AG$9:$AG43)+1,"")</f>
        <v/>
      </c>
      <c r="AH44" s="887" t="str">
        <f>IF(AND(AJ44=$AH$8,AK44=$AB$6),MAX(AH$9:$AH43)+1,"")</f>
        <v/>
      </c>
      <c r="AI44" s="920" t="str">
        <f>IF(AND(AJ44=$AI$8,AK44=$AB$6),MAX(AI$9:$AI43)+1,"")</f>
        <v/>
      </c>
      <c r="AJ44" s="887" t="str">
        <f t="shared" si="17"/>
        <v>January</v>
      </c>
      <c r="AK44" s="887">
        <f t="shared" si="18"/>
        <v>1900</v>
      </c>
      <c r="AL44" s="887" t="str">
        <f>'बँक जमा खर्च पासबुक'!B44</f>
        <v/>
      </c>
      <c r="AM44" s="921">
        <f>IFERROR('बँक जमा खर्च पासबुक'!C44,"")</f>
        <v>0</v>
      </c>
      <c r="AN44" s="887">
        <f>'बँक जमा खर्च पासबुक'!D44</f>
        <v>0</v>
      </c>
      <c r="AO44" s="887">
        <f>'बँक जमा खर्च पासबुक'!E44</f>
        <v>0</v>
      </c>
      <c r="AP44" s="887">
        <f>'बँक जमा खर्च पासबुक'!F44</f>
        <v>0</v>
      </c>
      <c r="AQ44" s="887">
        <f>'बँक जमा खर्च पासबुक'!G44</f>
        <v>0</v>
      </c>
      <c r="AR44" s="887">
        <f>'बँक जमा खर्च पासबुक'!H44</f>
        <v>0</v>
      </c>
      <c r="AS44" s="887">
        <f>'बँक जमा खर्च पासबुक'!I44</f>
        <v>0</v>
      </c>
      <c r="AT44" s="887">
        <f>'बँक जमा खर्च पासबुक'!J44</f>
        <v>0</v>
      </c>
      <c r="AU44" s="887">
        <f>'बँक जमा खर्च पासबुक'!K44</f>
        <v>0</v>
      </c>
      <c r="AV44" s="887">
        <f>'बँक जमा खर्च पासबुक'!L44</f>
        <v>0</v>
      </c>
      <c r="AW44" s="887">
        <f>'बँक जमा खर्च पासबुक'!M44</f>
        <v>0</v>
      </c>
      <c r="AX44" s="877"/>
      <c r="AY44" s="877"/>
      <c r="AZ44" s="877"/>
      <c r="BA44" s="877"/>
      <c r="BB44" s="877"/>
      <c r="BC44" s="877"/>
      <c r="BD44" s="877"/>
      <c r="BE44" s="877"/>
      <c r="BF44" s="877"/>
      <c r="BG44" s="877"/>
      <c r="BH44" s="877"/>
    </row>
    <row r="45" spans="8:60" ht="35.25" customHeight="1" x14ac:dyDescent="0.5">
      <c r="V45" s="877"/>
      <c r="W45" s="887" t="str">
        <f t="shared" si="16"/>
        <v>January</v>
      </c>
      <c r="X45" s="887" t="str">
        <f>IF(AND(AJ45=$X$8,AK45=$AA$6),MAX($X$9:X44)+1,"")</f>
        <v/>
      </c>
      <c r="Y45" s="887" t="str">
        <f>IF(AND(AJ45=$Y$8,AK45=$AA$6),MAX($Y$9:Y44)+1,"")</f>
        <v/>
      </c>
      <c r="Z45" s="887" t="str">
        <f>IF(AND(AJ45=$Z$8,AK45=$AA$6),MAX($Z$9:Z44)+1,"")</f>
        <v/>
      </c>
      <c r="AA45" s="887" t="str">
        <f>IF(AND(AJ45=$AA$8,AK45=$AA$6),MAX(AA$9:$AA44)+1,"")</f>
        <v/>
      </c>
      <c r="AB45" s="887" t="str">
        <f>IF(AND(AJ45=$AB$8,AK45=$AA$6),MAX(AB$9:$AB44)+1,"")</f>
        <v/>
      </c>
      <c r="AC45" s="887" t="str">
        <f>IF(AND(AJ45=$AC$8,AK45=$AA$6),MAX(AC$9:$AC44)+1,"")</f>
        <v/>
      </c>
      <c r="AD45" s="887" t="str">
        <f>IF(AND(AJ45=$AD$8,AK45=$AA$6),MAX(AD$9:$AD44)+1,"")</f>
        <v/>
      </c>
      <c r="AE45" s="887" t="str">
        <f>IF(AND(AJ45=$AE$8,AK45=$AA$6),MAX(AE$9:$AE44)+1,"")</f>
        <v/>
      </c>
      <c r="AF45" s="887" t="str">
        <f>IF(AND(AJ45=$AF$8,AK45=$AA$6),MAX(AF$9:$AF44)+1,"")</f>
        <v/>
      </c>
      <c r="AG45" s="887" t="str">
        <f>IF(AND(AJ45=$AG$8,AK45=$AB$6),MAX(AG$9:$AG44)+1,"")</f>
        <v/>
      </c>
      <c r="AH45" s="887" t="str">
        <f>IF(AND(AJ45=$AH$8,AK45=$AB$6),MAX(AH$9:$AH44)+1,"")</f>
        <v/>
      </c>
      <c r="AI45" s="920" t="str">
        <f>IF(AND(AJ45=$AI$8,AK45=$AB$6),MAX(AI$9:$AI44)+1,"")</f>
        <v/>
      </c>
      <c r="AJ45" s="887" t="str">
        <f t="shared" si="17"/>
        <v>January</v>
      </c>
      <c r="AK45" s="887">
        <f t="shared" si="18"/>
        <v>1900</v>
      </c>
      <c r="AL45" s="887" t="str">
        <f>'बँक जमा खर्च पासबुक'!B45</f>
        <v/>
      </c>
      <c r="AM45" s="921">
        <f>IFERROR('बँक जमा खर्च पासबुक'!C45,"")</f>
        <v>0</v>
      </c>
      <c r="AN45" s="887">
        <f>'बँक जमा खर्च पासबुक'!D45</f>
        <v>0</v>
      </c>
      <c r="AO45" s="887">
        <f>'बँक जमा खर्च पासबुक'!E45</f>
        <v>0</v>
      </c>
      <c r="AP45" s="887">
        <f>'बँक जमा खर्च पासबुक'!F45</f>
        <v>0</v>
      </c>
      <c r="AQ45" s="887">
        <f>'बँक जमा खर्च पासबुक'!G45</f>
        <v>0</v>
      </c>
      <c r="AR45" s="887">
        <f>'बँक जमा खर्च पासबुक'!H45</f>
        <v>0</v>
      </c>
      <c r="AS45" s="887">
        <f>'बँक जमा खर्च पासबुक'!I45</f>
        <v>0</v>
      </c>
      <c r="AT45" s="887">
        <f>'बँक जमा खर्च पासबुक'!J45</f>
        <v>0</v>
      </c>
      <c r="AU45" s="887">
        <f>'बँक जमा खर्च पासबुक'!K45</f>
        <v>0</v>
      </c>
      <c r="AV45" s="887">
        <f>'बँक जमा खर्च पासबुक'!L45</f>
        <v>0</v>
      </c>
      <c r="AW45" s="887">
        <f>'बँक जमा खर्च पासबुक'!M45</f>
        <v>0</v>
      </c>
      <c r="AX45" s="877"/>
      <c r="AY45" s="877"/>
      <c r="AZ45" s="877"/>
      <c r="BA45" s="877"/>
      <c r="BB45" s="877"/>
      <c r="BC45" s="877"/>
      <c r="BD45" s="877"/>
      <c r="BE45" s="877"/>
      <c r="BF45" s="877"/>
      <c r="BG45" s="877"/>
      <c r="BH45" s="877"/>
    </row>
    <row r="46" spans="8:60" ht="35.25" customHeight="1" x14ac:dyDescent="0.5">
      <c r="V46" s="877"/>
      <c r="W46" s="887" t="str">
        <f t="shared" si="16"/>
        <v>January</v>
      </c>
      <c r="X46" s="887" t="str">
        <f>IF(AND(AJ46=$X$8,AK46=$AA$6),MAX($X$9:X45)+1,"")</f>
        <v/>
      </c>
      <c r="Y46" s="887" t="str">
        <f>IF(AND(AJ46=$Y$8,AK46=$AA$6),MAX($Y$9:Y45)+1,"")</f>
        <v/>
      </c>
      <c r="Z46" s="887" t="str">
        <f>IF(AND(AJ46=$Z$8,AK46=$AA$6),MAX($Z$9:Z45)+1,"")</f>
        <v/>
      </c>
      <c r="AA46" s="887" t="str">
        <f>IF(AND(AJ46=$AA$8,AK46=$AA$6),MAX(AA$9:$AA45)+1,"")</f>
        <v/>
      </c>
      <c r="AB46" s="887" t="str">
        <f>IF(AND(AJ46=$AB$8,AK46=$AA$6),MAX(AB$9:$AB45)+1,"")</f>
        <v/>
      </c>
      <c r="AC46" s="887" t="str">
        <f>IF(AND(AJ46=$AC$8,AK46=$AA$6),MAX(AC$9:$AC45)+1,"")</f>
        <v/>
      </c>
      <c r="AD46" s="887" t="str">
        <f>IF(AND(AJ46=$AD$8,AK46=$AA$6),MAX(AD$9:$AD45)+1,"")</f>
        <v/>
      </c>
      <c r="AE46" s="887" t="str">
        <f>IF(AND(AJ46=$AE$8,AK46=$AA$6),MAX(AE$9:$AE45)+1,"")</f>
        <v/>
      </c>
      <c r="AF46" s="887" t="str">
        <f>IF(AND(AJ46=$AF$8,AK46=$AA$6),MAX(AF$9:$AF45)+1,"")</f>
        <v/>
      </c>
      <c r="AG46" s="887" t="str">
        <f>IF(AND(AJ46=$AG$8,AK46=$AB$6),MAX(AG$9:$AG45)+1,"")</f>
        <v/>
      </c>
      <c r="AH46" s="887" t="str">
        <f>IF(AND(AJ46=$AH$8,AK46=$AB$6),MAX(AH$9:$AH45)+1,"")</f>
        <v/>
      </c>
      <c r="AI46" s="920" t="str">
        <f>IF(AND(AJ46=$AI$8,AK46=$AB$6),MAX(AI$9:$AI45)+1,"")</f>
        <v/>
      </c>
      <c r="AJ46" s="887" t="str">
        <f t="shared" si="17"/>
        <v>January</v>
      </c>
      <c r="AK46" s="887">
        <f t="shared" si="18"/>
        <v>1900</v>
      </c>
      <c r="AL46" s="887" t="str">
        <f>'बँक जमा खर्च पासबुक'!B46</f>
        <v/>
      </c>
      <c r="AM46" s="921">
        <f>IFERROR('बँक जमा खर्च पासबुक'!C46,"")</f>
        <v>0</v>
      </c>
      <c r="AN46" s="887">
        <f>'बँक जमा खर्च पासबुक'!D46</f>
        <v>0</v>
      </c>
      <c r="AO46" s="887">
        <f>'बँक जमा खर्च पासबुक'!E46</f>
        <v>0</v>
      </c>
      <c r="AP46" s="887">
        <f>'बँक जमा खर्च पासबुक'!F46</f>
        <v>0</v>
      </c>
      <c r="AQ46" s="887">
        <f>'बँक जमा खर्च पासबुक'!G46</f>
        <v>0</v>
      </c>
      <c r="AR46" s="887">
        <f>'बँक जमा खर्च पासबुक'!H46</f>
        <v>0</v>
      </c>
      <c r="AS46" s="887">
        <f>'बँक जमा खर्च पासबुक'!I46</f>
        <v>0</v>
      </c>
      <c r="AT46" s="887">
        <f>'बँक जमा खर्च पासबुक'!J46</f>
        <v>0</v>
      </c>
      <c r="AU46" s="887">
        <f>'बँक जमा खर्च पासबुक'!K46</f>
        <v>0</v>
      </c>
      <c r="AV46" s="887">
        <f>'बँक जमा खर्च पासबुक'!L46</f>
        <v>0</v>
      </c>
      <c r="AW46" s="887">
        <f>'बँक जमा खर्च पासबुक'!M46</f>
        <v>0</v>
      </c>
      <c r="AX46" s="877"/>
      <c r="AY46" s="877"/>
      <c r="AZ46" s="877"/>
      <c r="BA46" s="877"/>
      <c r="BB46" s="877"/>
      <c r="BC46" s="877"/>
      <c r="BD46" s="877"/>
      <c r="BE46" s="877"/>
      <c r="BF46" s="877"/>
      <c r="BG46" s="877"/>
      <c r="BH46" s="877"/>
    </row>
    <row r="47" spans="8:60" ht="35.25" customHeight="1" x14ac:dyDescent="0.5">
      <c r="V47" s="877"/>
      <c r="W47" s="887" t="str">
        <f t="shared" si="16"/>
        <v>January</v>
      </c>
      <c r="X47" s="887" t="str">
        <f>IF(AND(AJ47=$X$8,AK47=$AA$6),MAX($X$9:X46)+1,"")</f>
        <v/>
      </c>
      <c r="Y47" s="887" t="str">
        <f>IF(AND(AJ47=$Y$8,AK47=$AA$6),MAX($Y$9:Y46)+1,"")</f>
        <v/>
      </c>
      <c r="Z47" s="887" t="str">
        <f>IF(AND(AJ47=$Z$8,AK47=$AA$6),MAX($Z$9:Z46)+1,"")</f>
        <v/>
      </c>
      <c r="AA47" s="887" t="str">
        <f>IF(AND(AJ47=$AA$8,AK47=$AA$6),MAX(AA$9:$AA46)+1,"")</f>
        <v/>
      </c>
      <c r="AB47" s="887" t="str">
        <f>IF(AND(AJ47=$AB$8,AK47=$AA$6),MAX(AB$9:$AB46)+1,"")</f>
        <v/>
      </c>
      <c r="AC47" s="887" t="str">
        <f>IF(AND(AJ47=$AC$8,AK47=$AA$6),MAX(AC$9:$AC46)+1,"")</f>
        <v/>
      </c>
      <c r="AD47" s="887" t="str">
        <f>IF(AND(AJ47=$AD$8,AK47=$AA$6),MAX(AD$9:$AD46)+1,"")</f>
        <v/>
      </c>
      <c r="AE47" s="887" t="str">
        <f>IF(AND(AJ47=$AE$8,AK47=$AA$6),MAX(AE$9:$AE46)+1,"")</f>
        <v/>
      </c>
      <c r="AF47" s="887" t="str">
        <f>IF(AND(AJ47=$AF$8,AK47=$AA$6),MAX(AF$9:$AF46)+1,"")</f>
        <v/>
      </c>
      <c r="AG47" s="887" t="str">
        <f>IF(AND(AJ47=$AG$8,AK47=$AB$6),MAX(AG$9:$AG46)+1,"")</f>
        <v/>
      </c>
      <c r="AH47" s="887" t="str">
        <f>IF(AND(AJ47=$AH$8,AK47=$AB$6),MAX(AH$9:$AH46)+1,"")</f>
        <v/>
      </c>
      <c r="AI47" s="920" t="str">
        <f>IF(AND(AJ47=$AI$8,AK47=$AB$6),MAX(AI$9:$AI46)+1,"")</f>
        <v/>
      </c>
      <c r="AJ47" s="887" t="str">
        <f t="shared" si="17"/>
        <v>January</v>
      </c>
      <c r="AK47" s="887">
        <f t="shared" si="18"/>
        <v>1900</v>
      </c>
      <c r="AL47" s="887" t="str">
        <f>'बँक जमा खर्च पासबुक'!B47</f>
        <v/>
      </c>
      <c r="AM47" s="921">
        <f>IFERROR('बँक जमा खर्च पासबुक'!C47,"")</f>
        <v>0</v>
      </c>
      <c r="AN47" s="887">
        <f>'बँक जमा खर्च पासबुक'!D47</f>
        <v>0</v>
      </c>
      <c r="AO47" s="887">
        <f>'बँक जमा खर्च पासबुक'!E47</f>
        <v>0</v>
      </c>
      <c r="AP47" s="887">
        <f>'बँक जमा खर्च पासबुक'!F47</f>
        <v>0</v>
      </c>
      <c r="AQ47" s="887">
        <f>'बँक जमा खर्च पासबुक'!G47</f>
        <v>0</v>
      </c>
      <c r="AR47" s="887">
        <f>'बँक जमा खर्च पासबुक'!H47</f>
        <v>0</v>
      </c>
      <c r="AS47" s="887">
        <f>'बँक जमा खर्च पासबुक'!I47</f>
        <v>0</v>
      </c>
      <c r="AT47" s="887">
        <f>'बँक जमा खर्च पासबुक'!J47</f>
        <v>0</v>
      </c>
      <c r="AU47" s="887">
        <f>'बँक जमा खर्च पासबुक'!K47</f>
        <v>0</v>
      </c>
      <c r="AV47" s="887">
        <f>'बँक जमा खर्च पासबुक'!L47</f>
        <v>0</v>
      </c>
      <c r="AW47" s="887">
        <f>'बँक जमा खर्च पासबुक'!M47</f>
        <v>0</v>
      </c>
      <c r="AX47" s="877"/>
      <c r="AY47" s="877"/>
      <c r="AZ47" s="877"/>
      <c r="BA47" s="877"/>
      <c r="BB47" s="877"/>
      <c r="BC47" s="877"/>
      <c r="BD47" s="877"/>
      <c r="BE47" s="877"/>
      <c r="BF47" s="877"/>
      <c r="BG47" s="877"/>
      <c r="BH47" s="877"/>
    </row>
    <row r="48" spans="8:60" ht="35.25" customHeight="1" x14ac:dyDescent="0.5">
      <c r="V48" s="877"/>
      <c r="W48" s="887" t="str">
        <f t="shared" si="16"/>
        <v>January</v>
      </c>
      <c r="X48" s="887" t="str">
        <f>IF(AND(AJ48=$X$8,AK48=$AA$6),MAX($X$9:X47)+1,"")</f>
        <v/>
      </c>
      <c r="Y48" s="887" t="str">
        <f>IF(AND(AJ48=$Y$8,AK48=$AA$6),MAX($Y$9:Y47)+1,"")</f>
        <v/>
      </c>
      <c r="Z48" s="887" t="str">
        <f>IF(AND(AJ48=$Z$8,AK48=$AA$6),MAX($Z$9:Z47)+1,"")</f>
        <v/>
      </c>
      <c r="AA48" s="887" t="str">
        <f>IF(AND(AJ48=$AA$8,AK48=$AA$6),MAX(AA$9:$AA47)+1,"")</f>
        <v/>
      </c>
      <c r="AB48" s="887" t="str">
        <f>IF(AND(AJ48=$AB$8,AK48=$AA$6),MAX(AB$9:$AB47)+1,"")</f>
        <v/>
      </c>
      <c r="AC48" s="887" t="str">
        <f>IF(AND(AJ48=$AC$8,AK48=$AA$6),MAX(AC$9:$AC47)+1,"")</f>
        <v/>
      </c>
      <c r="AD48" s="887" t="str">
        <f>IF(AND(AJ48=$AD$8,AK48=$AA$6),MAX(AD$9:$AD47)+1,"")</f>
        <v/>
      </c>
      <c r="AE48" s="887" t="str">
        <f>IF(AND(AJ48=$AE$8,AK48=$AA$6),MAX(AE$9:$AE47)+1,"")</f>
        <v/>
      </c>
      <c r="AF48" s="887" t="str">
        <f>IF(AND(AJ48=$AF$8,AK48=$AA$6),MAX(AF$9:$AF47)+1,"")</f>
        <v/>
      </c>
      <c r="AG48" s="887" t="str">
        <f>IF(AND(AJ48=$AG$8,AK48=$AB$6),MAX(AG$9:$AG47)+1,"")</f>
        <v/>
      </c>
      <c r="AH48" s="887" t="str">
        <f>IF(AND(AJ48=$AH$8,AK48=$AB$6),MAX(AH$9:$AH47)+1,"")</f>
        <v/>
      </c>
      <c r="AI48" s="920" t="str">
        <f>IF(AND(AJ48=$AI$8,AK48=$AB$6),MAX(AI$9:$AI47)+1,"")</f>
        <v/>
      </c>
      <c r="AJ48" s="887" t="str">
        <f t="shared" si="17"/>
        <v>January</v>
      </c>
      <c r="AK48" s="887">
        <f t="shared" si="18"/>
        <v>1900</v>
      </c>
      <c r="AL48" s="887" t="str">
        <f>'बँक जमा खर्च पासबुक'!B48</f>
        <v/>
      </c>
      <c r="AM48" s="921">
        <f>IFERROR('बँक जमा खर्च पासबुक'!C48,"")</f>
        <v>0</v>
      </c>
      <c r="AN48" s="887">
        <f>'बँक जमा खर्च पासबुक'!D48</f>
        <v>0</v>
      </c>
      <c r="AO48" s="887">
        <f>'बँक जमा खर्च पासबुक'!E48</f>
        <v>0</v>
      </c>
      <c r="AP48" s="887">
        <f>'बँक जमा खर्च पासबुक'!F48</f>
        <v>0</v>
      </c>
      <c r="AQ48" s="887">
        <f>'बँक जमा खर्च पासबुक'!G48</f>
        <v>0</v>
      </c>
      <c r="AR48" s="887">
        <f>'बँक जमा खर्च पासबुक'!H48</f>
        <v>0</v>
      </c>
      <c r="AS48" s="887">
        <f>'बँक जमा खर्च पासबुक'!I48</f>
        <v>0</v>
      </c>
      <c r="AT48" s="887">
        <f>'बँक जमा खर्च पासबुक'!J48</f>
        <v>0</v>
      </c>
      <c r="AU48" s="887">
        <f>'बँक जमा खर्च पासबुक'!K48</f>
        <v>0</v>
      </c>
      <c r="AV48" s="887">
        <f>'बँक जमा खर्च पासबुक'!L48</f>
        <v>0</v>
      </c>
      <c r="AW48" s="887">
        <f>'बँक जमा खर्च पासबुक'!M48</f>
        <v>0</v>
      </c>
      <c r="AX48" s="877"/>
      <c r="AY48" s="877"/>
      <c r="AZ48" s="877"/>
      <c r="BA48" s="877"/>
      <c r="BB48" s="877"/>
      <c r="BC48" s="877"/>
      <c r="BD48" s="877"/>
      <c r="BE48" s="877"/>
      <c r="BF48" s="877"/>
      <c r="BG48" s="877"/>
      <c r="BH48" s="877"/>
    </row>
    <row r="49" spans="22:60" ht="35.25" customHeight="1" x14ac:dyDescent="0.5">
      <c r="V49" s="877"/>
      <c r="W49" s="887" t="str">
        <f t="shared" si="16"/>
        <v>January</v>
      </c>
      <c r="X49" s="887" t="str">
        <f>IF(AND(AJ49=$X$8,AK49=$AA$6),MAX($X$9:X48)+1,"")</f>
        <v/>
      </c>
      <c r="Y49" s="887" t="str">
        <f>IF(AND(AJ49=$Y$8,AK49=$AA$6),MAX($Y$9:Y48)+1,"")</f>
        <v/>
      </c>
      <c r="Z49" s="887" t="str">
        <f>IF(AND(AJ49=$Z$8,AK49=$AA$6),MAX($Z$9:Z48)+1,"")</f>
        <v/>
      </c>
      <c r="AA49" s="887" t="str">
        <f>IF(AND(AJ49=$AA$8,AK49=$AA$6),MAX(AA$9:$AA48)+1,"")</f>
        <v/>
      </c>
      <c r="AB49" s="887" t="str">
        <f>IF(AND(AJ49=$AB$8,AK49=$AA$6),MAX(AB$9:$AB48)+1,"")</f>
        <v/>
      </c>
      <c r="AC49" s="887" t="str">
        <f>IF(AND(AJ49=$AC$8,AK49=$AA$6),MAX(AC$9:$AC48)+1,"")</f>
        <v/>
      </c>
      <c r="AD49" s="887" t="str">
        <f>IF(AND(AJ49=$AD$8,AK49=$AA$6),MAX(AD$9:$AD48)+1,"")</f>
        <v/>
      </c>
      <c r="AE49" s="887" t="str">
        <f>IF(AND(AJ49=$AE$8,AK49=$AA$6),MAX(AE$9:$AE48)+1,"")</f>
        <v/>
      </c>
      <c r="AF49" s="887" t="str">
        <f>IF(AND(AJ49=$AF$8,AK49=$AA$6),MAX(AF$9:$AF48)+1,"")</f>
        <v/>
      </c>
      <c r="AG49" s="887" t="str">
        <f>IF(AND(AJ49=$AG$8,AK49=$AB$6),MAX(AG$9:$AG48)+1,"")</f>
        <v/>
      </c>
      <c r="AH49" s="887" t="str">
        <f>IF(AND(AJ49=$AH$8,AK49=$AB$6),MAX(AH$9:$AH48)+1,"")</f>
        <v/>
      </c>
      <c r="AI49" s="920" t="str">
        <f>IF(AND(AJ49=$AI$8,AK49=$AB$6),MAX(AI$9:$AI48)+1,"")</f>
        <v/>
      </c>
      <c r="AJ49" s="887" t="str">
        <f t="shared" si="17"/>
        <v>January</v>
      </c>
      <c r="AK49" s="887">
        <f t="shared" si="18"/>
        <v>1900</v>
      </c>
      <c r="AL49" s="887" t="str">
        <f>'बँक जमा खर्च पासबुक'!B49</f>
        <v/>
      </c>
      <c r="AM49" s="921">
        <f>IFERROR('बँक जमा खर्च पासबुक'!C49,"")</f>
        <v>0</v>
      </c>
      <c r="AN49" s="887">
        <f>'बँक जमा खर्च पासबुक'!D49</f>
        <v>0</v>
      </c>
      <c r="AO49" s="887">
        <f>'बँक जमा खर्च पासबुक'!E49</f>
        <v>0</v>
      </c>
      <c r="AP49" s="887">
        <f>'बँक जमा खर्च पासबुक'!F49</f>
        <v>0</v>
      </c>
      <c r="AQ49" s="887">
        <f>'बँक जमा खर्च पासबुक'!G49</f>
        <v>0</v>
      </c>
      <c r="AR49" s="887">
        <f>'बँक जमा खर्च पासबुक'!H49</f>
        <v>0</v>
      </c>
      <c r="AS49" s="887">
        <f>'बँक जमा खर्च पासबुक'!I49</f>
        <v>0</v>
      </c>
      <c r="AT49" s="887">
        <f>'बँक जमा खर्च पासबुक'!J49</f>
        <v>0</v>
      </c>
      <c r="AU49" s="887">
        <f>'बँक जमा खर्च पासबुक'!K49</f>
        <v>0</v>
      </c>
      <c r="AV49" s="887">
        <f>'बँक जमा खर्च पासबुक'!L49</f>
        <v>0</v>
      </c>
      <c r="AW49" s="887">
        <f>'बँक जमा खर्च पासबुक'!M49</f>
        <v>0</v>
      </c>
      <c r="AX49" s="877"/>
      <c r="AY49" s="877"/>
      <c r="AZ49" s="877"/>
      <c r="BA49" s="877"/>
      <c r="BB49" s="877"/>
      <c r="BC49" s="877"/>
      <c r="BD49" s="877"/>
      <c r="BE49" s="877"/>
      <c r="BF49" s="877"/>
      <c r="BG49" s="877"/>
      <c r="BH49" s="877"/>
    </row>
    <row r="50" spans="22:60" ht="35.25" customHeight="1" x14ac:dyDescent="0.5">
      <c r="V50" s="877"/>
      <c r="W50" s="887" t="str">
        <f t="shared" si="16"/>
        <v>January</v>
      </c>
      <c r="X50" s="887" t="str">
        <f>IF(AND(AJ50=$X$8,AK50=$AA$6),MAX($X$9:X49)+1,"")</f>
        <v/>
      </c>
      <c r="Y50" s="887" t="str">
        <f>IF(AND(AJ50=$Y$8,AK50=$AA$6),MAX($Y$9:Y49)+1,"")</f>
        <v/>
      </c>
      <c r="Z50" s="887" t="str">
        <f>IF(AND(AJ50=$Z$8,AK50=$AA$6),MAX($Z$9:Z49)+1,"")</f>
        <v/>
      </c>
      <c r="AA50" s="887" t="str">
        <f>IF(AND(AJ50=$AA$8,AK50=$AA$6),MAX(AA$9:$AA49)+1,"")</f>
        <v/>
      </c>
      <c r="AB50" s="887" t="str">
        <f>IF(AND(AJ50=$AB$8,AK50=$AA$6),MAX(AB$9:$AB49)+1,"")</f>
        <v/>
      </c>
      <c r="AC50" s="887" t="str">
        <f>IF(AND(AJ50=$AC$8,AK50=$AA$6),MAX(AC$9:$AC49)+1,"")</f>
        <v/>
      </c>
      <c r="AD50" s="887" t="str">
        <f>IF(AND(AJ50=$AD$8,AK50=$AA$6),MAX(AD$9:$AD49)+1,"")</f>
        <v/>
      </c>
      <c r="AE50" s="887" t="str">
        <f>IF(AND(AJ50=$AE$8,AK50=$AA$6),MAX(AE$9:$AE49)+1,"")</f>
        <v/>
      </c>
      <c r="AF50" s="887" t="str">
        <f>IF(AND(AJ50=$AF$8,AK50=$AA$6),MAX(AF$9:$AF49)+1,"")</f>
        <v/>
      </c>
      <c r="AG50" s="887" t="str">
        <f>IF(AND(AJ50=$AG$8,AK50=$AB$6),MAX(AG$9:$AG49)+1,"")</f>
        <v/>
      </c>
      <c r="AH50" s="887" t="str">
        <f>IF(AND(AJ50=$AH$8,AK50=$AB$6),MAX(AH$9:$AH49)+1,"")</f>
        <v/>
      </c>
      <c r="AI50" s="920" t="str">
        <f>IF(AND(AJ50=$AI$8,AK50=$AB$6),MAX(AI$9:$AI49)+1,"")</f>
        <v/>
      </c>
      <c r="AJ50" s="887" t="str">
        <f t="shared" si="17"/>
        <v>January</v>
      </c>
      <c r="AK50" s="887">
        <f t="shared" si="18"/>
        <v>1900</v>
      </c>
      <c r="AL50" s="887" t="str">
        <f>'बँक जमा खर्च पासबुक'!B50</f>
        <v/>
      </c>
      <c r="AM50" s="921">
        <f>IFERROR('बँक जमा खर्च पासबुक'!C50,"")</f>
        <v>0</v>
      </c>
      <c r="AN50" s="887">
        <f>'बँक जमा खर्च पासबुक'!D50</f>
        <v>0</v>
      </c>
      <c r="AO50" s="887">
        <f>'बँक जमा खर्च पासबुक'!E50</f>
        <v>0</v>
      </c>
      <c r="AP50" s="887">
        <f>'बँक जमा खर्च पासबुक'!F50</f>
        <v>0</v>
      </c>
      <c r="AQ50" s="887">
        <f>'बँक जमा खर्च पासबुक'!G50</f>
        <v>0</v>
      </c>
      <c r="AR50" s="887">
        <f>'बँक जमा खर्च पासबुक'!H50</f>
        <v>0</v>
      </c>
      <c r="AS50" s="887">
        <f>'बँक जमा खर्च पासबुक'!I50</f>
        <v>0</v>
      </c>
      <c r="AT50" s="887">
        <f>'बँक जमा खर्च पासबुक'!J50</f>
        <v>0</v>
      </c>
      <c r="AU50" s="887">
        <f>'बँक जमा खर्च पासबुक'!K50</f>
        <v>0</v>
      </c>
      <c r="AV50" s="887">
        <f>'बँक जमा खर्च पासबुक'!L50</f>
        <v>0</v>
      </c>
      <c r="AW50" s="887">
        <f>'बँक जमा खर्च पासबुक'!M50</f>
        <v>0</v>
      </c>
      <c r="AX50" s="877"/>
      <c r="AY50" s="877"/>
      <c r="AZ50" s="877"/>
      <c r="BA50" s="877"/>
      <c r="BB50" s="877"/>
      <c r="BC50" s="877"/>
      <c r="BD50" s="877"/>
      <c r="BE50" s="877"/>
      <c r="BF50" s="877"/>
      <c r="BG50" s="877"/>
      <c r="BH50" s="877"/>
    </row>
    <row r="51" spans="22:60" ht="35.25" customHeight="1" x14ac:dyDescent="0.5">
      <c r="V51" s="877"/>
      <c r="W51" s="887" t="str">
        <f t="shared" si="16"/>
        <v>January</v>
      </c>
      <c r="X51" s="887" t="str">
        <f>IF(AND(AJ51=$X$8,AK51=$AA$6),MAX($X$9:X50)+1,"")</f>
        <v/>
      </c>
      <c r="Y51" s="887" t="str">
        <f>IF(AND(AJ51=$Y$8,AK51=$AA$6),MAX($Y$9:Y50)+1,"")</f>
        <v/>
      </c>
      <c r="Z51" s="887" t="str">
        <f>IF(AND(AJ51=$Z$8,AK51=$AA$6),MAX($Z$9:Z50)+1,"")</f>
        <v/>
      </c>
      <c r="AA51" s="887" t="str">
        <f>IF(AND(AJ51=$AA$8,AK51=$AA$6),MAX(AA$9:$AA50)+1,"")</f>
        <v/>
      </c>
      <c r="AB51" s="887" t="str">
        <f>IF(AND(AJ51=$AB$8,AK51=$AA$6),MAX(AB$9:$AB50)+1,"")</f>
        <v/>
      </c>
      <c r="AC51" s="887" t="str">
        <f>IF(AND(AJ51=$AC$8,AK51=$AA$6),MAX(AC$9:$AC50)+1,"")</f>
        <v/>
      </c>
      <c r="AD51" s="887" t="str">
        <f>IF(AND(AJ51=$AD$8,AK51=$AA$6),MAX(AD$9:$AD50)+1,"")</f>
        <v/>
      </c>
      <c r="AE51" s="887" t="str">
        <f>IF(AND(AJ51=$AE$8,AK51=$AA$6),MAX(AE$9:$AE50)+1,"")</f>
        <v/>
      </c>
      <c r="AF51" s="887" t="str">
        <f>IF(AND(AJ51=$AF$8,AK51=$AA$6),MAX(AF$9:$AF50)+1,"")</f>
        <v/>
      </c>
      <c r="AG51" s="887" t="str">
        <f>IF(AND(AJ51=$AG$8,AK51=$AB$6),MAX(AG$9:$AG50)+1,"")</f>
        <v/>
      </c>
      <c r="AH51" s="887" t="str">
        <f>IF(AND(AJ51=$AH$8,AK51=$AB$6),MAX(AH$9:$AH50)+1,"")</f>
        <v/>
      </c>
      <c r="AI51" s="920" t="str">
        <f>IF(AND(AJ51=$AI$8,AK51=$AB$6),MAX(AI$9:$AI50)+1,"")</f>
        <v/>
      </c>
      <c r="AJ51" s="887" t="str">
        <f t="shared" si="17"/>
        <v>January</v>
      </c>
      <c r="AK51" s="887">
        <f t="shared" si="18"/>
        <v>1900</v>
      </c>
      <c r="AL51" s="887" t="str">
        <f>'बँक जमा खर्च पासबुक'!B51</f>
        <v/>
      </c>
      <c r="AM51" s="921">
        <f>IFERROR('बँक जमा खर्च पासबुक'!C51,"")</f>
        <v>0</v>
      </c>
      <c r="AN51" s="887">
        <f>'बँक जमा खर्च पासबुक'!D51</f>
        <v>0</v>
      </c>
      <c r="AO51" s="887">
        <f>'बँक जमा खर्च पासबुक'!E51</f>
        <v>0</v>
      </c>
      <c r="AP51" s="887">
        <f>'बँक जमा खर्च पासबुक'!F51</f>
        <v>0</v>
      </c>
      <c r="AQ51" s="887">
        <f>'बँक जमा खर्च पासबुक'!G51</f>
        <v>0</v>
      </c>
      <c r="AR51" s="887">
        <f>'बँक जमा खर्च पासबुक'!H51</f>
        <v>0</v>
      </c>
      <c r="AS51" s="887">
        <f>'बँक जमा खर्च पासबुक'!I51</f>
        <v>0</v>
      </c>
      <c r="AT51" s="887">
        <f>'बँक जमा खर्च पासबुक'!J51</f>
        <v>0</v>
      </c>
      <c r="AU51" s="887">
        <f>'बँक जमा खर्च पासबुक'!K51</f>
        <v>0</v>
      </c>
      <c r="AV51" s="887">
        <f>'बँक जमा खर्च पासबुक'!L51</f>
        <v>0</v>
      </c>
      <c r="AW51" s="887">
        <f>'बँक जमा खर्च पासबुक'!M51</f>
        <v>0</v>
      </c>
      <c r="AX51" s="877"/>
      <c r="AY51" s="877"/>
      <c r="AZ51" s="877"/>
      <c r="BA51" s="877"/>
      <c r="BB51" s="877"/>
      <c r="BC51" s="877"/>
      <c r="BD51" s="877"/>
      <c r="BE51" s="877"/>
      <c r="BF51" s="877"/>
      <c r="BG51" s="877"/>
      <c r="BH51" s="877"/>
    </row>
    <row r="52" spans="22:60" ht="35.25" customHeight="1" x14ac:dyDescent="0.5">
      <c r="V52" s="877"/>
      <c r="W52" s="887" t="str">
        <f t="shared" si="16"/>
        <v>January</v>
      </c>
      <c r="X52" s="887" t="str">
        <f>IF(AND(AJ52=$X$8,AK52=$AA$6),MAX($X$9:X51)+1,"")</f>
        <v/>
      </c>
      <c r="Y52" s="887" t="str">
        <f>IF(AND(AJ52=$Y$8,AK52=$AA$6),MAX($Y$9:Y51)+1,"")</f>
        <v/>
      </c>
      <c r="Z52" s="887" t="str">
        <f>IF(AND(AJ52=$Z$8,AK52=$AA$6),MAX($Z$9:Z51)+1,"")</f>
        <v/>
      </c>
      <c r="AA52" s="887" t="str">
        <f>IF(AND(AJ52=$AA$8,AK52=$AA$6),MAX(AA$9:$AA51)+1,"")</f>
        <v/>
      </c>
      <c r="AB52" s="887" t="str">
        <f>IF(AND(AJ52=$AB$8,AK52=$AA$6),MAX(AB$9:$AB51)+1,"")</f>
        <v/>
      </c>
      <c r="AC52" s="887" t="str">
        <f>IF(AND(AJ52=$AC$8,AK52=$AA$6),MAX(AC$9:$AC51)+1,"")</f>
        <v/>
      </c>
      <c r="AD52" s="887" t="str">
        <f>IF(AND(AJ52=$AD$8,AK52=$AA$6),MAX(AD$9:$AD51)+1,"")</f>
        <v/>
      </c>
      <c r="AE52" s="887" t="str">
        <f>IF(AND(AJ52=$AE$8,AK52=$AA$6),MAX(AE$9:$AE51)+1,"")</f>
        <v/>
      </c>
      <c r="AF52" s="887" t="str">
        <f>IF(AND(AJ52=$AF$8,AK52=$AA$6),MAX(AF$9:$AF51)+1,"")</f>
        <v/>
      </c>
      <c r="AG52" s="887" t="str">
        <f>IF(AND(AJ52=$AG$8,AK52=$AB$6),MAX(AG$9:$AG51)+1,"")</f>
        <v/>
      </c>
      <c r="AH52" s="887" t="str">
        <f>IF(AND(AJ52=$AH$8,AK52=$AB$6),MAX(AH$9:$AH51)+1,"")</f>
        <v/>
      </c>
      <c r="AI52" s="920" t="str">
        <f>IF(AND(AJ52=$AI$8,AK52=$AB$6),MAX(AI$9:$AI51)+1,"")</f>
        <v/>
      </c>
      <c r="AJ52" s="887" t="str">
        <f t="shared" si="17"/>
        <v>January</v>
      </c>
      <c r="AK52" s="887">
        <f t="shared" si="18"/>
        <v>1900</v>
      </c>
      <c r="AL52" s="887" t="str">
        <f>'बँक जमा खर्च पासबुक'!B52</f>
        <v/>
      </c>
      <c r="AM52" s="921">
        <f>IFERROR('बँक जमा खर्च पासबुक'!C52,"")</f>
        <v>0</v>
      </c>
      <c r="AN52" s="887">
        <f>'बँक जमा खर्च पासबुक'!D52</f>
        <v>0</v>
      </c>
      <c r="AO52" s="887">
        <f>'बँक जमा खर्च पासबुक'!E52</f>
        <v>0</v>
      </c>
      <c r="AP52" s="887">
        <f>'बँक जमा खर्च पासबुक'!F52</f>
        <v>0</v>
      </c>
      <c r="AQ52" s="887">
        <f>'बँक जमा खर्च पासबुक'!G52</f>
        <v>0</v>
      </c>
      <c r="AR52" s="887">
        <f>'बँक जमा खर्च पासबुक'!H52</f>
        <v>0</v>
      </c>
      <c r="AS52" s="887">
        <f>'बँक जमा खर्च पासबुक'!I52</f>
        <v>0</v>
      </c>
      <c r="AT52" s="887">
        <f>'बँक जमा खर्च पासबुक'!J52</f>
        <v>0</v>
      </c>
      <c r="AU52" s="887">
        <f>'बँक जमा खर्च पासबुक'!K52</f>
        <v>0</v>
      </c>
      <c r="AV52" s="887">
        <f>'बँक जमा खर्च पासबुक'!L52</f>
        <v>0</v>
      </c>
      <c r="AW52" s="887">
        <f>'बँक जमा खर्च पासबुक'!M52</f>
        <v>0</v>
      </c>
      <c r="AX52" s="877"/>
      <c r="AY52" s="877"/>
      <c r="AZ52" s="877"/>
      <c r="BA52" s="877"/>
      <c r="BB52" s="877"/>
      <c r="BC52" s="877"/>
      <c r="BD52" s="877"/>
      <c r="BE52" s="877"/>
      <c r="BF52" s="877"/>
      <c r="BG52" s="877"/>
      <c r="BH52" s="877"/>
    </row>
    <row r="53" spans="22:60" ht="35.25" customHeight="1" x14ac:dyDescent="0.5">
      <c r="V53" s="877"/>
      <c r="W53" s="887" t="str">
        <f t="shared" si="16"/>
        <v>January</v>
      </c>
      <c r="X53" s="887" t="str">
        <f>IF(AND(AJ53=$X$8,AK53=$AA$6),MAX($X$9:X52)+1,"")</f>
        <v/>
      </c>
      <c r="Y53" s="887" t="str">
        <f>IF(AND(AJ53=$Y$8,AK53=$AA$6),MAX($Y$9:Y52)+1,"")</f>
        <v/>
      </c>
      <c r="Z53" s="887" t="str">
        <f>IF(AND(AJ53=$Z$8,AK53=$AA$6),MAX($Z$9:Z52)+1,"")</f>
        <v/>
      </c>
      <c r="AA53" s="887" t="str">
        <f>IF(AND(AJ53=$AA$8,AK53=$AA$6),MAX(AA$9:$AA52)+1,"")</f>
        <v/>
      </c>
      <c r="AB53" s="887" t="str">
        <f>IF(AND(AJ53=$AB$8,AK53=$AA$6),MAX(AB$9:$AB52)+1,"")</f>
        <v/>
      </c>
      <c r="AC53" s="887" t="str">
        <f>IF(AND(AJ53=$AC$8,AK53=$AA$6),MAX(AC$9:$AC52)+1,"")</f>
        <v/>
      </c>
      <c r="AD53" s="887" t="str">
        <f>IF(AND(AJ53=$AD$8,AK53=$AA$6),MAX(AD$9:$AD52)+1,"")</f>
        <v/>
      </c>
      <c r="AE53" s="887" t="str">
        <f>IF(AND(AJ53=$AE$8,AK53=$AA$6),MAX(AE$9:$AE52)+1,"")</f>
        <v/>
      </c>
      <c r="AF53" s="887" t="str">
        <f>IF(AND(AJ53=$AF$8,AK53=$AA$6),MAX(AF$9:$AF52)+1,"")</f>
        <v/>
      </c>
      <c r="AG53" s="887" t="str">
        <f>IF(AND(AJ53=$AG$8,AK53=$AB$6),MAX(AG$9:$AG52)+1,"")</f>
        <v/>
      </c>
      <c r="AH53" s="887" t="str">
        <f>IF(AND(AJ53=$AH$8,AK53=$AB$6),MAX(AH$9:$AH52)+1,"")</f>
        <v/>
      </c>
      <c r="AI53" s="920" t="str">
        <f>IF(AND(AJ53=$AI$8,AK53=$AB$6),MAX(AI$9:$AI52)+1,"")</f>
        <v/>
      </c>
      <c r="AJ53" s="887" t="str">
        <f t="shared" si="17"/>
        <v>January</v>
      </c>
      <c r="AK53" s="887">
        <f t="shared" si="18"/>
        <v>1900</v>
      </c>
      <c r="AL53" s="887" t="str">
        <f>'बँक जमा खर्च पासबुक'!B53</f>
        <v/>
      </c>
      <c r="AM53" s="921">
        <f>IFERROR('बँक जमा खर्च पासबुक'!C53,"")</f>
        <v>0</v>
      </c>
      <c r="AN53" s="887">
        <f>'बँक जमा खर्च पासबुक'!D53</f>
        <v>0</v>
      </c>
      <c r="AO53" s="887">
        <f>'बँक जमा खर्च पासबुक'!E53</f>
        <v>0</v>
      </c>
      <c r="AP53" s="887">
        <f>'बँक जमा खर्च पासबुक'!F53</f>
        <v>0</v>
      </c>
      <c r="AQ53" s="887">
        <f>'बँक जमा खर्च पासबुक'!G53</f>
        <v>0</v>
      </c>
      <c r="AR53" s="887">
        <f>'बँक जमा खर्च पासबुक'!H53</f>
        <v>0</v>
      </c>
      <c r="AS53" s="887">
        <f>'बँक जमा खर्च पासबुक'!I53</f>
        <v>0</v>
      </c>
      <c r="AT53" s="887">
        <f>'बँक जमा खर्च पासबुक'!J53</f>
        <v>0</v>
      </c>
      <c r="AU53" s="887">
        <f>'बँक जमा खर्च पासबुक'!K53</f>
        <v>0</v>
      </c>
      <c r="AV53" s="887">
        <f>'बँक जमा खर्च पासबुक'!L53</f>
        <v>0</v>
      </c>
      <c r="AW53" s="887">
        <f>'बँक जमा खर्च पासबुक'!M53</f>
        <v>0</v>
      </c>
      <c r="AX53" s="877"/>
      <c r="AY53" s="877"/>
      <c r="AZ53" s="877"/>
      <c r="BA53" s="877"/>
      <c r="BB53" s="877"/>
      <c r="BC53" s="877"/>
      <c r="BD53" s="877"/>
      <c r="BE53" s="877"/>
      <c r="BF53" s="877"/>
      <c r="BG53" s="877"/>
      <c r="BH53" s="877"/>
    </row>
    <row r="54" spans="22:60" ht="35.25" customHeight="1" x14ac:dyDescent="0.5">
      <c r="V54" s="877"/>
      <c r="W54" s="887" t="str">
        <f t="shared" si="16"/>
        <v>January</v>
      </c>
      <c r="X54" s="887" t="str">
        <f>IF(AND(AJ54=$X$8,AK54=$AA$6),MAX($X$9:X53)+1,"")</f>
        <v/>
      </c>
      <c r="Y54" s="887" t="str">
        <f>IF(AND(AJ54=$Y$8,AK54=$AA$6),MAX($Y$9:Y53)+1,"")</f>
        <v/>
      </c>
      <c r="Z54" s="887" t="str">
        <f>IF(AND(AJ54=$Z$8,AK54=$AA$6),MAX($Z$9:Z53)+1,"")</f>
        <v/>
      </c>
      <c r="AA54" s="887" t="str">
        <f>IF(AND(AJ54=$AA$8,AK54=$AA$6),MAX(AA$9:$AA53)+1,"")</f>
        <v/>
      </c>
      <c r="AB54" s="887" t="str">
        <f>IF(AND(AJ54=$AB$8,AK54=$AA$6),MAX(AB$9:$AB53)+1,"")</f>
        <v/>
      </c>
      <c r="AC54" s="887" t="str">
        <f>IF(AND(AJ54=$AC$8,AK54=$AA$6),MAX(AC$9:$AC53)+1,"")</f>
        <v/>
      </c>
      <c r="AD54" s="887" t="str">
        <f>IF(AND(AJ54=$AD$8,AK54=$AA$6),MAX(AD$9:$AD53)+1,"")</f>
        <v/>
      </c>
      <c r="AE54" s="887" t="str">
        <f>IF(AND(AJ54=$AE$8,AK54=$AA$6),MAX(AE$9:$AE53)+1,"")</f>
        <v/>
      </c>
      <c r="AF54" s="887" t="str">
        <f>IF(AND(AJ54=$AF$8,AK54=$AA$6),MAX(AF$9:$AF53)+1,"")</f>
        <v/>
      </c>
      <c r="AG54" s="887" t="str">
        <f>IF(AND(AJ54=$AG$8,AK54=$AB$6),MAX(AG$9:$AG53)+1,"")</f>
        <v/>
      </c>
      <c r="AH54" s="887" t="str">
        <f>IF(AND(AJ54=$AH$8,AK54=$AB$6),MAX(AH$9:$AH53)+1,"")</f>
        <v/>
      </c>
      <c r="AI54" s="920" t="str">
        <f>IF(AND(AJ54=$AI$8,AK54=$AB$6),MAX(AI$9:$AI53)+1,"")</f>
        <v/>
      </c>
      <c r="AJ54" s="887" t="str">
        <f t="shared" si="17"/>
        <v>January</v>
      </c>
      <c r="AK54" s="887">
        <f t="shared" si="18"/>
        <v>1900</v>
      </c>
      <c r="AL54" s="887" t="str">
        <f>'बँक जमा खर्च पासबुक'!B54</f>
        <v/>
      </c>
      <c r="AM54" s="921">
        <f>IFERROR('बँक जमा खर्च पासबुक'!C54,"")</f>
        <v>0</v>
      </c>
      <c r="AN54" s="887">
        <f>'बँक जमा खर्च पासबुक'!D54</f>
        <v>0</v>
      </c>
      <c r="AO54" s="887">
        <f>'बँक जमा खर्च पासबुक'!E54</f>
        <v>0</v>
      </c>
      <c r="AP54" s="887">
        <f>'बँक जमा खर्च पासबुक'!F54</f>
        <v>0</v>
      </c>
      <c r="AQ54" s="887">
        <f>'बँक जमा खर्च पासबुक'!G54</f>
        <v>0</v>
      </c>
      <c r="AR54" s="887">
        <f>'बँक जमा खर्च पासबुक'!H54</f>
        <v>0</v>
      </c>
      <c r="AS54" s="887">
        <f>'बँक जमा खर्च पासबुक'!I54</f>
        <v>0</v>
      </c>
      <c r="AT54" s="887">
        <f>'बँक जमा खर्च पासबुक'!J54</f>
        <v>0</v>
      </c>
      <c r="AU54" s="887">
        <f>'बँक जमा खर्च पासबुक'!K54</f>
        <v>0</v>
      </c>
      <c r="AV54" s="887">
        <f>'बँक जमा खर्च पासबुक'!L54</f>
        <v>0</v>
      </c>
      <c r="AW54" s="887">
        <f>'बँक जमा खर्च पासबुक'!M54</f>
        <v>0</v>
      </c>
      <c r="AX54" s="877"/>
      <c r="AY54" s="877"/>
      <c r="AZ54" s="877"/>
      <c r="BA54" s="877"/>
      <c r="BB54" s="877"/>
      <c r="BC54" s="877"/>
      <c r="BD54" s="877"/>
      <c r="BE54" s="877"/>
      <c r="BF54" s="877"/>
      <c r="BG54" s="877"/>
      <c r="BH54" s="877"/>
    </row>
    <row r="55" spans="22:60" ht="35.25" customHeight="1" x14ac:dyDescent="0.5">
      <c r="V55" s="877"/>
      <c r="W55" s="887" t="str">
        <f t="shared" si="16"/>
        <v>January</v>
      </c>
      <c r="X55" s="887" t="str">
        <f>IF(AND(AJ55=$X$8,AK55=$AA$6),MAX($X$9:X54)+1,"")</f>
        <v/>
      </c>
      <c r="Y55" s="887" t="str">
        <f>IF(AND(AJ55=$Y$8,AK55=$AA$6),MAX($Y$9:Y54)+1,"")</f>
        <v/>
      </c>
      <c r="Z55" s="887" t="str">
        <f>IF(AND(AJ55=$Z$8,AK55=$AA$6),MAX($Z$9:Z54)+1,"")</f>
        <v/>
      </c>
      <c r="AA55" s="887" t="str">
        <f>IF(AND(AJ55=$AA$8,AK55=$AA$6),MAX(AA$9:$AA54)+1,"")</f>
        <v/>
      </c>
      <c r="AB55" s="887" t="str">
        <f>IF(AND(AJ55=$AB$8,AK55=$AA$6),MAX(AB$9:$AB54)+1,"")</f>
        <v/>
      </c>
      <c r="AC55" s="887" t="str">
        <f>IF(AND(AJ55=$AC$8,AK55=$AA$6),MAX(AC$9:$AC54)+1,"")</f>
        <v/>
      </c>
      <c r="AD55" s="887" t="str">
        <f>IF(AND(AJ55=$AD$8,AK55=$AA$6),MAX(AD$9:$AD54)+1,"")</f>
        <v/>
      </c>
      <c r="AE55" s="887" t="str">
        <f>IF(AND(AJ55=$AE$8,AK55=$AA$6),MAX(AE$9:$AE54)+1,"")</f>
        <v/>
      </c>
      <c r="AF55" s="887" t="str">
        <f>IF(AND(AJ55=$AF$8,AK55=$AA$6),MAX(AF$9:$AF54)+1,"")</f>
        <v/>
      </c>
      <c r="AG55" s="887" t="str">
        <f>IF(AND(AJ55=$AG$8,AK55=$AB$6),MAX(AG$9:$AG54)+1,"")</f>
        <v/>
      </c>
      <c r="AH55" s="887" t="str">
        <f>IF(AND(AJ55=$AH$8,AK55=$AB$6),MAX(AH$9:$AH54)+1,"")</f>
        <v/>
      </c>
      <c r="AI55" s="920" t="str">
        <f>IF(AND(AJ55=$AI$8,AK55=$AB$6),MAX(AI$9:$AI54)+1,"")</f>
        <v/>
      </c>
      <c r="AJ55" s="887" t="str">
        <f t="shared" si="17"/>
        <v>January</v>
      </c>
      <c r="AK55" s="887">
        <f t="shared" si="18"/>
        <v>1900</v>
      </c>
      <c r="AL55" s="887" t="str">
        <f>'बँक जमा खर्च पासबुक'!B55</f>
        <v/>
      </c>
      <c r="AM55" s="921">
        <f>IFERROR('बँक जमा खर्च पासबुक'!C55,"")</f>
        <v>0</v>
      </c>
      <c r="AN55" s="887">
        <f>'बँक जमा खर्च पासबुक'!D55</f>
        <v>0</v>
      </c>
      <c r="AO55" s="887">
        <f>'बँक जमा खर्च पासबुक'!E55</f>
        <v>0</v>
      </c>
      <c r="AP55" s="887">
        <f>'बँक जमा खर्च पासबुक'!F55</f>
        <v>0</v>
      </c>
      <c r="AQ55" s="887">
        <f>'बँक जमा खर्च पासबुक'!G55</f>
        <v>0</v>
      </c>
      <c r="AR55" s="887">
        <f>'बँक जमा खर्च पासबुक'!H55</f>
        <v>0</v>
      </c>
      <c r="AS55" s="887">
        <f>'बँक जमा खर्च पासबुक'!I55</f>
        <v>0</v>
      </c>
      <c r="AT55" s="887">
        <f>'बँक जमा खर्च पासबुक'!J55</f>
        <v>0</v>
      </c>
      <c r="AU55" s="887">
        <f>'बँक जमा खर्च पासबुक'!K55</f>
        <v>0</v>
      </c>
      <c r="AV55" s="887">
        <f>'बँक जमा खर्च पासबुक'!L55</f>
        <v>0</v>
      </c>
      <c r="AW55" s="887">
        <f>'बँक जमा खर्च पासबुक'!M55</f>
        <v>0</v>
      </c>
      <c r="AX55" s="877"/>
      <c r="AY55" s="877"/>
      <c r="AZ55" s="877"/>
      <c r="BA55" s="877"/>
      <c r="BB55" s="877"/>
      <c r="BC55" s="877"/>
      <c r="BD55" s="877"/>
      <c r="BE55" s="877"/>
      <c r="BF55" s="877"/>
      <c r="BG55" s="877"/>
      <c r="BH55" s="877"/>
    </row>
    <row r="56" spans="22:60" ht="35.25" customHeight="1" x14ac:dyDescent="0.5">
      <c r="V56" s="877"/>
      <c r="W56" s="887" t="str">
        <f t="shared" si="16"/>
        <v>January</v>
      </c>
      <c r="X56" s="887" t="str">
        <f>IF(AND(AJ56=$X$8,AK56=$AA$6),MAX($X$9:X55)+1,"")</f>
        <v/>
      </c>
      <c r="Y56" s="887" t="str">
        <f>IF(AND(AJ56=$Y$8,AK56=$AA$6),MAX($Y$9:Y55)+1,"")</f>
        <v/>
      </c>
      <c r="Z56" s="887" t="str">
        <f>IF(AND(AJ56=$Z$8,AK56=$AA$6),MAX($Z$9:Z55)+1,"")</f>
        <v/>
      </c>
      <c r="AA56" s="887" t="str">
        <f>IF(AND(AJ56=$AA$8,AK56=$AA$6),MAX(AA$9:$AA55)+1,"")</f>
        <v/>
      </c>
      <c r="AB56" s="887" t="str">
        <f>IF(AND(AJ56=$AB$8,AK56=$AA$6),MAX(AB$9:$AB55)+1,"")</f>
        <v/>
      </c>
      <c r="AC56" s="887" t="str">
        <f>IF(AND(AJ56=$AC$8,AK56=$AA$6),MAX(AC$9:$AC55)+1,"")</f>
        <v/>
      </c>
      <c r="AD56" s="887" t="str">
        <f>IF(AND(AJ56=$AD$8,AK56=$AA$6),MAX(AD$9:$AD55)+1,"")</f>
        <v/>
      </c>
      <c r="AE56" s="887" t="str">
        <f>IF(AND(AJ56=$AE$8,AK56=$AA$6),MAX(AE$9:$AE55)+1,"")</f>
        <v/>
      </c>
      <c r="AF56" s="887" t="str">
        <f>IF(AND(AJ56=$AF$8,AK56=$AA$6),MAX(AF$9:$AF55)+1,"")</f>
        <v/>
      </c>
      <c r="AG56" s="887" t="str">
        <f>IF(AND(AJ56=$AG$8,AK56=$AB$6),MAX(AG$9:$AG55)+1,"")</f>
        <v/>
      </c>
      <c r="AH56" s="887" t="str">
        <f>IF(AND(AJ56=$AH$8,AK56=$AB$6),MAX(AH$9:$AH55)+1,"")</f>
        <v/>
      </c>
      <c r="AI56" s="920" t="str">
        <f>IF(AND(AJ56=$AI$8,AK56=$AB$6),MAX(AI$9:$AI55)+1,"")</f>
        <v/>
      </c>
      <c r="AJ56" s="887" t="str">
        <f t="shared" si="17"/>
        <v>January</v>
      </c>
      <c r="AK56" s="887">
        <f t="shared" si="18"/>
        <v>1900</v>
      </c>
      <c r="AL56" s="887" t="str">
        <f>'बँक जमा खर्च पासबुक'!B56</f>
        <v/>
      </c>
      <c r="AM56" s="921">
        <f>IFERROR('बँक जमा खर्च पासबुक'!C56,"")</f>
        <v>0</v>
      </c>
      <c r="AN56" s="887">
        <f>'बँक जमा खर्च पासबुक'!D56</f>
        <v>0</v>
      </c>
      <c r="AO56" s="887">
        <f>'बँक जमा खर्च पासबुक'!E56</f>
        <v>0</v>
      </c>
      <c r="AP56" s="887">
        <f>'बँक जमा खर्च पासबुक'!F56</f>
        <v>0</v>
      </c>
      <c r="AQ56" s="887">
        <f>'बँक जमा खर्च पासबुक'!G56</f>
        <v>0</v>
      </c>
      <c r="AR56" s="887">
        <f>'बँक जमा खर्च पासबुक'!H56</f>
        <v>0</v>
      </c>
      <c r="AS56" s="887">
        <f>'बँक जमा खर्च पासबुक'!I56</f>
        <v>0</v>
      </c>
      <c r="AT56" s="887">
        <f>'बँक जमा खर्च पासबुक'!J56</f>
        <v>0</v>
      </c>
      <c r="AU56" s="887">
        <f>'बँक जमा खर्च पासबुक'!K56</f>
        <v>0</v>
      </c>
      <c r="AV56" s="887">
        <f>'बँक जमा खर्च पासबुक'!L56</f>
        <v>0</v>
      </c>
      <c r="AW56" s="887">
        <f>'बँक जमा खर्च पासबुक'!M56</f>
        <v>0</v>
      </c>
      <c r="AX56" s="877"/>
      <c r="AY56" s="877"/>
      <c r="AZ56" s="877"/>
      <c r="BA56" s="877"/>
      <c r="BB56" s="877"/>
      <c r="BC56" s="877"/>
      <c r="BD56" s="877"/>
      <c r="BE56" s="877"/>
      <c r="BF56" s="877"/>
      <c r="BG56" s="877"/>
      <c r="BH56" s="877"/>
    </row>
    <row r="57" spans="22:60" ht="35.25" customHeight="1" x14ac:dyDescent="0.5">
      <c r="V57" s="877"/>
      <c r="W57" s="887" t="str">
        <f t="shared" si="16"/>
        <v>January</v>
      </c>
      <c r="X57" s="887" t="str">
        <f>IF(AND(AJ57=$X$8,AK57=$AA$6),MAX($X$9:X56)+1,"")</f>
        <v/>
      </c>
      <c r="Y57" s="887" t="str">
        <f>IF(AND(AJ57=$Y$8,AK57=$AA$6),MAX($Y$9:Y56)+1,"")</f>
        <v/>
      </c>
      <c r="Z57" s="887" t="str">
        <f>IF(AND(AJ57=$Z$8,AK57=$AA$6),MAX($Z$9:Z56)+1,"")</f>
        <v/>
      </c>
      <c r="AA57" s="887" t="str">
        <f>IF(AND(AJ57=$AA$8,AK57=$AA$6),MAX(AA$9:$AA56)+1,"")</f>
        <v/>
      </c>
      <c r="AB57" s="887" t="str">
        <f>IF(AND(AJ57=$AB$8,AK57=$AA$6),MAX(AB$9:$AB56)+1,"")</f>
        <v/>
      </c>
      <c r="AC57" s="887" t="str">
        <f>IF(AND(AJ57=$AC$8,AK57=$AA$6),MAX(AC$9:$AC56)+1,"")</f>
        <v/>
      </c>
      <c r="AD57" s="887" t="str">
        <f>IF(AND(AJ57=$AD$8,AK57=$AA$6),MAX(AD$9:$AD56)+1,"")</f>
        <v/>
      </c>
      <c r="AE57" s="887" t="str">
        <f>IF(AND(AJ57=$AE$8,AK57=$AA$6),MAX(AE$9:$AE56)+1,"")</f>
        <v/>
      </c>
      <c r="AF57" s="887" t="str">
        <f>IF(AND(AJ57=$AF$8,AK57=$AA$6),MAX(AF$9:$AF56)+1,"")</f>
        <v/>
      </c>
      <c r="AG57" s="887" t="str">
        <f>IF(AND(AJ57=$AG$8,AK57=$AB$6),MAX(AG$9:$AG56)+1,"")</f>
        <v/>
      </c>
      <c r="AH57" s="887" t="str">
        <f>IF(AND(AJ57=$AH$8,AK57=$AB$6),MAX(AH$9:$AH56)+1,"")</f>
        <v/>
      </c>
      <c r="AI57" s="920" t="str">
        <f>IF(AND(AJ57=$AI$8,AK57=$AB$6),MAX(AI$9:$AI56)+1,"")</f>
        <v/>
      </c>
      <c r="AJ57" s="887" t="str">
        <f t="shared" si="17"/>
        <v>January</v>
      </c>
      <c r="AK57" s="887">
        <f t="shared" si="18"/>
        <v>1900</v>
      </c>
      <c r="AL57" s="887" t="str">
        <f>'बँक जमा खर्च पासबुक'!B57</f>
        <v/>
      </c>
      <c r="AM57" s="921">
        <f>IFERROR('बँक जमा खर्च पासबुक'!C57,"")</f>
        <v>0</v>
      </c>
      <c r="AN57" s="887">
        <f>'बँक जमा खर्च पासबुक'!D57</f>
        <v>0</v>
      </c>
      <c r="AO57" s="887">
        <f>'बँक जमा खर्च पासबुक'!E57</f>
        <v>0</v>
      </c>
      <c r="AP57" s="887">
        <f>'बँक जमा खर्च पासबुक'!F57</f>
        <v>0</v>
      </c>
      <c r="AQ57" s="887">
        <f>'बँक जमा खर्च पासबुक'!G57</f>
        <v>0</v>
      </c>
      <c r="AR57" s="887">
        <f>'बँक जमा खर्च पासबुक'!H57</f>
        <v>0</v>
      </c>
      <c r="AS57" s="887">
        <f>'बँक जमा खर्च पासबुक'!I57</f>
        <v>0</v>
      </c>
      <c r="AT57" s="887">
        <f>'बँक जमा खर्च पासबुक'!J57</f>
        <v>0</v>
      </c>
      <c r="AU57" s="887">
        <f>'बँक जमा खर्च पासबुक'!K57</f>
        <v>0</v>
      </c>
      <c r="AV57" s="887">
        <f>'बँक जमा खर्च पासबुक'!L57</f>
        <v>0</v>
      </c>
      <c r="AW57" s="887">
        <f>'बँक जमा खर्च पासबुक'!M57</f>
        <v>0</v>
      </c>
      <c r="AX57" s="877"/>
      <c r="AY57" s="877"/>
      <c r="AZ57" s="877"/>
      <c r="BA57" s="877"/>
      <c r="BB57" s="877"/>
      <c r="BC57" s="877"/>
      <c r="BD57" s="877"/>
      <c r="BE57" s="877"/>
      <c r="BF57" s="877"/>
      <c r="BG57" s="877"/>
      <c r="BH57" s="877"/>
    </row>
    <row r="58" spans="22:60" ht="35.25" customHeight="1" x14ac:dyDescent="0.5">
      <c r="V58" s="877"/>
      <c r="W58" s="887" t="str">
        <f t="shared" si="16"/>
        <v>January</v>
      </c>
      <c r="X58" s="887" t="str">
        <f>IF(AND(AJ58=$X$8,AK58=$AA$6),MAX($X$9:X57)+1,"")</f>
        <v/>
      </c>
      <c r="Y58" s="887" t="str">
        <f>IF(AND(AJ58=$Y$8,AK58=$AA$6),MAX($Y$9:Y57)+1,"")</f>
        <v/>
      </c>
      <c r="Z58" s="887" t="str">
        <f>IF(AND(AJ58=$Z$8,AK58=$AA$6),MAX($Z$9:Z57)+1,"")</f>
        <v/>
      </c>
      <c r="AA58" s="887" t="str">
        <f>IF(AND(AJ58=$AA$8,AK58=$AA$6),MAX(AA$9:$AA57)+1,"")</f>
        <v/>
      </c>
      <c r="AB58" s="887" t="str">
        <f>IF(AND(AJ58=$AB$8,AK58=$AA$6),MAX(AB$9:$AB57)+1,"")</f>
        <v/>
      </c>
      <c r="AC58" s="887" t="str">
        <f>IF(AND(AJ58=$AC$8,AK58=$AA$6),MAX(AC$9:$AC57)+1,"")</f>
        <v/>
      </c>
      <c r="AD58" s="887" t="str">
        <f>IF(AND(AJ58=$AD$8,AK58=$AA$6),MAX(AD$9:$AD57)+1,"")</f>
        <v/>
      </c>
      <c r="AE58" s="887" t="str">
        <f>IF(AND(AJ58=$AE$8,AK58=$AA$6),MAX(AE$9:$AE57)+1,"")</f>
        <v/>
      </c>
      <c r="AF58" s="887" t="str">
        <f>IF(AND(AJ58=$AF$8,AK58=$AA$6),MAX(AF$9:$AF57)+1,"")</f>
        <v/>
      </c>
      <c r="AG58" s="887" t="str">
        <f>IF(AND(AJ58=$AG$8,AK58=$AB$6),MAX(AG$9:$AG57)+1,"")</f>
        <v/>
      </c>
      <c r="AH58" s="887" t="str">
        <f>IF(AND(AJ58=$AH$8,AK58=$AB$6),MAX(AH$9:$AH57)+1,"")</f>
        <v/>
      </c>
      <c r="AI58" s="920" t="str">
        <f>IF(AND(AJ58=$AI$8,AK58=$AB$6),MAX(AI$9:$AI57)+1,"")</f>
        <v/>
      </c>
      <c r="AJ58" s="887" t="str">
        <f t="shared" si="17"/>
        <v>January</v>
      </c>
      <c r="AK58" s="887">
        <f t="shared" si="18"/>
        <v>1900</v>
      </c>
      <c r="AL58" s="887" t="str">
        <f>'बँक जमा खर्च पासबुक'!B58</f>
        <v/>
      </c>
      <c r="AM58" s="921">
        <f>IFERROR('बँक जमा खर्च पासबुक'!C58,"")</f>
        <v>0</v>
      </c>
      <c r="AN58" s="887">
        <f>'बँक जमा खर्च पासबुक'!D58</f>
        <v>0</v>
      </c>
      <c r="AO58" s="887">
        <f>'बँक जमा खर्च पासबुक'!E58</f>
        <v>0</v>
      </c>
      <c r="AP58" s="887">
        <f>'बँक जमा खर्च पासबुक'!F58</f>
        <v>0</v>
      </c>
      <c r="AQ58" s="887">
        <f>'बँक जमा खर्च पासबुक'!G58</f>
        <v>0</v>
      </c>
      <c r="AR58" s="887">
        <f>'बँक जमा खर्च पासबुक'!H58</f>
        <v>0</v>
      </c>
      <c r="AS58" s="887">
        <f>'बँक जमा खर्च पासबुक'!I58</f>
        <v>0</v>
      </c>
      <c r="AT58" s="887">
        <f>'बँक जमा खर्च पासबुक'!J58</f>
        <v>0</v>
      </c>
      <c r="AU58" s="887">
        <f>'बँक जमा खर्च पासबुक'!K58</f>
        <v>0</v>
      </c>
      <c r="AV58" s="887">
        <f>'बँक जमा खर्च पासबुक'!L58</f>
        <v>0</v>
      </c>
      <c r="AW58" s="887">
        <f>'बँक जमा खर्च पासबुक'!M58</f>
        <v>0</v>
      </c>
      <c r="AX58" s="877"/>
      <c r="AY58" s="877"/>
      <c r="AZ58" s="877"/>
      <c r="BA58" s="877"/>
      <c r="BB58" s="877"/>
      <c r="BC58" s="877"/>
      <c r="BD58" s="877"/>
      <c r="BE58" s="877"/>
      <c r="BF58" s="877"/>
      <c r="BG58" s="877"/>
      <c r="BH58" s="877"/>
    </row>
    <row r="59" spans="22:60" ht="35.25" customHeight="1" x14ac:dyDescent="0.5">
      <c r="V59" s="877"/>
      <c r="W59" s="887" t="str">
        <f t="shared" si="16"/>
        <v>January</v>
      </c>
      <c r="X59" s="887" t="str">
        <f>IF(AND(AJ59=$X$8,AK59=$AA$6),MAX($X$9:X58)+1,"")</f>
        <v/>
      </c>
      <c r="Y59" s="887" t="str">
        <f>IF(AND(AJ59=$Y$8,AK59=$AA$6),MAX($Y$9:Y58)+1,"")</f>
        <v/>
      </c>
      <c r="Z59" s="887" t="str">
        <f>IF(AND(AJ59=$Z$8,AK59=$AA$6),MAX($Z$9:Z58)+1,"")</f>
        <v/>
      </c>
      <c r="AA59" s="887" t="str">
        <f>IF(AND(AJ59=$AA$8,AK59=$AA$6),MAX(AA$9:$AA58)+1,"")</f>
        <v/>
      </c>
      <c r="AB59" s="887" t="str">
        <f>IF(AND(AJ59=$AB$8,AK59=$AA$6),MAX(AB$9:$AB58)+1,"")</f>
        <v/>
      </c>
      <c r="AC59" s="887" t="str">
        <f>IF(AND(AJ59=$AC$8,AK59=$AA$6),MAX(AC$9:$AC58)+1,"")</f>
        <v/>
      </c>
      <c r="AD59" s="887" t="str">
        <f>IF(AND(AJ59=$AD$8,AK59=$AA$6),MAX(AD$9:$AD58)+1,"")</f>
        <v/>
      </c>
      <c r="AE59" s="887" t="str">
        <f>IF(AND(AJ59=$AE$8,AK59=$AA$6),MAX(AE$9:$AE58)+1,"")</f>
        <v/>
      </c>
      <c r="AF59" s="887" t="str">
        <f>IF(AND(AJ59=$AF$8,AK59=$AA$6),MAX(AF$9:$AF58)+1,"")</f>
        <v/>
      </c>
      <c r="AG59" s="887" t="str">
        <f>IF(AND(AJ59=$AG$8,AK59=$AB$6),MAX(AG$9:$AG58)+1,"")</f>
        <v/>
      </c>
      <c r="AH59" s="887" t="str">
        <f>IF(AND(AJ59=$AH$8,AK59=$AB$6),MAX(AH$9:$AH58)+1,"")</f>
        <v/>
      </c>
      <c r="AI59" s="920" t="str">
        <f>IF(AND(AJ59=$AI$8,AK59=$AB$6),MAX(AI$9:$AI58)+1,"")</f>
        <v/>
      </c>
      <c r="AJ59" s="887" t="str">
        <f t="shared" si="17"/>
        <v>January</v>
      </c>
      <c r="AK59" s="887">
        <f t="shared" si="18"/>
        <v>1900</v>
      </c>
      <c r="AL59" s="887" t="str">
        <f>'बँक जमा खर्च पासबुक'!B59</f>
        <v/>
      </c>
      <c r="AM59" s="921">
        <f>IFERROR('बँक जमा खर्च पासबुक'!C59,"")</f>
        <v>0</v>
      </c>
      <c r="AN59" s="887">
        <f>'बँक जमा खर्च पासबुक'!D59</f>
        <v>0</v>
      </c>
      <c r="AO59" s="887">
        <f>'बँक जमा खर्च पासबुक'!E59</f>
        <v>0</v>
      </c>
      <c r="AP59" s="887">
        <f>'बँक जमा खर्च पासबुक'!F59</f>
        <v>0</v>
      </c>
      <c r="AQ59" s="887">
        <f>'बँक जमा खर्च पासबुक'!G59</f>
        <v>0</v>
      </c>
      <c r="AR59" s="887">
        <f>'बँक जमा खर्च पासबुक'!H59</f>
        <v>0</v>
      </c>
      <c r="AS59" s="887">
        <f>'बँक जमा खर्च पासबुक'!I59</f>
        <v>0</v>
      </c>
      <c r="AT59" s="887">
        <f>'बँक जमा खर्च पासबुक'!J59</f>
        <v>0</v>
      </c>
      <c r="AU59" s="887">
        <f>'बँक जमा खर्च पासबुक'!K59</f>
        <v>0</v>
      </c>
      <c r="AV59" s="887">
        <f>'बँक जमा खर्च पासबुक'!L59</f>
        <v>0</v>
      </c>
      <c r="AW59" s="887">
        <f>'बँक जमा खर्च पासबुक'!M59</f>
        <v>0</v>
      </c>
      <c r="AX59" s="877"/>
      <c r="AY59" s="877"/>
      <c r="AZ59" s="877"/>
      <c r="BA59" s="877"/>
      <c r="BB59" s="877"/>
      <c r="BC59" s="877"/>
      <c r="BD59" s="877"/>
      <c r="BE59" s="877"/>
      <c r="BF59" s="877"/>
      <c r="BG59" s="877"/>
      <c r="BH59" s="877"/>
    </row>
    <row r="60" spans="22:60" ht="35.25" customHeight="1" x14ac:dyDescent="0.5">
      <c r="V60" s="877"/>
      <c r="W60" s="887" t="str">
        <f t="shared" si="16"/>
        <v>January</v>
      </c>
      <c r="X60" s="887" t="str">
        <f>IF(AND(AJ60=$X$8,AK60=$AA$6),MAX($X$9:X59)+1,"")</f>
        <v/>
      </c>
      <c r="Y60" s="887" t="str">
        <f>IF(AND(AJ60=$Y$8,AK60=$AA$6),MAX($Y$9:Y59)+1,"")</f>
        <v/>
      </c>
      <c r="Z60" s="887" t="str">
        <f>IF(AND(AJ60=$Z$8,AK60=$AA$6),MAX($Z$9:Z59)+1,"")</f>
        <v/>
      </c>
      <c r="AA60" s="887" t="str">
        <f>IF(AND(AJ60=$AA$8,AK60=$AA$6),MAX(AA$9:$AA59)+1,"")</f>
        <v/>
      </c>
      <c r="AB60" s="887" t="str">
        <f>IF(AND(AJ60=$AB$8,AK60=$AA$6),MAX(AB$9:$AB59)+1,"")</f>
        <v/>
      </c>
      <c r="AC60" s="887" t="str">
        <f>IF(AND(AJ60=$AC$8,AK60=$AA$6),MAX(AC$9:$AC59)+1,"")</f>
        <v/>
      </c>
      <c r="AD60" s="887" t="str">
        <f>IF(AND(AJ60=$AD$8,AK60=$AA$6),MAX(AD$9:$AD59)+1,"")</f>
        <v/>
      </c>
      <c r="AE60" s="887" t="str">
        <f>IF(AND(AJ60=$AE$8,AK60=$AA$6),MAX(AE$9:$AE59)+1,"")</f>
        <v/>
      </c>
      <c r="AF60" s="887" t="str">
        <f>IF(AND(AJ60=$AF$8,AK60=$AA$6),MAX(AF$9:$AF59)+1,"")</f>
        <v/>
      </c>
      <c r="AG60" s="887" t="str">
        <f>IF(AND(AJ60=$AG$8,AK60=$AB$6),MAX(AG$9:$AG59)+1,"")</f>
        <v/>
      </c>
      <c r="AH60" s="887" t="str">
        <f>IF(AND(AJ60=$AH$8,AK60=$AB$6),MAX(AH$9:$AH59)+1,"")</f>
        <v/>
      </c>
      <c r="AI60" s="920" t="str">
        <f>IF(AND(AJ60=$AI$8,AK60=$AB$6),MAX(AI$9:$AI59)+1,"")</f>
        <v/>
      </c>
      <c r="AJ60" s="887" t="str">
        <f t="shared" si="17"/>
        <v>January</v>
      </c>
      <c r="AK60" s="887">
        <f t="shared" si="18"/>
        <v>1900</v>
      </c>
      <c r="AL60" s="887" t="str">
        <f>'बँक जमा खर्च पासबुक'!B60</f>
        <v/>
      </c>
      <c r="AM60" s="921">
        <f>IFERROR('बँक जमा खर्च पासबुक'!C60,"")</f>
        <v>0</v>
      </c>
      <c r="AN60" s="887">
        <f>'बँक जमा खर्च पासबुक'!D60</f>
        <v>0</v>
      </c>
      <c r="AO60" s="887">
        <f>'बँक जमा खर्च पासबुक'!E60</f>
        <v>0</v>
      </c>
      <c r="AP60" s="887">
        <f>'बँक जमा खर्च पासबुक'!F60</f>
        <v>0</v>
      </c>
      <c r="AQ60" s="887">
        <f>'बँक जमा खर्च पासबुक'!G60</f>
        <v>0</v>
      </c>
      <c r="AR60" s="887">
        <f>'बँक जमा खर्च पासबुक'!H60</f>
        <v>0</v>
      </c>
      <c r="AS60" s="887">
        <f>'बँक जमा खर्च पासबुक'!I60</f>
        <v>0</v>
      </c>
      <c r="AT60" s="887">
        <f>'बँक जमा खर्च पासबुक'!J60</f>
        <v>0</v>
      </c>
      <c r="AU60" s="887">
        <f>'बँक जमा खर्च पासबुक'!K60</f>
        <v>0</v>
      </c>
      <c r="AV60" s="887">
        <f>'बँक जमा खर्च पासबुक'!L60</f>
        <v>0</v>
      </c>
      <c r="AW60" s="887">
        <f>'बँक जमा खर्च पासबुक'!M60</f>
        <v>0</v>
      </c>
      <c r="AX60" s="877"/>
      <c r="AY60" s="877"/>
      <c r="AZ60" s="877"/>
      <c r="BA60" s="877"/>
      <c r="BB60" s="877"/>
      <c r="BC60" s="877"/>
      <c r="BD60" s="877"/>
      <c r="BE60" s="877"/>
      <c r="BF60" s="877"/>
      <c r="BG60" s="877"/>
      <c r="BH60" s="877"/>
    </row>
    <row r="61" spans="22:60" ht="35.25" customHeight="1" x14ac:dyDescent="0.5">
      <c r="V61" s="877"/>
      <c r="W61" s="887" t="str">
        <f t="shared" si="16"/>
        <v>January</v>
      </c>
      <c r="X61" s="887" t="str">
        <f>IF(AND(AJ61=$X$8,AK61=$AA$6),MAX($X$9:X60)+1,"")</f>
        <v/>
      </c>
      <c r="Y61" s="887" t="str">
        <f>IF(AND(AJ61=$Y$8,AK61=$AA$6),MAX($Y$9:Y60)+1,"")</f>
        <v/>
      </c>
      <c r="Z61" s="887" t="str">
        <f>IF(AND(AJ61=$Z$8,AK61=$AA$6),MAX($Z$9:Z60)+1,"")</f>
        <v/>
      </c>
      <c r="AA61" s="887" t="str">
        <f>IF(AND(AJ61=$AA$8,AK61=$AA$6),MAX(AA$9:$AA60)+1,"")</f>
        <v/>
      </c>
      <c r="AB61" s="887" t="str">
        <f>IF(AND(AJ61=$AB$8,AK61=$AA$6),MAX(AB$9:$AB60)+1,"")</f>
        <v/>
      </c>
      <c r="AC61" s="887" t="str">
        <f>IF(AND(AJ61=$AC$8,AK61=$AA$6),MAX(AC$9:$AC60)+1,"")</f>
        <v/>
      </c>
      <c r="AD61" s="887" t="str">
        <f>IF(AND(AJ61=$AD$8,AK61=$AA$6),MAX(AD$9:$AD60)+1,"")</f>
        <v/>
      </c>
      <c r="AE61" s="887" t="str">
        <f>IF(AND(AJ61=$AE$8,AK61=$AA$6),MAX(AE$9:$AE60)+1,"")</f>
        <v/>
      </c>
      <c r="AF61" s="887" t="str">
        <f>IF(AND(AJ61=$AF$8,AK61=$AA$6),MAX(AF$9:$AF60)+1,"")</f>
        <v/>
      </c>
      <c r="AG61" s="887" t="str">
        <f>IF(AND(AJ61=$AG$8,AK61=$AB$6),MAX(AG$9:$AG60)+1,"")</f>
        <v/>
      </c>
      <c r="AH61" s="887" t="str">
        <f>IF(AND(AJ61=$AH$8,AK61=$AB$6),MAX(AH$9:$AH60)+1,"")</f>
        <v/>
      </c>
      <c r="AI61" s="920" t="str">
        <f>IF(AND(AJ61=$AI$8,AK61=$AB$6),MAX(AI$9:$AI60)+1,"")</f>
        <v/>
      </c>
      <c r="AJ61" s="887" t="str">
        <f t="shared" si="17"/>
        <v>January</v>
      </c>
      <c r="AK61" s="887">
        <f t="shared" si="18"/>
        <v>1900</v>
      </c>
      <c r="AL61" s="887" t="str">
        <f>'बँक जमा खर्च पासबुक'!B61</f>
        <v/>
      </c>
      <c r="AM61" s="921">
        <f>IFERROR('बँक जमा खर्च पासबुक'!C61,"")</f>
        <v>0</v>
      </c>
      <c r="AN61" s="887">
        <f>'बँक जमा खर्च पासबुक'!D61</f>
        <v>0</v>
      </c>
      <c r="AO61" s="887">
        <f>'बँक जमा खर्च पासबुक'!E61</f>
        <v>0</v>
      </c>
      <c r="AP61" s="887">
        <f>'बँक जमा खर्च पासबुक'!F61</f>
        <v>0</v>
      </c>
      <c r="AQ61" s="887">
        <f>'बँक जमा खर्च पासबुक'!G61</f>
        <v>0</v>
      </c>
      <c r="AR61" s="887">
        <f>'बँक जमा खर्च पासबुक'!H61</f>
        <v>0</v>
      </c>
      <c r="AS61" s="887">
        <f>'बँक जमा खर्च पासबुक'!I61</f>
        <v>0</v>
      </c>
      <c r="AT61" s="887">
        <f>'बँक जमा खर्च पासबुक'!J61</f>
        <v>0</v>
      </c>
      <c r="AU61" s="887">
        <f>'बँक जमा खर्च पासबुक'!K61</f>
        <v>0</v>
      </c>
      <c r="AV61" s="887">
        <f>'बँक जमा खर्च पासबुक'!L61</f>
        <v>0</v>
      </c>
      <c r="AW61" s="887">
        <f>'बँक जमा खर्च पासबुक'!M61</f>
        <v>0</v>
      </c>
      <c r="AX61" s="877"/>
      <c r="AY61" s="877"/>
      <c r="AZ61" s="877"/>
      <c r="BA61" s="877"/>
      <c r="BB61" s="877"/>
      <c r="BC61" s="877"/>
      <c r="BD61" s="877"/>
      <c r="BE61" s="877"/>
      <c r="BF61" s="877"/>
      <c r="BG61" s="877"/>
      <c r="BH61" s="877"/>
    </row>
    <row r="62" spans="22:60" ht="35.25" customHeight="1" x14ac:dyDescent="0.5">
      <c r="V62" s="877"/>
      <c r="W62" s="887" t="str">
        <f t="shared" si="16"/>
        <v>January</v>
      </c>
      <c r="X62" s="887" t="str">
        <f>IF(AND(AJ62=$X$8,AK62=$AA$6),MAX($X$9:X61)+1,"")</f>
        <v/>
      </c>
      <c r="Y62" s="887" t="str">
        <f>IF(AND(AJ62=$Y$8,AK62=$AA$6),MAX($Y$9:Y61)+1,"")</f>
        <v/>
      </c>
      <c r="Z62" s="887" t="str">
        <f>IF(AND(AJ62=$Z$8,AK62=$AA$6),MAX($Z$9:Z61)+1,"")</f>
        <v/>
      </c>
      <c r="AA62" s="887" t="str">
        <f>IF(AND(AJ62=$AA$8,AK62=$AA$6),MAX(AA$9:$AA61)+1,"")</f>
        <v/>
      </c>
      <c r="AB62" s="887" t="str">
        <f>IF(AND(AJ62=$AB$8,AK62=$AA$6),MAX(AB$9:$AB61)+1,"")</f>
        <v/>
      </c>
      <c r="AC62" s="887" t="str">
        <f>IF(AND(AJ62=$AC$8,AK62=$AA$6),MAX(AC$9:$AC61)+1,"")</f>
        <v/>
      </c>
      <c r="AD62" s="887" t="str">
        <f>IF(AND(AJ62=$AD$8,AK62=$AA$6),MAX(AD$9:$AD61)+1,"")</f>
        <v/>
      </c>
      <c r="AE62" s="887" t="str">
        <f>IF(AND(AJ62=$AE$8,AK62=$AA$6),MAX(AE$9:$AE61)+1,"")</f>
        <v/>
      </c>
      <c r="AF62" s="887" t="str">
        <f>IF(AND(AJ62=$AF$8,AK62=$AA$6),MAX(AF$9:$AF61)+1,"")</f>
        <v/>
      </c>
      <c r="AG62" s="887" t="str">
        <f>IF(AND(AJ62=$AG$8,AK62=$AB$6),MAX(AG$9:$AG61)+1,"")</f>
        <v/>
      </c>
      <c r="AH62" s="887" t="str">
        <f>IF(AND(AJ62=$AH$8,AK62=$AB$6),MAX(AH$9:$AH61)+1,"")</f>
        <v/>
      </c>
      <c r="AI62" s="920" t="str">
        <f>IF(AND(AJ62=$AI$8,AK62=$AB$6),MAX(AI$9:$AI61)+1,"")</f>
        <v/>
      </c>
      <c r="AJ62" s="887" t="str">
        <f t="shared" si="17"/>
        <v>January</v>
      </c>
      <c r="AK62" s="887">
        <f t="shared" si="18"/>
        <v>1900</v>
      </c>
      <c r="AL62" s="887" t="str">
        <f>'बँक जमा खर्च पासबुक'!B62</f>
        <v/>
      </c>
      <c r="AM62" s="921">
        <f>IFERROR('बँक जमा खर्च पासबुक'!C62,"")</f>
        <v>0</v>
      </c>
      <c r="AN62" s="887">
        <f>'बँक जमा खर्च पासबुक'!D62</f>
        <v>0</v>
      </c>
      <c r="AO62" s="887">
        <f>'बँक जमा खर्च पासबुक'!E62</f>
        <v>0</v>
      </c>
      <c r="AP62" s="887">
        <f>'बँक जमा खर्च पासबुक'!F62</f>
        <v>0</v>
      </c>
      <c r="AQ62" s="887">
        <f>'बँक जमा खर्च पासबुक'!G62</f>
        <v>0</v>
      </c>
      <c r="AR62" s="887">
        <f>'बँक जमा खर्च पासबुक'!H62</f>
        <v>0</v>
      </c>
      <c r="AS62" s="887">
        <f>'बँक जमा खर्च पासबुक'!I62</f>
        <v>0</v>
      </c>
      <c r="AT62" s="887">
        <f>'बँक जमा खर्च पासबुक'!J62</f>
        <v>0</v>
      </c>
      <c r="AU62" s="887">
        <f>'बँक जमा खर्च पासबुक'!K62</f>
        <v>0</v>
      </c>
      <c r="AV62" s="887">
        <f>'बँक जमा खर्च पासबुक'!L62</f>
        <v>0</v>
      </c>
      <c r="AW62" s="887">
        <f>'बँक जमा खर्च पासबुक'!M62</f>
        <v>0</v>
      </c>
      <c r="AX62" s="877"/>
      <c r="AY62" s="877"/>
      <c r="AZ62" s="877"/>
      <c r="BA62" s="877"/>
      <c r="BB62" s="877"/>
      <c r="BC62" s="877"/>
      <c r="BD62" s="877"/>
      <c r="BE62" s="877"/>
      <c r="BF62" s="877"/>
      <c r="BG62" s="877"/>
      <c r="BH62" s="877"/>
    </row>
    <row r="63" spans="22:60" ht="35.25" customHeight="1" x14ac:dyDescent="0.5">
      <c r="V63" s="877"/>
      <c r="W63" s="887" t="str">
        <f t="shared" si="16"/>
        <v>January</v>
      </c>
      <c r="X63" s="887" t="str">
        <f>IF(AND(AJ63=$X$8,AK63=$AA$6),MAX($X$9:X62)+1,"")</f>
        <v/>
      </c>
      <c r="Y63" s="887" t="str">
        <f>IF(AND(AJ63=$Y$8,AK63=$AA$6),MAX($Y$9:Y62)+1,"")</f>
        <v/>
      </c>
      <c r="Z63" s="887" t="str">
        <f>IF(AND(AJ63=$Z$8,AK63=$AA$6),MAX($Z$9:Z62)+1,"")</f>
        <v/>
      </c>
      <c r="AA63" s="887" t="str">
        <f>IF(AND(AJ63=$AA$8,AK63=$AA$6),MAX(AA$9:$AA62)+1,"")</f>
        <v/>
      </c>
      <c r="AB63" s="887" t="str">
        <f>IF(AND(AJ63=$AB$8,AK63=$AA$6),MAX(AB$9:$AB62)+1,"")</f>
        <v/>
      </c>
      <c r="AC63" s="887" t="str">
        <f>IF(AND(AJ63=$AC$8,AK63=$AA$6),MAX(AC$9:$AC62)+1,"")</f>
        <v/>
      </c>
      <c r="AD63" s="887" t="str">
        <f>IF(AND(AJ63=$AD$8,AK63=$AA$6),MAX(AD$9:$AD62)+1,"")</f>
        <v/>
      </c>
      <c r="AE63" s="887" t="str">
        <f>IF(AND(AJ63=$AE$8,AK63=$AA$6),MAX(AE$9:$AE62)+1,"")</f>
        <v/>
      </c>
      <c r="AF63" s="887" t="str">
        <f>IF(AND(AJ63=$AF$8,AK63=$AA$6),MAX(AF$9:$AF62)+1,"")</f>
        <v/>
      </c>
      <c r="AG63" s="887" t="str">
        <f>IF(AND(AJ63=$AG$8,AK63=$AB$6),MAX(AG$9:$AG62)+1,"")</f>
        <v/>
      </c>
      <c r="AH63" s="887" t="str">
        <f>IF(AND(AJ63=$AH$8,AK63=$AB$6),MAX(AH$9:$AH62)+1,"")</f>
        <v/>
      </c>
      <c r="AI63" s="920" t="str">
        <f>IF(AND(AJ63=$AI$8,AK63=$AB$6),MAX(AI$9:$AI62)+1,"")</f>
        <v/>
      </c>
      <c r="AJ63" s="887" t="str">
        <f t="shared" si="17"/>
        <v>January</v>
      </c>
      <c r="AK63" s="887">
        <f t="shared" si="18"/>
        <v>1900</v>
      </c>
      <c r="AL63" s="887" t="str">
        <f>'बँक जमा खर्च पासबुक'!B63</f>
        <v/>
      </c>
      <c r="AM63" s="921">
        <f>IFERROR('बँक जमा खर्च पासबुक'!C63,"")</f>
        <v>0</v>
      </c>
      <c r="AN63" s="887">
        <f>'बँक जमा खर्च पासबुक'!D63</f>
        <v>0</v>
      </c>
      <c r="AO63" s="887">
        <f>'बँक जमा खर्च पासबुक'!E63</f>
        <v>0</v>
      </c>
      <c r="AP63" s="887">
        <f>'बँक जमा खर्च पासबुक'!F63</f>
        <v>0</v>
      </c>
      <c r="AQ63" s="887">
        <f>'बँक जमा खर्च पासबुक'!G63</f>
        <v>0</v>
      </c>
      <c r="AR63" s="887">
        <f>'बँक जमा खर्च पासबुक'!H63</f>
        <v>0</v>
      </c>
      <c r="AS63" s="887">
        <f>'बँक जमा खर्च पासबुक'!I63</f>
        <v>0</v>
      </c>
      <c r="AT63" s="887">
        <f>'बँक जमा खर्च पासबुक'!J63</f>
        <v>0</v>
      </c>
      <c r="AU63" s="887">
        <f>'बँक जमा खर्च पासबुक'!K63</f>
        <v>0</v>
      </c>
      <c r="AV63" s="887">
        <f>'बँक जमा खर्च पासबुक'!L63</f>
        <v>0</v>
      </c>
      <c r="AW63" s="887">
        <f>'बँक जमा खर्च पासबुक'!M63</f>
        <v>0</v>
      </c>
      <c r="AX63" s="877"/>
      <c r="AY63" s="877"/>
      <c r="AZ63" s="877"/>
      <c r="BA63" s="877"/>
      <c r="BB63" s="877"/>
      <c r="BC63" s="877"/>
      <c r="BD63" s="877"/>
      <c r="BE63" s="877"/>
      <c r="BF63" s="877"/>
      <c r="BG63" s="877"/>
      <c r="BH63" s="877"/>
    </row>
    <row r="64" spans="22:60" ht="35.25" customHeight="1" x14ac:dyDescent="0.5">
      <c r="V64" s="877"/>
      <c r="W64" s="887" t="str">
        <f t="shared" si="16"/>
        <v>January</v>
      </c>
      <c r="X64" s="887" t="str">
        <f>IF(AND(AJ64=$X$8,AK64=$AA$6),MAX($X$9:X63)+1,"")</f>
        <v/>
      </c>
      <c r="Y64" s="887" t="str">
        <f>IF(AND(AJ64=$Y$8,AK64=$AA$6),MAX($Y$9:Y63)+1,"")</f>
        <v/>
      </c>
      <c r="Z64" s="887" t="str">
        <f>IF(AND(AJ64=$Z$8,AK64=$AA$6),MAX($Z$9:Z63)+1,"")</f>
        <v/>
      </c>
      <c r="AA64" s="887" t="str">
        <f>IF(AND(AJ64=$AA$8,AK64=$AA$6),MAX(AA$9:$AA63)+1,"")</f>
        <v/>
      </c>
      <c r="AB64" s="887" t="str">
        <f>IF(AND(AJ64=$AB$8,AK64=$AA$6),MAX(AB$9:$AB63)+1,"")</f>
        <v/>
      </c>
      <c r="AC64" s="887" t="str">
        <f>IF(AND(AJ64=$AC$8,AK64=$AA$6),MAX(AC$9:$AC63)+1,"")</f>
        <v/>
      </c>
      <c r="AD64" s="887" t="str">
        <f>IF(AND(AJ64=$AD$8,AK64=$AA$6),MAX(AD$9:$AD63)+1,"")</f>
        <v/>
      </c>
      <c r="AE64" s="887" t="str">
        <f>IF(AND(AJ64=$AE$8,AK64=$AA$6),MAX(AE$9:$AE63)+1,"")</f>
        <v/>
      </c>
      <c r="AF64" s="887" t="str">
        <f>IF(AND(AJ64=$AF$8,AK64=$AA$6),MAX(AF$9:$AF63)+1,"")</f>
        <v/>
      </c>
      <c r="AG64" s="887" t="str">
        <f>IF(AND(AJ64=$AG$8,AK64=$AB$6),MAX(AG$9:$AG63)+1,"")</f>
        <v/>
      </c>
      <c r="AH64" s="887" t="str">
        <f>IF(AND(AJ64=$AH$8,AK64=$AB$6),MAX(AH$9:$AH63)+1,"")</f>
        <v/>
      </c>
      <c r="AI64" s="920" t="str">
        <f>IF(AND(AJ64=$AI$8,AK64=$AB$6),MAX(AI$9:$AI63)+1,"")</f>
        <v/>
      </c>
      <c r="AJ64" s="887" t="str">
        <f t="shared" si="17"/>
        <v>January</v>
      </c>
      <c r="AK64" s="887">
        <f t="shared" si="18"/>
        <v>1900</v>
      </c>
      <c r="AL64" s="887" t="str">
        <f>'बँक जमा खर्च पासबुक'!B64</f>
        <v/>
      </c>
      <c r="AM64" s="921">
        <f>IFERROR('बँक जमा खर्च पासबुक'!C64,"")</f>
        <v>0</v>
      </c>
      <c r="AN64" s="887">
        <f>'बँक जमा खर्च पासबुक'!D64</f>
        <v>0</v>
      </c>
      <c r="AO64" s="887">
        <f>'बँक जमा खर्च पासबुक'!E64</f>
        <v>0</v>
      </c>
      <c r="AP64" s="887">
        <f>'बँक जमा खर्च पासबुक'!F64</f>
        <v>0</v>
      </c>
      <c r="AQ64" s="887">
        <f>'बँक जमा खर्च पासबुक'!G64</f>
        <v>0</v>
      </c>
      <c r="AR64" s="887">
        <f>'बँक जमा खर्च पासबुक'!H64</f>
        <v>0</v>
      </c>
      <c r="AS64" s="887">
        <f>'बँक जमा खर्च पासबुक'!I64</f>
        <v>0</v>
      </c>
      <c r="AT64" s="887">
        <f>'बँक जमा खर्च पासबुक'!J64</f>
        <v>0</v>
      </c>
      <c r="AU64" s="887">
        <f>'बँक जमा खर्च पासबुक'!K64</f>
        <v>0</v>
      </c>
      <c r="AV64" s="887">
        <f>'बँक जमा खर्च पासबुक'!L64</f>
        <v>0</v>
      </c>
      <c r="AW64" s="887">
        <f>'बँक जमा खर्च पासबुक'!M64</f>
        <v>0</v>
      </c>
      <c r="AX64" s="877"/>
      <c r="AY64" s="877"/>
      <c r="AZ64" s="877"/>
      <c r="BA64" s="877"/>
      <c r="BB64" s="877"/>
      <c r="BC64" s="877"/>
      <c r="BD64" s="877"/>
      <c r="BE64" s="877"/>
      <c r="BF64" s="877"/>
      <c r="BG64" s="877"/>
      <c r="BH64" s="877"/>
    </row>
    <row r="65" spans="22:60" ht="35.25" customHeight="1" x14ac:dyDescent="0.5">
      <c r="V65" s="877"/>
      <c r="W65" s="887" t="str">
        <f t="shared" si="16"/>
        <v>January</v>
      </c>
      <c r="X65" s="887" t="str">
        <f>IF(AND(AJ65=$X$8,AK65=$AA$6),MAX($X$9:X64)+1,"")</f>
        <v/>
      </c>
      <c r="Y65" s="887" t="str">
        <f>IF(AND(AJ65=$Y$8,AK65=$AA$6),MAX($Y$9:Y64)+1,"")</f>
        <v/>
      </c>
      <c r="Z65" s="887" t="str">
        <f>IF(AND(AJ65=$Z$8,AK65=$AA$6),MAX($Z$9:Z64)+1,"")</f>
        <v/>
      </c>
      <c r="AA65" s="887" t="str">
        <f>IF(AND(AJ65=$AA$8,AK65=$AA$6),MAX(AA$9:$AA64)+1,"")</f>
        <v/>
      </c>
      <c r="AB65" s="887" t="str">
        <f>IF(AND(AJ65=$AB$8,AK65=$AA$6),MAX(AB$9:$AB64)+1,"")</f>
        <v/>
      </c>
      <c r="AC65" s="887" t="str">
        <f>IF(AND(AJ65=$AC$8,AK65=$AA$6),MAX(AC$9:$AC64)+1,"")</f>
        <v/>
      </c>
      <c r="AD65" s="887" t="str">
        <f>IF(AND(AJ65=$AD$8,AK65=$AA$6),MAX(AD$9:$AD64)+1,"")</f>
        <v/>
      </c>
      <c r="AE65" s="887" t="str">
        <f>IF(AND(AJ65=$AE$8,AK65=$AA$6),MAX(AE$9:$AE64)+1,"")</f>
        <v/>
      </c>
      <c r="AF65" s="887" t="str">
        <f>IF(AND(AJ65=$AF$8,AK65=$AA$6),MAX(AF$9:$AF64)+1,"")</f>
        <v/>
      </c>
      <c r="AG65" s="887" t="str">
        <f>IF(AND(AJ65=$AG$8,AK65=$AB$6),MAX(AG$9:$AG64)+1,"")</f>
        <v/>
      </c>
      <c r="AH65" s="887" t="str">
        <f>IF(AND(AJ65=$AH$8,AK65=$AB$6),MAX(AH$9:$AH64)+1,"")</f>
        <v/>
      </c>
      <c r="AI65" s="920" t="str">
        <f>IF(AND(AJ65=$AI$8,AK65=$AB$6),MAX(AI$9:$AI64)+1,"")</f>
        <v/>
      </c>
      <c r="AJ65" s="887" t="str">
        <f t="shared" si="17"/>
        <v>January</v>
      </c>
      <c r="AK65" s="887">
        <f t="shared" si="18"/>
        <v>1900</v>
      </c>
      <c r="AL65" s="887" t="str">
        <f>'बँक जमा खर्च पासबुक'!B65</f>
        <v/>
      </c>
      <c r="AM65" s="921">
        <f>IFERROR('बँक जमा खर्च पासबुक'!C65,"")</f>
        <v>0</v>
      </c>
      <c r="AN65" s="887">
        <f>'बँक जमा खर्च पासबुक'!D65</f>
        <v>0</v>
      </c>
      <c r="AO65" s="887">
        <f>'बँक जमा खर्च पासबुक'!E65</f>
        <v>0</v>
      </c>
      <c r="AP65" s="887">
        <f>'बँक जमा खर्च पासबुक'!F65</f>
        <v>0</v>
      </c>
      <c r="AQ65" s="887">
        <f>'बँक जमा खर्च पासबुक'!G65</f>
        <v>0</v>
      </c>
      <c r="AR65" s="887">
        <f>'बँक जमा खर्च पासबुक'!H65</f>
        <v>0</v>
      </c>
      <c r="AS65" s="887">
        <f>'बँक जमा खर्च पासबुक'!I65</f>
        <v>0</v>
      </c>
      <c r="AT65" s="887">
        <f>'बँक जमा खर्च पासबुक'!J65</f>
        <v>0</v>
      </c>
      <c r="AU65" s="887">
        <f>'बँक जमा खर्च पासबुक'!K65</f>
        <v>0</v>
      </c>
      <c r="AV65" s="887">
        <f>'बँक जमा खर्च पासबुक'!L65</f>
        <v>0</v>
      </c>
      <c r="AW65" s="887">
        <f>'बँक जमा खर्च पासबुक'!M65</f>
        <v>0</v>
      </c>
      <c r="AX65" s="877"/>
      <c r="AY65" s="877"/>
      <c r="AZ65" s="877"/>
      <c r="BA65" s="877"/>
      <c r="BB65" s="877"/>
      <c r="BC65" s="877"/>
      <c r="BD65" s="877"/>
      <c r="BE65" s="877"/>
      <c r="BF65" s="877"/>
      <c r="BG65" s="877"/>
      <c r="BH65" s="877"/>
    </row>
    <row r="66" spans="22:60" ht="35.25" customHeight="1" x14ac:dyDescent="0.5">
      <c r="V66" s="877"/>
      <c r="W66" s="887" t="str">
        <f t="shared" si="16"/>
        <v>January</v>
      </c>
      <c r="X66" s="887" t="str">
        <f>IF(AND(AJ66=$X$8,AK66=$AA$6),MAX($X$9:X65)+1,"")</f>
        <v/>
      </c>
      <c r="Y66" s="887" t="str">
        <f>IF(AND(AJ66=$Y$8,AK66=$AA$6),MAX($Y$9:Y65)+1,"")</f>
        <v/>
      </c>
      <c r="Z66" s="887" t="str">
        <f>IF(AND(AJ66=$Z$8,AK66=$AA$6),MAX($Z$9:Z65)+1,"")</f>
        <v/>
      </c>
      <c r="AA66" s="887" t="str">
        <f>IF(AND(AJ66=$AA$8,AK66=$AA$6),MAX(AA$9:$AA65)+1,"")</f>
        <v/>
      </c>
      <c r="AB66" s="887" t="str">
        <f>IF(AND(AJ66=$AB$8,AK66=$AA$6),MAX(AB$9:$AB65)+1,"")</f>
        <v/>
      </c>
      <c r="AC66" s="887" t="str">
        <f>IF(AND(AJ66=$AC$8,AK66=$AA$6),MAX(AC$9:$AC65)+1,"")</f>
        <v/>
      </c>
      <c r="AD66" s="887" t="str">
        <f>IF(AND(AJ66=$AD$8,AK66=$AA$6),MAX(AD$9:$AD65)+1,"")</f>
        <v/>
      </c>
      <c r="AE66" s="887" t="str">
        <f>IF(AND(AJ66=$AE$8,AK66=$AA$6),MAX(AE$9:$AE65)+1,"")</f>
        <v/>
      </c>
      <c r="AF66" s="887" t="str">
        <f>IF(AND(AJ66=$AF$8,AK66=$AA$6),MAX(AF$9:$AF65)+1,"")</f>
        <v/>
      </c>
      <c r="AG66" s="887" t="str">
        <f>IF(AND(AJ66=$AG$8,AK66=$AB$6),MAX(AG$9:$AG65)+1,"")</f>
        <v/>
      </c>
      <c r="AH66" s="887" t="str">
        <f>IF(AND(AJ66=$AH$8,AK66=$AB$6),MAX(AH$9:$AH65)+1,"")</f>
        <v/>
      </c>
      <c r="AI66" s="920" t="str">
        <f>IF(AND(AJ66=$AI$8,AK66=$AB$6),MAX(AI$9:$AI65)+1,"")</f>
        <v/>
      </c>
      <c r="AJ66" s="887" t="str">
        <f t="shared" si="17"/>
        <v>January</v>
      </c>
      <c r="AK66" s="887">
        <f t="shared" si="18"/>
        <v>1900</v>
      </c>
      <c r="AL66" s="887" t="str">
        <f>'बँक जमा खर्च पासबुक'!B66</f>
        <v/>
      </c>
      <c r="AM66" s="921">
        <f>IFERROR('बँक जमा खर्च पासबुक'!C66,"")</f>
        <v>0</v>
      </c>
      <c r="AN66" s="887">
        <f>'बँक जमा खर्च पासबुक'!D66</f>
        <v>0</v>
      </c>
      <c r="AO66" s="887">
        <f>'बँक जमा खर्च पासबुक'!E66</f>
        <v>0</v>
      </c>
      <c r="AP66" s="887">
        <f>'बँक जमा खर्च पासबुक'!F66</f>
        <v>0</v>
      </c>
      <c r="AQ66" s="887">
        <f>'बँक जमा खर्च पासबुक'!G66</f>
        <v>0</v>
      </c>
      <c r="AR66" s="887">
        <f>'बँक जमा खर्च पासबुक'!H66</f>
        <v>0</v>
      </c>
      <c r="AS66" s="887">
        <f>'बँक जमा खर्च पासबुक'!I66</f>
        <v>0</v>
      </c>
      <c r="AT66" s="887">
        <f>'बँक जमा खर्च पासबुक'!J66</f>
        <v>0</v>
      </c>
      <c r="AU66" s="887">
        <f>'बँक जमा खर्च पासबुक'!K66</f>
        <v>0</v>
      </c>
      <c r="AV66" s="887">
        <f>'बँक जमा खर्च पासबुक'!L66</f>
        <v>0</v>
      </c>
      <c r="AW66" s="887">
        <f>'बँक जमा खर्च पासबुक'!M66</f>
        <v>0</v>
      </c>
      <c r="AX66" s="877"/>
      <c r="AY66" s="877"/>
      <c r="AZ66" s="877"/>
      <c r="BA66" s="877"/>
      <c r="BB66" s="877"/>
      <c r="BC66" s="877"/>
      <c r="BD66" s="877"/>
      <c r="BE66" s="877"/>
      <c r="BF66" s="877"/>
      <c r="BG66" s="877"/>
      <c r="BH66" s="877"/>
    </row>
    <row r="67" spans="22:60" ht="35.25" customHeight="1" x14ac:dyDescent="0.5">
      <c r="V67" s="877"/>
      <c r="W67" s="887" t="str">
        <f t="shared" si="16"/>
        <v>January</v>
      </c>
      <c r="X67" s="887" t="str">
        <f>IF(AND(AJ67=$X$8,AK67=$AA$6),MAX($X$9:X66)+1,"")</f>
        <v/>
      </c>
      <c r="Y67" s="887" t="str">
        <f>IF(AND(AJ67=$Y$8,AK67=$AA$6),MAX($Y$9:Y66)+1,"")</f>
        <v/>
      </c>
      <c r="Z67" s="887" t="str">
        <f>IF(AND(AJ67=$Z$8,AK67=$AA$6),MAX($Z$9:Z66)+1,"")</f>
        <v/>
      </c>
      <c r="AA67" s="887" t="str">
        <f>IF(AND(AJ67=$AA$8,AK67=$AA$6),MAX(AA$9:$AA66)+1,"")</f>
        <v/>
      </c>
      <c r="AB67" s="887" t="str">
        <f>IF(AND(AJ67=$AB$8,AK67=$AA$6),MAX(AB$9:$AB66)+1,"")</f>
        <v/>
      </c>
      <c r="AC67" s="887" t="str">
        <f>IF(AND(AJ67=$AC$8,AK67=$AA$6),MAX(AC$9:$AC66)+1,"")</f>
        <v/>
      </c>
      <c r="AD67" s="887" t="str">
        <f>IF(AND(AJ67=$AD$8,AK67=$AA$6),MAX(AD$9:$AD66)+1,"")</f>
        <v/>
      </c>
      <c r="AE67" s="887" t="str">
        <f>IF(AND(AJ67=$AE$8,AK67=$AA$6),MAX(AE$9:$AE66)+1,"")</f>
        <v/>
      </c>
      <c r="AF67" s="887" t="str">
        <f>IF(AND(AJ67=$AF$8,AK67=$AA$6),MAX(AF$9:$AF66)+1,"")</f>
        <v/>
      </c>
      <c r="AG67" s="887" t="str">
        <f>IF(AND(AJ67=$AG$8,AK67=$AB$6),MAX(AG$9:$AG66)+1,"")</f>
        <v/>
      </c>
      <c r="AH67" s="887" t="str">
        <f>IF(AND(AJ67=$AH$8,AK67=$AB$6),MAX(AH$9:$AH66)+1,"")</f>
        <v/>
      </c>
      <c r="AI67" s="920" t="str">
        <f>IF(AND(AJ67=$AI$8,AK67=$AB$6),MAX(AI$9:$AI66)+1,"")</f>
        <v/>
      </c>
      <c r="AJ67" s="887" t="str">
        <f t="shared" si="17"/>
        <v>January</v>
      </c>
      <c r="AK67" s="887">
        <f t="shared" si="18"/>
        <v>1900</v>
      </c>
      <c r="AL67" s="887" t="str">
        <f>'बँक जमा खर्च पासबुक'!B67</f>
        <v/>
      </c>
      <c r="AM67" s="921">
        <f>IFERROR('बँक जमा खर्च पासबुक'!C67,"")</f>
        <v>0</v>
      </c>
      <c r="AN67" s="887">
        <f>'बँक जमा खर्च पासबुक'!D67</f>
        <v>0</v>
      </c>
      <c r="AO67" s="887">
        <f>'बँक जमा खर्च पासबुक'!E67</f>
        <v>0</v>
      </c>
      <c r="AP67" s="887">
        <f>'बँक जमा खर्च पासबुक'!F67</f>
        <v>0</v>
      </c>
      <c r="AQ67" s="887">
        <f>'बँक जमा खर्च पासबुक'!G67</f>
        <v>0</v>
      </c>
      <c r="AR67" s="887">
        <f>'बँक जमा खर्च पासबुक'!H67</f>
        <v>0</v>
      </c>
      <c r="AS67" s="887">
        <f>'बँक जमा खर्च पासबुक'!I67</f>
        <v>0</v>
      </c>
      <c r="AT67" s="887">
        <f>'बँक जमा खर्च पासबुक'!J67</f>
        <v>0</v>
      </c>
      <c r="AU67" s="887">
        <f>'बँक जमा खर्च पासबुक'!K67</f>
        <v>0</v>
      </c>
      <c r="AV67" s="887">
        <f>'बँक जमा खर्च पासबुक'!L67</f>
        <v>0</v>
      </c>
      <c r="AW67" s="887">
        <f>'बँक जमा खर्च पासबुक'!M67</f>
        <v>0</v>
      </c>
      <c r="AX67" s="877"/>
      <c r="AY67" s="877"/>
      <c r="AZ67" s="877"/>
      <c r="BA67" s="877"/>
      <c r="BB67" s="877"/>
      <c r="BC67" s="877"/>
      <c r="BD67" s="877"/>
      <c r="BE67" s="877"/>
      <c r="BF67" s="877"/>
      <c r="BG67" s="877"/>
      <c r="BH67" s="877"/>
    </row>
    <row r="68" spans="22:60" ht="35.25" customHeight="1" x14ac:dyDescent="0.5">
      <c r="V68" s="877"/>
      <c r="W68" s="887" t="str">
        <f t="shared" si="16"/>
        <v>January</v>
      </c>
      <c r="X68" s="887" t="str">
        <f>IF(AND(AJ68=$X$8,AK68=$AA$6),MAX($X$9:X67)+1,"")</f>
        <v/>
      </c>
      <c r="Y68" s="887" t="str">
        <f>IF(AND(AJ68=$Y$8,AK68=$AA$6),MAX($Y$9:Y67)+1,"")</f>
        <v/>
      </c>
      <c r="Z68" s="887" t="str">
        <f>IF(AND(AJ68=$Z$8,AK68=$AA$6),MAX($Z$9:Z67)+1,"")</f>
        <v/>
      </c>
      <c r="AA68" s="887" t="str">
        <f>IF(AND(AJ68=$AA$8,AK68=$AA$6),MAX(AA$9:$AA67)+1,"")</f>
        <v/>
      </c>
      <c r="AB68" s="887" t="str">
        <f>IF(AND(AJ68=$AB$8,AK68=$AA$6),MAX(AB$9:$AB67)+1,"")</f>
        <v/>
      </c>
      <c r="AC68" s="887" t="str">
        <f>IF(AND(AJ68=$AC$8,AK68=$AA$6),MAX(AC$9:$AC67)+1,"")</f>
        <v/>
      </c>
      <c r="AD68" s="887" t="str">
        <f>IF(AND(AJ68=$AD$8,AK68=$AA$6),MAX(AD$9:$AD67)+1,"")</f>
        <v/>
      </c>
      <c r="AE68" s="887" t="str">
        <f>IF(AND(AJ68=$AE$8,AK68=$AA$6),MAX(AE$9:$AE67)+1,"")</f>
        <v/>
      </c>
      <c r="AF68" s="887" t="str">
        <f>IF(AND(AJ68=$AF$8,AK68=$AA$6),MAX(AF$9:$AF67)+1,"")</f>
        <v/>
      </c>
      <c r="AG68" s="887" t="str">
        <f>IF(AND(AJ68=$AG$8,AK68=$AB$6),MAX(AG$9:$AG67)+1,"")</f>
        <v/>
      </c>
      <c r="AH68" s="887" t="str">
        <f>IF(AND(AJ68=$AH$8,AK68=$AB$6),MAX(AH$9:$AH67)+1,"")</f>
        <v/>
      </c>
      <c r="AI68" s="920" t="str">
        <f>IF(AND(AJ68=$AI$8,AK68=$AB$6),MAX(AI$9:$AI67)+1,"")</f>
        <v/>
      </c>
      <c r="AJ68" s="887" t="str">
        <f t="shared" si="17"/>
        <v>January</v>
      </c>
      <c r="AK68" s="887">
        <f t="shared" si="18"/>
        <v>1900</v>
      </c>
      <c r="AL68" s="887" t="str">
        <f>'बँक जमा खर्च पासबुक'!B68</f>
        <v/>
      </c>
      <c r="AM68" s="921">
        <f>IFERROR('बँक जमा खर्च पासबुक'!C68,"")</f>
        <v>0</v>
      </c>
      <c r="AN68" s="887">
        <f>'बँक जमा खर्च पासबुक'!D68</f>
        <v>0</v>
      </c>
      <c r="AO68" s="887">
        <f>'बँक जमा खर्च पासबुक'!E68</f>
        <v>0</v>
      </c>
      <c r="AP68" s="887">
        <f>'बँक जमा खर्च पासबुक'!F68</f>
        <v>0</v>
      </c>
      <c r="AQ68" s="887">
        <f>'बँक जमा खर्च पासबुक'!G68</f>
        <v>0</v>
      </c>
      <c r="AR68" s="887">
        <f>'बँक जमा खर्च पासबुक'!H68</f>
        <v>0</v>
      </c>
      <c r="AS68" s="887">
        <f>'बँक जमा खर्च पासबुक'!I68</f>
        <v>0</v>
      </c>
      <c r="AT68" s="887">
        <f>'बँक जमा खर्च पासबुक'!J68</f>
        <v>0</v>
      </c>
      <c r="AU68" s="887">
        <f>'बँक जमा खर्च पासबुक'!K68</f>
        <v>0</v>
      </c>
      <c r="AV68" s="887">
        <f>'बँक जमा खर्च पासबुक'!L68</f>
        <v>0</v>
      </c>
      <c r="AW68" s="887">
        <f>'बँक जमा खर्च पासबुक'!M68</f>
        <v>0</v>
      </c>
      <c r="AX68" s="877"/>
      <c r="AY68" s="877"/>
      <c r="AZ68" s="877"/>
      <c r="BA68" s="877"/>
      <c r="BB68" s="877"/>
      <c r="BC68" s="877"/>
      <c r="BD68" s="877"/>
      <c r="BE68" s="877"/>
      <c r="BF68" s="877"/>
      <c r="BG68" s="877"/>
      <c r="BH68" s="877"/>
    </row>
    <row r="69" spans="22:60" ht="35.25" customHeight="1" x14ac:dyDescent="0.5">
      <c r="V69" s="877"/>
      <c r="W69" s="887" t="str">
        <f t="shared" si="16"/>
        <v>January</v>
      </c>
      <c r="X69" s="887" t="str">
        <f>IF(AND(AJ69=$X$8,AK69=$AA$6),MAX($X$9:X68)+1,"")</f>
        <v/>
      </c>
      <c r="Y69" s="887" t="str">
        <f>IF(AND(AJ69=$Y$8,AK69=$AA$6),MAX($Y$9:Y68)+1,"")</f>
        <v/>
      </c>
      <c r="Z69" s="887" t="str">
        <f>IF(AND(AJ69=$Z$8,AK69=$AA$6),MAX($Z$9:Z68)+1,"")</f>
        <v/>
      </c>
      <c r="AA69" s="887" t="str">
        <f>IF(AND(AJ69=$AA$8,AK69=$AA$6),MAX(AA$9:$AA68)+1,"")</f>
        <v/>
      </c>
      <c r="AB69" s="887" t="str">
        <f>IF(AND(AJ69=$AB$8,AK69=$AA$6),MAX(AB$9:$AB68)+1,"")</f>
        <v/>
      </c>
      <c r="AC69" s="887" t="str">
        <f>IF(AND(AJ69=$AC$8,AK69=$AA$6),MAX(AC$9:$AC68)+1,"")</f>
        <v/>
      </c>
      <c r="AD69" s="887" t="str">
        <f>IF(AND(AJ69=$AD$8,AK69=$AA$6),MAX(AD$9:$AD68)+1,"")</f>
        <v/>
      </c>
      <c r="AE69" s="887" t="str">
        <f>IF(AND(AJ69=$AE$8,AK69=$AA$6),MAX(AE$9:$AE68)+1,"")</f>
        <v/>
      </c>
      <c r="AF69" s="887" t="str">
        <f>IF(AND(AJ69=$AF$8,AK69=$AA$6),MAX(AF$9:$AF68)+1,"")</f>
        <v/>
      </c>
      <c r="AG69" s="887" t="str">
        <f>IF(AND(AJ69=$AG$8,AK69=$AB$6),MAX(AG$9:$AG68)+1,"")</f>
        <v/>
      </c>
      <c r="AH69" s="887" t="str">
        <f>IF(AND(AJ69=$AH$8,AK69=$AB$6),MAX(AH$9:$AH68)+1,"")</f>
        <v/>
      </c>
      <c r="AI69" s="920" t="str">
        <f>IF(AND(AJ69=$AI$8,AK69=$AB$6),MAX(AI$9:$AI68)+1,"")</f>
        <v/>
      </c>
      <c r="AJ69" s="887" t="str">
        <f t="shared" si="17"/>
        <v>January</v>
      </c>
      <c r="AK69" s="887">
        <f t="shared" si="18"/>
        <v>1900</v>
      </c>
      <c r="AL69" s="887" t="str">
        <f>'बँक जमा खर्च पासबुक'!B69</f>
        <v/>
      </c>
      <c r="AM69" s="921">
        <f>IFERROR('बँक जमा खर्च पासबुक'!C69,"")</f>
        <v>0</v>
      </c>
      <c r="AN69" s="887">
        <f>'बँक जमा खर्च पासबुक'!D69</f>
        <v>0</v>
      </c>
      <c r="AO69" s="887">
        <f>'बँक जमा खर्च पासबुक'!E69</f>
        <v>0</v>
      </c>
      <c r="AP69" s="887">
        <f>'बँक जमा खर्च पासबुक'!F69</f>
        <v>0</v>
      </c>
      <c r="AQ69" s="887">
        <f>'बँक जमा खर्च पासबुक'!G69</f>
        <v>0</v>
      </c>
      <c r="AR69" s="887">
        <f>'बँक जमा खर्च पासबुक'!H69</f>
        <v>0</v>
      </c>
      <c r="AS69" s="887">
        <f>'बँक जमा खर्च पासबुक'!I69</f>
        <v>0</v>
      </c>
      <c r="AT69" s="887">
        <f>'बँक जमा खर्च पासबुक'!J69</f>
        <v>0</v>
      </c>
      <c r="AU69" s="887">
        <f>'बँक जमा खर्च पासबुक'!K69</f>
        <v>0</v>
      </c>
      <c r="AV69" s="887">
        <f>'बँक जमा खर्च पासबुक'!L69</f>
        <v>0</v>
      </c>
      <c r="AW69" s="887">
        <f>'बँक जमा खर्च पासबुक'!M69</f>
        <v>0</v>
      </c>
      <c r="AX69" s="877"/>
      <c r="AY69" s="877"/>
      <c r="AZ69" s="877"/>
      <c r="BA69" s="877"/>
      <c r="BB69" s="877"/>
      <c r="BC69" s="877"/>
      <c r="BD69" s="877"/>
      <c r="BE69" s="877"/>
      <c r="BF69" s="877"/>
      <c r="BG69" s="877"/>
      <c r="BH69" s="877"/>
    </row>
    <row r="70" spans="22:60" ht="35.25" customHeight="1" x14ac:dyDescent="0.5">
      <c r="V70" s="877"/>
      <c r="W70" s="887" t="str">
        <f t="shared" si="16"/>
        <v>January</v>
      </c>
      <c r="X70" s="887" t="str">
        <f>IF(AND(AJ70=$X$8,AK70=$AA$6),MAX($X$9:X69)+1,"")</f>
        <v/>
      </c>
      <c r="Y70" s="887" t="str">
        <f>IF(AND(AJ70=$Y$8,AK70=$AA$6),MAX($Y$9:Y69)+1,"")</f>
        <v/>
      </c>
      <c r="Z70" s="887" t="str">
        <f>IF(AND(AJ70=$Z$8,AK70=$AA$6),MAX($Z$9:Z69)+1,"")</f>
        <v/>
      </c>
      <c r="AA70" s="887" t="str">
        <f>IF(AND(AJ70=$AA$8,AK70=$AA$6),MAX(AA$9:$AA69)+1,"")</f>
        <v/>
      </c>
      <c r="AB70" s="887" t="str">
        <f>IF(AND(AJ70=$AB$8,AK70=$AA$6),MAX(AB$9:$AB69)+1,"")</f>
        <v/>
      </c>
      <c r="AC70" s="887" t="str">
        <f>IF(AND(AJ70=$AC$8,AK70=$AA$6),MAX(AC$9:$AC69)+1,"")</f>
        <v/>
      </c>
      <c r="AD70" s="887" t="str">
        <f>IF(AND(AJ70=$AD$8,AK70=$AA$6),MAX(AD$9:$AD69)+1,"")</f>
        <v/>
      </c>
      <c r="AE70" s="887" t="str">
        <f>IF(AND(AJ70=$AE$8,AK70=$AA$6),MAX(AE$9:$AE69)+1,"")</f>
        <v/>
      </c>
      <c r="AF70" s="887" t="str">
        <f>IF(AND(AJ70=$AF$8,AK70=$AA$6),MAX(AF$9:$AF69)+1,"")</f>
        <v/>
      </c>
      <c r="AG70" s="887" t="str">
        <f>IF(AND(AJ70=$AG$8,AK70=$AB$6),MAX(AG$9:$AG69)+1,"")</f>
        <v/>
      </c>
      <c r="AH70" s="887" t="str">
        <f>IF(AND(AJ70=$AH$8,AK70=$AB$6),MAX(AH$9:$AH69)+1,"")</f>
        <v/>
      </c>
      <c r="AI70" s="920" t="str">
        <f>IF(AND(AJ70=$AI$8,AK70=$AB$6),MAX(AI$9:$AI69)+1,"")</f>
        <v/>
      </c>
      <c r="AJ70" s="887" t="str">
        <f t="shared" si="17"/>
        <v>January</v>
      </c>
      <c r="AK70" s="887">
        <f t="shared" si="18"/>
        <v>1900</v>
      </c>
      <c r="AL70" s="887" t="str">
        <f>'बँक जमा खर्च पासबुक'!B70</f>
        <v/>
      </c>
      <c r="AM70" s="921">
        <f>IFERROR('बँक जमा खर्च पासबुक'!C70,"")</f>
        <v>0</v>
      </c>
      <c r="AN70" s="887">
        <f>'बँक जमा खर्च पासबुक'!D70</f>
        <v>0</v>
      </c>
      <c r="AO70" s="887">
        <f>'बँक जमा खर्च पासबुक'!E70</f>
        <v>0</v>
      </c>
      <c r="AP70" s="887">
        <f>'बँक जमा खर्च पासबुक'!F70</f>
        <v>0</v>
      </c>
      <c r="AQ70" s="887">
        <f>'बँक जमा खर्च पासबुक'!G70</f>
        <v>0</v>
      </c>
      <c r="AR70" s="887">
        <f>'बँक जमा खर्च पासबुक'!H70</f>
        <v>0</v>
      </c>
      <c r="AS70" s="887">
        <f>'बँक जमा खर्च पासबुक'!I70</f>
        <v>0</v>
      </c>
      <c r="AT70" s="887">
        <f>'बँक जमा खर्च पासबुक'!J70</f>
        <v>0</v>
      </c>
      <c r="AU70" s="887">
        <f>'बँक जमा खर्च पासबुक'!K70</f>
        <v>0</v>
      </c>
      <c r="AV70" s="887">
        <f>'बँक जमा खर्च पासबुक'!L70</f>
        <v>0</v>
      </c>
      <c r="AW70" s="887">
        <f>'बँक जमा खर्च पासबुक'!M70</f>
        <v>0</v>
      </c>
      <c r="AX70" s="877"/>
      <c r="AY70" s="877"/>
      <c r="AZ70" s="877"/>
      <c r="BA70" s="877"/>
      <c r="BB70" s="877"/>
      <c r="BC70" s="877"/>
      <c r="BD70" s="877"/>
      <c r="BE70" s="877"/>
      <c r="BF70" s="877"/>
      <c r="BG70" s="877"/>
      <c r="BH70" s="877"/>
    </row>
    <row r="71" spans="22:60" ht="35.25" customHeight="1" x14ac:dyDescent="0.5">
      <c r="V71" s="877"/>
      <c r="W71" s="887" t="str">
        <f t="shared" si="16"/>
        <v>January</v>
      </c>
      <c r="X71" s="887" t="str">
        <f>IF(AND(AJ71=$X$8,AK71=$AA$6),MAX($X$9:X70)+1,"")</f>
        <v/>
      </c>
      <c r="Y71" s="887" t="str">
        <f>IF(AND(AJ71=$Y$8,AK71=$AA$6),MAX($Y$9:Y70)+1,"")</f>
        <v/>
      </c>
      <c r="Z71" s="887" t="str">
        <f>IF(AND(AJ71=$Z$8,AK71=$AA$6),MAX($Z$9:Z70)+1,"")</f>
        <v/>
      </c>
      <c r="AA71" s="887" t="str">
        <f>IF(AND(AJ71=$AA$8,AK71=$AA$6),MAX(AA$9:$AA70)+1,"")</f>
        <v/>
      </c>
      <c r="AB71" s="887" t="str">
        <f>IF(AND(AJ71=$AB$8,AK71=$AA$6),MAX(AB$9:$AB70)+1,"")</f>
        <v/>
      </c>
      <c r="AC71" s="887" t="str">
        <f>IF(AND(AJ71=$AC$8,AK71=$AA$6),MAX(AC$9:$AC70)+1,"")</f>
        <v/>
      </c>
      <c r="AD71" s="887" t="str">
        <f>IF(AND(AJ71=$AD$8,AK71=$AA$6),MAX(AD$9:$AD70)+1,"")</f>
        <v/>
      </c>
      <c r="AE71" s="887" t="str">
        <f>IF(AND(AJ71=$AE$8,AK71=$AA$6),MAX(AE$9:$AE70)+1,"")</f>
        <v/>
      </c>
      <c r="AF71" s="887" t="str">
        <f>IF(AND(AJ71=$AF$8,AK71=$AA$6),MAX(AF$9:$AF70)+1,"")</f>
        <v/>
      </c>
      <c r="AG71" s="887" t="str">
        <f>IF(AND(AJ71=$AG$8,AK71=$AB$6),MAX(AG$9:$AG70)+1,"")</f>
        <v/>
      </c>
      <c r="AH71" s="887" t="str">
        <f>IF(AND(AJ71=$AH$8,AK71=$AB$6),MAX(AH$9:$AH70)+1,"")</f>
        <v/>
      </c>
      <c r="AI71" s="920" t="str">
        <f>IF(AND(AJ71=$AI$8,AK71=$AB$6),MAX(AI$9:$AI70)+1,"")</f>
        <v/>
      </c>
      <c r="AJ71" s="887" t="str">
        <f t="shared" si="17"/>
        <v>January</v>
      </c>
      <c r="AK71" s="887">
        <f t="shared" si="18"/>
        <v>1900</v>
      </c>
      <c r="AL71" s="887" t="str">
        <f>'बँक जमा खर्च पासबुक'!B71</f>
        <v/>
      </c>
      <c r="AM71" s="921">
        <f>IFERROR('बँक जमा खर्च पासबुक'!C71,"")</f>
        <v>0</v>
      </c>
      <c r="AN71" s="887">
        <f>'बँक जमा खर्च पासबुक'!D71</f>
        <v>0</v>
      </c>
      <c r="AO71" s="887">
        <f>'बँक जमा खर्च पासबुक'!E71</f>
        <v>0</v>
      </c>
      <c r="AP71" s="887">
        <f>'बँक जमा खर्च पासबुक'!F71</f>
        <v>0</v>
      </c>
      <c r="AQ71" s="887">
        <f>'बँक जमा खर्च पासबुक'!G71</f>
        <v>0</v>
      </c>
      <c r="AR71" s="887">
        <f>'बँक जमा खर्च पासबुक'!H71</f>
        <v>0</v>
      </c>
      <c r="AS71" s="887">
        <f>'बँक जमा खर्च पासबुक'!I71</f>
        <v>0</v>
      </c>
      <c r="AT71" s="887">
        <f>'बँक जमा खर्च पासबुक'!J71</f>
        <v>0</v>
      </c>
      <c r="AU71" s="887">
        <f>'बँक जमा खर्च पासबुक'!K71</f>
        <v>0</v>
      </c>
      <c r="AV71" s="887">
        <f>'बँक जमा खर्च पासबुक'!L71</f>
        <v>0</v>
      </c>
      <c r="AW71" s="887">
        <f>'बँक जमा खर्च पासबुक'!M71</f>
        <v>0</v>
      </c>
      <c r="AX71" s="877"/>
      <c r="AY71" s="877"/>
      <c r="AZ71" s="877"/>
      <c r="BA71" s="877"/>
      <c r="BB71" s="877"/>
      <c r="BC71" s="877"/>
      <c r="BD71" s="877"/>
      <c r="BE71" s="877"/>
      <c r="BF71" s="877"/>
      <c r="BG71" s="877"/>
      <c r="BH71" s="877"/>
    </row>
    <row r="72" spans="22:60" ht="35.25" customHeight="1" x14ac:dyDescent="0.5">
      <c r="V72" s="877"/>
      <c r="W72" s="887" t="str">
        <f t="shared" si="16"/>
        <v>January</v>
      </c>
      <c r="X72" s="887" t="str">
        <f>IF(AND(AJ72=$X$8,AK72=$AA$6),MAX($X$9:X71)+1,"")</f>
        <v/>
      </c>
      <c r="Y72" s="887" t="str">
        <f>IF(AND(AJ72=$Y$8,AK72=$AA$6),MAX($Y$9:Y71)+1,"")</f>
        <v/>
      </c>
      <c r="Z72" s="887" t="str">
        <f>IF(AND(AJ72=$Z$8,AK72=$AA$6),MAX($Z$9:Z71)+1,"")</f>
        <v/>
      </c>
      <c r="AA72" s="887" t="str">
        <f>IF(AND(AJ72=$AA$8,AK72=$AA$6),MAX(AA$9:$AA71)+1,"")</f>
        <v/>
      </c>
      <c r="AB72" s="887" t="str">
        <f>IF(AND(AJ72=$AB$8,AK72=$AA$6),MAX(AB$9:$AB71)+1,"")</f>
        <v/>
      </c>
      <c r="AC72" s="887" t="str">
        <f>IF(AND(AJ72=$AC$8,AK72=$AA$6),MAX(AC$9:$AC71)+1,"")</f>
        <v/>
      </c>
      <c r="AD72" s="887" t="str">
        <f>IF(AND(AJ72=$AD$8,AK72=$AA$6),MAX(AD$9:$AD71)+1,"")</f>
        <v/>
      </c>
      <c r="AE72" s="887" t="str">
        <f>IF(AND(AJ72=$AE$8,AK72=$AA$6),MAX(AE$9:$AE71)+1,"")</f>
        <v/>
      </c>
      <c r="AF72" s="887" t="str">
        <f>IF(AND(AJ72=$AF$8,AK72=$AA$6),MAX(AF$9:$AF71)+1,"")</f>
        <v/>
      </c>
      <c r="AG72" s="887" t="str">
        <f>IF(AND(AJ72=$AG$8,AK72=$AB$6),MAX(AG$9:$AG71)+1,"")</f>
        <v/>
      </c>
      <c r="AH72" s="887" t="str">
        <f>IF(AND(AJ72=$AH$8,AK72=$AB$6),MAX(AH$9:$AH71)+1,"")</f>
        <v/>
      </c>
      <c r="AI72" s="920" t="str">
        <f>IF(AND(AJ72=$AI$8,AK72=$AB$6),MAX(AI$9:$AI71)+1,"")</f>
        <v/>
      </c>
      <c r="AJ72" s="887" t="str">
        <f t="shared" si="17"/>
        <v>January</v>
      </c>
      <c r="AK72" s="887">
        <f t="shared" si="18"/>
        <v>1900</v>
      </c>
      <c r="AL72" s="887" t="str">
        <f>'बँक जमा खर्च पासबुक'!B72</f>
        <v/>
      </c>
      <c r="AM72" s="921">
        <f>IFERROR('बँक जमा खर्च पासबुक'!C72,"")</f>
        <v>0</v>
      </c>
      <c r="AN72" s="887">
        <f>'बँक जमा खर्च पासबुक'!D72</f>
        <v>0</v>
      </c>
      <c r="AO72" s="887">
        <f>'बँक जमा खर्च पासबुक'!E72</f>
        <v>0</v>
      </c>
      <c r="AP72" s="887">
        <f>'बँक जमा खर्च पासबुक'!F72</f>
        <v>0</v>
      </c>
      <c r="AQ72" s="887">
        <f>'बँक जमा खर्च पासबुक'!G72</f>
        <v>0</v>
      </c>
      <c r="AR72" s="887">
        <f>'बँक जमा खर्च पासबुक'!H72</f>
        <v>0</v>
      </c>
      <c r="AS72" s="887">
        <f>'बँक जमा खर्च पासबुक'!I72</f>
        <v>0</v>
      </c>
      <c r="AT72" s="887">
        <f>'बँक जमा खर्च पासबुक'!J72</f>
        <v>0</v>
      </c>
      <c r="AU72" s="887">
        <f>'बँक जमा खर्च पासबुक'!K72</f>
        <v>0</v>
      </c>
      <c r="AV72" s="887">
        <f>'बँक जमा खर्च पासबुक'!L72</f>
        <v>0</v>
      </c>
      <c r="AW72" s="887">
        <f>'बँक जमा खर्च पासबुक'!M72</f>
        <v>0</v>
      </c>
      <c r="AX72" s="877"/>
      <c r="AY72" s="877"/>
      <c r="AZ72" s="877"/>
      <c r="BA72" s="877"/>
      <c r="BB72" s="877"/>
      <c r="BC72" s="877"/>
      <c r="BD72" s="877"/>
      <c r="BE72" s="877"/>
      <c r="BF72" s="877"/>
      <c r="BG72" s="877"/>
      <c r="BH72" s="877"/>
    </row>
    <row r="73" spans="22:60" ht="35.25" customHeight="1" x14ac:dyDescent="0.5">
      <c r="V73" s="877"/>
      <c r="W73" s="887" t="str">
        <f t="shared" si="16"/>
        <v>January</v>
      </c>
      <c r="X73" s="887" t="str">
        <f>IF(AND(AJ73=$X$8,AK73=$AA$6),MAX($X$9:X72)+1,"")</f>
        <v/>
      </c>
      <c r="Y73" s="887" t="str">
        <f>IF(AND(AJ73=$Y$8,AK73=$AA$6),MAX($Y$9:Y72)+1,"")</f>
        <v/>
      </c>
      <c r="Z73" s="887" t="str">
        <f>IF(AND(AJ73=$Z$8,AK73=$AA$6),MAX($Z$9:Z72)+1,"")</f>
        <v/>
      </c>
      <c r="AA73" s="887" t="str">
        <f>IF(AND(AJ73=$AA$8,AK73=$AA$6),MAX(AA$9:$AA72)+1,"")</f>
        <v/>
      </c>
      <c r="AB73" s="887" t="str">
        <f>IF(AND(AJ73=$AB$8,AK73=$AA$6),MAX(AB$9:$AB72)+1,"")</f>
        <v/>
      </c>
      <c r="AC73" s="887" t="str">
        <f>IF(AND(AJ73=$AC$8,AK73=$AA$6),MAX(AC$9:$AC72)+1,"")</f>
        <v/>
      </c>
      <c r="AD73" s="887" t="str">
        <f>IF(AND(AJ73=$AD$8,AK73=$AA$6),MAX(AD$9:$AD72)+1,"")</f>
        <v/>
      </c>
      <c r="AE73" s="887" t="str">
        <f>IF(AND(AJ73=$AE$8,AK73=$AA$6),MAX(AE$9:$AE72)+1,"")</f>
        <v/>
      </c>
      <c r="AF73" s="887" t="str">
        <f>IF(AND(AJ73=$AF$8,AK73=$AA$6),MAX(AF$9:$AF72)+1,"")</f>
        <v/>
      </c>
      <c r="AG73" s="887" t="str">
        <f>IF(AND(AJ73=$AG$8,AK73=$AB$6),MAX(AG$9:$AG72)+1,"")</f>
        <v/>
      </c>
      <c r="AH73" s="887" t="str">
        <f>IF(AND(AJ73=$AH$8,AK73=$AB$6),MAX(AH$9:$AH72)+1,"")</f>
        <v/>
      </c>
      <c r="AI73" s="920" t="str">
        <f>IF(AND(AJ73=$AI$8,AK73=$AB$6),MAX(AI$9:$AI72)+1,"")</f>
        <v/>
      </c>
      <c r="AJ73" s="887" t="str">
        <f t="shared" si="17"/>
        <v>January</v>
      </c>
      <c r="AK73" s="887">
        <f t="shared" si="18"/>
        <v>1900</v>
      </c>
      <c r="AL73" s="887" t="str">
        <f>'बँक जमा खर्च पासबुक'!B73</f>
        <v/>
      </c>
      <c r="AM73" s="921">
        <f>IFERROR('बँक जमा खर्च पासबुक'!C73,"")</f>
        <v>0</v>
      </c>
      <c r="AN73" s="887">
        <f>'बँक जमा खर्च पासबुक'!D73</f>
        <v>0</v>
      </c>
      <c r="AO73" s="887">
        <f>'बँक जमा खर्च पासबुक'!E73</f>
        <v>0</v>
      </c>
      <c r="AP73" s="887">
        <f>'बँक जमा खर्च पासबुक'!F73</f>
        <v>0</v>
      </c>
      <c r="AQ73" s="887">
        <f>'बँक जमा खर्च पासबुक'!G73</f>
        <v>0</v>
      </c>
      <c r="AR73" s="887">
        <f>'बँक जमा खर्च पासबुक'!H73</f>
        <v>0</v>
      </c>
      <c r="AS73" s="887">
        <f>'बँक जमा खर्च पासबुक'!I73</f>
        <v>0</v>
      </c>
      <c r="AT73" s="887">
        <f>'बँक जमा खर्च पासबुक'!J73</f>
        <v>0</v>
      </c>
      <c r="AU73" s="887">
        <f>'बँक जमा खर्च पासबुक'!K73</f>
        <v>0</v>
      </c>
      <c r="AV73" s="887">
        <f>'बँक जमा खर्च पासबुक'!L73</f>
        <v>0</v>
      </c>
      <c r="AW73" s="887">
        <f>'बँक जमा खर्च पासबुक'!M73</f>
        <v>0</v>
      </c>
      <c r="AX73" s="877"/>
      <c r="AY73" s="877"/>
      <c r="AZ73" s="877"/>
      <c r="BA73" s="877"/>
      <c r="BB73" s="877"/>
      <c r="BC73" s="877"/>
      <c r="BD73" s="877"/>
      <c r="BE73" s="877"/>
      <c r="BF73" s="877"/>
      <c r="BG73" s="877"/>
      <c r="BH73" s="877"/>
    </row>
    <row r="74" spans="22:60" ht="35.25" customHeight="1" x14ac:dyDescent="0.5">
      <c r="V74" s="877"/>
      <c r="W74" s="887" t="str">
        <f t="shared" ref="W74:W111" si="19">AJ74</f>
        <v>January</v>
      </c>
      <c r="X74" s="887" t="str">
        <f>IF(AND(AJ74=$X$8,AK74=$AA$6),MAX($X$9:X73)+1,"")</f>
        <v/>
      </c>
      <c r="Y74" s="887" t="str">
        <f>IF(AND(AJ74=$Y$8,AK74=$AA$6),MAX($Y$9:Y73)+1,"")</f>
        <v/>
      </c>
      <c r="Z74" s="887" t="str">
        <f>IF(AND(AJ74=$Z$8,AK74=$AA$6),MAX($Z$9:Z73)+1,"")</f>
        <v/>
      </c>
      <c r="AA74" s="887" t="str">
        <f>IF(AND(AJ74=$AA$8,AK74=$AA$6),MAX(AA$9:$AA73)+1,"")</f>
        <v/>
      </c>
      <c r="AB74" s="887" t="str">
        <f>IF(AND(AJ74=$AB$8,AK74=$AA$6),MAX(AB$9:$AB73)+1,"")</f>
        <v/>
      </c>
      <c r="AC74" s="887" t="str">
        <f>IF(AND(AJ74=$AC$8,AK74=$AA$6),MAX(AC$9:$AC73)+1,"")</f>
        <v/>
      </c>
      <c r="AD74" s="887" t="str">
        <f>IF(AND(AJ74=$AD$8,AK74=$AA$6),MAX(AD$9:$AD73)+1,"")</f>
        <v/>
      </c>
      <c r="AE74" s="887" t="str">
        <f>IF(AND(AJ74=$AE$8,AK74=$AA$6),MAX(AE$9:$AE73)+1,"")</f>
        <v/>
      </c>
      <c r="AF74" s="887" t="str">
        <f>IF(AND(AJ74=$AF$8,AK74=$AA$6),MAX(AF$9:$AF73)+1,"")</f>
        <v/>
      </c>
      <c r="AG74" s="887" t="str">
        <f>IF(AND(AJ74=$AG$8,AK74=$AB$6),MAX(AG$9:$AG73)+1,"")</f>
        <v/>
      </c>
      <c r="AH74" s="887" t="str">
        <f>IF(AND(AJ74=$AH$8,AK74=$AB$6),MAX(AH$9:$AH73)+1,"")</f>
        <v/>
      </c>
      <c r="AI74" s="920" t="str">
        <f>IF(AND(AJ74=$AI$8,AK74=$AB$6),MAX(AI$9:$AI73)+1,"")</f>
        <v/>
      </c>
      <c r="AJ74" s="887" t="str">
        <f t="shared" ref="AJ74:AJ111" si="20">TEXT(AM74,"MMMM")</f>
        <v>January</v>
      </c>
      <c r="AK74" s="887">
        <f t="shared" ref="AK74:AK111" si="21">YEAR(AM74)</f>
        <v>1900</v>
      </c>
      <c r="AL74" s="887" t="str">
        <f>'बँक जमा खर्च पासबुक'!B74</f>
        <v/>
      </c>
      <c r="AM74" s="921">
        <f>IFERROR('बँक जमा खर्च पासबुक'!C74,"")</f>
        <v>0</v>
      </c>
      <c r="AN74" s="887">
        <f>'बँक जमा खर्च पासबुक'!D74</f>
        <v>0</v>
      </c>
      <c r="AO74" s="887">
        <f>'बँक जमा खर्च पासबुक'!E74</f>
        <v>0</v>
      </c>
      <c r="AP74" s="887">
        <f>'बँक जमा खर्च पासबुक'!F74</f>
        <v>0</v>
      </c>
      <c r="AQ74" s="887">
        <f>'बँक जमा खर्च पासबुक'!G74</f>
        <v>0</v>
      </c>
      <c r="AR74" s="887">
        <f>'बँक जमा खर्च पासबुक'!H74</f>
        <v>0</v>
      </c>
      <c r="AS74" s="887">
        <f>'बँक जमा खर्च पासबुक'!I74</f>
        <v>0</v>
      </c>
      <c r="AT74" s="887">
        <f>'बँक जमा खर्च पासबुक'!J74</f>
        <v>0</v>
      </c>
      <c r="AU74" s="887">
        <f>'बँक जमा खर्च पासबुक'!K74</f>
        <v>0</v>
      </c>
      <c r="AV74" s="887">
        <f>'बँक जमा खर्च पासबुक'!L74</f>
        <v>0</v>
      </c>
      <c r="AW74" s="887">
        <f>'बँक जमा खर्च पासबुक'!M74</f>
        <v>0</v>
      </c>
      <c r="AX74" s="877"/>
      <c r="AY74" s="877"/>
      <c r="AZ74" s="877"/>
      <c r="BA74" s="877"/>
      <c r="BB74" s="877"/>
      <c r="BC74" s="877"/>
      <c r="BD74" s="877"/>
      <c r="BE74" s="877"/>
      <c r="BF74" s="877"/>
      <c r="BG74" s="877"/>
      <c r="BH74" s="877"/>
    </row>
    <row r="75" spans="22:60" ht="35.25" customHeight="1" x14ac:dyDescent="0.5">
      <c r="V75" s="877"/>
      <c r="W75" s="887" t="str">
        <f t="shared" si="19"/>
        <v>January</v>
      </c>
      <c r="X75" s="887" t="str">
        <f>IF(AND(AJ75=$X$8,AK75=$AA$6),MAX($X$9:X74)+1,"")</f>
        <v/>
      </c>
      <c r="Y75" s="887" t="str">
        <f>IF(AND(AJ75=$Y$8,AK75=$AA$6),MAX($Y$9:Y74)+1,"")</f>
        <v/>
      </c>
      <c r="Z75" s="887" t="str">
        <f>IF(AND(AJ75=$Z$8,AK75=$AA$6),MAX($Z$9:Z74)+1,"")</f>
        <v/>
      </c>
      <c r="AA75" s="887" t="str">
        <f>IF(AND(AJ75=$AA$8,AK75=$AA$6),MAX(AA$9:$AA74)+1,"")</f>
        <v/>
      </c>
      <c r="AB75" s="887" t="str">
        <f>IF(AND(AJ75=$AB$8,AK75=$AA$6),MAX(AB$9:$AB74)+1,"")</f>
        <v/>
      </c>
      <c r="AC75" s="887" t="str">
        <f>IF(AND(AJ75=$AC$8,AK75=$AA$6),MAX(AC$9:$AC74)+1,"")</f>
        <v/>
      </c>
      <c r="AD75" s="887" t="str">
        <f>IF(AND(AJ75=$AD$8,AK75=$AA$6),MAX(AD$9:$AD74)+1,"")</f>
        <v/>
      </c>
      <c r="AE75" s="887" t="str">
        <f>IF(AND(AJ75=$AE$8,AK75=$AA$6),MAX(AE$9:$AE74)+1,"")</f>
        <v/>
      </c>
      <c r="AF75" s="887" t="str">
        <f>IF(AND(AJ75=$AF$8,AK75=$AA$6),MAX(AF$9:$AF74)+1,"")</f>
        <v/>
      </c>
      <c r="AG75" s="887" t="str">
        <f>IF(AND(AJ75=$AG$8,AK75=$AB$6),MAX(AG$9:$AG74)+1,"")</f>
        <v/>
      </c>
      <c r="AH75" s="887" t="str">
        <f>IF(AND(AJ75=$AH$8,AK75=$AB$6),MAX(AH$9:$AH74)+1,"")</f>
        <v/>
      </c>
      <c r="AI75" s="920" t="str">
        <f>IF(AND(AJ75=$AI$8,AK75=$AB$6),MAX(AI$9:$AI74)+1,"")</f>
        <v/>
      </c>
      <c r="AJ75" s="887" t="str">
        <f t="shared" si="20"/>
        <v>January</v>
      </c>
      <c r="AK75" s="887">
        <f t="shared" si="21"/>
        <v>1900</v>
      </c>
      <c r="AL75" s="887" t="str">
        <f>'बँक जमा खर्च पासबुक'!B75</f>
        <v/>
      </c>
      <c r="AM75" s="921">
        <f>IFERROR('बँक जमा खर्च पासबुक'!C75,"")</f>
        <v>0</v>
      </c>
      <c r="AN75" s="887">
        <f>'बँक जमा खर्च पासबुक'!D75</f>
        <v>0</v>
      </c>
      <c r="AO75" s="887">
        <f>'बँक जमा खर्च पासबुक'!E75</f>
        <v>0</v>
      </c>
      <c r="AP75" s="887">
        <f>'बँक जमा खर्च पासबुक'!F75</f>
        <v>0</v>
      </c>
      <c r="AQ75" s="887">
        <f>'बँक जमा खर्च पासबुक'!G75</f>
        <v>0</v>
      </c>
      <c r="AR75" s="887">
        <f>'बँक जमा खर्च पासबुक'!H75</f>
        <v>0</v>
      </c>
      <c r="AS75" s="887">
        <f>'बँक जमा खर्च पासबुक'!I75</f>
        <v>0</v>
      </c>
      <c r="AT75" s="887">
        <f>'बँक जमा खर्च पासबुक'!J75</f>
        <v>0</v>
      </c>
      <c r="AU75" s="887">
        <f>'बँक जमा खर्च पासबुक'!K75</f>
        <v>0</v>
      </c>
      <c r="AV75" s="887">
        <f>'बँक जमा खर्च पासबुक'!L75</f>
        <v>0</v>
      </c>
      <c r="AW75" s="887">
        <f>'बँक जमा खर्च पासबुक'!M75</f>
        <v>0</v>
      </c>
      <c r="AX75" s="877"/>
      <c r="AY75" s="877"/>
      <c r="AZ75" s="877"/>
      <c r="BA75" s="877"/>
      <c r="BB75" s="877"/>
      <c r="BC75" s="877"/>
      <c r="BD75" s="877"/>
      <c r="BE75" s="877"/>
      <c r="BF75" s="877"/>
      <c r="BG75" s="877"/>
      <c r="BH75" s="877"/>
    </row>
    <row r="76" spans="22:60" ht="35.25" customHeight="1" x14ac:dyDescent="0.5">
      <c r="V76" s="877"/>
      <c r="W76" s="887" t="str">
        <f t="shared" si="19"/>
        <v>January</v>
      </c>
      <c r="X76" s="887" t="str">
        <f>IF(AND(AJ76=$X$8,AK76=$AA$6),MAX($X$9:X75)+1,"")</f>
        <v/>
      </c>
      <c r="Y76" s="887" t="str">
        <f>IF(AND(AJ76=$Y$8,AK76=$AA$6),MAX($Y$9:Y75)+1,"")</f>
        <v/>
      </c>
      <c r="Z76" s="887" t="str">
        <f>IF(AND(AJ76=$Z$8,AK76=$AA$6),MAX($Z$9:Z75)+1,"")</f>
        <v/>
      </c>
      <c r="AA76" s="887" t="str">
        <f>IF(AND(AJ76=$AA$8,AK76=$AA$6),MAX(AA$9:$AA75)+1,"")</f>
        <v/>
      </c>
      <c r="AB76" s="887" t="str">
        <f>IF(AND(AJ76=$AB$8,AK76=$AA$6),MAX(AB$9:$AB75)+1,"")</f>
        <v/>
      </c>
      <c r="AC76" s="887" t="str">
        <f>IF(AND(AJ76=$AC$8,AK76=$AA$6),MAX(AC$9:$AC75)+1,"")</f>
        <v/>
      </c>
      <c r="AD76" s="887" t="str">
        <f>IF(AND(AJ76=$AD$8,AK76=$AA$6),MAX(AD$9:$AD75)+1,"")</f>
        <v/>
      </c>
      <c r="AE76" s="887" t="str">
        <f>IF(AND(AJ76=$AE$8,AK76=$AA$6),MAX(AE$9:$AE75)+1,"")</f>
        <v/>
      </c>
      <c r="AF76" s="887" t="str">
        <f>IF(AND(AJ76=$AF$8,AK76=$AA$6),MAX(AF$9:$AF75)+1,"")</f>
        <v/>
      </c>
      <c r="AG76" s="887" t="str">
        <f>IF(AND(AJ76=$AG$8,AK76=$AB$6),MAX(AG$9:$AG75)+1,"")</f>
        <v/>
      </c>
      <c r="AH76" s="887" t="str">
        <f>IF(AND(AJ76=$AH$8,AK76=$AB$6),MAX(AH$9:$AH75)+1,"")</f>
        <v/>
      </c>
      <c r="AI76" s="920" t="str">
        <f>IF(AND(AJ76=$AI$8,AK76=$AB$6),MAX(AI$9:$AI75)+1,"")</f>
        <v/>
      </c>
      <c r="AJ76" s="887" t="str">
        <f t="shared" si="20"/>
        <v>January</v>
      </c>
      <c r="AK76" s="887">
        <f t="shared" si="21"/>
        <v>1900</v>
      </c>
      <c r="AL76" s="887" t="str">
        <f>'बँक जमा खर्च पासबुक'!B76</f>
        <v/>
      </c>
      <c r="AM76" s="921">
        <f>IFERROR('बँक जमा खर्च पासबुक'!C76,"")</f>
        <v>0</v>
      </c>
      <c r="AN76" s="887">
        <f>'बँक जमा खर्च पासबुक'!D76</f>
        <v>0</v>
      </c>
      <c r="AO76" s="887">
        <f>'बँक जमा खर्च पासबुक'!E76</f>
        <v>0</v>
      </c>
      <c r="AP76" s="887">
        <f>'बँक जमा खर्च पासबुक'!F76</f>
        <v>0</v>
      </c>
      <c r="AQ76" s="887">
        <f>'बँक जमा खर्च पासबुक'!G76</f>
        <v>0</v>
      </c>
      <c r="AR76" s="887">
        <f>'बँक जमा खर्च पासबुक'!H76</f>
        <v>0</v>
      </c>
      <c r="AS76" s="887">
        <f>'बँक जमा खर्च पासबुक'!I76</f>
        <v>0</v>
      </c>
      <c r="AT76" s="887">
        <f>'बँक जमा खर्च पासबुक'!J76</f>
        <v>0</v>
      </c>
      <c r="AU76" s="887">
        <f>'बँक जमा खर्च पासबुक'!K76</f>
        <v>0</v>
      </c>
      <c r="AV76" s="887">
        <f>'बँक जमा खर्च पासबुक'!L76</f>
        <v>0</v>
      </c>
      <c r="AW76" s="887">
        <f>'बँक जमा खर्च पासबुक'!M76</f>
        <v>0</v>
      </c>
      <c r="AX76" s="877"/>
      <c r="AY76" s="877"/>
      <c r="AZ76" s="877"/>
      <c r="BA76" s="877"/>
      <c r="BB76" s="877"/>
      <c r="BC76" s="877"/>
      <c r="BD76" s="877"/>
      <c r="BE76" s="877"/>
      <c r="BF76" s="877"/>
      <c r="BG76" s="877"/>
      <c r="BH76" s="877"/>
    </row>
    <row r="77" spans="22:60" ht="35.25" customHeight="1" x14ac:dyDescent="0.5">
      <c r="V77" s="877"/>
      <c r="W77" s="887" t="str">
        <f t="shared" si="19"/>
        <v>January</v>
      </c>
      <c r="X77" s="887" t="str">
        <f>IF(AND(AJ77=$X$8,AK77=$AA$6),MAX($X$9:X76)+1,"")</f>
        <v/>
      </c>
      <c r="Y77" s="887" t="str">
        <f>IF(AND(AJ77=$Y$8,AK77=$AA$6),MAX($Y$9:Y76)+1,"")</f>
        <v/>
      </c>
      <c r="Z77" s="887" t="str">
        <f>IF(AND(AJ77=$Z$8,AK77=$AA$6),MAX($Z$9:Z76)+1,"")</f>
        <v/>
      </c>
      <c r="AA77" s="887" t="str">
        <f>IF(AND(AJ77=$AA$8,AK77=$AA$6),MAX(AA$9:$AA76)+1,"")</f>
        <v/>
      </c>
      <c r="AB77" s="887" t="str">
        <f>IF(AND(AJ77=$AB$8,AK77=$AA$6),MAX(AB$9:$AB76)+1,"")</f>
        <v/>
      </c>
      <c r="AC77" s="887" t="str">
        <f>IF(AND(AJ77=$AC$8,AK77=$AA$6),MAX(AC$9:$AC76)+1,"")</f>
        <v/>
      </c>
      <c r="AD77" s="887" t="str">
        <f>IF(AND(AJ77=$AD$8,AK77=$AA$6),MAX(AD$9:$AD76)+1,"")</f>
        <v/>
      </c>
      <c r="AE77" s="887" t="str">
        <f>IF(AND(AJ77=$AE$8,AK77=$AA$6),MAX(AE$9:$AE76)+1,"")</f>
        <v/>
      </c>
      <c r="AF77" s="887" t="str">
        <f>IF(AND(AJ77=$AF$8,AK77=$AA$6),MAX(AF$9:$AF76)+1,"")</f>
        <v/>
      </c>
      <c r="AG77" s="887" t="str">
        <f>IF(AND(AJ77=$AG$8,AK77=$AB$6),MAX(AG$9:$AG76)+1,"")</f>
        <v/>
      </c>
      <c r="AH77" s="887" t="str">
        <f>IF(AND(AJ77=$AH$8,AK77=$AB$6),MAX(AH$9:$AH76)+1,"")</f>
        <v/>
      </c>
      <c r="AI77" s="920" t="str">
        <f>IF(AND(AJ77=$AI$8,AK77=$AB$6),MAX(AI$9:$AI76)+1,"")</f>
        <v/>
      </c>
      <c r="AJ77" s="887" t="str">
        <f t="shared" si="20"/>
        <v>January</v>
      </c>
      <c r="AK77" s="887">
        <f t="shared" si="21"/>
        <v>1900</v>
      </c>
      <c r="AL77" s="887" t="str">
        <f>'बँक जमा खर्च पासबुक'!B77</f>
        <v/>
      </c>
      <c r="AM77" s="921">
        <f>IFERROR('बँक जमा खर्च पासबुक'!C77,"")</f>
        <v>0</v>
      </c>
      <c r="AN77" s="887">
        <f>'बँक जमा खर्च पासबुक'!D77</f>
        <v>0</v>
      </c>
      <c r="AO77" s="887">
        <f>'बँक जमा खर्च पासबुक'!E77</f>
        <v>0</v>
      </c>
      <c r="AP77" s="887">
        <f>'बँक जमा खर्च पासबुक'!F77</f>
        <v>0</v>
      </c>
      <c r="AQ77" s="887">
        <f>'बँक जमा खर्च पासबुक'!G77</f>
        <v>0</v>
      </c>
      <c r="AR77" s="887">
        <f>'बँक जमा खर्च पासबुक'!H77</f>
        <v>0</v>
      </c>
      <c r="AS77" s="887">
        <f>'बँक जमा खर्च पासबुक'!I77</f>
        <v>0</v>
      </c>
      <c r="AT77" s="887">
        <f>'बँक जमा खर्च पासबुक'!J77</f>
        <v>0</v>
      </c>
      <c r="AU77" s="887">
        <f>'बँक जमा खर्च पासबुक'!K77</f>
        <v>0</v>
      </c>
      <c r="AV77" s="887">
        <f>'बँक जमा खर्च पासबुक'!L77</f>
        <v>0</v>
      </c>
      <c r="AW77" s="887">
        <f>'बँक जमा खर्च पासबुक'!M77</f>
        <v>0</v>
      </c>
      <c r="AX77" s="877"/>
      <c r="AY77" s="877"/>
      <c r="AZ77" s="877"/>
      <c r="BA77" s="877"/>
      <c r="BB77" s="877"/>
      <c r="BC77" s="877"/>
      <c r="BD77" s="877"/>
      <c r="BE77" s="877"/>
      <c r="BF77" s="877"/>
      <c r="BG77" s="877"/>
      <c r="BH77" s="877"/>
    </row>
    <row r="78" spans="22:60" ht="35.25" customHeight="1" x14ac:dyDescent="0.5">
      <c r="V78" s="877"/>
      <c r="W78" s="887" t="str">
        <f t="shared" si="19"/>
        <v>January</v>
      </c>
      <c r="X78" s="887" t="str">
        <f>IF(AND(AJ78=$X$8,AK78=$AA$6),MAX($X$9:X77)+1,"")</f>
        <v/>
      </c>
      <c r="Y78" s="887" t="str">
        <f>IF(AND(AJ78=$Y$8,AK78=$AA$6),MAX($Y$9:Y77)+1,"")</f>
        <v/>
      </c>
      <c r="Z78" s="887" t="str">
        <f>IF(AND(AJ78=$Z$8,AK78=$AA$6),MAX($Z$9:Z77)+1,"")</f>
        <v/>
      </c>
      <c r="AA78" s="887" t="str">
        <f>IF(AND(AJ78=$AA$8,AK78=$AA$6),MAX(AA$9:$AA77)+1,"")</f>
        <v/>
      </c>
      <c r="AB78" s="887" t="str">
        <f>IF(AND(AJ78=$AB$8,AK78=$AA$6),MAX(AB$9:$AB77)+1,"")</f>
        <v/>
      </c>
      <c r="AC78" s="887" t="str">
        <f>IF(AND(AJ78=$AC$8,AK78=$AA$6),MAX(AC$9:$AC77)+1,"")</f>
        <v/>
      </c>
      <c r="AD78" s="887" t="str">
        <f>IF(AND(AJ78=$AD$8,AK78=$AA$6),MAX(AD$9:$AD77)+1,"")</f>
        <v/>
      </c>
      <c r="AE78" s="887" t="str">
        <f>IF(AND(AJ78=$AE$8,AK78=$AA$6),MAX(AE$9:$AE77)+1,"")</f>
        <v/>
      </c>
      <c r="AF78" s="887" t="str">
        <f>IF(AND(AJ78=$AF$8,AK78=$AA$6),MAX(AF$9:$AF77)+1,"")</f>
        <v/>
      </c>
      <c r="AG78" s="887" t="str">
        <f>IF(AND(AJ78=$AG$8,AK78=$AB$6),MAX(AG$9:$AG77)+1,"")</f>
        <v/>
      </c>
      <c r="AH78" s="887" t="str">
        <f>IF(AND(AJ78=$AH$8,AK78=$AB$6),MAX(AH$9:$AH77)+1,"")</f>
        <v/>
      </c>
      <c r="AI78" s="920" t="str">
        <f>IF(AND(AJ78=$AI$8,AK78=$AB$6),MAX(AI$9:$AI77)+1,"")</f>
        <v/>
      </c>
      <c r="AJ78" s="887" t="str">
        <f t="shared" si="20"/>
        <v>January</v>
      </c>
      <c r="AK78" s="887">
        <f t="shared" si="21"/>
        <v>1900</v>
      </c>
      <c r="AL78" s="887" t="str">
        <f>'बँक जमा खर्च पासबुक'!B78</f>
        <v/>
      </c>
      <c r="AM78" s="921">
        <f>IFERROR('बँक जमा खर्च पासबुक'!C78,"")</f>
        <v>0</v>
      </c>
      <c r="AN78" s="887">
        <f>'बँक जमा खर्च पासबुक'!D78</f>
        <v>0</v>
      </c>
      <c r="AO78" s="887">
        <f>'बँक जमा खर्च पासबुक'!E78</f>
        <v>0</v>
      </c>
      <c r="AP78" s="887">
        <f>'बँक जमा खर्च पासबुक'!F78</f>
        <v>0</v>
      </c>
      <c r="AQ78" s="887">
        <f>'बँक जमा खर्च पासबुक'!G78</f>
        <v>0</v>
      </c>
      <c r="AR78" s="887">
        <f>'बँक जमा खर्च पासबुक'!H78</f>
        <v>0</v>
      </c>
      <c r="AS78" s="887">
        <f>'बँक जमा खर्च पासबुक'!I78</f>
        <v>0</v>
      </c>
      <c r="AT78" s="887">
        <f>'बँक जमा खर्च पासबुक'!J78</f>
        <v>0</v>
      </c>
      <c r="AU78" s="887">
        <f>'बँक जमा खर्च पासबुक'!K78</f>
        <v>0</v>
      </c>
      <c r="AV78" s="887">
        <f>'बँक जमा खर्च पासबुक'!L78</f>
        <v>0</v>
      </c>
      <c r="AW78" s="887">
        <f>'बँक जमा खर्च पासबुक'!M78</f>
        <v>0</v>
      </c>
      <c r="AX78" s="877"/>
      <c r="AY78" s="877"/>
      <c r="AZ78" s="877"/>
      <c r="BA78" s="877"/>
      <c r="BB78" s="877"/>
      <c r="BC78" s="877"/>
      <c r="BD78" s="877"/>
      <c r="BE78" s="877"/>
      <c r="BF78" s="877"/>
      <c r="BG78" s="877"/>
      <c r="BH78" s="877"/>
    </row>
    <row r="79" spans="22:60" ht="35.25" customHeight="1" x14ac:dyDescent="0.5">
      <c r="V79" s="877"/>
      <c r="W79" s="887" t="str">
        <f t="shared" si="19"/>
        <v>January</v>
      </c>
      <c r="X79" s="887" t="str">
        <f>IF(AND(AJ79=$X$8,AK79=$AA$6),MAX($X$9:X78)+1,"")</f>
        <v/>
      </c>
      <c r="Y79" s="887" t="str">
        <f>IF(AND(AJ79=$Y$8,AK79=$AA$6),MAX($Y$9:Y78)+1,"")</f>
        <v/>
      </c>
      <c r="Z79" s="887" t="str">
        <f>IF(AND(AJ79=$Z$8,AK79=$AA$6),MAX($Z$9:Z78)+1,"")</f>
        <v/>
      </c>
      <c r="AA79" s="887" t="str">
        <f>IF(AND(AJ79=$AA$8,AK79=$AA$6),MAX(AA$9:$AA78)+1,"")</f>
        <v/>
      </c>
      <c r="AB79" s="887" t="str">
        <f>IF(AND(AJ79=$AB$8,AK79=$AA$6),MAX(AB$9:$AB78)+1,"")</f>
        <v/>
      </c>
      <c r="AC79" s="887" t="str">
        <f>IF(AND(AJ79=$AC$8,AK79=$AA$6),MAX(AC$9:$AC78)+1,"")</f>
        <v/>
      </c>
      <c r="AD79" s="887" t="str">
        <f>IF(AND(AJ79=$AD$8,AK79=$AA$6),MAX(AD$9:$AD78)+1,"")</f>
        <v/>
      </c>
      <c r="AE79" s="887" t="str">
        <f>IF(AND(AJ79=$AE$8,AK79=$AA$6),MAX(AE$9:$AE78)+1,"")</f>
        <v/>
      </c>
      <c r="AF79" s="887" t="str">
        <f>IF(AND(AJ79=$AF$8,AK79=$AA$6),MAX(AF$9:$AF78)+1,"")</f>
        <v/>
      </c>
      <c r="AG79" s="887" t="str">
        <f>IF(AND(AJ79=$AG$8,AK79=$AB$6),MAX(AG$9:$AG78)+1,"")</f>
        <v/>
      </c>
      <c r="AH79" s="887" t="str">
        <f>IF(AND(AJ79=$AH$8,AK79=$AB$6),MAX(AH$9:$AH78)+1,"")</f>
        <v/>
      </c>
      <c r="AI79" s="920" t="str">
        <f>IF(AND(AJ79=$AI$8,AK79=$AB$6),MAX(AI$9:$AI78)+1,"")</f>
        <v/>
      </c>
      <c r="AJ79" s="887" t="str">
        <f t="shared" si="20"/>
        <v>January</v>
      </c>
      <c r="AK79" s="887">
        <f t="shared" si="21"/>
        <v>1900</v>
      </c>
      <c r="AL79" s="887" t="str">
        <f>'बँक जमा खर्च पासबुक'!B79</f>
        <v/>
      </c>
      <c r="AM79" s="921">
        <f>IFERROR('बँक जमा खर्च पासबुक'!C79,"")</f>
        <v>0</v>
      </c>
      <c r="AN79" s="887">
        <f>'बँक जमा खर्च पासबुक'!D79</f>
        <v>0</v>
      </c>
      <c r="AO79" s="887">
        <f>'बँक जमा खर्च पासबुक'!E79</f>
        <v>0</v>
      </c>
      <c r="AP79" s="887">
        <f>'बँक जमा खर्च पासबुक'!F79</f>
        <v>0</v>
      </c>
      <c r="AQ79" s="887">
        <f>'बँक जमा खर्च पासबुक'!G79</f>
        <v>0</v>
      </c>
      <c r="AR79" s="887">
        <f>'बँक जमा खर्च पासबुक'!H79</f>
        <v>0</v>
      </c>
      <c r="AS79" s="887">
        <f>'बँक जमा खर्च पासबुक'!I79</f>
        <v>0</v>
      </c>
      <c r="AT79" s="887">
        <f>'बँक जमा खर्च पासबुक'!J79</f>
        <v>0</v>
      </c>
      <c r="AU79" s="887">
        <f>'बँक जमा खर्च पासबुक'!K79</f>
        <v>0</v>
      </c>
      <c r="AV79" s="887">
        <f>'बँक जमा खर्च पासबुक'!L79</f>
        <v>0</v>
      </c>
      <c r="AW79" s="887">
        <f>'बँक जमा खर्च पासबुक'!M79</f>
        <v>0</v>
      </c>
      <c r="AX79" s="877"/>
      <c r="AY79" s="877"/>
      <c r="AZ79" s="877"/>
      <c r="BA79" s="877"/>
      <c r="BB79" s="877"/>
      <c r="BC79" s="877"/>
      <c r="BD79" s="877"/>
      <c r="BE79" s="877"/>
      <c r="BF79" s="877"/>
      <c r="BG79" s="877"/>
      <c r="BH79" s="877"/>
    </row>
    <row r="80" spans="22:60" ht="35.25" customHeight="1" x14ac:dyDescent="0.5">
      <c r="V80" s="877"/>
      <c r="W80" s="887" t="str">
        <f t="shared" si="19"/>
        <v>January</v>
      </c>
      <c r="X80" s="887" t="str">
        <f>IF(AND(AJ80=$X$8,AK80=$AA$6),MAX($X$9:X79)+1,"")</f>
        <v/>
      </c>
      <c r="Y80" s="887" t="str">
        <f>IF(AND(AJ80=$Y$8,AK80=$AA$6),MAX($Y$9:Y79)+1,"")</f>
        <v/>
      </c>
      <c r="Z80" s="887" t="str">
        <f>IF(AND(AJ80=$Z$8,AK80=$AA$6),MAX($Z$9:Z79)+1,"")</f>
        <v/>
      </c>
      <c r="AA80" s="887" t="str">
        <f>IF(AND(AJ80=$AA$8,AK80=$AA$6),MAX(AA$9:$AA79)+1,"")</f>
        <v/>
      </c>
      <c r="AB80" s="887" t="str">
        <f>IF(AND(AJ80=$AB$8,AK80=$AA$6),MAX(AB$9:$AB79)+1,"")</f>
        <v/>
      </c>
      <c r="AC80" s="887" t="str">
        <f>IF(AND(AJ80=$AC$8,AK80=$AA$6),MAX(AC$9:$AC79)+1,"")</f>
        <v/>
      </c>
      <c r="AD80" s="887" t="str">
        <f>IF(AND(AJ80=$AD$8,AK80=$AA$6),MAX(AD$9:$AD79)+1,"")</f>
        <v/>
      </c>
      <c r="AE80" s="887" t="str">
        <f>IF(AND(AJ80=$AE$8,AK80=$AA$6),MAX(AE$9:$AE79)+1,"")</f>
        <v/>
      </c>
      <c r="AF80" s="887" t="str">
        <f>IF(AND(AJ80=$AF$8,AK80=$AA$6),MAX(AF$9:$AF79)+1,"")</f>
        <v/>
      </c>
      <c r="AG80" s="887" t="str">
        <f>IF(AND(AJ80=$AG$8,AK80=$AB$6),MAX(AG$9:$AG79)+1,"")</f>
        <v/>
      </c>
      <c r="AH80" s="887" t="str">
        <f>IF(AND(AJ80=$AH$8,AK80=$AB$6),MAX(AH$9:$AH79)+1,"")</f>
        <v/>
      </c>
      <c r="AI80" s="920" t="str">
        <f>IF(AND(AJ80=$AI$8,AK80=$AB$6),MAX(AI$9:$AI79)+1,"")</f>
        <v/>
      </c>
      <c r="AJ80" s="887" t="str">
        <f t="shared" si="20"/>
        <v>January</v>
      </c>
      <c r="AK80" s="887">
        <f t="shared" si="21"/>
        <v>1900</v>
      </c>
      <c r="AL80" s="887" t="str">
        <f>'बँक जमा खर्च पासबुक'!B80</f>
        <v/>
      </c>
      <c r="AM80" s="921">
        <f>IFERROR('बँक जमा खर्च पासबुक'!C80,"")</f>
        <v>0</v>
      </c>
      <c r="AN80" s="887">
        <f>'बँक जमा खर्च पासबुक'!D80</f>
        <v>0</v>
      </c>
      <c r="AO80" s="887">
        <f>'बँक जमा खर्च पासबुक'!E80</f>
        <v>0</v>
      </c>
      <c r="AP80" s="887">
        <f>'बँक जमा खर्च पासबुक'!F80</f>
        <v>0</v>
      </c>
      <c r="AQ80" s="887">
        <f>'बँक जमा खर्च पासबुक'!G80</f>
        <v>0</v>
      </c>
      <c r="AR80" s="887">
        <f>'बँक जमा खर्च पासबुक'!H80</f>
        <v>0</v>
      </c>
      <c r="AS80" s="887">
        <f>'बँक जमा खर्च पासबुक'!I80</f>
        <v>0</v>
      </c>
      <c r="AT80" s="887">
        <f>'बँक जमा खर्च पासबुक'!J80</f>
        <v>0</v>
      </c>
      <c r="AU80" s="887">
        <f>'बँक जमा खर्च पासबुक'!K80</f>
        <v>0</v>
      </c>
      <c r="AV80" s="887">
        <f>'बँक जमा खर्च पासबुक'!L80</f>
        <v>0</v>
      </c>
      <c r="AW80" s="887">
        <f>'बँक जमा खर्च पासबुक'!M80</f>
        <v>0</v>
      </c>
      <c r="AX80" s="877"/>
      <c r="AY80" s="877"/>
      <c r="AZ80" s="877"/>
      <c r="BA80" s="877"/>
      <c r="BB80" s="877"/>
      <c r="BC80" s="877"/>
      <c r="BD80" s="877"/>
      <c r="BE80" s="877"/>
      <c r="BF80" s="877"/>
      <c r="BG80" s="877"/>
      <c r="BH80" s="877"/>
    </row>
    <row r="81" spans="22:60" ht="35.25" customHeight="1" x14ac:dyDescent="0.5">
      <c r="V81" s="877"/>
      <c r="W81" s="887" t="str">
        <f t="shared" si="19"/>
        <v>January</v>
      </c>
      <c r="X81" s="887" t="str">
        <f>IF(AND(AJ81=$X$8,AK81=$AA$6),MAX($X$9:X80)+1,"")</f>
        <v/>
      </c>
      <c r="Y81" s="887" t="str">
        <f>IF(AND(AJ81=$Y$8,AK81=$AA$6),MAX($Y$9:Y80)+1,"")</f>
        <v/>
      </c>
      <c r="Z81" s="887" t="str">
        <f>IF(AND(AJ81=$Z$8,AK81=$AA$6),MAX($Z$9:Z80)+1,"")</f>
        <v/>
      </c>
      <c r="AA81" s="887" t="str">
        <f>IF(AND(AJ81=$AA$8,AK81=$AA$6),MAX(AA$9:$AA80)+1,"")</f>
        <v/>
      </c>
      <c r="AB81" s="887" t="str">
        <f>IF(AND(AJ81=$AB$8,AK81=$AA$6),MAX(AB$9:$AB80)+1,"")</f>
        <v/>
      </c>
      <c r="AC81" s="887" t="str">
        <f>IF(AND(AJ81=$AC$8,AK81=$AA$6),MAX(AC$9:$AC80)+1,"")</f>
        <v/>
      </c>
      <c r="AD81" s="887" t="str">
        <f>IF(AND(AJ81=$AD$8,AK81=$AA$6),MAX(AD$9:$AD80)+1,"")</f>
        <v/>
      </c>
      <c r="AE81" s="887" t="str">
        <f>IF(AND(AJ81=$AE$8,AK81=$AA$6),MAX(AE$9:$AE80)+1,"")</f>
        <v/>
      </c>
      <c r="AF81" s="887" t="str">
        <f>IF(AND(AJ81=$AF$8,AK81=$AA$6),MAX(AF$9:$AF80)+1,"")</f>
        <v/>
      </c>
      <c r="AG81" s="887" t="str">
        <f>IF(AND(AJ81=$AG$8,AK81=$AB$6),MAX(AG$9:$AG80)+1,"")</f>
        <v/>
      </c>
      <c r="AH81" s="887" t="str">
        <f>IF(AND(AJ81=$AH$8,AK81=$AB$6),MAX(AH$9:$AH80)+1,"")</f>
        <v/>
      </c>
      <c r="AI81" s="920" t="str">
        <f>IF(AND(AJ81=$AI$8,AK81=$AB$6),MAX(AI$9:$AI80)+1,"")</f>
        <v/>
      </c>
      <c r="AJ81" s="887" t="str">
        <f t="shared" si="20"/>
        <v>January</v>
      </c>
      <c r="AK81" s="887">
        <f t="shared" si="21"/>
        <v>1900</v>
      </c>
      <c r="AL81" s="887" t="str">
        <f>'बँक जमा खर्च पासबुक'!B81</f>
        <v/>
      </c>
      <c r="AM81" s="921">
        <f>IFERROR('बँक जमा खर्च पासबुक'!C81,"")</f>
        <v>0</v>
      </c>
      <c r="AN81" s="887">
        <f>'बँक जमा खर्च पासबुक'!D81</f>
        <v>0</v>
      </c>
      <c r="AO81" s="887">
        <f>'बँक जमा खर्च पासबुक'!E81</f>
        <v>0</v>
      </c>
      <c r="AP81" s="887">
        <f>'बँक जमा खर्च पासबुक'!F81</f>
        <v>0</v>
      </c>
      <c r="AQ81" s="887">
        <f>'बँक जमा खर्च पासबुक'!G81</f>
        <v>0</v>
      </c>
      <c r="AR81" s="887">
        <f>'बँक जमा खर्च पासबुक'!H81</f>
        <v>0</v>
      </c>
      <c r="AS81" s="887">
        <f>'बँक जमा खर्च पासबुक'!I81</f>
        <v>0</v>
      </c>
      <c r="AT81" s="887">
        <f>'बँक जमा खर्च पासबुक'!J81</f>
        <v>0</v>
      </c>
      <c r="AU81" s="887">
        <f>'बँक जमा खर्च पासबुक'!K81</f>
        <v>0</v>
      </c>
      <c r="AV81" s="887">
        <f>'बँक जमा खर्च पासबुक'!L81</f>
        <v>0</v>
      </c>
      <c r="AW81" s="887">
        <f>'बँक जमा खर्च पासबुक'!M81</f>
        <v>0</v>
      </c>
      <c r="AX81" s="877"/>
      <c r="AY81" s="877"/>
      <c r="AZ81" s="877"/>
      <c r="BA81" s="877"/>
      <c r="BB81" s="877"/>
      <c r="BC81" s="877"/>
      <c r="BD81" s="877"/>
      <c r="BE81" s="877"/>
      <c r="BF81" s="877"/>
      <c r="BG81" s="877"/>
      <c r="BH81" s="877"/>
    </row>
    <row r="82" spans="22:60" ht="35.25" customHeight="1" x14ac:dyDescent="0.5">
      <c r="V82" s="877"/>
      <c r="W82" s="887" t="str">
        <f t="shared" si="19"/>
        <v>January</v>
      </c>
      <c r="X82" s="887" t="str">
        <f>IF(AND(AJ82=$X$8,AK82=$AA$6),MAX($X$9:X81)+1,"")</f>
        <v/>
      </c>
      <c r="Y82" s="887" t="str">
        <f>IF(AND(AJ82=$Y$8,AK82=$AA$6),MAX($Y$9:Y81)+1,"")</f>
        <v/>
      </c>
      <c r="Z82" s="887" t="str">
        <f>IF(AND(AJ82=$Z$8,AK82=$AA$6),MAX($Z$9:Z81)+1,"")</f>
        <v/>
      </c>
      <c r="AA82" s="887" t="str">
        <f>IF(AND(AJ82=$AA$8,AK82=$AA$6),MAX(AA$9:$AA81)+1,"")</f>
        <v/>
      </c>
      <c r="AB82" s="887" t="str">
        <f>IF(AND(AJ82=$AB$8,AK82=$AA$6),MAX(AB$9:$AB81)+1,"")</f>
        <v/>
      </c>
      <c r="AC82" s="887" t="str">
        <f>IF(AND(AJ82=$AC$8,AK82=$AA$6),MAX(AC$9:$AC81)+1,"")</f>
        <v/>
      </c>
      <c r="AD82" s="887" t="str">
        <f>IF(AND(AJ82=$AD$8,AK82=$AA$6),MAX(AD$9:$AD81)+1,"")</f>
        <v/>
      </c>
      <c r="AE82" s="887" t="str">
        <f>IF(AND(AJ82=$AE$8,AK82=$AA$6),MAX(AE$9:$AE81)+1,"")</f>
        <v/>
      </c>
      <c r="AF82" s="887" t="str">
        <f>IF(AND(AJ82=$AF$8,AK82=$AA$6),MAX(AF$9:$AF81)+1,"")</f>
        <v/>
      </c>
      <c r="AG82" s="887" t="str">
        <f>IF(AND(AJ82=$AG$8,AK82=$AB$6),MAX(AG$9:$AG81)+1,"")</f>
        <v/>
      </c>
      <c r="AH82" s="887" t="str">
        <f>IF(AND(AJ82=$AH$8,AK82=$AB$6),MAX(AH$9:$AH81)+1,"")</f>
        <v/>
      </c>
      <c r="AI82" s="920" t="str">
        <f>IF(AND(AJ82=$AI$8,AK82=$AB$6),MAX(AI$9:$AI81)+1,"")</f>
        <v/>
      </c>
      <c r="AJ82" s="887" t="str">
        <f t="shared" si="20"/>
        <v>January</v>
      </c>
      <c r="AK82" s="887">
        <f t="shared" si="21"/>
        <v>1900</v>
      </c>
      <c r="AL82" s="887" t="str">
        <f>'बँक जमा खर्च पासबुक'!B82</f>
        <v/>
      </c>
      <c r="AM82" s="921">
        <f>IFERROR('बँक जमा खर्च पासबुक'!C82,"")</f>
        <v>0</v>
      </c>
      <c r="AN82" s="887">
        <f>'बँक जमा खर्च पासबुक'!D82</f>
        <v>0</v>
      </c>
      <c r="AO82" s="887">
        <f>'बँक जमा खर्च पासबुक'!E82</f>
        <v>0</v>
      </c>
      <c r="AP82" s="887">
        <f>'बँक जमा खर्च पासबुक'!F82</f>
        <v>0</v>
      </c>
      <c r="AQ82" s="887">
        <f>'बँक जमा खर्च पासबुक'!G82</f>
        <v>0</v>
      </c>
      <c r="AR82" s="887">
        <f>'बँक जमा खर्च पासबुक'!H82</f>
        <v>0</v>
      </c>
      <c r="AS82" s="887">
        <f>'बँक जमा खर्च पासबुक'!I82</f>
        <v>0</v>
      </c>
      <c r="AT82" s="887">
        <f>'बँक जमा खर्च पासबुक'!J82</f>
        <v>0</v>
      </c>
      <c r="AU82" s="887">
        <f>'बँक जमा खर्च पासबुक'!K82</f>
        <v>0</v>
      </c>
      <c r="AV82" s="887">
        <f>'बँक जमा खर्च पासबुक'!L82</f>
        <v>0</v>
      </c>
      <c r="AW82" s="887">
        <f>'बँक जमा खर्च पासबुक'!M82</f>
        <v>0</v>
      </c>
      <c r="AX82" s="877"/>
      <c r="AY82" s="877"/>
      <c r="AZ82" s="877"/>
      <c r="BA82" s="877"/>
      <c r="BB82" s="877"/>
      <c r="BC82" s="877"/>
      <c r="BD82" s="877"/>
      <c r="BE82" s="877"/>
      <c r="BF82" s="877"/>
      <c r="BG82" s="877"/>
      <c r="BH82" s="877"/>
    </row>
    <row r="83" spans="22:60" ht="35.25" customHeight="1" x14ac:dyDescent="0.5">
      <c r="V83" s="877"/>
      <c r="W83" s="887" t="str">
        <f t="shared" si="19"/>
        <v>January</v>
      </c>
      <c r="X83" s="887" t="str">
        <f>IF(AND(AJ83=$X$8,AK83=$AA$6),MAX($X$9:X82)+1,"")</f>
        <v/>
      </c>
      <c r="Y83" s="887" t="str">
        <f>IF(AND(AJ83=$Y$8,AK83=$AA$6),MAX($Y$9:Y82)+1,"")</f>
        <v/>
      </c>
      <c r="Z83" s="887" t="str">
        <f>IF(AND(AJ83=$Z$8,AK83=$AA$6),MAX($Z$9:Z82)+1,"")</f>
        <v/>
      </c>
      <c r="AA83" s="887" t="str">
        <f>IF(AND(AJ83=$AA$8,AK83=$AA$6),MAX(AA$9:$AA82)+1,"")</f>
        <v/>
      </c>
      <c r="AB83" s="887" t="str">
        <f>IF(AND(AJ83=$AB$8,AK83=$AA$6),MAX(AB$9:$AB82)+1,"")</f>
        <v/>
      </c>
      <c r="AC83" s="887" t="str">
        <f>IF(AND(AJ83=$AC$8,AK83=$AA$6),MAX(AC$9:$AC82)+1,"")</f>
        <v/>
      </c>
      <c r="AD83" s="887" t="str">
        <f>IF(AND(AJ83=$AD$8,AK83=$AA$6),MAX(AD$9:$AD82)+1,"")</f>
        <v/>
      </c>
      <c r="AE83" s="887" t="str">
        <f>IF(AND(AJ83=$AE$8,AK83=$AA$6),MAX(AE$9:$AE82)+1,"")</f>
        <v/>
      </c>
      <c r="AF83" s="887" t="str">
        <f>IF(AND(AJ83=$AF$8,AK83=$AA$6),MAX(AF$9:$AF82)+1,"")</f>
        <v/>
      </c>
      <c r="AG83" s="887" t="str">
        <f>IF(AND(AJ83=$AG$8,AK83=$AB$6),MAX(AG$9:$AG82)+1,"")</f>
        <v/>
      </c>
      <c r="AH83" s="887" t="str">
        <f>IF(AND(AJ83=$AH$8,AK83=$AB$6),MAX(AH$9:$AH82)+1,"")</f>
        <v/>
      </c>
      <c r="AI83" s="920" t="str">
        <f>IF(AND(AJ83=$AI$8,AK83=$AB$6),MAX(AI$9:$AI82)+1,"")</f>
        <v/>
      </c>
      <c r="AJ83" s="887" t="str">
        <f t="shared" si="20"/>
        <v>January</v>
      </c>
      <c r="AK83" s="887">
        <f t="shared" si="21"/>
        <v>1900</v>
      </c>
      <c r="AL83" s="887" t="str">
        <f>'बँक जमा खर्च पासबुक'!B83</f>
        <v/>
      </c>
      <c r="AM83" s="921">
        <f>IFERROR('बँक जमा खर्च पासबुक'!C83,"")</f>
        <v>0</v>
      </c>
      <c r="AN83" s="887">
        <f>'बँक जमा खर्च पासबुक'!D83</f>
        <v>0</v>
      </c>
      <c r="AO83" s="887">
        <f>'बँक जमा खर्च पासबुक'!E83</f>
        <v>0</v>
      </c>
      <c r="AP83" s="887">
        <f>'बँक जमा खर्च पासबुक'!F83</f>
        <v>0</v>
      </c>
      <c r="AQ83" s="887">
        <f>'बँक जमा खर्च पासबुक'!G83</f>
        <v>0</v>
      </c>
      <c r="AR83" s="887">
        <f>'बँक जमा खर्च पासबुक'!H83</f>
        <v>0</v>
      </c>
      <c r="AS83" s="887">
        <f>'बँक जमा खर्च पासबुक'!I83</f>
        <v>0</v>
      </c>
      <c r="AT83" s="887">
        <f>'बँक जमा खर्च पासबुक'!J83</f>
        <v>0</v>
      </c>
      <c r="AU83" s="887">
        <f>'बँक जमा खर्च पासबुक'!K83</f>
        <v>0</v>
      </c>
      <c r="AV83" s="887">
        <f>'बँक जमा खर्च पासबुक'!L83</f>
        <v>0</v>
      </c>
      <c r="AW83" s="887">
        <f>'बँक जमा खर्च पासबुक'!M83</f>
        <v>0</v>
      </c>
      <c r="AX83" s="877"/>
      <c r="AY83" s="877"/>
      <c r="AZ83" s="877"/>
      <c r="BA83" s="877"/>
      <c r="BB83" s="877"/>
      <c r="BC83" s="877"/>
      <c r="BD83" s="877"/>
      <c r="BE83" s="877"/>
      <c r="BF83" s="877"/>
      <c r="BG83" s="877"/>
      <c r="BH83" s="877"/>
    </row>
    <row r="84" spans="22:60" ht="35.25" customHeight="1" x14ac:dyDescent="0.5">
      <c r="V84" s="877"/>
      <c r="W84" s="887" t="str">
        <f t="shared" si="19"/>
        <v>January</v>
      </c>
      <c r="X84" s="887" t="str">
        <f>IF(AND(AJ84=$X$8,AK84=$AA$6),MAX($X$9:X83)+1,"")</f>
        <v/>
      </c>
      <c r="Y84" s="887" t="str">
        <f>IF(AND(AJ84=$Y$8,AK84=$AA$6),MAX($Y$9:Y83)+1,"")</f>
        <v/>
      </c>
      <c r="Z84" s="887" t="str">
        <f>IF(AND(AJ84=$Z$8,AK84=$AA$6),MAX($Z$9:Z83)+1,"")</f>
        <v/>
      </c>
      <c r="AA84" s="887" t="str">
        <f>IF(AND(AJ84=$AA$8,AK84=$AA$6),MAX(AA$9:$AA83)+1,"")</f>
        <v/>
      </c>
      <c r="AB84" s="887" t="str">
        <f>IF(AND(AJ84=$AB$8,AK84=$AA$6),MAX(AB$9:$AB83)+1,"")</f>
        <v/>
      </c>
      <c r="AC84" s="887" t="str">
        <f>IF(AND(AJ84=$AC$8,AK84=$AA$6),MAX(AC$9:$AC83)+1,"")</f>
        <v/>
      </c>
      <c r="AD84" s="887" t="str">
        <f>IF(AND(AJ84=$AD$8,AK84=$AA$6),MAX(AD$9:$AD83)+1,"")</f>
        <v/>
      </c>
      <c r="AE84" s="887" t="str">
        <f>IF(AND(AJ84=$AE$8,AK84=$AA$6),MAX(AE$9:$AE83)+1,"")</f>
        <v/>
      </c>
      <c r="AF84" s="887" t="str">
        <f>IF(AND(AJ84=$AF$8,AK84=$AA$6),MAX(AF$9:$AF83)+1,"")</f>
        <v/>
      </c>
      <c r="AG84" s="887" t="str">
        <f>IF(AND(AJ84=$AG$8,AK84=$AB$6),MAX(AG$9:$AG83)+1,"")</f>
        <v/>
      </c>
      <c r="AH84" s="887" t="str">
        <f>IF(AND(AJ84=$AH$8,AK84=$AB$6),MAX(AH$9:$AH83)+1,"")</f>
        <v/>
      </c>
      <c r="AI84" s="920" t="str">
        <f>IF(AND(AJ84=$AI$8,AK84=$AB$6),MAX(AI$9:$AI83)+1,"")</f>
        <v/>
      </c>
      <c r="AJ84" s="887" t="str">
        <f t="shared" si="20"/>
        <v>January</v>
      </c>
      <c r="AK84" s="887">
        <f t="shared" si="21"/>
        <v>1900</v>
      </c>
      <c r="AL84" s="887" t="str">
        <f>'बँक जमा खर्च पासबुक'!B84</f>
        <v/>
      </c>
      <c r="AM84" s="921">
        <f>IFERROR('बँक जमा खर्च पासबुक'!C84,"")</f>
        <v>0</v>
      </c>
      <c r="AN84" s="887">
        <f>'बँक जमा खर्च पासबुक'!D84</f>
        <v>0</v>
      </c>
      <c r="AO84" s="887">
        <f>'बँक जमा खर्च पासबुक'!E84</f>
        <v>0</v>
      </c>
      <c r="AP84" s="887">
        <f>'बँक जमा खर्च पासबुक'!F84</f>
        <v>0</v>
      </c>
      <c r="AQ84" s="887">
        <f>'बँक जमा खर्च पासबुक'!G84</f>
        <v>0</v>
      </c>
      <c r="AR84" s="887">
        <f>'बँक जमा खर्च पासबुक'!H84</f>
        <v>0</v>
      </c>
      <c r="AS84" s="887">
        <f>'बँक जमा खर्च पासबुक'!I84</f>
        <v>0</v>
      </c>
      <c r="AT84" s="887">
        <f>'बँक जमा खर्च पासबुक'!J84</f>
        <v>0</v>
      </c>
      <c r="AU84" s="887">
        <f>'बँक जमा खर्च पासबुक'!K84</f>
        <v>0</v>
      </c>
      <c r="AV84" s="887">
        <f>'बँक जमा खर्च पासबुक'!L84</f>
        <v>0</v>
      </c>
      <c r="AW84" s="887">
        <f>'बँक जमा खर्च पासबुक'!M84</f>
        <v>0</v>
      </c>
      <c r="AX84" s="877"/>
      <c r="AY84" s="877"/>
      <c r="AZ84" s="877"/>
      <c r="BA84" s="877"/>
      <c r="BB84" s="877"/>
      <c r="BC84" s="877"/>
      <c r="BD84" s="877"/>
      <c r="BE84" s="877"/>
      <c r="BF84" s="877"/>
      <c r="BG84" s="877"/>
      <c r="BH84" s="877"/>
    </row>
    <row r="85" spans="22:60" ht="35.25" customHeight="1" x14ac:dyDescent="0.5">
      <c r="V85" s="877"/>
      <c r="W85" s="887" t="str">
        <f t="shared" si="19"/>
        <v>January</v>
      </c>
      <c r="X85" s="887" t="str">
        <f>IF(AND(AJ85=$X$8,AK85=$AA$6),MAX($X$9:X84)+1,"")</f>
        <v/>
      </c>
      <c r="Y85" s="887" t="str">
        <f>IF(AND(AJ85=$Y$8,AK85=$AA$6),MAX($Y$9:Y84)+1,"")</f>
        <v/>
      </c>
      <c r="Z85" s="887" t="str">
        <f>IF(AND(AJ85=$Z$8,AK85=$AA$6),MAX($Z$9:Z84)+1,"")</f>
        <v/>
      </c>
      <c r="AA85" s="887" t="str">
        <f>IF(AND(AJ85=$AA$8,AK85=$AA$6),MAX(AA$9:$AA84)+1,"")</f>
        <v/>
      </c>
      <c r="AB85" s="887" t="str">
        <f>IF(AND(AJ85=$AB$8,AK85=$AA$6),MAX(AB$9:$AB84)+1,"")</f>
        <v/>
      </c>
      <c r="AC85" s="887" t="str">
        <f>IF(AND(AJ85=$AC$8,AK85=$AA$6),MAX(AC$9:$AC84)+1,"")</f>
        <v/>
      </c>
      <c r="AD85" s="887" t="str">
        <f>IF(AND(AJ85=$AD$8,AK85=$AA$6),MAX(AD$9:$AD84)+1,"")</f>
        <v/>
      </c>
      <c r="AE85" s="887" t="str">
        <f>IF(AND(AJ85=$AE$8,AK85=$AA$6),MAX(AE$9:$AE84)+1,"")</f>
        <v/>
      </c>
      <c r="AF85" s="887" t="str">
        <f>IF(AND(AJ85=$AF$8,AK85=$AA$6),MAX(AF$9:$AF84)+1,"")</f>
        <v/>
      </c>
      <c r="AG85" s="887" t="str">
        <f>IF(AND(AJ85=$AG$8,AK85=$AB$6),MAX(AG$9:$AG84)+1,"")</f>
        <v/>
      </c>
      <c r="AH85" s="887" t="str">
        <f>IF(AND(AJ85=$AH$8,AK85=$AB$6),MAX(AH$9:$AH84)+1,"")</f>
        <v/>
      </c>
      <c r="AI85" s="920" t="str">
        <f>IF(AND(AJ85=$AI$8,AK85=$AB$6),MAX(AI$9:$AI84)+1,"")</f>
        <v/>
      </c>
      <c r="AJ85" s="887" t="str">
        <f t="shared" si="20"/>
        <v>January</v>
      </c>
      <c r="AK85" s="887">
        <f t="shared" si="21"/>
        <v>1900</v>
      </c>
      <c r="AL85" s="887" t="str">
        <f>'बँक जमा खर्च पासबुक'!B85</f>
        <v/>
      </c>
      <c r="AM85" s="921">
        <f>IFERROR('बँक जमा खर्च पासबुक'!C85,"")</f>
        <v>0</v>
      </c>
      <c r="AN85" s="887">
        <f>'बँक जमा खर्च पासबुक'!D85</f>
        <v>0</v>
      </c>
      <c r="AO85" s="887">
        <f>'बँक जमा खर्च पासबुक'!E85</f>
        <v>0</v>
      </c>
      <c r="AP85" s="887">
        <f>'बँक जमा खर्च पासबुक'!F85</f>
        <v>0</v>
      </c>
      <c r="AQ85" s="887">
        <f>'बँक जमा खर्च पासबुक'!G85</f>
        <v>0</v>
      </c>
      <c r="AR85" s="887">
        <f>'बँक जमा खर्च पासबुक'!H85</f>
        <v>0</v>
      </c>
      <c r="AS85" s="887">
        <f>'बँक जमा खर्च पासबुक'!I85</f>
        <v>0</v>
      </c>
      <c r="AT85" s="887">
        <f>'बँक जमा खर्च पासबुक'!J85</f>
        <v>0</v>
      </c>
      <c r="AU85" s="887">
        <f>'बँक जमा खर्च पासबुक'!K85</f>
        <v>0</v>
      </c>
      <c r="AV85" s="887">
        <f>'बँक जमा खर्च पासबुक'!L85</f>
        <v>0</v>
      </c>
      <c r="AW85" s="887">
        <f>'बँक जमा खर्च पासबुक'!M85</f>
        <v>0</v>
      </c>
      <c r="AX85" s="877"/>
      <c r="AY85" s="877"/>
      <c r="AZ85" s="877"/>
      <c r="BA85" s="877"/>
      <c r="BB85" s="877"/>
      <c r="BC85" s="877"/>
      <c r="BD85" s="877"/>
      <c r="BE85" s="877"/>
      <c r="BF85" s="877"/>
      <c r="BG85" s="877"/>
      <c r="BH85" s="877"/>
    </row>
    <row r="86" spans="22:60" ht="35.25" customHeight="1" x14ac:dyDescent="0.5">
      <c r="V86" s="877"/>
      <c r="W86" s="887" t="str">
        <f t="shared" si="19"/>
        <v>January</v>
      </c>
      <c r="X86" s="887" t="str">
        <f>IF(AND(AJ86=$X$8,AK86=$AA$6),MAX($X$9:X85)+1,"")</f>
        <v/>
      </c>
      <c r="Y86" s="887" t="str">
        <f>IF(AND(AJ86=$Y$8,AK86=$AA$6),MAX($Y$9:Y85)+1,"")</f>
        <v/>
      </c>
      <c r="Z86" s="887" t="str">
        <f>IF(AND(AJ86=$Z$8,AK86=$AA$6),MAX($Z$9:Z85)+1,"")</f>
        <v/>
      </c>
      <c r="AA86" s="887" t="str">
        <f>IF(AND(AJ86=$AA$8,AK86=$AA$6),MAX(AA$9:$AA85)+1,"")</f>
        <v/>
      </c>
      <c r="AB86" s="887" t="str">
        <f>IF(AND(AJ86=$AB$8,AK86=$AA$6),MAX(AB$9:$AB85)+1,"")</f>
        <v/>
      </c>
      <c r="AC86" s="887" t="str">
        <f>IF(AND(AJ86=$AC$8,AK86=$AA$6),MAX(AC$9:$AC85)+1,"")</f>
        <v/>
      </c>
      <c r="AD86" s="887" t="str">
        <f>IF(AND(AJ86=$AD$8,AK86=$AA$6),MAX(AD$9:$AD85)+1,"")</f>
        <v/>
      </c>
      <c r="AE86" s="887" t="str">
        <f>IF(AND(AJ86=$AE$8,AK86=$AA$6),MAX(AE$9:$AE85)+1,"")</f>
        <v/>
      </c>
      <c r="AF86" s="887" t="str">
        <f>IF(AND(AJ86=$AF$8,AK86=$AA$6),MAX(AF$9:$AF85)+1,"")</f>
        <v/>
      </c>
      <c r="AG86" s="887" t="str">
        <f>IF(AND(AJ86=$AG$8,AK86=$AB$6),MAX(AG$9:$AG85)+1,"")</f>
        <v/>
      </c>
      <c r="AH86" s="887" t="str">
        <f>IF(AND(AJ86=$AH$8,AK86=$AB$6),MAX(AH$9:$AH85)+1,"")</f>
        <v/>
      </c>
      <c r="AI86" s="920" t="str">
        <f>IF(AND(AJ86=$AI$8,AK86=$AB$6),MAX(AI$9:$AI85)+1,"")</f>
        <v/>
      </c>
      <c r="AJ86" s="887" t="str">
        <f t="shared" si="20"/>
        <v>January</v>
      </c>
      <c r="AK86" s="887">
        <f t="shared" si="21"/>
        <v>1900</v>
      </c>
      <c r="AL86" s="887" t="str">
        <f>'बँक जमा खर्च पासबुक'!B86</f>
        <v/>
      </c>
      <c r="AM86" s="921">
        <f>IFERROR('बँक जमा खर्च पासबुक'!C86,"")</f>
        <v>0</v>
      </c>
      <c r="AN86" s="887">
        <f>'बँक जमा खर्च पासबुक'!D86</f>
        <v>0</v>
      </c>
      <c r="AO86" s="887">
        <f>'बँक जमा खर्च पासबुक'!E86</f>
        <v>0</v>
      </c>
      <c r="AP86" s="887">
        <f>'बँक जमा खर्च पासबुक'!F86</f>
        <v>0</v>
      </c>
      <c r="AQ86" s="887">
        <f>'बँक जमा खर्च पासबुक'!G86</f>
        <v>0</v>
      </c>
      <c r="AR86" s="887">
        <f>'बँक जमा खर्च पासबुक'!H86</f>
        <v>0</v>
      </c>
      <c r="AS86" s="887">
        <f>'बँक जमा खर्च पासबुक'!I86</f>
        <v>0</v>
      </c>
      <c r="AT86" s="887">
        <f>'बँक जमा खर्च पासबुक'!J86</f>
        <v>0</v>
      </c>
      <c r="AU86" s="887">
        <f>'बँक जमा खर्च पासबुक'!K86</f>
        <v>0</v>
      </c>
      <c r="AV86" s="887">
        <f>'बँक जमा खर्च पासबुक'!L86</f>
        <v>0</v>
      </c>
      <c r="AW86" s="887">
        <f>'बँक जमा खर्च पासबुक'!M86</f>
        <v>0</v>
      </c>
      <c r="AX86" s="877"/>
      <c r="AY86" s="877"/>
      <c r="AZ86" s="877"/>
      <c r="BA86" s="877"/>
      <c r="BB86" s="877"/>
      <c r="BC86" s="877"/>
      <c r="BD86" s="877"/>
      <c r="BE86" s="877"/>
      <c r="BF86" s="877"/>
      <c r="BG86" s="877"/>
      <c r="BH86" s="877"/>
    </row>
    <row r="87" spans="22:60" ht="35.25" customHeight="1" x14ac:dyDescent="0.5">
      <c r="V87" s="877"/>
      <c r="W87" s="887" t="str">
        <f t="shared" si="19"/>
        <v>January</v>
      </c>
      <c r="X87" s="887" t="str">
        <f>IF(AND(AJ87=$X$8,AK87=$AA$6),MAX($X$9:X86)+1,"")</f>
        <v/>
      </c>
      <c r="Y87" s="887" t="str">
        <f>IF(AND(AJ87=$Y$8,AK87=$AA$6),MAX($Y$9:Y86)+1,"")</f>
        <v/>
      </c>
      <c r="Z87" s="887" t="str">
        <f>IF(AND(AJ87=$Z$8,AK87=$AA$6),MAX($Z$9:Z86)+1,"")</f>
        <v/>
      </c>
      <c r="AA87" s="887" t="str">
        <f>IF(AND(AJ87=$AA$8,AK87=$AA$6),MAX(AA$9:$AA86)+1,"")</f>
        <v/>
      </c>
      <c r="AB87" s="887" t="str">
        <f>IF(AND(AJ87=$AB$8,AK87=$AA$6),MAX(AB$9:$AB86)+1,"")</f>
        <v/>
      </c>
      <c r="AC87" s="887" t="str">
        <f>IF(AND(AJ87=$AC$8,AK87=$AA$6),MAX(AC$9:$AC86)+1,"")</f>
        <v/>
      </c>
      <c r="AD87" s="887" t="str">
        <f>IF(AND(AJ87=$AD$8,AK87=$AA$6),MAX(AD$9:$AD86)+1,"")</f>
        <v/>
      </c>
      <c r="AE87" s="887" t="str">
        <f>IF(AND(AJ87=$AE$8,AK87=$AA$6),MAX(AE$9:$AE86)+1,"")</f>
        <v/>
      </c>
      <c r="AF87" s="887" t="str">
        <f>IF(AND(AJ87=$AF$8,AK87=$AA$6),MAX(AF$9:$AF86)+1,"")</f>
        <v/>
      </c>
      <c r="AG87" s="887" t="str">
        <f>IF(AND(AJ87=$AG$8,AK87=$AB$6),MAX(AG$9:$AG86)+1,"")</f>
        <v/>
      </c>
      <c r="AH87" s="887" t="str">
        <f>IF(AND(AJ87=$AH$8,AK87=$AB$6),MAX(AH$9:$AH86)+1,"")</f>
        <v/>
      </c>
      <c r="AI87" s="920" t="str">
        <f>IF(AND(AJ87=$AI$8,AK87=$AB$6),MAX(AI$9:$AI86)+1,"")</f>
        <v/>
      </c>
      <c r="AJ87" s="887" t="str">
        <f t="shared" si="20"/>
        <v>January</v>
      </c>
      <c r="AK87" s="887">
        <f t="shared" si="21"/>
        <v>1900</v>
      </c>
      <c r="AL87" s="887" t="str">
        <f>'बँक जमा खर्च पासबुक'!B87</f>
        <v/>
      </c>
      <c r="AM87" s="921">
        <f>IFERROR('बँक जमा खर्च पासबुक'!C87,"")</f>
        <v>0</v>
      </c>
      <c r="AN87" s="887">
        <f>'बँक जमा खर्च पासबुक'!D87</f>
        <v>0</v>
      </c>
      <c r="AO87" s="887">
        <f>'बँक जमा खर्च पासबुक'!E87</f>
        <v>0</v>
      </c>
      <c r="AP87" s="887">
        <f>'बँक जमा खर्च पासबुक'!F87</f>
        <v>0</v>
      </c>
      <c r="AQ87" s="887">
        <f>'बँक जमा खर्च पासबुक'!G87</f>
        <v>0</v>
      </c>
      <c r="AR87" s="887">
        <f>'बँक जमा खर्च पासबुक'!H87</f>
        <v>0</v>
      </c>
      <c r="AS87" s="887">
        <f>'बँक जमा खर्च पासबुक'!I87</f>
        <v>0</v>
      </c>
      <c r="AT87" s="887">
        <f>'बँक जमा खर्च पासबुक'!J87</f>
        <v>0</v>
      </c>
      <c r="AU87" s="887">
        <f>'बँक जमा खर्च पासबुक'!K87</f>
        <v>0</v>
      </c>
      <c r="AV87" s="887">
        <f>'बँक जमा खर्च पासबुक'!L87</f>
        <v>0</v>
      </c>
      <c r="AW87" s="887">
        <f>'बँक जमा खर्च पासबुक'!M87</f>
        <v>0</v>
      </c>
      <c r="AX87" s="877"/>
      <c r="AY87" s="877"/>
      <c r="AZ87" s="877"/>
      <c r="BA87" s="877"/>
      <c r="BB87" s="877"/>
      <c r="BC87" s="877"/>
      <c r="BD87" s="877"/>
      <c r="BE87" s="877"/>
      <c r="BF87" s="877"/>
      <c r="BG87" s="877"/>
      <c r="BH87" s="877"/>
    </row>
    <row r="88" spans="22:60" ht="35.25" customHeight="1" x14ac:dyDescent="0.5">
      <c r="V88" s="877"/>
      <c r="W88" s="887" t="str">
        <f t="shared" si="19"/>
        <v>January</v>
      </c>
      <c r="X88" s="887" t="str">
        <f>IF(AND(AJ88=$X$8,AK88=$AA$6),MAX($X$9:X87)+1,"")</f>
        <v/>
      </c>
      <c r="Y88" s="887" t="str">
        <f>IF(AND(AJ88=$Y$8,AK88=$AA$6),MAX($Y$9:Y87)+1,"")</f>
        <v/>
      </c>
      <c r="Z88" s="887" t="str">
        <f>IF(AND(AJ88=$Z$8,AK88=$AA$6),MAX($Z$9:Z87)+1,"")</f>
        <v/>
      </c>
      <c r="AA88" s="887" t="str">
        <f>IF(AND(AJ88=$AA$8,AK88=$AA$6),MAX(AA$9:$AA87)+1,"")</f>
        <v/>
      </c>
      <c r="AB88" s="887" t="str">
        <f>IF(AND(AJ88=$AB$8,AK88=$AA$6),MAX(AB$9:$AB87)+1,"")</f>
        <v/>
      </c>
      <c r="AC88" s="887" t="str">
        <f>IF(AND(AJ88=$AC$8,AK88=$AA$6),MAX(AC$9:$AC87)+1,"")</f>
        <v/>
      </c>
      <c r="AD88" s="887" t="str">
        <f>IF(AND(AJ88=$AD$8,AK88=$AA$6),MAX(AD$9:$AD87)+1,"")</f>
        <v/>
      </c>
      <c r="AE88" s="887" t="str">
        <f>IF(AND(AJ88=$AE$8,AK88=$AA$6),MAX(AE$9:$AE87)+1,"")</f>
        <v/>
      </c>
      <c r="AF88" s="887" t="str">
        <f>IF(AND(AJ88=$AF$8,AK88=$AA$6),MAX(AF$9:$AF87)+1,"")</f>
        <v/>
      </c>
      <c r="AG88" s="887" t="str">
        <f>IF(AND(AJ88=$AG$8,AK88=$AB$6),MAX(AG$9:$AG87)+1,"")</f>
        <v/>
      </c>
      <c r="AH88" s="887" t="str">
        <f>IF(AND(AJ88=$AH$8,AK88=$AB$6),MAX(AH$9:$AH87)+1,"")</f>
        <v/>
      </c>
      <c r="AI88" s="920" t="str">
        <f>IF(AND(AJ88=$AI$8,AK88=$AB$6),MAX(AI$9:$AI87)+1,"")</f>
        <v/>
      </c>
      <c r="AJ88" s="887" t="str">
        <f t="shared" si="20"/>
        <v>January</v>
      </c>
      <c r="AK88" s="887">
        <f t="shared" si="21"/>
        <v>1900</v>
      </c>
      <c r="AL88" s="887" t="str">
        <f>'बँक जमा खर्च पासबुक'!B88</f>
        <v/>
      </c>
      <c r="AM88" s="921">
        <f>IFERROR('बँक जमा खर्च पासबुक'!C88,"")</f>
        <v>0</v>
      </c>
      <c r="AN88" s="887">
        <f>'बँक जमा खर्च पासबुक'!D88</f>
        <v>0</v>
      </c>
      <c r="AO88" s="887">
        <f>'बँक जमा खर्च पासबुक'!E88</f>
        <v>0</v>
      </c>
      <c r="AP88" s="887">
        <f>'बँक जमा खर्च पासबुक'!F88</f>
        <v>0</v>
      </c>
      <c r="AQ88" s="887">
        <f>'बँक जमा खर्च पासबुक'!G88</f>
        <v>0</v>
      </c>
      <c r="AR88" s="887">
        <f>'बँक जमा खर्च पासबुक'!H88</f>
        <v>0</v>
      </c>
      <c r="AS88" s="887">
        <f>'बँक जमा खर्च पासबुक'!I88</f>
        <v>0</v>
      </c>
      <c r="AT88" s="887">
        <f>'बँक जमा खर्च पासबुक'!J88</f>
        <v>0</v>
      </c>
      <c r="AU88" s="887">
        <f>'बँक जमा खर्च पासबुक'!K88</f>
        <v>0</v>
      </c>
      <c r="AV88" s="887">
        <f>'बँक जमा खर्च पासबुक'!L88</f>
        <v>0</v>
      </c>
      <c r="AW88" s="887">
        <f>'बँक जमा खर्च पासबुक'!M88</f>
        <v>0</v>
      </c>
      <c r="AX88" s="877"/>
      <c r="AY88" s="877"/>
      <c r="AZ88" s="877"/>
      <c r="BA88" s="877"/>
      <c r="BB88" s="877"/>
      <c r="BC88" s="877"/>
      <c r="BD88" s="877"/>
      <c r="BE88" s="877"/>
      <c r="BF88" s="877"/>
      <c r="BG88" s="877"/>
      <c r="BH88" s="877"/>
    </row>
    <row r="89" spans="22:60" ht="35.25" customHeight="1" x14ac:dyDescent="0.5">
      <c r="V89" s="877"/>
      <c r="W89" s="887" t="str">
        <f t="shared" si="19"/>
        <v>January</v>
      </c>
      <c r="X89" s="887" t="str">
        <f>IF(AND(AJ89=$X$8,AK89=$AA$6),MAX($X$9:X88)+1,"")</f>
        <v/>
      </c>
      <c r="Y89" s="887" t="str">
        <f>IF(AND(AJ89=$Y$8,AK89=$AA$6),MAX($Y$9:Y88)+1,"")</f>
        <v/>
      </c>
      <c r="Z89" s="887" t="str">
        <f>IF(AND(AJ89=$Z$8,AK89=$AA$6),MAX($Z$9:Z88)+1,"")</f>
        <v/>
      </c>
      <c r="AA89" s="887" t="str">
        <f>IF(AND(AJ89=$AA$8,AK89=$AA$6),MAX(AA$9:$AA88)+1,"")</f>
        <v/>
      </c>
      <c r="AB89" s="887" t="str">
        <f>IF(AND(AJ89=$AB$8,AK89=$AA$6),MAX(AB$9:$AB88)+1,"")</f>
        <v/>
      </c>
      <c r="AC89" s="887" t="str">
        <f>IF(AND(AJ89=$AC$8,AK89=$AA$6),MAX(AC$9:$AC88)+1,"")</f>
        <v/>
      </c>
      <c r="AD89" s="887" t="str">
        <f>IF(AND(AJ89=$AD$8,AK89=$AA$6),MAX(AD$9:$AD88)+1,"")</f>
        <v/>
      </c>
      <c r="AE89" s="887" t="str">
        <f>IF(AND(AJ89=$AE$8,AK89=$AA$6),MAX(AE$9:$AE88)+1,"")</f>
        <v/>
      </c>
      <c r="AF89" s="887" t="str">
        <f>IF(AND(AJ89=$AF$8,AK89=$AA$6),MAX(AF$9:$AF88)+1,"")</f>
        <v/>
      </c>
      <c r="AG89" s="887" t="str">
        <f>IF(AND(AJ89=$AG$8,AK89=$AB$6),MAX(AG$9:$AG88)+1,"")</f>
        <v/>
      </c>
      <c r="AH89" s="887" t="str">
        <f>IF(AND(AJ89=$AH$8,AK89=$AB$6),MAX(AH$9:$AH88)+1,"")</f>
        <v/>
      </c>
      <c r="AI89" s="920" t="str">
        <f>IF(AND(AJ89=$AI$8,AK89=$AB$6),MAX(AI$9:$AI88)+1,"")</f>
        <v/>
      </c>
      <c r="AJ89" s="887" t="str">
        <f t="shared" si="20"/>
        <v>January</v>
      </c>
      <c r="AK89" s="887">
        <f t="shared" si="21"/>
        <v>1900</v>
      </c>
      <c r="AL89" s="887" t="str">
        <f>'बँक जमा खर्च पासबुक'!B89</f>
        <v/>
      </c>
      <c r="AM89" s="921">
        <f>IFERROR('बँक जमा खर्च पासबुक'!C89,"")</f>
        <v>0</v>
      </c>
      <c r="AN89" s="887">
        <f>'बँक जमा खर्च पासबुक'!D89</f>
        <v>0</v>
      </c>
      <c r="AO89" s="887">
        <f>'बँक जमा खर्च पासबुक'!E89</f>
        <v>0</v>
      </c>
      <c r="AP89" s="887">
        <f>'बँक जमा खर्च पासबुक'!F89</f>
        <v>0</v>
      </c>
      <c r="AQ89" s="887">
        <f>'बँक जमा खर्च पासबुक'!G89</f>
        <v>0</v>
      </c>
      <c r="AR89" s="887">
        <f>'बँक जमा खर्च पासबुक'!H89</f>
        <v>0</v>
      </c>
      <c r="AS89" s="887">
        <f>'बँक जमा खर्च पासबुक'!I89</f>
        <v>0</v>
      </c>
      <c r="AT89" s="887">
        <f>'बँक जमा खर्च पासबुक'!J89</f>
        <v>0</v>
      </c>
      <c r="AU89" s="887">
        <f>'बँक जमा खर्च पासबुक'!K89</f>
        <v>0</v>
      </c>
      <c r="AV89" s="887">
        <f>'बँक जमा खर्च पासबुक'!L89</f>
        <v>0</v>
      </c>
      <c r="AW89" s="887">
        <f>'बँक जमा खर्च पासबुक'!M89</f>
        <v>0</v>
      </c>
      <c r="AX89" s="877"/>
      <c r="AY89" s="877"/>
      <c r="AZ89" s="877"/>
      <c r="BA89" s="877"/>
      <c r="BB89" s="877"/>
      <c r="BC89" s="877"/>
      <c r="BD89" s="877"/>
      <c r="BE89" s="877"/>
      <c r="BF89" s="877"/>
      <c r="BG89" s="877"/>
      <c r="BH89" s="877"/>
    </row>
    <row r="90" spans="22:60" ht="35.25" customHeight="1" x14ac:dyDescent="0.5">
      <c r="V90" s="877"/>
      <c r="W90" s="887" t="str">
        <f t="shared" si="19"/>
        <v>January</v>
      </c>
      <c r="X90" s="887" t="str">
        <f>IF(AND(AJ90=$X$8,AK90=$AA$6),MAX($X$9:X89)+1,"")</f>
        <v/>
      </c>
      <c r="Y90" s="887" t="str">
        <f>IF(AND(AJ90=$Y$8,AK90=$AA$6),MAX($Y$9:Y89)+1,"")</f>
        <v/>
      </c>
      <c r="Z90" s="887" t="str">
        <f>IF(AND(AJ90=$Z$8,AK90=$AA$6),MAX($Z$9:Z89)+1,"")</f>
        <v/>
      </c>
      <c r="AA90" s="887" t="str">
        <f>IF(AND(AJ90=$AA$8,AK90=$AA$6),MAX(AA$9:$AA89)+1,"")</f>
        <v/>
      </c>
      <c r="AB90" s="887" t="str">
        <f>IF(AND(AJ90=$AB$8,AK90=$AA$6),MAX(AB$9:$AB89)+1,"")</f>
        <v/>
      </c>
      <c r="AC90" s="887" t="str">
        <f>IF(AND(AJ90=$AC$8,AK90=$AA$6),MAX(AC$9:$AC89)+1,"")</f>
        <v/>
      </c>
      <c r="AD90" s="887" t="str">
        <f>IF(AND(AJ90=$AD$8,AK90=$AA$6),MAX(AD$9:$AD89)+1,"")</f>
        <v/>
      </c>
      <c r="AE90" s="887" t="str">
        <f>IF(AND(AJ90=$AE$8,AK90=$AA$6),MAX(AE$9:$AE89)+1,"")</f>
        <v/>
      </c>
      <c r="AF90" s="887" t="str">
        <f>IF(AND(AJ90=$AF$8,AK90=$AA$6),MAX(AF$9:$AF89)+1,"")</f>
        <v/>
      </c>
      <c r="AG90" s="887" t="str">
        <f>IF(AND(AJ90=$AG$8,AK90=$AB$6),MAX(AG$9:$AG89)+1,"")</f>
        <v/>
      </c>
      <c r="AH90" s="887" t="str">
        <f>IF(AND(AJ90=$AH$8,AK90=$AB$6),MAX(AH$9:$AH89)+1,"")</f>
        <v/>
      </c>
      <c r="AI90" s="920" t="str">
        <f>IF(AND(AJ90=$AI$8,AK90=$AB$6),MAX(AI$9:$AI89)+1,"")</f>
        <v/>
      </c>
      <c r="AJ90" s="887" t="str">
        <f t="shared" si="20"/>
        <v>January</v>
      </c>
      <c r="AK90" s="887">
        <f t="shared" si="21"/>
        <v>1900</v>
      </c>
      <c r="AL90" s="887" t="str">
        <f>'बँक जमा खर्च पासबुक'!B90</f>
        <v/>
      </c>
      <c r="AM90" s="921">
        <f>IFERROR('बँक जमा खर्च पासबुक'!C90,"")</f>
        <v>0</v>
      </c>
      <c r="AN90" s="887">
        <f>'बँक जमा खर्च पासबुक'!D90</f>
        <v>0</v>
      </c>
      <c r="AO90" s="887">
        <f>'बँक जमा खर्च पासबुक'!E90</f>
        <v>0</v>
      </c>
      <c r="AP90" s="887">
        <f>'बँक जमा खर्च पासबुक'!F90</f>
        <v>0</v>
      </c>
      <c r="AQ90" s="887">
        <f>'बँक जमा खर्च पासबुक'!G90</f>
        <v>0</v>
      </c>
      <c r="AR90" s="887">
        <f>'बँक जमा खर्च पासबुक'!H90</f>
        <v>0</v>
      </c>
      <c r="AS90" s="887">
        <f>'बँक जमा खर्च पासबुक'!I90</f>
        <v>0</v>
      </c>
      <c r="AT90" s="887">
        <f>'बँक जमा खर्च पासबुक'!J90</f>
        <v>0</v>
      </c>
      <c r="AU90" s="887">
        <f>'बँक जमा खर्च पासबुक'!K90</f>
        <v>0</v>
      </c>
      <c r="AV90" s="887">
        <f>'बँक जमा खर्च पासबुक'!L90</f>
        <v>0</v>
      </c>
      <c r="AW90" s="887">
        <f>'बँक जमा खर्च पासबुक'!M90</f>
        <v>0</v>
      </c>
      <c r="AX90" s="877"/>
      <c r="AY90" s="877"/>
      <c r="AZ90" s="877"/>
      <c r="BA90" s="877"/>
      <c r="BB90" s="877"/>
      <c r="BC90" s="877"/>
      <c r="BD90" s="877"/>
      <c r="BE90" s="877"/>
      <c r="BF90" s="877"/>
      <c r="BG90" s="877"/>
      <c r="BH90" s="877"/>
    </row>
    <row r="91" spans="22:60" ht="35.25" customHeight="1" x14ac:dyDescent="0.5">
      <c r="V91" s="877"/>
      <c r="W91" s="887" t="str">
        <f t="shared" si="19"/>
        <v>January</v>
      </c>
      <c r="X91" s="887" t="str">
        <f>IF(AND(AJ91=$X$8,AK91=$AA$6),MAX($X$9:X90)+1,"")</f>
        <v/>
      </c>
      <c r="Y91" s="887" t="str">
        <f>IF(AND(AJ91=$Y$8,AK91=$AA$6),MAX($Y$9:Y90)+1,"")</f>
        <v/>
      </c>
      <c r="Z91" s="887" t="str">
        <f>IF(AND(AJ91=$Z$8,AK91=$AA$6),MAX($Z$9:Z90)+1,"")</f>
        <v/>
      </c>
      <c r="AA91" s="887" t="str">
        <f>IF(AND(AJ91=$AA$8,AK91=$AA$6),MAX(AA$9:$AA90)+1,"")</f>
        <v/>
      </c>
      <c r="AB91" s="887" t="str">
        <f>IF(AND(AJ91=$AB$8,AK91=$AA$6),MAX(AB$9:$AB90)+1,"")</f>
        <v/>
      </c>
      <c r="AC91" s="887" t="str">
        <f>IF(AND(AJ91=$AC$8,AK91=$AA$6),MAX(AC$9:$AC90)+1,"")</f>
        <v/>
      </c>
      <c r="AD91" s="887" t="str">
        <f>IF(AND(AJ91=$AD$8,AK91=$AA$6),MAX(AD$9:$AD90)+1,"")</f>
        <v/>
      </c>
      <c r="AE91" s="887" t="str">
        <f>IF(AND(AJ91=$AE$8,AK91=$AA$6),MAX(AE$9:$AE90)+1,"")</f>
        <v/>
      </c>
      <c r="AF91" s="887" t="str">
        <f>IF(AND(AJ91=$AF$8,AK91=$AA$6),MAX(AF$9:$AF90)+1,"")</f>
        <v/>
      </c>
      <c r="AG91" s="887" t="str">
        <f>IF(AND(AJ91=$AG$8,AK91=$AB$6),MAX(AG$9:$AG90)+1,"")</f>
        <v/>
      </c>
      <c r="AH91" s="887" t="str">
        <f>IF(AND(AJ91=$AH$8,AK91=$AB$6),MAX(AH$9:$AH90)+1,"")</f>
        <v/>
      </c>
      <c r="AI91" s="920" t="str">
        <f>IF(AND(AJ91=$AI$8,AK91=$AB$6),MAX(AI$9:$AI90)+1,"")</f>
        <v/>
      </c>
      <c r="AJ91" s="887" t="str">
        <f t="shared" si="20"/>
        <v>January</v>
      </c>
      <c r="AK91" s="887">
        <f t="shared" si="21"/>
        <v>1900</v>
      </c>
      <c r="AL91" s="887" t="str">
        <f>'बँक जमा खर्च पासबुक'!B91</f>
        <v/>
      </c>
      <c r="AM91" s="921">
        <f>IFERROR('बँक जमा खर्च पासबुक'!C91,"")</f>
        <v>0</v>
      </c>
      <c r="AN91" s="887">
        <f>'बँक जमा खर्च पासबुक'!D91</f>
        <v>0</v>
      </c>
      <c r="AO91" s="887">
        <f>'बँक जमा खर्च पासबुक'!E91</f>
        <v>0</v>
      </c>
      <c r="AP91" s="887">
        <f>'बँक जमा खर्च पासबुक'!F91</f>
        <v>0</v>
      </c>
      <c r="AQ91" s="887">
        <f>'बँक जमा खर्च पासबुक'!G91</f>
        <v>0</v>
      </c>
      <c r="AR91" s="887">
        <f>'बँक जमा खर्च पासबुक'!H91</f>
        <v>0</v>
      </c>
      <c r="AS91" s="887">
        <f>'बँक जमा खर्च पासबुक'!I91</f>
        <v>0</v>
      </c>
      <c r="AT91" s="887">
        <f>'बँक जमा खर्च पासबुक'!J91</f>
        <v>0</v>
      </c>
      <c r="AU91" s="887">
        <f>'बँक जमा खर्च पासबुक'!K91</f>
        <v>0</v>
      </c>
      <c r="AV91" s="887">
        <f>'बँक जमा खर्च पासबुक'!L91</f>
        <v>0</v>
      </c>
      <c r="AW91" s="887">
        <f>'बँक जमा खर्च पासबुक'!M91</f>
        <v>0</v>
      </c>
      <c r="AX91" s="877"/>
      <c r="AY91" s="877"/>
      <c r="AZ91" s="877"/>
      <c r="BA91" s="877"/>
      <c r="BB91" s="877"/>
      <c r="BC91" s="877"/>
      <c r="BD91" s="877"/>
      <c r="BE91" s="877"/>
      <c r="BF91" s="877"/>
      <c r="BG91" s="877"/>
      <c r="BH91" s="877"/>
    </row>
    <row r="92" spans="22:60" ht="35.25" customHeight="1" x14ac:dyDescent="0.5">
      <c r="V92" s="877"/>
      <c r="W92" s="887" t="str">
        <f t="shared" si="19"/>
        <v>January</v>
      </c>
      <c r="X92" s="887" t="str">
        <f>IF(AND(AJ92=$X$8,AK92=$AA$6),MAX($X$9:X91)+1,"")</f>
        <v/>
      </c>
      <c r="Y92" s="887" t="str">
        <f>IF(AND(AJ92=$Y$8,AK92=$AA$6),MAX($Y$9:Y91)+1,"")</f>
        <v/>
      </c>
      <c r="Z92" s="887" t="str">
        <f>IF(AND(AJ92=$Z$8,AK92=$AA$6),MAX($Z$9:Z91)+1,"")</f>
        <v/>
      </c>
      <c r="AA92" s="887" t="str">
        <f>IF(AND(AJ92=$AA$8,AK92=$AA$6),MAX(AA$9:$AA91)+1,"")</f>
        <v/>
      </c>
      <c r="AB92" s="887" t="str">
        <f>IF(AND(AJ92=$AB$8,AK92=$AA$6),MAX(AB$9:$AB91)+1,"")</f>
        <v/>
      </c>
      <c r="AC92" s="887" t="str">
        <f>IF(AND(AJ92=$AC$8,AK92=$AA$6),MAX(AC$9:$AC91)+1,"")</f>
        <v/>
      </c>
      <c r="AD92" s="887" t="str">
        <f>IF(AND(AJ92=$AD$8,AK92=$AA$6),MAX(AD$9:$AD91)+1,"")</f>
        <v/>
      </c>
      <c r="AE92" s="887" t="str">
        <f>IF(AND(AJ92=$AE$8,AK92=$AA$6),MAX(AE$9:$AE91)+1,"")</f>
        <v/>
      </c>
      <c r="AF92" s="887" t="str">
        <f>IF(AND(AJ92=$AF$8,AK92=$AA$6),MAX(AF$9:$AF91)+1,"")</f>
        <v/>
      </c>
      <c r="AG92" s="887" t="str">
        <f>IF(AND(AJ92=$AG$8,AK92=$AB$6),MAX(AG$9:$AG91)+1,"")</f>
        <v/>
      </c>
      <c r="AH92" s="887" t="str">
        <f>IF(AND(AJ92=$AH$8,AK92=$AB$6),MAX(AH$9:$AH91)+1,"")</f>
        <v/>
      </c>
      <c r="AI92" s="920" t="str">
        <f>IF(AND(AJ92=$AI$8,AK92=$AB$6),MAX(AI$9:$AI91)+1,"")</f>
        <v/>
      </c>
      <c r="AJ92" s="887" t="str">
        <f t="shared" si="20"/>
        <v>January</v>
      </c>
      <c r="AK92" s="887">
        <f t="shared" si="21"/>
        <v>1900</v>
      </c>
      <c r="AL92" s="887" t="str">
        <f>'बँक जमा खर्च पासबुक'!B92</f>
        <v/>
      </c>
      <c r="AM92" s="921">
        <f>IFERROR('बँक जमा खर्च पासबुक'!C92,"")</f>
        <v>0</v>
      </c>
      <c r="AN92" s="887">
        <f>'बँक जमा खर्च पासबुक'!D92</f>
        <v>0</v>
      </c>
      <c r="AO92" s="887">
        <f>'बँक जमा खर्च पासबुक'!E92</f>
        <v>0</v>
      </c>
      <c r="AP92" s="887">
        <f>'बँक जमा खर्च पासबुक'!F92</f>
        <v>0</v>
      </c>
      <c r="AQ92" s="887">
        <f>'बँक जमा खर्च पासबुक'!G92</f>
        <v>0</v>
      </c>
      <c r="AR92" s="887">
        <f>'बँक जमा खर्च पासबुक'!H92</f>
        <v>0</v>
      </c>
      <c r="AS92" s="887">
        <f>'बँक जमा खर्च पासबुक'!I92</f>
        <v>0</v>
      </c>
      <c r="AT92" s="887">
        <f>'बँक जमा खर्च पासबुक'!J92</f>
        <v>0</v>
      </c>
      <c r="AU92" s="887">
        <f>'बँक जमा खर्च पासबुक'!K92</f>
        <v>0</v>
      </c>
      <c r="AV92" s="887">
        <f>'बँक जमा खर्च पासबुक'!L92</f>
        <v>0</v>
      </c>
      <c r="AW92" s="887">
        <f>'बँक जमा खर्च पासबुक'!M92</f>
        <v>0</v>
      </c>
      <c r="AX92" s="877"/>
      <c r="AY92" s="877"/>
      <c r="AZ92" s="877"/>
      <c r="BA92" s="877"/>
      <c r="BB92" s="877"/>
      <c r="BC92" s="877"/>
      <c r="BD92" s="877"/>
      <c r="BE92" s="877"/>
      <c r="BF92" s="877"/>
      <c r="BG92" s="877"/>
      <c r="BH92" s="877"/>
    </row>
    <row r="93" spans="22:60" ht="35.25" customHeight="1" x14ac:dyDescent="0.5">
      <c r="V93" s="877"/>
      <c r="W93" s="887" t="str">
        <f t="shared" si="19"/>
        <v>January</v>
      </c>
      <c r="X93" s="887" t="str">
        <f>IF(AND(AJ93=$X$8,AK93=$AA$6),MAX($X$9:X92)+1,"")</f>
        <v/>
      </c>
      <c r="Y93" s="887" t="str">
        <f>IF(AND(AJ93=$Y$8,AK93=$AA$6),MAX($Y$9:Y92)+1,"")</f>
        <v/>
      </c>
      <c r="Z93" s="887" t="str">
        <f>IF(AND(AJ93=$Z$8,AK93=$AA$6),MAX($Z$9:Z92)+1,"")</f>
        <v/>
      </c>
      <c r="AA93" s="887" t="str">
        <f>IF(AND(AJ93=$AA$8,AK93=$AA$6),MAX(AA$9:$AA92)+1,"")</f>
        <v/>
      </c>
      <c r="AB93" s="887" t="str">
        <f>IF(AND(AJ93=$AB$8,AK93=$AA$6),MAX(AB$9:$AB92)+1,"")</f>
        <v/>
      </c>
      <c r="AC93" s="887" t="str">
        <f>IF(AND(AJ93=$AC$8,AK93=$AA$6),MAX(AC$9:$AC92)+1,"")</f>
        <v/>
      </c>
      <c r="AD93" s="887" t="str">
        <f>IF(AND(AJ93=$AD$8,AK93=$AA$6),MAX(AD$9:$AD92)+1,"")</f>
        <v/>
      </c>
      <c r="AE93" s="887" t="str">
        <f>IF(AND(AJ93=$AE$8,AK93=$AA$6),MAX(AE$9:$AE92)+1,"")</f>
        <v/>
      </c>
      <c r="AF93" s="887" t="str">
        <f>IF(AND(AJ93=$AF$8,AK93=$AA$6),MAX(AF$9:$AF92)+1,"")</f>
        <v/>
      </c>
      <c r="AG93" s="887" t="str">
        <f>IF(AND(AJ93=$AG$8,AK93=$AB$6),MAX(AG$9:$AG92)+1,"")</f>
        <v/>
      </c>
      <c r="AH93" s="887" t="str">
        <f>IF(AND(AJ93=$AH$8,AK93=$AB$6),MAX(AH$9:$AH92)+1,"")</f>
        <v/>
      </c>
      <c r="AI93" s="920" t="str">
        <f>IF(AND(AJ93=$AI$8,AK93=$AB$6),MAX(AI$9:$AI92)+1,"")</f>
        <v/>
      </c>
      <c r="AJ93" s="887" t="str">
        <f t="shared" si="20"/>
        <v>January</v>
      </c>
      <c r="AK93" s="887">
        <f t="shared" si="21"/>
        <v>1900</v>
      </c>
      <c r="AL93" s="887" t="str">
        <f>'बँक जमा खर्च पासबुक'!B93</f>
        <v/>
      </c>
      <c r="AM93" s="921">
        <f>IFERROR('बँक जमा खर्च पासबुक'!C93,"")</f>
        <v>0</v>
      </c>
      <c r="AN93" s="887">
        <f>'बँक जमा खर्च पासबुक'!D93</f>
        <v>0</v>
      </c>
      <c r="AO93" s="887">
        <f>'बँक जमा खर्च पासबुक'!E93</f>
        <v>0</v>
      </c>
      <c r="AP93" s="887">
        <f>'बँक जमा खर्च पासबुक'!F93</f>
        <v>0</v>
      </c>
      <c r="AQ93" s="887">
        <f>'बँक जमा खर्च पासबुक'!G93</f>
        <v>0</v>
      </c>
      <c r="AR93" s="887">
        <f>'बँक जमा खर्च पासबुक'!H93</f>
        <v>0</v>
      </c>
      <c r="AS93" s="887">
        <f>'बँक जमा खर्च पासबुक'!I93</f>
        <v>0</v>
      </c>
      <c r="AT93" s="887">
        <f>'बँक जमा खर्च पासबुक'!J93</f>
        <v>0</v>
      </c>
      <c r="AU93" s="887">
        <f>'बँक जमा खर्च पासबुक'!K93</f>
        <v>0</v>
      </c>
      <c r="AV93" s="887">
        <f>'बँक जमा खर्च पासबुक'!L93</f>
        <v>0</v>
      </c>
      <c r="AW93" s="887">
        <f>'बँक जमा खर्च पासबुक'!M93</f>
        <v>0</v>
      </c>
      <c r="AX93" s="877"/>
      <c r="AY93" s="877"/>
      <c r="AZ93" s="877"/>
      <c r="BA93" s="877"/>
      <c r="BB93" s="877"/>
      <c r="BC93" s="877"/>
      <c r="BD93" s="877"/>
      <c r="BE93" s="877"/>
      <c r="BF93" s="877"/>
      <c r="BG93" s="877"/>
      <c r="BH93" s="877"/>
    </row>
    <row r="94" spans="22:60" ht="35.25" customHeight="1" x14ac:dyDescent="0.5">
      <c r="V94" s="877"/>
      <c r="W94" s="887" t="str">
        <f t="shared" si="19"/>
        <v>January</v>
      </c>
      <c r="X94" s="887" t="str">
        <f>IF(AND(AJ94=$X$8,AK94=$AA$6),MAX($X$9:X93)+1,"")</f>
        <v/>
      </c>
      <c r="Y94" s="887" t="str">
        <f>IF(AND(AJ94=$Y$8,AK94=$AA$6),MAX($Y$9:Y93)+1,"")</f>
        <v/>
      </c>
      <c r="Z94" s="887" t="str">
        <f>IF(AND(AJ94=$Z$8,AK94=$AA$6),MAX($Z$9:Z93)+1,"")</f>
        <v/>
      </c>
      <c r="AA94" s="887" t="str">
        <f>IF(AND(AJ94=$AA$8,AK94=$AA$6),MAX(AA$9:$AA93)+1,"")</f>
        <v/>
      </c>
      <c r="AB94" s="887" t="str">
        <f>IF(AND(AJ94=$AB$8,AK94=$AA$6),MAX(AB$9:$AB93)+1,"")</f>
        <v/>
      </c>
      <c r="AC94" s="887" t="str">
        <f>IF(AND(AJ94=$AC$8,AK94=$AA$6),MAX(AC$9:$AC93)+1,"")</f>
        <v/>
      </c>
      <c r="AD94" s="887" t="str">
        <f>IF(AND(AJ94=$AD$8,AK94=$AA$6),MAX(AD$9:$AD93)+1,"")</f>
        <v/>
      </c>
      <c r="AE94" s="887" t="str">
        <f>IF(AND(AJ94=$AE$8,AK94=$AA$6),MAX(AE$9:$AE93)+1,"")</f>
        <v/>
      </c>
      <c r="AF94" s="887" t="str">
        <f>IF(AND(AJ94=$AF$8,AK94=$AA$6),MAX(AF$9:$AF93)+1,"")</f>
        <v/>
      </c>
      <c r="AG94" s="887" t="str">
        <f>IF(AND(AJ94=$AG$8,AK94=$AB$6),MAX(AG$9:$AG93)+1,"")</f>
        <v/>
      </c>
      <c r="AH94" s="887" t="str">
        <f>IF(AND(AJ94=$AH$8,AK94=$AB$6),MAX(AH$9:$AH93)+1,"")</f>
        <v/>
      </c>
      <c r="AI94" s="920" t="str">
        <f>IF(AND(AJ94=$AI$8,AK94=$AB$6),MAX(AI$9:$AI93)+1,"")</f>
        <v/>
      </c>
      <c r="AJ94" s="887" t="str">
        <f t="shared" si="20"/>
        <v>January</v>
      </c>
      <c r="AK94" s="887">
        <f t="shared" si="21"/>
        <v>1900</v>
      </c>
      <c r="AL94" s="887" t="str">
        <f>'बँक जमा खर्च पासबुक'!B94</f>
        <v/>
      </c>
      <c r="AM94" s="921">
        <f>IFERROR('बँक जमा खर्च पासबुक'!C94,"")</f>
        <v>0</v>
      </c>
      <c r="AN94" s="887">
        <f>'बँक जमा खर्च पासबुक'!D94</f>
        <v>0</v>
      </c>
      <c r="AO94" s="887">
        <f>'बँक जमा खर्च पासबुक'!E94</f>
        <v>0</v>
      </c>
      <c r="AP94" s="887">
        <f>'बँक जमा खर्च पासबुक'!F94</f>
        <v>0</v>
      </c>
      <c r="AQ94" s="887">
        <f>'बँक जमा खर्च पासबुक'!G94</f>
        <v>0</v>
      </c>
      <c r="AR94" s="887">
        <f>'बँक जमा खर्च पासबुक'!H94</f>
        <v>0</v>
      </c>
      <c r="AS94" s="887">
        <f>'बँक जमा खर्च पासबुक'!I94</f>
        <v>0</v>
      </c>
      <c r="AT94" s="887">
        <f>'बँक जमा खर्च पासबुक'!J94</f>
        <v>0</v>
      </c>
      <c r="AU94" s="887">
        <f>'बँक जमा खर्च पासबुक'!K94</f>
        <v>0</v>
      </c>
      <c r="AV94" s="887">
        <f>'बँक जमा खर्च पासबुक'!L94</f>
        <v>0</v>
      </c>
      <c r="AW94" s="887">
        <f>'बँक जमा खर्च पासबुक'!M94</f>
        <v>0</v>
      </c>
      <c r="AX94" s="877"/>
      <c r="AY94" s="877"/>
      <c r="AZ94" s="877"/>
      <c r="BA94" s="877"/>
      <c r="BB94" s="877"/>
      <c r="BC94" s="877"/>
      <c r="BD94" s="877"/>
      <c r="BE94" s="877"/>
      <c r="BF94" s="877"/>
      <c r="BG94" s="877"/>
      <c r="BH94" s="877"/>
    </row>
    <row r="95" spans="22:60" ht="35.25" customHeight="1" x14ac:dyDescent="0.5">
      <c r="V95" s="877"/>
      <c r="W95" s="887" t="str">
        <f t="shared" si="19"/>
        <v>January</v>
      </c>
      <c r="X95" s="887" t="str">
        <f>IF(AND(AJ95=$X$8,AK95=$AA$6),MAX($X$9:X94)+1,"")</f>
        <v/>
      </c>
      <c r="Y95" s="887" t="str">
        <f>IF(AND(AJ95=$Y$8,AK95=$AA$6),MAX($Y$9:Y94)+1,"")</f>
        <v/>
      </c>
      <c r="Z95" s="887" t="str">
        <f>IF(AND(AJ95=$Z$8,AK95=$AA$6),MAX($Z$9:Z94)+1,"")</f>
        <v/>
      </c>
      <c r="AA95" s="887" t="str">
        <f>IF(AND(AJ95=$AA$8,AK95=$AA$6),MAX(AA$9:$AA94)+1,"")</f>
        <v/>
      </c>
      <c r="AB95" s="887" t="str">
        <f>IF(AND(AJ95=$AB$8,AK95=$AA$6),MAX(AB$9:$AB94)+1,"")</f>
        <v/>
      </c>
      <c r="AC95" s="887" t="str">
        <f>IF(AND(AJ95=$AC$8,AK95=$AA$6),MAX(AC$9:$AC94)+1,"")</f>
        <v/>
      </c>
      <c r="AD95" s="887" t="str">
        <f>IF(AND(AJ95=$AD$8,AK95=$AA$6),MAX(AD$9:$AD94)+1,"")</f>
        <v/>
      </c>
      <c r="AE95" s="887" t="str">
        <f>IF(AND(AJ95=$AE$8,AK95=$AA$6),MAX(AE$9:$AE94)+1,"")</f>
        <v/>
      </c>
      <c r="AF95" s="887" t="str">
        <f>IF(AND(AJ95=$AF$8,AK95=$AA$6),MAX(AF$9:$AF94)+1,"")</f>
        <v/>
      </c>
      <c r="AG95" s="887" t="str">
        <f>IF(AND(AJ95=$AG$8,AK95=$AB$6),MAX(AG$9:$AG94)+1,"")</f>
        <v/>
      </c>
      <c r="AH95" s="887" t="str">
        <f>IF(AND(AJ95=$AH$8,AK95=$AB$6),MAX(AH$9:$AH94)+1,"")</f>
        <v/>
      </c>
      <c r="AI95" s="920" t="str">
        <f>IF(AND(AJ95=$AI$8,AK95=$AB$6),MAX(AI$9:$AI94)+1,"")</f>
        <v/>
      </c>
      <c r="AJ95" s="887" t="str">
        <f t="shared" si="20"/>
        <v>January</v>
      </c>
      <c r="AK95" s="887">
        <f t="shared" si="21"/>
        <v>1900</v>
      </c>
      <c r="AL95" s="887" t="str">
        <f>'बँक जमा खर्च पासबुक'!B95</f>
        <v/>
      </c>
      <c r="AM95" s="921">
        <f>IFERROR('बँक जमा खर्च पासबुक'!C95,"")</f>
        <v>0</v>
      </c>
      <c r="AN95" s="887">
        <f>'बँक जमा खर्च पासबुक'!D95</f>
        <v>0</v>
      </c>
      <c r="AO95" s="887">
        <f>'बँक जमा खर्च पासबुक'!E95</f>
        <v>0</v>
      </c>
      <c r="AP95" s="887">
        <f>'बँक जमा खर्च पासबुक'!F95</f>
        <v>0</v>
      </c>
      <c r="AQ95" s="887">
        <f>'बँक जमा खर्च पासबुक'!G95</f>
        <v>0</v>
      </c>
      <c r="AR95" s="887">
        <f>'बँक जमा खर्च पासबुक'!H95</f>
        <v>0</v>
      </c>
      <c r="AS95" s="887">
        <f>'बँक जमा खर्च पासबुक'!I95</f>
        <v>0</v>
      </c>
      <c r="AT95" s="887">
        <f>'बँक जमा खर्च पासबुक'!J95</f>
        <v>0</v>
      </c>
      <c r="AU95" s="887">
        <f>'बँक जमा खर्च पासबुक'!K95</f>
        <v>0</v>
      </c>
      <c r="AV95" s="887">
        <f>'बँक जमा खर्च पासबुक'!L95</f>
        <v>0</v>
      </c>
      <c r="AW95" s="887">
        <f>'बँक जमा खर्च पासबुक'!M95</f>
        <v>0</v>
      </c>
      <c r="AX95" s="877"/>
      <c r="AY95" s="877"/>
      <c r="AZ95" s="877"/>
      <c r="BA95" s="877"/>
      <c r="BB95" s="877"/>
      <c r="BC95" s="877"/>
      <c r="BD95" s="877"/>
      <c r="BE95" s="877"/>
      <c r="BF95" s="877"/>
      <c r="BG95" s="877"/>
      <c r="BH95" s="877"/>
    </row>
    <row r="96" spans="22:60" ht="35.25" customHeight="1" x14ac:dyDescent="0.5">
      <c r="V96" s="877"/>
      <c r="W96" s="887" t="str">
        <f t="shared" si="19"/>
        <v>January</v>
      </c>
      <c r="X96" s="887" t="str">
        <f>IF(AND(AJ96=$X$8,AK96=$AA$6),MAX($X$9:X95)+1,"")</f>
        <v/>
      </c>
      <c r="Y96" s="887" t="str">
        <f>IF(AND(AJ96=$Y$8,AK96=$AA$6),MAX($Y$9:Y95)+1,"")</f>
        <v/>
      </c>
      <c r="Z96" s="887" t="str">
        <f>IF(AND(AJ96=$Z$8,AK96=$AA$6),MAX($Z$9:Z95)+1,"")</f>
        <v/>
      </c>
      <c r="AA96" s="887" t="str">
        <f>IF(AND(AJ96=$AA$8,AK96=$AA$6),MAX(AA$9:$AA95)+1,"")</f>
        <v/>
      </c>
      <c r="AB96" s="887" t="str">
        <f>IF(AND(AJ96=$AB$8,AK96=$AA$6),MAX(AB$9:$AB95)+1,"")</f>
        <v/>
      </c>
      <c r="AC96" s="887" t="str">
        <f>IF(AND(AJ96=$AC$8,AK96=$AA$6),MAX(AC$9:$AC95)+1,"")</f>
        <v/>
      </c>
      <c r="AD96" s="887" t="str">
        <f>IF(AND(AJ96=$AD$8,AK96=$AA$6),MAX(AD$9:$AD95)+1,"")</f>
        <v/>
      </c>
      <c r="AE96" s="887" t="str">
        <f>IF(AND(AJ96=$AE$8,AK96=$AA$6),MAX(AE$9:$AE95)+1,"")</f>
        <v/>
      </c>
      <c r="AF96" s="887" t="str">
        <f>IF(AND(AJ96=$AF$8,AK96=$AA$6),MAX(AF$9:$AF95)+1,"")</f>
        <v/>
      </c>
      <c r="AG96" s="887" t="str">
        <f>IF(AND(AJ96=$AG$8,AK96=$AB$6),MAX(AG$9:$AG95)+1,"")</f>
        <v/>
      </c>
      <c r="AH96" s="887" t="str">
        <f>IF(AND(AJ96=$AH$8,AK96=$AB$6),MAX(AH$9:$AH95)+1,"")</f>
        <v/>
      </c>
      <c r="AI96" s="920" t="str">
        <f>IF(AND(AJ96=$AI$8,AK96=$AB$6),MAX(AI$9:$AI95)+1,"")</f>
        <v/>
      </c>
      <c r="AJ96" s="887" t="str">
        <f t="shared" si="20"/>
        <v>January</v>
      </c>
      <c r="AK96" s="887">
        <f t="shared" si="21"/>
        <v>1900</v>
      </c>
      <c r="AL96" s="887" t="str">
        <f>'बँक जमा खर्च पासबुक'!B96</f>
        <v/>
      </c>
      <c r="AM96" s="921">
        <f>IFERROR('बँक जमा खर्च पासबुक'!C96,"")</f>
        <v>0</v>
      </c>
      <c r="AN96" s="887">
        <f>'बँक जमा खर्च पासबुक'!D96</f>
        <v>0</v>
      </c>
      <c r="AO96" s="887">
        <f>'बँक जमा खर्च पासबुक'!E96</f>
        <v>0</v>
      </c>
      <c r="AP96" s="887">
        <f>'बँक जमा खर्च पासबुक'!F96</f>
        <v>0</v>
      </c>
      <c r="AQ96" s="887">
        <f>'बँक जमा खर्च पासबुक'!G96</f>
        <v>0</v>
      </c>
      <c r="AR96" s="887">
        <f>'बँक जमा खर्च पासबुक'!H96</f>
        <v>0</v>
      </c>
      <c r="AS96" s="887">
        <f>'बँक जमा खर्च पासबुक'!I96</f>
        <v>0</v>
      </c>
      <c r="AT96" s="887">
        <f>'बँक जमा खर्च पासबुक'!J96</f>
        <v>0</v>
      </c>
      <c r="AU96" s="887">
        <f>'बँक जमा खर्च पासबुक'!K96</f>
        <v>0</v>
      </c>
      <c r="AV96" s="887">
        <f>'बँक जमा खर्च पासबुक'!L96</f>
        <v>0</v>
      </c>
      <c r="AW96" s="887">
        <f>'बँक जमा खर्च पासबुक'!M96</f>
        <v>0</v>
      </c>
      <c r="AX96" s="877"/>
      <c r="AY96" s="877"/>
      <c r="AZ96" s="877"/>
      <c r="BA96" s="877"/>
      <c r="BB96" s="877"/>
      <c r="BC96" s="877"/>
      <c r="BD96" s="877"/>
      <c r="BE96" s="877"/>
      <c r="BF96" s="877"/>
      <c r="BG96" s="877"/>
      <c r="BH96" s="877"/>
    </row>
    <row r="97" spans="22:60" ht="35.25" customHeight="1" x14ac:dyDescent="0.5">
      <c r="V97" s="877"/>
      <c r="W97" s="887" t="str">
        <f t="shared" si="19"/>
        <v>January</v>
      </c>
      <c r="X97" s="887" t="str">
        <f>IF(AND(AJ97=$X$8,AK97=$AA$6),MAX($X$9:X96)+1,"")</f>
        <v/>
      </c>
      <c r="Y97" s="887" t="str">
        <f>IF(AND(AJ97=$Y$8,AK97=$AA$6),MAX($Y$9:Y96)+1,"")</f>
        <v/>
      </c>
      <c r="Z97" s="887" t="str">
        <f>IF(AND(AJ97=$Z$8,AK97=$AA$6),MAX($Z$9:Z96)+1,"")</f>
        <v/>
      </c>
      <c r="AA97" s="887" t="str">
        <f>IF(AND(AJ97=$AA$8,AK97=$AA$6),MAX(AA$9:$AA96)+1,"")</f>
        <v/>
      </c>
      <c r="AB97" s="887" t="str">
        <f>IF(AND(AJ97=$AB$8,AK97=$AA$6),MAX(AB$9:$AB96)+1,"")</f>
        <v/>
      </c>
      <c r="AC97" s="887" t="str">
        <f>IF(AND(AJ97=$AC$8,AK97=$AA$6),MAX(AC$9:$AC96)+1,"")</f>
        <v/>
      </c>
      <c r="AD97" s="887" t="str">
        <f>IF(AND(AJ97=$AD$8,AK97=$AA$6),MAX(AD$9:$AD96)+1,"")</f>
        <v/>
      </c>
      <c r="AE97" s="887" t="str">
        <f>IF(AND(AJ97=$AE$8,AK97=$AA$6),MAX(AE$9:$AE96)+1,"")</f>
        <v/>
      </c>
      <c r="AF97" s="887" t="str">
        <f>IF(AND(AJ97=$AF$8,AK97=$AA$6),MAX(AF$9:$AF96)+1,"")</f>
        <v/>
      </c>
      <c r="AG97" s="887" t="str">
        <f>IF(AND(AJ97=$AG$8,AK97=$AB$6),MAX(AG$9:$AG96)+1,"")</f>
        <v/>
      </c>
      <c r="AH97" s="887" t="str">
        <f>IF(AND(AJ97=$AH$8,AK97=$AB$6),MAX(AH$9:$AH96)+1,"")</f>
        <v/>
      </c>
      <c r="AI97" s="920" t="str">
        <f>IF(AND(AJ97=$AI$8,AK97=$AB$6),MAX(AI$9:$AI96)+1,"")</f>
        <v/>
      </c>
      <c r="AJ97" s="887" t="str">
        <f t="shared" si="20"/>
        <v>January</v>
      </c>
      <c r="AK97" s="887">
        <f t="shared" si="21"/>
        <v>1900</v>
      </c>
      <c r="AL97" s="887" t="str">
        <f>'बँक जमा खर्च पासबुक'!B97</f>
        <v/>
      </c>
      <c r="AM97" s="921">
        <f>IFERROR('बँक जमा खर्च पासबुक'!C97,"")</f>
        <v>0</v>
      </c>
      <c r="AN97" s="887">
        <f>'बँक जमा खर्च पासबुक'!D97</f>
        <v>0</v>
      </c>
      <c r="AO97" s="887">
        <f>'बँक जमा खर्च पासबुक'!E97</f>
        <v>0</v>
      </c>
      <c r="AP97" s="887">
        <f>'बँक जमा खर्च पासबुक'!F97</f>
        <v>0</v>
      </c>
      <c r="AQ97" s="887">
        <f>'बँक जमा खर्च पासबुक'!G97</f>
        <v>0</v>
      </c>
      <c r="AR97" s="887">
        <f>'बँक जमा खर्च पासबुक'!H97</f>
        <v>0</v>
      </c>
      <c r="AS97" s="887">
        <f>'बँक जमा खर्च पासबुक'!I97</f>
        <v>0</v>
      </c>
      <c r="AT97" s="887">
        <f>'बँक जमा खर्च पासबुक'!J97</f>
        <v>0</v>
      </c>
      <c r="AU97" s="887">
        <f>'बँक जमा खर्च पासबुक'!K97</f>
        <v>0</v>
      </c>
      <c r="AV97" s="887">
        <f>'बँक जमा खर्च पासबुक'!L97</f>
        <v>0</v>
      </c>
      <c r="AW97" s="887">
        <f>'बँक जमा खर्च पासबुक'!M97</f>
        <v>0</v>
      </c>
      <c r="AX97" s="877"/>
      <c r="AY97" s="877"/>
      <c r="AZ97" s="877"/>
      <c r="BA97" s="877"/>
      <c r="BB97" s="877"/>
      <c r="BC97" s="877"/>
      <c r="BD97" s="877"/>
      <c r="BE97" s="877"/>
      <c r="BF97" s="877"/>
      <c r="BG97" s="877"/>
      <c r="BH97" s="877"/>
    </row>
    <row r="98" spans="22:60" ht="35.25" customHeight="1" x14ac:dyDescent="0.5">
      <c r="V98" s="877"/>
      <c r="W98" s="887" t="str">
        <f t="shared" si="19"/>
        <v>January</v>
      </c>
      <c r="X98" s="887" t="str">
        <f>IF(AND(AJ98=$X$8,AK98=$AA$6),MAX($X$9:X97)+1,"")</f>
        <v/>
      </c>
      <c r="Y98" s="887" t="str">
        <f>IF(AND(AJ98=$Y$8,AK98=$AA$6),MAX($Y$9:Y97)+1,"")</f>
        <v/>
      </c>
      <c r="Z98" s="887" t="str">
        <f>IF(AND(AJ98=$Z$8,AK98=$AA$6),MAX($Z$9:Z97)+1,"")</f>
        <v/>
      </c>
      <c r="AA98" s="887" t="str">
        <f>IF(AND(AJ98=$AA$8,AK98=$AA$6),MAX(AA$9:$AA97)+1,"")</f>
        <v/>
      </c>
      <c r="AB98" s="887" t="str">
        <f>IF(AND(AJ98=$AB$8,AK98=$AA$6),MAX(AB$9:$AB97)+1,"")</f>
        <v/>
      </c>
      <c r="AC98" s="887" t="str">
        <f>IF(AND(AJ98=$AC$8,AK98=$AA$6),MAX(AC$9:$AC97)+1,"")</f>
        <v/>
      </c>
      <c r="AD98" s="887" t="str">
        <f>IF(AND(AJ98=$AD$8,AK98=$AA$6),MAX(AD$9:$AD97)+1,"")</f>
        <v/>
      </c>
      <c r="AE98" s="887" t="str">
        <f>IF(AND(AJ98=$AE$8,AK98=$AA$6),MAX(AE$9:$AE97)+1,"")</f>
        <v/>
      </c>
      <c r="AF98" s="887" t="str">
        <f>IF(AND(AJ98=$AF$8,AK98=$AA$6),MAX(AF$9:$AF97)+1,"")</f>
        <v/>
      </c>
      <c r="AG98" s="887" t="str">
        <f>IF(AND(AJ98=$AG$8,AK98=$AB$6),MAX(AG$9:$AG97)+1,"")</f>
        <v/>
      </c>
      <c r="AH98" s="887" t="str">
        <f>IF(AND(AJ98=$AH$8,AK98=$AB$6),MAX(AH$9:$AH97)+1,"")</f>
        <v/>
      </c>
      <c r="AI98" s="920" t="str">
        <f>IF(AND(AJ98=$AI$8,AK98=$AB$6),MAX(AI$9:$AI97)+1,"")</f>
        <v/>
      </c>
      <c r="AJ98" s="887" t="str">
        <f t="shared" si="20"/>
        <v>January</v>
      </c>
      <c r="AK98" s="887">
        <f t="shared" si="21"/>
        <v>1900</v>
      </c>
      <c r="AL98" s="887" t="str">
        <f>'बँक जमा खर्च पासबुक'!B98</f>
        <v/>
      </c>
      <c r="AM98" s="921">
        <f>IFERROR('बँक जमा खर्च पासबुक'!C98,"")</f>
        <v>0</v>
      </c>
      <c r="AN98" s="887">
        <f>'बँक जमा खर्च पासबुक'!D98</f>
        <v>0</v>
      </c>
      <c r="AO98" s="887">
        <f>'बँक जमा खर्च पासबुक'!E98</f>
        <v>0</v>
      </c>
      <c r="AP98" s="887">
        <f>'बँक जमा खर्च पासबुक'!F98</f>
        <v>0</v>
      </c>
      <c r="AQ98" s="887">
        <f>'बँक जमा खर्च पासबुक'!G98</f>
        <v>0</v>
      </c>
      <c r="AR98" s="887">
        <f>'बँक जमा खर्च पासबुक'!H98</f>
        <v>0</v>
      </c>
      <c r="AS98" s="887">
        <f>'बँक जमा खर्च पासबुक'!I98</f>
        <v>0</v>
      </c>
      <c r="AT98" s="887">
        <f>'बँक जमा खर्च पासबुक'!J98</f>
        <v>0</v>
      </c>
      <c r="AU98" s="887">
        <f>'बँक जमा खर्च पासबुक'!K98</f>
        <v>0</v>
      </c>
      <c r="AV98" s="887">
        <f>'बँक जमा खर्च पासबुक'!L98</f>
        <v>0</v>
      </c>
      <c r="AW98" s="887">
        <f>'बँक जमा खर्च पासबुक'!M98</f>
        <v>0</v>
      </c>
      <c r="AX98" s="877"/>
      <c r="AY98" s="877"/>
      <c r="AZ98" s="877"/>
      <c r="BA98" s="877"/>
      <c r="BB98" s="877"/>
      <c r="BC98" s="877"/>
      <c r="BD98" s="877"/>
      <c r="BE98" s="877"/>
      <c r="BF98" s="877"/>
      <c r="BG98" s="877"/>
      <c r="BH98" s="877"/>
    </row>
    <row r="99" spans="22:60" ht="35.25" customHeight="1" x14ac:dyDescent="0.5">
      <c r="V99" s="877"/>
      <c r="W99" s="887" t="str">
        <f t="shared" si="19"/>
        <v>January</v>
      </c>
      <c r="X99" s="887" t="str">
        <f>IF(AND(AJ99=$X$8,AK99=$AA$6),MAX($X$9:X98)+1,"")</f>
        <v/>
      </c>
      <c r="Y99" s="887" t="str">
        <f>IF(AND(AJ99=$Y$8,AK99=$AA$6),MAX($Y$9:Y98)+1,"")</f>
        <v/>
      </c>
      <c r="Z99" s="887" t="str">
        <f>IF(AND(AJ99=$Z$8,AK99=$AA$6),MAX($Z$9:Z98)+1,"")</f>
        <v/>
      </c>
      <c r="AA99" s="887" t="str">
        <f>IF(AND(AJ99=$AA$8,AK99=$AA$6),MAX(AA$9:$AA98)+1,"")</f>
        <v/>
      </c>
      <c r="AB99" s="887" t="str">
        <f>IF(AND(AJ99=$AB$8,AK99=$AA$6),MAX(AB$9:$AB98)+1,"")</f>
        <v/>
      </c>
      <c r="AC99" s="887" t="str">
        <f>IF(AND(AJ99=$AC$8,AK99=$AA$6),MAX(AC$9:$AC98)+1,"")</f>
        <v/>
      </c>
      <c r="AD99" s="887" t="str">
        <f>IF(AND(AJ99=$AD$8,AK99=$AA$6),MAX(AD$9:$AD98)+1,"")</f>
        <v/>
      </c>
      <c r="AE99" s="887" t="str">
        <f>IF(AND(AJ99=$AE$8,AK99=$AA$6),MAX(AE$9:$AE98)+1,"")</f>
        <v/>
      </c>
      <c r="AF99" s="887" t="str">
        <f>IF(AND(AJ99=$AF$8,AK99=$AA$6),MAX(AF$9:$AF98)+1,"")</f>
        <v/>
      </c>
      <c r="AG99" s="887" t="str">
        <f>IF(AND(AJ99=$AG$8,AK99=$AB$6),MAX(AG$9:$AG98)+1,"")</f>
        <v/>
      </c>
      <c r="AH99" s="887" t="str">
        <f>IF(AND(AJ99=$AH$8,AK99=$AB$6),MAX(AH$9:$AH98)+1,"")</f>
        <v/>
      </c>
      <c r="AI99" s="920" t="str">
        <f>IF(AND(AJ99=$AI$8,AK99=$AB$6),MAX(AI$9:$AI98)+1,"")</f>
        <v/>
      </c>
      <c r="AJ99" s="887" t="str">
        <f t="shared" si="20"/>
        <v>January</v>
      </c>
      <c r="AK99" s="887">
        <f t="shared" si="21"/>
        <v>1900</v>
      </c>
      <c r="AL99" s="887" t="str">
        <f>'बँक जमा खर्च पासबुक'!B99</f>
        <v/>
      </c>
      <c r="AM99" s="921">
        <f>IFERROR('बँक जमा खर्च पासबुक'!C99,"")</f>
        <v>0</v>
      </c>
      <c r="AN99" s="887">
        <f>'बँक जमा खर्च पासबुक'!D99</f>
        <v>0</v>
      </c>
      <c r="AO99" s="887">
        <f>'बँक जमा खर्च पासबुक'!E99</f>
        <v>0</v>
      </c>
      <c r="AP99" s="887">
        <f>'बँक जमा खर्च पासबुक'!F99</f>
        <v>0</v>
      </c>
      <c r="AQ99" s="887">
        <f>'बँक जमा खर्च पासबुक'!G99</f>
        <v>0</v>
      </c>
      <c r="AR99" s="887">
        <f>'बँक जमा खर्च पासबुक'!H99</f>
        <v>0</v>
      </c>
      <c r="AS99" s="887">
        <f>'बँक जमा खर्च पासबुक'!I99</f>
        <v>0</v>
      </c>
      <c r="AT99" s="887">
        <f>'बँक जमा खर्च पासबुक'!J99</f>
        <v>0</v>
      </c>
      <c r="AU99" s="887">
        <f>'बँक जमा खर्च पासबुक'!K99</f>
        <v>0</v>
      </c>
      <c r="AV99" s="887">
        <f>'बँक जमा खर्च पासबुक'!L99</f>
        <v>0</v>
      </c>
      <c r="AW99" s="887">
        <f>'बँक जमा खर्च पासबुक'!M99</f>
        <v>0</v>
      </c>
      <c r="AX99" s="877"/>
      <c r="AY99" s="877"/>
      <c r="AZ99" s="877"/>
      <c r="BA99" s="877"/>
      <c r="BB99" s="877"/>
      <c r="BC99" s="877"/>
      <c r="BD99" s="877"/>
      <c r="BE99" s="877"/>
      <c r="BF99" s="877"/>
      <c r="BG99" s="877"/>
      <c r="BH99" s="877"/>
    </row>
    <row r="100" spans="22:60" ht="35.25" customHeight="1" x14ac:dyDescent="0.5">
      <c r="V100" s="877"/>
      <c r="W100" s="887" t="str">
        <f t="shared" si="19"/>
        <v>January</v>
      </c>
      <c r="X100" s="887" t="str">
        <f>IF(AND(AJ100=$X$8,AK100=$AA$6),MAX($X$9:X99)+1,"")</f>
        <v/>
      </c>
      <c r="Y100" s="887" t="str">
        <f>IF(AND(AJ100=$Y$8,AK100=$AA$6),MAX($Y$9:Y99)+1,"")</f>
        <v/>
      </c>
      <c r="Z100" s="887" t="str">
        <f>IF(AND(AJ100=$Z$8,AK100=$AA$6),MAX($Z$9:Z99)+1,"")</f>
        <v/>
      </c>
      <c r="AA100" s="887" t="str">
        <f>IF(AND(AJ100=$AA$8,AK100=$AA$6),MAX(AA$9:$AA99)+1,"")</f>
        <v/>
      </c>
      <c r="AB100" s="887" t="str">
        <f>IF(AND(AJ100=$AB$8,AK100=$AA$6),MAX(AB$9:$AB99)+1,"")</f>
        <v/>
      </c>
      <c r="AC100" s="887" t="str">
        <f>IF(AND(AJ100=$AC$8,AK100=$AA$6),MAX(AC$9:$AC99)+1,"")</f>
        <v/>
      </c>
      <c r="AD100" s="887" t="str">
        <f>IF(AND(AJ100=$AD$8,AK100=$AA$6),MAX(AD$9:$AD99)+1,"")</f>
        <v/>
      </c>
      <c r="AE100" s="887" t="str">
        <f>IF(AND(AJ100=$AE$8,AK100=$AA$6),MAX(AE$9:$AE99)+1,"")</f>
        <v/>
      </c>
      <c r="AF100" s="887" t="str">
        <f>IF(AND(AJ100=$AF$8,AK100=$AA$6),MAX(AF$9:$AF99)+1,"")</f>
        <v/>
      </c>
      <c r="AG100" s="887" t="str">
        <f>IF(AND(AJ100=$AG$8,AK100=$AB$6),MAX(AG$9:$AG99)+1,"")</f>
        <v/>
      </c>
      <c r="AH100" s="887" t="str">
        <f>IF(AND(AJ100=$AH$8,AK100=$AB$6),MAX(AH$9:$AH99)+1,"")</f>
        <v/>
      </c>
      <c r="AI100" s="920" t="str">
        <f>IF(AND(AJ100=$AI$8,AK100=$AB$6),MAX(AI$9:$AI99)+1,"")</f>
        <v/>
      </c>
      <c r="AJ100" s="887" t="str">
        <f t="shared" si="20"/>
        <v>January</v>
      </c>
      <c r="AK100" s="887">
        <f t="shared" si="21"/>
        <v>1900</v>
      </c>
      <c r="AL100" s="887" t="str">
        <f>'बँक जमा खर्च पासबुक'!B100</f>
        <v/>
      </c>
      <c r="AM100" s="921">
        <f>IFERROR('बँक जमा खर्च पासबुक'!C100,"")</f>
        <v>0</v>
      </c>
      <c r="AN100" s="887">
        <f>'बँक जमा खर्च पासबुक'!D100</f>
        <v>0</v>
      </c>
      <c r="AO100" s="887">
        <f>'बँक जमा खर्च पासबुक'!E100</f>
        <v>0</v>
      </c>
      <c r="AP100" s="887">
        <f>'बँक जमा खर्च पासबुक'!F100</f>
        <v>0</v>
      </c>
      <c r="AQ100" s="887">
        <f>'बँक जमा खर्च पासबुक'!G100</f>
        <v>0</v>
      </c>
      <c r="AR100" s="887">
        <f>'बँक जमा खर्च पासबुक'!H100</f>
        <v>0</v>
      </c>
      <c r="AS100" s="887">
        <f>'बँक जमा खर्च पासबुक'!I100</f>
        <v>0</v>
      </c>
      <c r="AT100" s="887">
        <f>'बँक जमा खर्च पासबुक'!J100</f>
        <v>0</v>
      </c>
      <c r="AU100" s="887">
        <f>'बँक जमा खर्च पासबुक'!K100</f>
        <v>0</v>
      </c>
      <c r="AV100" s="887">
        <f>'बँक जमा खर्च पासबुक'!L100</f>
        <v>0</v>
      </c>
      <c r="AW100" s="887">
        <f>'बँक जमा खर्च पासबुक'!M100</f>
        <v>0</v>
      </c>
      <c r="AX100" s="877"/>
      <c r="AY100" s="877"/>
      <c r="AZ100" s="877"/>
      <c r="BA100" s="877"/>
      <c r="BB100" s="877"/>
      <c r="BC100" s="877"/>
      <c r="BD100" s="877"/>
      <c r="BE100" s="877"/>
      <c r="BF100" s="877"/>
      <c r="BG100" s="877"/>
      <c r="BH100" s="877"/>
    </row>
    <row r="101" spans="22:60" ht="35.25" customHeight="1" x14ac:dyDescent="0.5">
      <c r="V101" s="877"/>
      <c r="W101" s="887" t="str">
        <f t="shared" si="19"/>
        <v>January</v>
      </c>
      <c r="X101" s="887" t="str">
        <f>IF(AND(AJ101=$X$8,AK101=$AA$6),MAX($X$9:X100)+1,"")</f>
        <v/>
      </c>
      <c r="Y101" s="887" t="str">
        <f>IF(AND(AJ101=$Y$8,AK101=$AA$6),MAX($Y$9:Y100)+1,"")</f>
        <v/>
      </c>
      <c r="Z101" s="887" t="str">
        <f>IF(AND(AJ101=$Z$8,AK101=$AA$6),MAX($Z$9:Z100)+1,"")</f>
        <v/>
      </c>
      <c r="AA101" s="887" t="str">
        <f>IF(AND(AJ101=$AA$8,AK101=$AA$6),MAX(AA$9:$AA100)+1,"")</f>
        <v/>
      </c>
      <c r="AB101" s="887" t="str">
        <f>IF(AND(AJ101=$AB$8,AK101=$AA$6),MAX(AB$9:$AB100)+1,"")</f>
        <v/>
      </c>
      <c r="AC101" s="887" t="str">
        <f>IF(AND(AJ101=$AC$8,AK101=$AA$6),MAX(AC$9:$AC100)+1,"")</f>
        <v/>
      </c>
      <c r="AD101" s="887" t="str">
        <f>IF(AND(AJ101=$AD$8,AK101=$AA$6),MAX(AD$9:$AD100)+1,"")</f>
        <v/>
      </c>
      <c r="AE101" s="887" t="str">
        <f>IF(AND(AJ101=$AE$8,AK101=$AA$6),MAX(AE$9:$AE100)+1,"")</f>
        <v/>
      </c>
      <c r="AF101" s="887" t="str">
        <f>IF(AND(AJ101=$AF$8,AK101=$AA$6),MAX(AF$9:$AF100)+1,"")</f>
        <v/>
      </c>
      <c r="AG101" s="887" t="str">
        <f>IF(AND(AJ101=$AG$8,AK101=$AB$6),MAX(AG$9:$AG100)+1,"")</f>
        <v/>
      </c>
      <c r="AH101" s="887" t="str">
        <f>IF(AND(AJ101=$AH$8,AK101=$AB$6),MAX(AH$9:$AH100)+1,"")</f>
        <v/>
      </c>
      <c r="AI101" s="920" t="str">
        <f>IF(AND(AJ101=$AI$8,AK101=$AB$6),MAX(AI$9:$AI100)+1,"")</f>
        <v/>
      </c>
      <c r="AJ101" s="887" t="str">
        <f t="shared" si="20"/>
        <v>January</v>
      </c>
      <c r="AK101" s="887">
        <f t="shared" si="21"/>
        <v>1900</v>
      </c>
      <c r="AL101" s="887" t="str">
        <f>'बँक जमा खर्च पासबुक'!B101</f>
        <v/>
      </c>
      <c r="AM101" s="921">
        <f>IFERROR('बँक जमा खर्च पासबुक'!C101,"")</f>
        <v>0</v>
      </c>
      <c r="AN101" s="887">
        <f>'बँक जमा खर्च पासबुक'!D101</f>
        <v>0</v>
      </c>
      <c r="AO101" s="887">
        <f>'बँक जमा खर्च पासबुक'!E101</f>
        <v>0</v>
      </c>
      <c r="AP101" s="887">
        <f>'बँक जमा खर्च पासबुक'!F101</f>
        <v>0</v>
      </c>
      <c r="AQ101" s="887">
        <f>'बँक जमा खर्च पासबुक'!G101</f>
        <v>0</v>
      </c>
      <c r="AR101" s="887">
        <f>'बँक जमा खर्च पासबुक'!H101</f>
        <v>0</v>
      </c>
      <c r="AS101" s="887">
        <f>'बँक जमा खर्च पासबुक'!I101</f>
        <v>0</v>
      </c>
      <c r="AT101" s="887">
        <f>'बँक जमा खर्च पासबुक'!J101</f>
        <v>0</v>
      </c>
      <c r="AU101" s="887">
        <f>'बँक जमा खर्च पासबुक'!K101</f>
        <v>0</v>
      </c>
      <c r="AV101" s="887">
        <f>'बँक जमा खर्च पासबुक'!L101</f>
        <v>0</v>
      </c>
      <c r="AW101" s="887">
        <f>'बँक जमा खर्च पासबुक'!M101</f>
        <v>0</v>
      </c>
      <c r="AX101" s="877"/>
      <c r="AY101" s="877"/>
      <c r="AZ101" s="877"/>
      <c r="BA101" s="877"/>
      <c r="BB101" s="877"/>
      <c r="BC101" s="877"/>
      <c r="BD101" s="877"/>
      <c r="BE101" s="877"/>
      <c r="BF101" s="877"/>
      <c r="BG101" s="877"/>
      <c r="BH101" s="877"/>
    </row>
    <row r="102" spans="22:60" ht="35.25" customHeight="1" x14ac:dyDescent="0.5">
      <c r="V102" s="877"/>
      <c r="W102" s="887" t="str">
        <f t="shared" si="19"/>
        <v>January</v>
      </c>
      <c r="X102" s="887" t="str">
        <f>IF(AND(AJ102=$X$8,AK102=$AA$6),MAX($X$9:X101)+1,"")</f>
        <v/>
      </c>
      <c r="Y102" s="887" t="str">
        <f>IF(AND(AJ102=$Y$8,AK102=$AA$6),MAX($Y$9:Y101)+1,"")</f>
        <v/>
      </c>
      <c r="Z102" s="887" t="str">
        <f>IF(AND(AJ102=$Z$8,AK102=$AA$6),MAX($Z$9:Z101)+1,"")</f>
        <v/>
      </c>
      <c r="AA102" s="887" t="str">
        <f>IF(AND(AJ102=$AA$8,AK102=$AA$6),MAX(AA$9:$AA101)+1,"")</f>
        <v/>
      </c>
      <c r="AB102" s="887" t="str">
        <f>IF(AND(AJ102=$AB$8,AK102=$AA$6),MAX(AB$9:$AB101)+1,"")</f>
        <v/>
      </c>
      <c r="AC102" s="887" t="str">
        <f>IF(AND(AJ102=$AC$8,AK102=$AA$6),MAX(AC$9:$AC101)+1,"")</f>
        <v/>
      </c>
      <c r="AD102" s="887" t="str">
        <f>IF(AND(AJ102=$AD$8,AK102=$AA$6),MAX(AD$9:$AD101)+1,"")</f>
        <v/>
      </c>
      <c r="AE102" s="887" t="str">
        <f>IF(AND(AJ102=$AE$8,AK102=$AA$6),MAX(AE$9:$AE101)+1,"")</f>
        <v/>
      </c>
      <c r="AF102" s="887" t="str">
        <f>IF(AND(AJ102=$AF$8,AK102=$AA$6),MAX(AF$9:$AF101)+1,"")</f>
        <v/>
      </c>
      <c r="AG102" s="887" t="str">
        <f>IF(AND(AJ102=$AG$8,AK102=$AB$6),MAX(AG$9:$AG101)+1,"")</f>
        <v/>
      </c>
      <c r="AH102" s="887" t="str">
        <f>IF(AND(AJ102=$AH$8,AK102=$AB$6),MAX(AH$9:$AH101)+1,"")</f>
        <v/>
      </c>
      <c r="AI102" s="920" t="str">
        <f>IF(AND(AJ102=$AI$8,AK102=$AB$6),MAX(AI$9:$AI101)+1,"")</f>
        <v/>
      </c>
      <c r="AJ102" s="887" t="str">
        <f t="shared" si="20"/>
        <v>January</v>
      </c>
      <c r="AK102" s="887">
        <f t="shared" si="21"/>
        <v>1900</v>
      </c>
      <c r="AL102" s="887" t="str">
        <f>'बँक जमा खर्च पासबुक'!B102</f>
        <v/>
      </c>
      <c r="AM102" s="921">
        <f>IFERROR('बँक जमा खर्च पासबुक'!C102,"")</f>
        <v>0</v>
      </c>
      <c r="AN102" s="887">
        <f>'बँक जमा खर्च पासबुक'!D102</f>
        <v>0</v>
      </c>
      <c r="AO102" s="887">
        <f>'बँक जमा खर्च पासबुक'!E102</f>
        <v>0</v>
      </c>
      <c r="AP102" s="887">
        <f>'बँक जमा खर्च पासबुक'!F102</f>
        <v>0</v>
      </c>
      <c r="AQ102" s="887">
        <f>'बँक जमा खर्च पासबुक'!G102</f>
        <v>0</v>
      </c>
      <c r="AR102" s="887">
        <f>'बँक जमा खर्च पासबुक'!H102</f>
        <v>0</v>
      </c>
      <c r="AS102" s="887">
        <f>'बँक जमा खर्च पासबुक'!I102</f>
        <v>0</v>
      </c>
      <c r="AT102" s="887">
        <f>'बँक जमा खर्च पासबुक'!J102</f>
        <v>0</v>
      </c>
      <c r="AU102" s="887">
        <f>'बँक जमा खर्च पासबुक'!K102</f>
        <v>0</v>
      </c>
      <c r="AV102" s="887">
        <f>'बँक जमा खर्च पासबुक'!L102</f>
        <v>0</v>
      </c>
      <c r="AW102" s="887">
        <f>'बँक जमा खर्च पासबुक'!M102</f>
        <v>0</v>
      </c>
      <c r="AX102" s="877"/>
      <c r="AY102" s="877"/>
      <c r="AZ102" s="877"/>
      <c r="BA102" s="877"/>
      <c r="BB102" s="877"/>
      <c r="BC102" s="877"/>
      <c r="BD102" s="877"/>
      <c r="BE102" s="877"/>
      <c r="BF102" s="877"/>
      <c r="BG102" s="877"/>
      <c r="BH102" s="877"/>
    </row>
    <row r="103" spans="22:60" ht="35.25" customHeight="1" x14ac:dyDescent="0.5">
      <c r="V103" s="877"/>
      <c r="W103" s="887" t="str">
        <f t="shared" si="19"/>
        <v>January</v>
      </c>
      <c r="X103" s="887" t="str">
        <f>IF(AND(AJ103=$X$8,AK103=$AA$6),MAX($X$9:X102)+1,"")</f>
        <v/>
      </c>
      <c r="Y103" s="887" t="str">
        <f>IF(AND(AJ103=$Y$8,AK103=$AA$6),MAX($Y$9:Y102)+1,"")</f>
        <v/>
      </c>
      <c r="Z103" s="887" t="str">
        <f>IF(AND(AJ103=$Z$8,AK103=$AA$6),MAX($Z$9:Z102)+1,"")</f>
        <v/>
      </c>
      <c r="AA103" s="887" t="str">
        <f>IF(AND(AJ103=$AA$8,AK103=$AA$6),MAX(AA$9:$AA102)+1,"")</f>
        <v/>
      </c>
      <c r="AB103" s="887" t="str">
        <f>IF(AND(AJ103=$AB$8,AK103=$AA$6),MAX(AB$9:$AB102)+1,"")</f>
        <v/>
      </c>
      <c r="AC103" s="887" t="str">
        <f>IF(AND(AJ103=$AC$8,AK103=$AA$6),MAX(AC$9:$AC102)+1,"")</f>
        <v/>
      </c>
      <c r="AD103" s="887" t="str">
        <f>IF(AND(AJ103=$AD$8,AK103=$AA$6),MAX(AD$9:$AD102)+1,"")</f>
        <v/>
      </c>
      <c r="AE103" s="887" t="str">
        <f>IF(AND(AJ103=$AE$8,AK103=$AA$6),MAX(AE$9:$AE102)+1,"")</f>
        <v/>
      </c>
      <c r="AF103" s="887" t="str">
        <f>IF(AND(AJ103=$AF$8,AK103=$AA$6),MAX(AF$9:$AF102)+1,"")</f>
        <v/>
      </c>
      <c r="AG103" s="887" t="str">
        <f>IF(AND(AJ103=$AG$8,AK103=$AB$6),MAX(AG$9:$AG102)+1,"")</f>
        <v/>
      </c>
      <c r="AH103" s="887" t="str">
        <f>IF(AND(AJ103=$AH$8,AK103=$AB$6),MAX(AH$9:$AH102)+1,"")</f>
        <v/>
      </c>
      <c r="AI103" s="920" t="str">
        <f>IF(AND(AJ103=$AI$8,AK103=$AB$6),MAX(AI$9:$AI102)+1,"")</f>
        <v/>
      </c>
      <c r="AJ103" s="887" t="str">
        <f t="shared" si="20"/>
        <v>January</v>
      </c>
      <c r="AK103" s="887">
        <f t="shared" si="21"/>
        <v>1900</v>
      </c>
      <c r="AL103" s="887" t="str">
        <f>'बँक जमा खर्च पासबुक'!B103</f>
        <v/>
      </c>
      <c r="AM103" s="921">
        <f>IFERROR('बँक जमा खर्च पासबुक'!C103,"")</f>
        <v>0</v>
      </c>
      <c r="AN103" s="887">
        <f>'बँक जमा खर्च पासबुक'!D103</f>
        <v>0</v>
      </c>
      <c r="AO103" s="887">
        <f>'बँक जमा खर्च पासबुक'!E103</f>
        <v>0</v>
      </c>
      <c r="AP103" s="887">
        <f>'बँक जमा खर्च पासबुक'!F103</f>
        <v>0</v>
      </c>
      <c r="AQ103" s="887">
        <f>'बँक जमा खर्च पासबुक'!G103</f>
        <v>0</v>
      </c>
      <c r="AR103" s="887">
        <f>'बँक जमा खर्च पासबुक'!H103</f>
        <v>0</v>
      </c>
      <c r="AS103" s="887">
        <f>'बँक जमा खर्च पासबुक'!I103</f>
        <v>0</v>
      </c>
      <c r="AT103" s="887">
        <f>'बँक जमा खर्च पासबुक'!J103</f>
        <v>0</v>
      </c>
      <c r="AU103" s="887">
        <f>'बँक जमा खर्च पासबुक'!K103</f>
        <v>0</v>
      </c>
      <c r="AV103" s="887">
        <f>'बँक जमा खर्च पासबुक'!L103</f>
        <v>0</v>
      </c>
      <c r="AW103" s="887">
        <f>'बँक जमा खर्च पासबुक'!M103</f>
        <v>0</v>
      </c>
      <c r="AX103" s="877"/>
      <c r="AY103" s="877"/>
      <c r="AZ103" s="877"/>
      <c r="BA103" s="877"/>
      <c r="BB103" s="877"/>
      <c r="BC103" s="877"/>
      <c r="BD103" s="877"/>
      <c r="BE103" s="877"/>
      <c r="BF103" s="877"/>
      <c r="BG103" s="877"/>
      <c r="BH103" s="877"/>
    </row>
    <row r="104" spans="22:60" ht="35.25" customHeight="1" x14ac:dyDescent="0.5">
      <c r="V104" s="877"/>
      <c r="W104" s="887" t="str">
        <f t="shared" si="19"/>
        <v>January</v>
      </c>
      <c r="X104" s="887" t="str">
        <f>IF(AND(AJ104=$X$8,AK104=$AA$6),MAX($X$9:X103)+1,"")</f>
        <v/>
      </c>
      <c r="Y104" s="887" t="str">
        <f>IF(AND(AJ104=$Y$8,AK104=$AA$6),MAX($Y$9:Y103)+1,"")</f>
        <v/>
      </c>
      <c r="Z104" s="887" t="str">
        <f>IF(AND(AJ104=$Z$8,AK104=$AA$6),MAX($Z$9:Z103)+1,"")</f>
        <v/>
      </c>
      <c r="AA104" s="887" t="str">
        <f>IF(AND(AJ104=$AA$8,AK104=$AA$6),MAX(AA$9:$AA103)+1,"")</f>
        <v/>
      </c>
      <c r="AB104" s="887" t="str">
        <f>IF(AND(AJ104=$AB$8,AK104=$AA$6),MAX(AB$9:$AB103)+1,"")</f>
        <v/>
      </c>
      <c r="AC104" s="887" t="str">
        <f>IF(AND(AJ104=$AC$8,AK104=$AA$6),MAX(AC$9:$AC103)+1,"")</f>
        <v/>
      </c>
      <c r="AD104" s="887" t="str">
        <f>IF(AND(AJ104=$AD$8,AK104=$AA$6),MAX(AD$9:$AD103)+1,"")</f>
        <v/>
      </c>
      <c r="AE104" s="887" t="str">
        <f>IF(AND(AJ104=$AE$8,AK104=$AA$6),MAX(AE$9:$AE103)+1,"")</f>
        <v/>
      </c>
      <c r="AF104" s="887" t="str">
        <f>IF(AND(AJ104=$AF$8,AK104=$AA$6),MAX(AF$9:$AF103)+1,"")</f>
        <v/>
      </c>
      <c r="AG104" s="887" t="str">
        <f>IF(AND(AJ104=$AG$8,AK104=$AB$6),MAX(AG$9:$AG103)+1,"")</f>
        <v/>
      </c>
      <c r="AH104" s="887" t="str">
        <f>IF(AND(AJ104=$AH$8,AK104=$AB$6),MAX(AH$9:$AH103)+1,"")</f>
        <v/>
      </c>
      <c r="AI104" s="920" t="str">
        <f>IF(AND(AJ104=$AI$8,AK104=$AB$6),MAX(AI$9:$AI103)+1,"")</f>
        <v/>
      </c>
      <c r="AJ104" s="887" t="str">
        <f t="shared" si="20"/>
        <v>January</v>
      </c>
      <c r="AK104" s="887">
        <f t="shared" si="21"/>
        <v>1900</v>
      </c>
      <c r="AL104" s="887" t="str">
        <f>'बँक जमा खर्च पासबुक'!B104</f>
        <v/>
      </c>
      <c r="AM104" s="921">
        <f>IFERROR('बँक जमा खर्च पासबुक'!C104,"")</f>
        <v>0</v>
      </c>
      <c r="AN104" s="887">
        <f>'बँक जमा खर्च पासबुक'!D104</f>
        <v>0</v>
      </c>
      <c r="AO104" s="887">
        <f>'बँक जमा खर्च पासबुक'!E104</f>
        <v>0</v>
      </c>
      <c r="AP104" s="887">
        <f>'बँक जमा खर्च पासबुक'!F104</f>
        <v>0</v>
      </c>
      <c r="AQ104" s="887">
        <f>'बँक जमा खर्च पासबुक'!G104</f>
        <v>0</v>
      </c>
      <c r="AR104" s="887">
        <f>'बँक जमा खर्च पासबुक'!H104</f>
        <v>0</v>
      </c>
      <c r="AS104" s="887">
        <f>'बँक जमा खर्च पासबुक'!I104</f>
        <v>0</v>
      </c>
      <c r="AT104" s="887">
        <f>'बँक जमा खर्च पासबुक'!J104</f>
        <v>0</v>
      </c>
      <c r="AU104" s="887">
        <f>'बँक जमा खर्च पासबुक'!K104</f>
        <v>0</v>
      </c>
      <c r="AV104" s="887">
        <f>'बँक जमा खर्च पासबुक'!L104</f>
        <v>0</v>
      </c>
      <c r="AW104" s="887">
        <f>'बँक जमा खर्च पासबुक'!M104</f>
        <v>0</v>
      </c>
      <c r="AX104" s="877"/>
      <c r="AY104" s="877"/>
      <c r="AZ104" s="877"/>
      <c r="BA104" s="877"/>
      <c r="BB104" s="877"/>
      <c r="BC104" s="877"/>
      <c r="BD104" s="877"/>
      <c r="BE104" s="877"/>
      <c r="BF104" s="877"/>
      <c r="BG104" s="877"/>
      <c r="BH104" s="877"/>
    </row>
    <row r="105" spans="22:60" ht="35.25" customHeight="1" x14ac:dyDescent="0.5">
      <c r="V105" s="877"/>
      <c r="W105" s="887" t="str">
        <f t="shared" si="19"/>
        <v>January</v>
      </c>
      <c r="X105" s="887" t="str">
        <f>IF(AND(AJ105=$X$8,AK105=$AA$6),MAX($X$9:X104)+1,"")</f>
        <v/>
      </c>
      <c r="Y105" s="887" t="str">
        <f>IF(AND(AJ105=$Y$8,AK105=$AA$6),MAX($Y$9:Y104)+1,"")</f>
        <v/>
      </c>
      <c r="Z105" s="887" t="str">
        <f>IF(AND(AJ105=$Z$8,AK105=$AA$6),MAX($Z$9:Z104)+1,"")</f>
        <v/>
      </c>
      <c r="AA105" s="887" t="str">
        <f>IF(AND(AJ105=$AA$8,AK105=$AA$6),MAX(AA$9:$AA104)+1,"")</f>
        <v/>
      </c>
      <c r="AB105" s="887" t="str">
        <f>IF(AND(AJ105=$AB$8,AK105=$AA$6),MAX(AB$9:$AB104)+1,"")</f>
        <v/>
      </c>
      <c r="AC105" s="887" t="str">
        <f>IF(AND(AJ105=$AC$8,AK105=$AA$6),MAX(AC$9:$AC104)+1,"")</f>
        <v/>
      </c>
      <c r="AD105" s="887" t="str">
        <f>IF(AND(AJ105=$AD$8,AK105=$AA$6),MAX(AD$9:$AD104)+1,"")</f>
        <v/>
      </c>
      <c r="AE105" s="887" t="str">
        <f>IF(AND(AJ105=$AE$8,AK105=$AA$6),MAX(AE$9:$AE104)+1,"")</f>
        <v/>
      </c>
      <c r="AF105" s="887" t="str">
        <f>IF(AND(AJ105=$AF$8,AK105=$AA$6),MAX(AF$9:$AF104)+1,"")</f>
        <v/>
      </c>
      <c r="AG105" s="887" t="str">
        <f>IF(AND(AJ105=$AG$8,AK105=$AB$6),MAX(AG$9:$AG104)+1,"")</f>
        <v/>
      </c>
      <c r="AH105" s="887" t="str">
        <f>IF(AND(AJ105=$AH$8,AK105=$AB$6),MAX(AH$9:$AH104)+1,"")</f>
        <v/>
      </c>
      <c r="AI105" s="920" t="str">
        <f>IF(AND(AJ105=$AI$8,AK105=$AB$6),MAX(AI$9:$AI104)+1,"")</f>
        <v/>
      </c>
      <c r="AJ105" s="887" t="str">
        <f t="shared" si="20"/>
        <v>January</v>
      </c>
      <c r="AK105" s="887">
        <f t="shared" si="21"/>
        <v>1900</v>
      </c>
      <c r="AL105" s="887" t="str">
        <f>'बँक जमा खर्च पासबुक'!B105</f>
        <v/>
      </c>
      <c r="AM105" s="921">
        <f>IFERROR('बँक जमा खर्च पासबुक'!C105,"")</f>
        <v>0</v>
      </c>
      <c r="AN105" s="887">
        <f>'बँक जमा खर्च पासबुक'!D105</f>
        <v>0</v>
      </c>
      <c r="AO105" s="887">
        <f>'बँक जमा खर्च पासबुक'!E105</f>
        <v>0</v>
      </c>
      <c r="AP105" s="887">
        <f>'बँक जमा खर्च पासबुक'!F105</f>
        <v>0</v>
      </c>
      <c r="AQ105" s="887">
        <f>'बँक जमा खर्च पासबुक'!G105</f>
        <v>0</v>
      </c>
      <c r="AR105" s="887">
        <f>'बँक जमा खर्च पासबुक'!H105</f>
        <v>0</v>
      </c>
      <c r="AS105" s="887">
        <f>'बँक जमा खर्च पासबुक'!I105</f>
        <v>0</v>
      </c>
      <c r="AT105" s="887">
        <f>'बँक जमा खर्च पासबुक'!J105</f>
        <v>0</v>
      </c>
      <c r="AU105" s="887">
        <f>'बँक जमा खर्च पासबुक'!K105</f>
        <v>0</v>
      </c>
      <c r="AV105" s="887">
        <f>'बँक जमा खर्च पासबुक'!L105</f>
        <v>0</v>
      </c>
      <c r="AW105" s="887">
        <f>'बँक जमा खर्च पासबुक'!M105</f>
        <v>0</v>
      </c>
      <c r="AX105" s="877"/>
      <c r="AY105" s="877"/>
      <c r="AZ105" s="877"/>
      <c r="BA105" s="877"/>
      <c r="BB105" s="877"/>
      <c r="BC105" s="877"/>
      <c r="BD105" s="877"/>
      <c r="BE105" s="877"/>
      <c r="BF105" s="877"/>
      <c r="BG105" s="877"/>
      <c r="BH105" s="877"/>
    </row>
    <row r="106" spans="22:60" ht="35.25" customHeight="1" x14ac:dyDescent="0.5">
      <c r="V106" s="877"/>
      <c r="W106" s="887" t="str">
        <f t="shared" si="19"/>
        <v>January</v>
      </c>
      <c r="X106" s="887" t="str">
        <f>IF(AND(AJ106=$X$8,AK106=$AA$6),MAX($X$9:X105)+1,"")</f>
        <v/>
      </c>
      <c r="Y106" s="887" t="str">
        <f>IF(AND(AJ106=$Y$8,AK106=$AA$6),MAX($Y$9:Y105)+1,"")</f>
        <v/>
      </c>
      <c r="Z106" s="887" t="str">
        <f>IF(AND(AJ106=$Z$8,AK106=$AA$6),MAX($Z$9:Z105)+1,"")</f>
        <v/>
      </c>
      <c r="AA106" s="887" t="str">
        <f>IF(AND(AJ106=$AA$8,AK106=$AA$6),MAX(AA$9:$AA105)+1,"")</f>
        <v/>
      </c>
      <c r="AB106" s="887" t="str">
        <f>IF(AND(AJ106=$AB$8,AK106=$AA$6),MAX(AB$9:$AB105)+1,"")</f>
        <v/>
      </c>
      <c r="AC106" s="887" t="str">
        <f>IF(AND(AJ106=$AC$8,AK106=$AA$6),MAX(AC$9:$AC105)+1,"")</f>
        <v/>
      </c>
      <c r="AD106" s="887" t="str">
        <f>IF(AND(AJ106=$AD$8,AK106=$AA$6),MAX(AD$9:$AD105)+1,"")</f>
        <v/>
      </c>
      <c r="AE106" s="887" t="str">
        <f>IF(AND(AJ106=$AE$8,AK106=$AA$6),MAX(AE$9:$AE105)+1,"")</f>
        <v/>
      </c>
      <c r="AF106" s="887" t="str">
        <f>IF(AND(AJ106=$AF$8,AK106=$AA$6),MAX(AF$9:$AF105)+1,"")</f>
        <v/>
      </c>
      <c r="AG106" s="887" t="str">
        <f>IF(AND(AJ106=$AG$8,AK106=$AB$6),MAX(AG$9:$AG105)+1,"")</f>
        <v/>
      </c>
      <c r="AH106" s="887" t="str">
        <f>IF(AND(AJ106=$AH$8,AK106=$AB$6),MAX(AH$9:$AH105)+1,"")</f>
        <v/>
      </c>
      <c r="AI106" s="920" t="str">
        <f>IF(AND(AJ106=$AI$8,AK106=$AB$6),MAX(AI$9:$AI105)+1,"")</f>
        <v/>
      </c>
      <c r="AJ106" s="887" t="str">
        <f t="shared" si="20"/>
        <v>January</v>
      </c>
      <c r="AK106" s="887">
        <f t="shared" si="21"/>
        <v>1900</v>
      </c>
      <c r="AL106" s="887" t="str">
        <f>'बँक जमा खर्च पासबुक'!B106</f>
        <v/>
      </c>
      <c r="AM106" s="921">
        <f>IFERROR('बँक जमा खर्च पासबुक'!C106,"")</f>
        <v>0</v>
      </c>
      <c r="AN106" s="887">
        <f>'बँक जमा खर्च पासबुक'!D106</f>
        <v>0</v>
      </c>
      <c r="AO106" s="887">
        <f>'बँक जमा खर्च पासबुक'!E106</f>
        <v>0</v>
      </c>
      <c r="AP106" s="887">
        <f>'बँक जमा खर्च पासबुक'!F106</f>
        <v>0</v>
      </c>
      <c r="AQ106" s="887">
        <f>'बँक जमा खर्च पासबुक'!G106</f>
        <v>0</v>
      </c>
      <c r="AR106" s="887">
        <f>'बँक जमा खर्च पासबुक'!H106</f>
        <v>0</v>
      </c>
      <c r="AS106" s="887">
        <f>'बँक जमा खर्च पासबुक'!I106</f>
        <v>0</v>
      </c>
      <c r="AT106" s="887">
        <f>'बँक जमा खर्च पासबुक'!J106</f>
        <v>0</v>
      </c>
      <c r="AU106" s="887">
        <f>'बँक जमा खर्च पासबुक'!K106</f>
        <v>0</v>
      </c>
      <c r="AV106" s="887">
        <f>'बँक जमा खर्च पासबुक'!L106</f>
        <v>0</v>
      </c>
      <c r="AW106" s="887">
        <f>'बँक जमा खर्च पासबुक'!M106</f>
        <v>0</v>
      </c>
      <c r="AX106" s="877"/>
      <c r="AY106" s="877"/>
      <c r="AZ106" s="877"/>
      <c r="BA106" s="877"/>
      <c r="BB106" s="877"/>
      <c r="BC106" s="877"/>
      <c r="BD106" s="877"/>
      <c r="BE106" s="877"/>
      <c r="BF106" s="877"/>
      <c r="BG106" s="877"/>
      <c r="BH106" s="877"/>
    </row>
    <row r="107" spans="22:60" ht="35.25" customHeight="1" x14ac:dyDescent="0.5">
      <c r="V107" s="877"/>
      <c r="W107" s="887" t="str">
        <f t="shared" si="19"/>
        <v>January</v>
      </c>
      <c r="X107" s="887" t="str">
        <f>IF(AND(AJ107=$X$8,AK107=$AA$6),MAX($X$9:X106)+1,"")</f>
        <v/>
      </c>
      <c r="Y107" s="887" t="str">
        <f>IF(AND(AJ107=$Y$8,AK107=$AA$6),MAX($Y$9:Y106)+1,"")</f>
        <v/>
      </c>
      <c r="Z107" s="887" t="str">
        <f>IF(AND(AJ107=$Z$8,AK107=$AA$6),MAX($Z$9:Z106)+1,"")</f>
        <v/>
      </c>
      <c r="AA107" s="887" t="str">
        <f>IF(AND(AJ107=$AA$8,AK107=$AA$6),MAX(AA$9:$AA106)+1,"")</f>
        <v/>
      </c>
      <c r="AB107" s="887" t="str">
        <f>IF(AND(AJ107=$AB$8,AK107=$AA$6),MAX(AB$9:$AB106)+1,"")</f>
        <v/>
      </c>
      <c r="AC107" s="887" t="str">
        <f>IF(AND(AJ107=$AC$8,AK107=$AA$6),MAX(AC$9:$AC106)+1,"")</f>
        <v/>
      </c>
      <c r="AD107" s="887" t="str">
        <f>IF(AND(AJ107=$AD$8,AK107=$AA$6),MAX(AD$9:$AD106)+1,"")</f>
        <v/>
      </c>
      <c r="AE107" s="887" t="str">
        <f>IF(AND(AJ107=$AE$8,AK107=$AA$6),MAX(AE$9:$AE106)+1,"")</f>
        <v/>
      </c>
      <c r="AF107" s="887" t="str">
        <f>IF(AND(AJ107=$AF$8,AK107=$AA$6),MAX(AF$9:$AF106)+1,"")</f>
        <v/>
      </c>
      <c r="AG107" s="887" t="str">
        <f>IF(AND(AJ107=$AG$8,AK107=$AB$6),MAX(AG$9:$AG106)+1,"")</f>
        <v/>
      </c>
      <c r="AH107" s="887" t="str">
        <f>IF(AND(AJ107=$AH$8,AK107=$AB$6),MAX(AH$9:$AH106)+1,"")</f>
        <v/>
      </c>
      <c r="AI107" s="920" t="str">
        <f>IF(AND(AJ107=$AI$8,AK107=$AB$6),MAX(AI$9:$AI106)+1,"")</f>
        <v/>
      </c>
      <c r="AJ107" s="887" t="str">
        <f t="shared" si="20"/>
        <v>January</v>
      </c>
      <c r="AK107" s="887">
        <f t="shared" si="21"/>
        <v>1900</v>
      </c>
      <c r="AL107" s="887" t="str">
        <f>'बँक जमा खर्च पासबुक'!B107</f>
        <v/>
      </c>
      <c r="AM107" s="921">
        <f>IFERROR('बँक जमा खर्च पासबुक'!C107,"")</f>
        <v>0</v>
      </c>
      <c r="AN107" s="887">
        <f>'बँक जमा खर्च पासबुक'!D107</f>
        <v>0</v>
      </c>
      <c r="AO107" s="887">
        <f>'बँक जमा खर्च पासबुक'!E107</f>
        <v>0</v>
      </c>
      <c r="AP107" s="887">
        <f>'बँक जमा खर्च पासबुक'!F107</f>
        <v>0</v>
      </c>
      <c r="AQ107" s="887">
        <f>'बँक जमा खर्च पासबुक'!G107</f>
        <v>0</v>
      </c>
      <c r="AR107" s="887">
        <f>'बँक जमा खर्च पासबुक'!H107</f>
        <v>0</v>
      </c>
      <c r="AS107" s="887">
        <f>'बँक जमा खर्च पासबुक'!I107</f>
        <v>0</v>
      </c>
      <c r="AT107" s="887">
        <f>'बँक जमा खर्च पासबुक'!J107</f>
        <v>0</v>
      </c>
      <c r="AU107" s="887">
        <f>'बँक जमा खर्च पासबुक'!K107</f>
        <v>0</v>
      </c>
      <c r="AV107" s="887">
        <f>'बँक जमा खर्च पासबुक'!L107</f>
        <v>0</v>
      </c>
      <c r="AW107" s="887">
        <f>'बँक जमा खर्च पासबुक'!M107</f>
        <v>0</v>
      </c>
      <c r="AX107" s="877"/>
      <c r="AY107" s="877"/>
      <c r="AZ107" s="877"/>
      <c r="BA107" s="877"/>
      <c r="BB107" s="877"/>
      <c r="BC107" s="877"/>
      <c r="BD107" s="877"/>
      <c r="BE107" s="877"/>
      <c r="BF107" s="877"/>
      <c r="BG107" s="877"/>
      <c r="BH107" s="877"/>
    </row>
    <row r="108" spans="22:60" ht="35.25" customHeight="1" x14ac:dyDescent="0.5">
      <c r="V108" s="877"/>
      <c r="W108" s="887" t="str">
        <f t="shared" si="19"/>
        <v>January</v>
      </c>
      <c r="X108" s="887" t="str">
        <f>IF(AND(AJ108=$X$8,AK108=$AA$6),MAX($X$9:X107)+1,"")</f>
        <v/>
      </c>
      <c r="Y108" s="887" t="str">
        <f>IF(AND(AJ108=$Y$8,AK108=$AA$6),MAX($Y$9:Y107)+1,"")</f>
        <v/>
      </c>
      <c r="Z108" s="887" t="str">
        <f>IF(AND(AJ108=$Z$8,AK108=$AA$6),MAX($Z$9:Z107)+1,"")</f>
        <v/>
      </c>
      <c r="AA108" s="887" t="str">
        <f>IF(AND(AJ108=$AA$8,AK108=$AA$6),MAX(AA$9:$AA107)+1,"")</f>
        <v/>
      </c>
      <c r="AB108" s="887" t="str">
        <f>IF(AND(AJ108=$AB$8,AK108=$AA$6),MAX(AB$9:$AB107)+1,"")</f>
        <v/>
      </c>
      <c r="AC108" s="887" t="str">
        <f>IF(AND(AJ108=$AC$8,AK108=$AA$6),MAX(AC$9:$AC107)+1,"")</f>
        <v/>
      </c>
      <c r="AD108" s="887" t="str">
        <f>IF(AND(AJ108=$AD$8,AK108=$AA$6),MAX(AD$9:$AD107)+1,"")</f>
        <v/>
      </c>
      <c r="AE108" s="887" t="str">
        <f>IF(AND(AJ108=$AE$8,AK108=$AA$6),MAX(AE$9:$AE107)+1,"")</f>
        <v/>
      </c>
      <c r="AF108" s="887" t="str">
        <f>IF(AND(AJ108=$AF$8,AK108=$AA$6),MAX(AF$9:$AF107)+1,"")</f>
        <v/>
      </c>
      <c r="AG108" s="887" t="str">
        <f>IF(AND(AJ108=$AG$8,AK108=$AB$6),MAX(AG$9:$AG107)+1,"")</f>
        <v/>
      </c>
      <c r="AH108" s="887" t="str">
        <f>IF(AND(AJ108=$AH$8,AK108=$AB$6),MAX(AH$9:$AH107)+1,"")</f>
        <v/>
      </c>
      <c r="AI108" s="920" t="str">
        <f>IF(AND(AJ108=$AI$8,AK108=$AB$6),MAX(AI$9:$AI107)+1,"")</f>
        <v/>
      </c>
      <c r="AJ108" s="887" t="str">
        <f t="shared" si="20"/>
        <v>January</v>
      </c>
      <c r="AK108" s="887">
        <f t="shared" si="21"/>
        <v>1900</v>
      </c>
      <c r="AL108" s="887" t="str">
        <f>'बँक जमा खर्च पासबुक'!B108</f>
        <v/>
      </c>
      <c r="AM108" s="921">
        <f>IFERROR('बँक जमा खर्च पासबुक'!C108,"")</f>
        <v>0</v>
      </c>
      <c r="AN108" s="887">
        <f>'बँक जमा खर्च पासबुक'!D108</f>
        <v>0</v>
      </c>
      <c r="AO108" s="887">
        <f>'बँक जमा खर्च पासबुक'!E108</f>
        <v>0</v>
      </c>
      <c r="AP108" s="887">
        <f>'बँक जमा खर्च पासबुक'!F108</f>
        <v>0</v>
      </c>
      <c r="AQ108" s="887">
        <f>'बँक जमा खर्च पासबुक'!G108</f>
        <v>0</v>
      </c>
      <c r="AR108" s="887">
        <f>'बँक जमा खर्च पासबुक'!H108</f>
        <v>0</v>
      </c>
      <c r="AS108" s="887">
        <f>'बँक जमा खर्च पासबुक'!I108</f>
        <v>0</v>
      </c>
      <c r="AT108" s="887">
        <f>'बँक जमा खर्च पासबुक'!J108</f>
        <v>0</v>
      </c>
      <c r="AU108" s="887">
        <f>'बँक जमा खर्च पासबुक'!K108</f>
        <v>0</v>
      </c>
      <c r="AV108" s="887">
        <f>'बँक जमा खर्च पासबुक'!L108</f>
        <v>0</v>
      </c>
      <c r="AW108" s="887">
        <f>'बँक जमा खर्च पासबुक'!M108</f>
        <v>0</v>
      </c>
      <c r="AX108" s="877"/>
      <c r="AY108" s="877"/>
      <c r="AZ108" s="877"/>
      <c r="BA108" s="877"/>
      <c r="BB108" s="877"/>
      <c r="BC108" s="877"/>
      <c r="BD108" s="877"/>
      <c r="BE108" s="877"/>
      <c r="BF108" s="877"/>
      <c r="BG108" s="877"/>
      <c r="BH108" s="877"/>
    </row>
    <row r="109" spans="22:60" ht="35.25" customHeight="1" x14ac:dyDescent="0.5">
      <c r="V109" s="877"/>
      <c r="W109" s="887" t="str">
        <f t="shared" si="19"/>
        <v>January</v>
      </c>
      <c r="X109" s="887" t="str">
        <f>IF(AND(AJ109=$X$8,AK109=$AA$6),MAX($X$9:X108)+1,"")</f>
        <v/>
      </c>
      <c r="Y109" s="887" t="str">
        <f>IF(AND(AJ109=$Y$8,AK109=$AA$6),MAX($Y$9:Y108)+1,"")</f>
        <v/>
      </c>
      <c r="Z109" s="887" t="str">
        <f>IF(AND(AJ109=$Z$8,AK109=$AA$6),MAX($Z$9:Z108)+1,"")</f>
        <v/>
      </c>
      <c r="AA109" s="887" t="str">
        <f>IF(AND(AJ109=$AA$8,AK109=$AA$6),MAX(AA$9:$AA108)+1,"")</f>
        <v/>
      </c>
      <c r="AB109" s="887" t="str">
        <f>IF(AND(AJ109=$AB$8,AK109=$AA$6),MAX(AB$9:$AB108)+1,"")</f>
        <v/>
      </c>
      <c r="AC109" s="887" t="str">
        <f>IF(AND(AJ109=$AC$8,AK109=$AA$6),MAX(AC$9:$AC108)+1,"")</f>
        <v/>
      </c>
      <c r="AD109" s="887" t="str">
        <f>IF(AND(AJ109=$AD$8,AK109=$AA$6),MAX(AD$9:$AD108)+1,"")</f>
        <v/>
      </c>
      <c r="AE109" s="887" t="str">
        <f>IF(AND(AJ109=$AE$8,AK109=$AA$6),MAX(AE$9:$AE108)+1,"")</f>
        <v/>
      </c>
      <c r="AF109" s="887" t="str">
        <f>IF(AND(AJ109=$AF$8,AK109=$AA$6),MAX(AF$9:$AF108)+1,"")</f>
        <v/>
      </c>
      <c r="AG109" s="887" t="str">
        <f>IF(AND(AJ109=$AG$8,AK109=$AB$6),MAX(AG$9:$AG108)+1,"")</f>
        <v/>
      </c>
      <c r="AH109" s="887" t="str">
        <f>IF(AND(AJ109=$AH$8,AK109=$AB$6),MAX(AH$9:$AH108)+1,"")</f>
        <v/>
      </c>
      <c r="AI109" s="920" t="str">
        <f>IF(AND(AJ109=$AI$8,AK109=$AB$6),MAX(AI$9:$AI108)+1,"")</f>
        <v/>
      </c>
      <c r="AJ109" s="887" t="str">
        <f t="shared" si="20"/>
        <v>January</v>
      </c>
      <c r="AK109" s="887">
        <f t="shared" si="21"/>
        <v>1900</v>
      </c>
      <c r="AL109" s="887" t="str">
        <f>'बँक जमा खर्च पासबुक'!B109</f>
        <v/>
      </c>
      <c r="AM109" s="921">
        <f>IFERROR('बँक जमा खर्च पासबुक'!C109,"")</f>
        <v>0</v>
      </c>
      <c r="AN109" s="887">
        <f>'बँक जमा खर्च पासबुक'!D109</f>
        <v>0</v>
      </c>
      <c r="AO109" s="887">
        <f>'बँक जमा खर्च पासबुक'!E109</f>
        <v>0</v>
      </c>
      <c r="AP109" s="887">
        <f>'बँक जमा खर्च पासबुक'!F109</f>
        <v>0</v>
      </c>
      <c r="AQ109" s="887">
        <f>'बँक जमा खर्च पासबुक'!G109</f>
        <v>0</v>
      </c>
      <c r="AR109" s="887">
        <f>'बँक जमा खर्च पासबुक'!H109</f>
        <v>0</v>
      </c>
      <c r="AS109" s="887">
        <f>'बँक जमा खर्च पासबुक'!I109</f>
        <v>0</v>
      </c>
      <c r="AT109" s="887">
        <f>'बँक जमा खर्च पासबुक'!J109</f>
        <v>0</v>
      </c>
      <c r="AU109" s="887">
        <f>'बँक जमा खर्च पासबुक'!K109</f>
        <v>0</v>
      </c>
      <c r="AV109" s="887">
        <f>'बँक जमा खर्च पासबुक'!L109</f>
        <v>0</v>
      </c>
      <c r="AW109" s="887">
        <f>'बँक जमा खर्च पासबुक'!M109</f>
        <v>0</v>
      </c>
      <c r="AX109" s="877"/>
      <c r="AY109" s="877"/>
      <c r="AZ109" s="877"/>
      <c r="BA109" s="877"/>
      <c r="BB109" s="877"/>
      <c r="BC109" s="877"/>
      <c r="BD109" s="877"/>
      <c r="BE109" s="877"/>
      <c r="BF109" s="877"/>
      <c r="BG109" s="877"/>
      <c r="BH109" s="877"/>
    </row>
    <row r="110" spans="22:60" ht="35.25" customHeight="1" x14ac:dyDescent="0.5">
      <c r="V110" s="877"/>
      <c r="W110" s="887" t="str">
        <f t="shared" si="19"/>
        <v>January</v>
      </c>
      <c r="X110" s="887" t="str">
        <f>IF(AND(AJ110=$X$8,AK110=$AA$6),MAX($X$9:X109)+1,"")</f>
        <v/>
      </c>
      <c r="Y110" s="887" t="str">
        <f>IF(AND(AJ110=$Y$8,AK110=$AA$6),MAX($Y$9:Y109)+1,"")</f>
        <v/>
      </c>
      <c r="Z110" s="887" t="str">
        <f>IF(AND(AJ110=$Z$8,AK110=$AA$6),MAX($Z$9:Z109)+1,"")</f>
        <v/>
      </c>
      <c r="AA110" s="887" t="str">
        <f>IF(AND(AJ110=$AA$8,AK110=$AA$6),MAX(AA$9:$AA109)+1,"")</f>
        <v/>
      </c>
      <c r="AB110" s="887" t="str">
        <f>IF(AND(AJ110=$AB$8,AK110=$AA$6),MAX(AB$9:$AB109)+1,"")</f>
        <v/>
      </c>
      <c r="AC110" s="887" t="str">
        <f>IF(AND(AJ110=$AC$8,AK110=$AA$6),MAX(AC$9:$AC109)+1,"")</f>
        <v/>
      </c>
      <c r="AD110" s="887" t="str">
        <f>IF(AND(AJ110=$AD$8,AK110=$AA$6),MAX(AD$9:$AD109)+1,"")</f>
        <v/>
      </c>
      <c r="AE110" s="887" t="str">
        <f>IF(AND(AJ110=$AE$8,AK110=$AA$6),MAX(AE$9:$AE109)+1,"")</f>
        <v/>
      </c>
      <c r="AF110" s="887" t="str">
        <f>IF(AND(AJ110=$AF$8,AK110=$AA$6),MAX(AF$9:$AF109)+1,"")</f>
        <v/>
      </c>
      <c r="AG110" s="887" t="str">
        <f>IF(AND(AJ110=$AG$8,AK110=$AB$6),MAX(AG$9:$AG109)+1,"")</f>
        <v/>
      </c>
      <c r="AH110" s="887" t="str">
        <f>IF(AND(AJ110=$AH$8,AK110=$AB$6),MAX(AH$9:$AH109)+1,"")</f>
        <v/>
      </c>
      <c r="AI110" s="920" t="str">
        <f>IF(AND(AJ110=$AI$8,AK110=$AB$6),MAX(AI$9:$AI109)+1,"")</f>
        <v/>
      </c>
      <c r="AJ110" s="887" t="str">
        <f t="shared" si="20"/>
        <v>January</v>
      </c>
      <c r="AK110" s="887">
        <f t="shared" si="21"/>
        <v>1900</v>
      </c>
      <c r="AL110" s="887" t="str">
        <f>'बँक जमा खर्च पासबुक'!B110</f>
        <v/>
      </c>
      <c r="AM110" s="921">
        <f>IFERROR('बँक जमा खर्च पासबुक'!C110,"")</f>
        <v>0</v>
      </c>
      <c r="AN110" s="887">
        <f>'बँक जमा खर्च पासबुक'!D110</f>
        <v>0</v>
      </c>
      <c r="AO110" s="887">
        <f>'बँक जमा खर्च पासबुक'!E110</f>
        <v>0</v>
      </c>
      <c r="AP110" s="887">
        <f>'बँक जमा खर्च पासबुक'!F110</f>
        <v>0</v>
      </c>
      <c r="AQ110" s="887">
        <f>'बँक जमा खर्च पासबुक'!G110</f>
        <v>0</v>
      </c>
      <c r="AR110" s="887">
        <f>'बँक जमा खर्च पासबुक'!H110</f>
        <v>0</v>
      </c>
      <c r="AS110" s="887">
        <f>'बँक जमा खर्च पासबुक'!I110</f>
        <v>0</v>
      </c>
      <c r="AT110" s="887">
        <f>'बँक जमा खर्च पासबुक'!J110</f>
        <v>0</v>
      </c>
      <c r="AU110" s="887">
        <f>'बँक जमा खर्च पासबुक'!K110</f>
        <v>0</v>
      </c>
      <c r="AV110" s="887">
        <f>'बँक जमा खर्च पासबुक'!L110</f>
        <v>0</v>
      </c>
      <c r="AW110" s="887">
        <f>'बँक जमा खर्च पासबुक'!M110</f>
        <v>0</v>
      </c>
      <c r="AX110" s="877"/>
      <c r="AY110" s="877"/>
      <c r="AZ110" s="877"/>
      <c r="BA110" s="877"/>
      <c r="BB110" s="877"/>
      <c r="BC110" s="877"/>
      <c r="BD110" s="877"/>
      <c r="BE110" s="877"/>
      <c r="BF110" s="877"/>
      <c r="BG110" s="877"/>
      <c r="BH110" s="877"/>
    </row>
    <row r="111" spans="22:60" ht="35.25" customHeight="1" x14ac:dyDescent="0.5">
      <c r="V111" s="877"/>
      <c r="W111" s="887" t="str">
        <f t="shared" si="19"/>
        <v>January</v>
      </c>
      <c r="X111" s="887" t="str">
        <f>IF(AND(AJ111=$X$8,AK111=$AA$6),MAX($X$9:X110)+1,"")</f>
        <v/>
      </c>
      <c r="Y111" s="887" t="str">
        <f>IF(AND(AJ111=$Y$8,AK111=$AA$6),MAX($Y$9:Y110)+1,"")</f>
        <v/>
      </c>
      <c r="Z111" s="887" t="str">
        <f>IF(AND(AJ111=$Z$8,AK111=$AA$6),MAX($Z$9:Z110)+1,"")</f>
        <v/>
      </c>
      <c r="AA111" s="887" t="str">
        <f>IF(AND(AJ111=$AA$8,AK111=$AA$6),MAX(AA$9:$AA110)+1,"")</f>
        <v/>
      </c>
      <c r="AB111" s="887" t="str">
        <f>IF(AND(AJ111=$AB$8,AK111=$AA$6),MAX(AB$9:$AB110)+1,"")</f>
        <v/>
      </c>
      <c r="AC111" s="887" t="str">
        <f>IF(AND(AJ111=$AC$8,AK111=$AA$6),MAX(AC$9:$AC110)+1,"")</f>
        <v/>
      </c>
      <c r="AD111" s="887" t="str">
        <f>IF(AND(AJ111=$AD$8,AK111=$AA$6),MAX(AD$9:$AD110)+1,"")</f>
        <v/>
      </c>
      <c r="AE111" s="887" t="str">
        <f>IF(AND(AJ111=$AE$8,AK111=$AA$6),MAX(AE$9:$AE110)+1,"")</f>
        <v/>
      </c>
      <c r="AF111" s="887" t="str">
        <f>IF(AND(AJ111=$AF$8,AK111=$AA$6),MAX(AF$9:$AF110)+1,"")</f>
        <v/>
      </c>
      <c r="AG111" s="887" t="str">
        <f>IF(AND(AJ111=$AG$8,AK111=$AB$6),MAX(AG$9:$AG110)+1,"")</f>
        <v/>
      </c>
      <c r="AH111" s="887" t="str">
        <f>IF(AND(AJ111=$AH$8,AK111=$AB$6),MAX(AH$9:$AH110)+1,"")</f>
        <v/>
      </c>
      <c r="AI111" s="920" t="str">
        <f>IF(AND(AJ111=$AI$8,AK111=$AB$6),MAX(AI$9:$AI110)+1,"")</f>
        <v/>
      </c>
      <c r="AJ111" s="887" t="str">
        <f t="shared" si="20"/>
        <v>January</v>
      </c>
      <c r="AK111" s="887">
        <f t="shared" si="21"/>
        <v>1900</v>
      </c>
      <c r="AL111" s="887" t="str">
        <f>'बँक जमा खर्च पासबुक'!B111</f>
        <v/>
      </c>
      <c r="AM111" s="921">
        <f>IFERROR('बँक जमा खर्च पासबुक'!C111,"")</f>
        <v>0</v>
      </c>
      <c r="AN111" s="887">
        <f>'बँक जमा खर्च पासबुक'!D111</f>
        <v>0</v>
      </c>
      <c r="AO111" s="887">
        <f>'बँक जमा खर्च पासबुक'!E111</f>
        <v>0</v>
      </c>
      <c r="AP111" s="887" t="str">
        <f>'बँक जमा खर्च पासबुक'!F111</f>
        <v>एकूण</v>
      </c>
      <c r="AQ111" s="887">
        <f>'बँक जमा खर्च पासबुक'!G111</f>
        <v>0</v>
      </c>
      <c r="AR111" s="887">
        <f>'बँक जमा खर्च पासबुक'!H111</f>
        <v>0</v>
      </c>
      <c r="AS111" s="887">
        <f>'बँक जमा खर्च पासबुक'!I111</f>
        <v>0</v>
      </c>
      <c r="AT111" s="887">
        <f>SUM(AT9:AT110)</f>
        <v>3000</v>
      </c>
      <c r="AU111" s="887">
        <f>SUM(AU9:AU110)</f>
        <v>3000</v>
      </c>
      <c r="AV111" s="887">
        <f>SUM(AV9:AV110)</f>
        <v>0</v>
      </c>
      <c r="AW111" s="887">
        <f>SUM(AW9:AW110)</f>
        <v>0</v>
      </c>
      <c r="AX111" s="887">
        <f>AT111-AV111</f>
        <v>3000</v>
      </c>
      <c r="AY111" s="887">
        <f>AU111-AW111</f>
        <v>3000</v>
      </c>
      <c r="AZ111" s="877"/>
      <c r="BA111" s="877"/>
      <c r="BB111" s="877"/>
      <c r="BC111" s="877"/>
      <c r="BD111" s="877"/>
      <c r="BE111" s="877"/>
      <c r="BF111" s="877"/>
      <c r="BG111" s="877"/>
      <c r="BH111" s="877"/>
    </row>
    <row r="112" spans="22:60" ht="35.25" customHeight="1" x14ac:dyDescent="0.5">
      <c r="V112" s="877"/>
      <c r="W112" s="877"/>
      <c r="X112" s="877"/>
      <c r="Y112" s="877"/>
      <c r="Z112" s="877"/>
      <c r="AA112" s="877"/>
      <c r="AB112" s="877"/>
      <c r="AC112" s="877"/>
      <c r="AD112" s="877"/>
      <c r="AE112" s="877"/>
      <c r="AF112" s="877"/>
      <c r="AG112" s="877"/>
      <c r="AH112" s="877"/>
      <c r="AI112" s="878"/>
      <c r="AJ112" s="877"/>
      <c r="AK112" s="877"/>
      <c r="AL112" s="877"/>
      <c r="AM112" s="879"/>
      <c r="AN112" s="877"/>
      <c r="AO112" s="877"/>
      <c r="AP112" s="877"/>
      <c r="AQ112" s="877"/>
      <c r="AR112" s="877"/>
      <c r="AS112" s="877"/>
      <c r="AT112" s="877"/>
      <c r="AU112" s="877"/>
      <c r="AV112" s="877"/>
      <c r="AW112" s="877"/>
      <c r="AX112" s="877"/>
      <c r="AY112" s="877"/>
      <c r="AZ112" s="877"/>
      <c r="BA112" s="877"/>
      <c r="BB112" s="877"/>
      <c r="BC112" s="877"/>
      <c r="BD112" s="877"/>
      <c r="BE112" s="877"/>
      <c r="BF112" s="877"/>
      <c r="BG112" s="877"/>
      <c r="BH112" s="877"/>
    </row>
    <row r="113" spans="22:60" ht="35.25" customHeight="1" x14ac:dyDescent="0.5">
      <c r="V113" s="877"/>
      <c r="W113" s="877"/>
      <c r="X113" s="877"/>
      <c r="Y113" s="877"/>
      <c r="Z113" s="877"/>
      <c r="AA113" s="877"/>
      <c r="AB113" s="877"/>
      <c r="AC113" s="877"/>
      <c r="AD113" s="877"/>
      <c r="AE113" s="877"/>
      <c r="AF113" s="877"/>
      <c r="AG113" s="877"/>
      <c r="AH113" s="877"/>
      <c r="AI113" s="878"/>
      <c r="AJ113" s="877"/>
      <c r="AK113" s="877"/>
      <c r="AL113" s="877"/>
      <c r="AM113" s="879"/>
      <c r="AN113" s="877"/>
      <c r="AO113" s="877"/>
      <c r="AP113" s="877"/>
      <c r="AQ113" s="877"/>
      <c r="AR113" s="877"/>
      <c r="AS113" s="877" t="s">
        <v>678</v>
      </c>
      <c r="AT113" s="877"/>
      <c r="AU113" s="887">
        <f>AT111+AU111</f>
        <v>6000</v>
      </c>
      <c r="AV113" s="877"/>
      <c r="AW113" s="887">
        <f>AV111+AW111</f>
        <v>0</v>
      </c>
      <c r="AX113" s="877"/>
      <c r="AY113" s="887">
        <f>AX111+AY111</f>
        <v>6000</v>
      </c>
      <c r="AZ113" s="877"/>
      <c r="BA113" s="877"/>
      <c r="BB113" s="877"/>
      <c r="BC113" s="877"/>
      <c r="BD113" s="877"/>
      <c r="BE113" s="877"/>
      <c r="BF113" s="877"/>
      <c r="BG113" s="877"/>
      <c r="BH113" s="877"/>
    </row>
    <row r="114" spans="22:60" ht="35.25" customHeight="1" x14ac:dyDescent="0.5">
      <c r="V114" s="877"/>
      <c r="W114" s="877"/>
      <c r="X114" s="877"/>
      <c r="Y114" s="877"/>
      <c r="Z114" s="877"/>
      <c r="AA114" s="877"/>
      <c r="AB114" s="877"/>
      <c r="AC114" s="877"/>
      <c r="AD114" s="877"/>
      <c r="AE114" s="877"/>
      <c r="AF114" s="877"/>
      <c r="AG114" s="877"/>
      <c r="AH114" s="877"/>
      <c r="AI114" s="878"/>
      <c r="AJ114" s="877"/>
      <c r="AK114" s="877"/>
      <c r="AL114" s="877"/>
      <c r="AM114" s="879"/>
      <c r="AN114" s="877"/>
      <c r="AO114" s="877"/>
      <c r="AP114" s="877"/>
      <c r="AQ114" s="877"/>
      <c r="AR114" s="877"/>
      <c r="AS114" s="877"/>
      <c r="AT114" s="877"/>
      <c r="AU114" s="877"/>
      <c r="AV114" s="877"/>
      <c r="AW114" s="877"/>
      <c r="AX114" s="877"/>
      <c r="AY114" s="877"/>
      <c r="AZ114" s="877"/>
      <c r="BA114" s="877"/>
      <c r="BB114" s="877"/>
      <c r="BC114" s="877"/>
      <c r="BD114" s="877"/>
      <c r="BE114" s="877"/>
      <c r="BF114" s="877"/>
      <c r="BG114" s="877"/>
      <c r="BH114" s="877"/>
    </row>
    <row r="115" spans="22:60" ht="35.25" customHeight="1" x14ac:dyDescent="0.5">
      <c r="V115" s="877"/>
      <c r="W115" s="877"/>
      <c r="X115" s="877"/>
      <c r="Y115" s="877"/>
      <c r="Z115" s="877"/>
      <c r="AA115" s="877"/>
      <c r="AB115" s="877"/>
      <c r="AC115" s="877"/>
      <c r="AD115" s="877"/>
      <c r="AE115" s="877"/>
      <c r="AF115" s="877"/>
      <c r="AG115" s="877"/>
      <c r="AH115" s="877"/>
      <c r="AI115" s="878"/>
      <c r="AJ115" s="877"/>
      <c r="AK115" s="877"/>
      <c r="AL115" s="877"/>
      <c r="AM115" s="879"/>
      <c r="AN115" s="877"/>
      <c r="AO115" s="877"/>
      <c r="AP115" s="877"/>
      <c r="AQ115" s="877"/>
      <c r="AR115" s="877"/>
      <c r="AS115" s="877"/>
      <c r="AT115" s="877"/>
      <c r="AU115" s="877"/>
      <c r="AV115" s="877"/>
      <c r="AW115" s="877"/>
      <c r="AX115" s="877"/>
      <c r="AY115" s="877"/>
      <c r="AZ115" s="877"/>
      <c r="BA115" s="877"/>
      <c r="BB115" s="877"/>
      <c r="BC115" s="877"/>
      <c r="BD115" s="877"/>
      <c r="BE115" s="877"/>
      <c r="BF115" s="877"/>
      <c r="BG115" s="877"/>
      <c r="BH115" s="877"/>
    </row>
    <row r="116" spans="22:60" ht="35.25" customHeight="1" x14ac:dyDescent="0.5">
      <c r="V116" s="877"/>
      <c r="W116" s="877"/>
      <c r="X116" s="877"/>
      <c r="Y116" s="877"/>
      <c r="Z116" s="877"/>
      <c r="AA116" s="877"/>
      <c r="AB116" s="877"/>
      <c r="AC116" s="877"/>
      <c r="AD116" s="877"/>
      <c r="AE116" s="877"/>
      <c r="AF116" s="877"/>
      <c r="AG116" s="877"/>
      <c r="AH116" s="877"/>
      <c r="AI116" s="878"/>
      <c r="AJ116" s="877"/>
      <c r="AK116" s="877"/>
      <c r="AL116" s="877"/>
      <c r="AM116" s="879"/>
      <c r="AN116" s="877"/>
      <c r="AO116" s="877"/>
      <c r="AP116" s="877"/>
      <c r="AQ116" s="877"/>
      <c r="AR116" s="877"/>
      <c r="AS116" s="877"/>
      <c r="AT116" s="877"/>
      <c r="AU116" s="877"/>
      <c r="AV116" s="877"/>
      <c r="AW116" s="877"/>
      <c r="AX116" s="877"/>
      <c r="AY116" s="877"/>
      <c r="AZ116" s="877"/>
      <c r="BA116" s="877"/>
      <c r="BB116" s="877"/>
      <c r="BC116" s="877"/>
      <c r="BD116" s="877"/>
      <c r="BE116" s="877"/>
      <c r="BF116" s="877"/>
      <c r="BG116" s="877"/>
      <c r="BH116" s="877"/>
    </row>
    <row r="117" spans="22:60" ht="35.25" customHeight="1" x14ac:dyDescent="0.5">
      <c r="V117" s="877"/>
      <c r="W117" s="877"/>
      <c r="X117" s="877"/>
      <c r="Y117" s="877"/>
      <c r="Z117" s="877"/>
      <c r="AA117" s="877"/>
      <c r="AB117" s="877"/>
      <c r="AC117" s="877"/>
      <c r="AD117" s="877"/>
      <c r="AE117" s="877"/>
      <c r="AF117" s="877"/>
      <c r="AG117" s="877"/>
      <c r="AH117" s="877"/>
      <c r="AI117" s="878"/>
      <c r="AJ117" s="877"/>
      <c r="AK117" s="877"/>
      <c r="AL117" s="877"/>
      <c r="AM117" s="879"/>
      <c r="AN117" s="877"/>
      <c r="AO117" s="877"/>
      <c r="AP117" s="877"/>
      <c r="AQ117" s="877"/>
      <c r="AR117" s="877"/>
      <c r="AS117" s="877"/>
      <c r="AT117" s="877"/>
      <c r="AU117" s="877"/>
      <c r="AV117" s="877"/>
      <c r="AW117" s="877"/>
      <c r="AX117" s="877"/>
      <c r="AY117" s="877"/>
      <c r="AZ117" s="877"/>
      <c r="BA117" s="877"/>
      <c r="BB117" s="877"/>
      <c r="BC117" s="877"/>
      <c r="BD117" s="877"/>
      <c r="BE117" s="877"/>
      <c r="BF117" s="877"/>
      <c r="BG117" s="877"/>
      <c r="BH117" s="877"/>
    </row>
    <row r="118" spans="22:60" ht="35.25" customHeight="1" x14ac:dyDescent="0.5">
      <c r="V118" s="877"/>
      <c r="W118" s="877"/>
      <c r="X118" s="877"/>
      <c r="Y118" s="877"/>
      <c r="Z118" s="877"/>
      <c r="AA118" s="877"/>
      <c r="AB118" s="877"/>
      <c r="AC118" s="877"/>
      <c r="AD118" s="877"/>
      <c r="AE118" s="877"/>
      <c r="AF118" s="877"/>
      <c r="AG118" s="877"/>
      <c r="AH118" s="877"/>
      <c r="AI118" s="878"/>
      <c r="AJ118" s="877"/>
      <c r="AK118" s="877"/>
      <c r="AL118" s="877"/>
      <c r="AM118" s="879"/>
      <c r="AN118" s="877"/>
      <c r="AO118" s="877"/>
      <c r="AP118" s="877"/>
      <c r="AQ118" s="877"/>
      <c r="AR118" s="877"/>
      <c r="AS118" s="877"/>
      <c r="AT118" s="877"/>
      <c r="AU118" s="877"/>
      <c r="AV118" s="877"/>
      <c r="AW118" s="877"/>
      <c r="AX118" s="877"/>
      <c r="AY118" s="877"/>
      <c r="AZ118" s="877"/>
      <c r="BA118" s="877"/>
      <c r="BB118" s="877"/>
      <c r="BC118" s="877"/>
      <c r="BD118" s="877"/>
      <c r="BE118" s="877"/>
      <c r="BF118" s="877"/>
      <c r="BG118" s="877"/>
      <c r="BH118" s="877"/>
    </row>
    <row r="119" spans="22:60" ht="35.25" customHeight="1" x14ac:dyDescent="0.5">
      <c r="V119" s="877"/>
      <c r="W119" s="877"/>
      <c r="X119" s="877"/>
      <c r="Y119" s="877"/>
      <c r="Z119" s="877"/>
      <c r="AA119" s="877"/>
      <c r="AB119" s="877"/>
      <c r="AC119" s="877"/>
      <c r="AD119" s="877"/>
      <c r="AE119" s="877"/>
      <c r="AF119" s="877"/>
      <c r="AG119" s="877"/>
      <c r="AH119" s="877"/>
      <c r="AI119" s="878"/>
      <c r="AJ119" s="877"/>
      <c r="AK119" s="877"/>
      <c r="AL119" s="877"/>
      <c r="AM119" s="879"/>
      <c r="AN119" s="877"/>
      <c r="AO119" s="877"/>
      <c r="AP119" s="877"/>
      <c r="AQ119" s="877"/>
      <c r="AR119" s="877"/>
      <c r="AS119" s="877"/>
      <c r="AT119" s="877"/>
      <c r="AU119" s="877"/>
      <c r="AV119" s="877"/>
      <c r="AW119" s="877"/>
      <c r="AX119" s="877"/>
      <c r="AY119" s="877"/>
      <c r="AZ119" s="877"/>
      <c r="BA119" s="877"/>
      <c r="BB119" s="877"/>
      <c r="BC119" s="877"/>
      <c r="BD119" s="877"/>
      <c r="BE119" s="877"/>
      <c r="BF119" s="877"/>
      <c r="BG119" s="877"/>
      <c r="BH119" s="877"/>
    </row>
    <row r="120" spans="22:60" ht="35.25" customHeight="1" x14ac:dyDescent="0.5">
      <c r="V120" s="877"/>
      <c r="W120" s="877"/>
      <c r="X120" s="877"/>
      <c r="Y120" s="877"/>
      <c r="Z120" s="877"/>
      <c r="AA120" s="877"/>
      <c r="AB120" s="877"/>
      <c r="AC120" s="877"/>
      <c r="AD120" s="877"/>
      <c r="AE120" s="877"/>
      <c r="AF120" s="877"/>
      <c r="AG120" s="877"/>
      <c r="AH120" s="877"/>
      <c r="AI120" s="878"/>
      <c r="AJ120" s="877"/>
      <c r="AK120" s="877"/>
      <c r="AL120" s="877"/>
      <c r="AM120" s="879"/>
      <c r="AN120" s="877"/>
      <c r="AO120" s="877"/>
      <c r="AP120" s="877"/>
      <c r="AQ120" s="877"/>
      <c r="AR120" s="877"/>
      <c r="AS120" s="877"/>
      <c r="AT120" s="877"/>
      <c r="AU120" s="877"/>
      <c r="AV120" s="877"/>
      <c r="AW120" s="877"/>
      <c r="AX120" s="877"/>
      <c r="AY120" s="877"/>
      <c r="AZ120" s="877"/>
      <c r="BA120" s="877"/>
      <c r="BB120" s="877"/>
      <c r="BC120" s="877"/>
      <c r="BD120" s="877"/>
      <c r="BE120" s="877"/>
      <c r="BF120" s="877"/>
      <c r="BG120" s="877"/>
      <c r="BH120" s="877"/>
    </row>
    <row r="121" spans="22:60" ht="35.25" customHeight="1" x14ac:dyDescent="0.5">
      <c r="V121" s="877"/>
      <c r="W121" s="877"/>
      <c r="X121" s="877"/>
      <c r="Y121" s="877"/>
      <c r="Z121" s="877"/>
      <c r="AA121" s="877"/>
      <c r="AB121" s="877"/>
      <c r="AC121" s="877"/>
      <c r="AD121" s="877"/>
      <c r="AE121" s="877"/>
      <c r="AF121" s="877"/>
      <c r="AG121" s="877"/>
      <c r="AH121" s="877"/>
      <c r="AI121" s="878"/>
      <c r="AJ121" s="877"/>
      <c r="AK121" s="877"/>
      <c r="AL121" s="877"/>
      <c r="AM121" s="879"/>
      <c r="AN121" s="877"/>
      <c r="AO121" s="877"/>
      <c r="AP121" s="877"/>
      <c r="AQ121" s="877"/>
      <c r="AR121" s="877"/>
      <c r="AS121" s="877"/>
      <c r="AT121" s="877"/>
      <c r="AU121" s="877"/>
      <c r="AV121" s="877"/>
      <c r="AW121" s="877"/>
      <c r="AX121" s="877"/>
      <c r="AY121" s="877"/>
      <c r="AZ121" s="877"/>
      <c r="BA121" s="877"/>
      <c r="BB121" s="877"/>
      <c r="BC121" s="877"/>
      <c r="BD121" s="877"/>
      <c r="BE121" s="877"/>
      <c r="BF121" s="877"/>
      <c r="BG121" s="877"/>
      <c r="BH121" s="877"/>
    </row>
    <row r="122" spans="22:60" ht="35.25" customHeight="1" x14ac:dyDescent="0.5">
      <c r="V122" s="877"/>
      <c r="W122" s="877"/>
      <c r="X122" s="877"/>
      <c r="Y122" s="877"/>
      <c r="Z122" s="877"/>
      <c r="AA122" s="877"/>
      <c r="AB122" s="877"/>
      <c r="AC122" s="877"/>
      <c r="AD122" s="877"/>
      <c r="AE122" s="877"/>
      <c r="AF122" s="877"/>
      <c r="AG122" s="877"/>
      <c r="AH122" s="877"/>
      <c r="AI122" s="878"/>
      <c r="AJ122" s="877"/>
      <c r="AK122" s="877"/>
      <c r="AL122" s="877"/>
      <c r="AM122" s="879"/>
      <c r="AN122" s="877"/>
      <c r="AO122" s="877"/>
      <c r="AP122" s="877"/>
      <c r="AQ122" s="877"/>
      <c r="AR122" s="877"/>
      <c r="AS122" s="877"/>
      <c r="AT122" s="877"/>
      <c r="AU122" s="877"/>
      <c r="AV122" s="877"/>
      <c r="AW122" s="877"/>
      <c r="AX122" s="877"/>
      <c r="AY122" s="877"/>
      <c r="AZ122" s="877"/>
      <c r="BA122" s="877"/>
      <c r="BB122" s="877"/>
      <c r="BC122" s="877"/>
      <c r="BD122" s="877"/>
      <c r="BE122" s="877"/>
      <c r="BF122" s="877"/>
      <c r="BG122" s="877"/>
      <c r="BH122" s="877"/>
    </row>
    <row r="123" spans="22:60" ht="35.25" customHeight="1" x14ac:dyDescent="0.5">
      <c r="V123" s="877"/>
      <c r="W123" s="877"/>
      <c r="X123" s="877"/>
      <c r="Y123" s="877"/>
      <c r="Z123" s="877"/>
      <c r="AA123" s="877"/>
      <c r="AB123" s="877"/>
      <c r="AC123" s="877"/>
      <c r="AD123" s="877"/>
      <c r="AE123" s="877"/>
      <c r="AF123" s="877"/>
      <c r="AG123" s="877"/>
      <c r="AH123" s="877"/>
      <c r="AI123" s="878"/>
      <c r="AJ123" s="877"/>
      <c r="AK123" s="877"/>
      <c r="AL123" s="877"/>
      <c r="AM123" s="877"/>
      <c r="AN123" s="877"/>
      <c r="AO123" s="877"/>
      <c r="AP123" s="877"/>
      <c r="AQ123" s="877"/>
      <c r="AR123" s="877"/>
      <c r="AS123" s="877"/>
      <c r="AT123" s="877"/>
      <c r="AU123" s="877"/>
      <c r="AV123" s="877"/>
      <c r="AW123" s="877"/>
      <c r="AX123" s="877"/>
      <c r="AY123" s="877"/>
      <c r="AZ123" s="877"/>
      <c r="BA123" s="877"/>
      <c r="BB123" s="877"/>
      <c r="BC123" s="877"/>
      <c r="BD123" s="877"/>
      <c r="BE123" s="877"/>
      <c r="BF123" s="877"/>
      <c r="BG123" s="877"/>
      <c r="BH123" s="877"/>
    </row>
    <row r="124" spans="22:60" ht="35.25" customHeight="1" x14ac:dyDescent="0.5">
      <c r="V124" s="877"/>
      <c r="W124" s="877"/>
      <c r="X124" s="877"/>
      <c r="Y124" s="877"/>
      <c r="Z124" s="877"/>
      <c r="AA124" s="877"/>
      <c r="AB124" s="877"/>
      <c r="AC124" s="877"/>
      <c r="AD124" s="877"/>
      <c r="AE124" s="877"/>
      <c r="AF124" s="877"/>
      <c r="AG124" s="877"/>
      <c r="AH124" s="877"/>
      <c r="AI124" s="878"/>
      <c r="AJ124" s="877"/>
      <c r="AK124" s="877"/>
      <c r="AL124" s="877"/>
      <c r="AM124" s="879"/>
      <c r="AN124" s="877"/>
      <c r="AO124" s="877"/>
      <c r="AP124" s="877"/>
      <c r="AQ124" s="877"/>
      <c r="AR124" s="877"/>
      <c r="AS124" s="877"/>
      <c r="AT124" s="887">
        <f>'Balance sheet'!D22</f>
        <v>3000</v>
      </c>
      <c r="AU124" s="887">
        <f>'Balance sheet'!E22</f>
        <v>3000</v>
      </c>
      <c r="AV124" s="877"/>
      <c r="AW124" s="877"/>
      <c r="AX124" s="887">
        <f>AT124</f>
        <v>3000</v>
      </c>
      <c r="AY124" s="887">
        <f>AU124-AW124</f>
        <v>3000</v>
      </c>
      <c r="AZ124" s="877"/>
      <c r="BA124" s="877"/>
      <c r="BB124" s="877"/>
      <c r="BC124" s="877"/>
      <c r="BD124" s="877"/>
      <c r="BE124" s="877"/>
      <c r="BF124" s="877"/>
      <c r="BG124" s="877"/>
      <c r="BH124" s="877"/>
    </row>
    <row r="125" spans="22:60" ht="35.25" customHeight="1" x14ac:dyDescent="0.5">
      <c r="V125" s="877"/>
      <c r="W125" s="877"/>
      <c r="X125" s="877"/>
      <c r="Y125" s="877"/>
      <c r="Z125" s="877"/>
      <c r="AA125" s="877"/>
      <c r="AB125" s="877"/>
      <c r="AC125" s="877"/>
      <c r="AD125" s="877"/>
      <c r="AE125" s="877"/>
      <c r="AF125" s="877"/>
      <c r="AG125" s="877"/>
      <c r="AH125" s="877"/>
      <c r="AI125" s="878"/>
      <c r="AJ125" s="877"/>
      <c r="AK125" s="877">
        <v>1</v>
      </c>
      <c r="AL125" s="877">
        <v>1</v>
      </c>
      <c r="AM125" s="921" t="str">
        <f t="shared" ref="AM125:AM144" si="22">IFERROR(VLOOKUP(AL125,X10:AW111,16,0),"")</f>
        <v/>
      </c>
      <c r="AN125" s="887" t="str">
        <f t="shared" ref="AN125:AN144" si="23">IFERROR(VLOOKUP(AL125,X10:AW111,17,0),"")</f>
        <v/>
      </c>
      <c r="AO125" s="887" t="str">
        <f t="shared" ref="AO125:AO144" si="24">IFERROR(VLOOKUP(AL125,X10:AW111,18,0),"")</f>
        <v/>
      </c>
      <c r="AP125" s="887" t="str">
        <f t="shared" ref="AP125:AP144" si="25">IFERROR(VLOOKUP(AL125,X10:AW111,19,0),"")</f>
        <v/>
      </c>
      <c r="AQ125" s="887" t="str">
        <f t="shared" ref="AQ125:AQ144" si="26">IFERROR(VLOOKUP(AL125,X10:AW111,20,0),"")</f>
        <v/>
      </c>
      <c r="AR125" s="887" t="str">
        <f t="shared" ref="AR125:AR144" si="27">IFERROR(VLOOKUP(AL125,X10:AW111,21,0),"")</f>
        <v/>
      </c>
      <c r="AS125" s="887" t="str">
        <f t="shared" ref="AS125:AS144" si="28">IFERROR(VLOOKUP(AL125,X10:AW111,22,0),"")</f>
        <v/>
      </c>
      <c r="AT125" s="887" t="str">
        <f t="shared" ref="AT125:AT144" si="29">IFERROR(VLOOKUP(AL125,X10:AW111,23,0),"")</f>
        <v/>
      </c>
      <c r="AU125" s="887" t="str">
        <f t="shared" ref="AU125:AU144" si="30">IFERROR(VLOOKUP(AL125,X10:AW111,24,0),"")</f>
        <v/>
      </c>
      <c r="AV125" s="887" t="str">
        <f t="shared" ref="AV125:AV144" si="31">IFERROR(VLOOKUP(AL125,X10:AW111,25,0),"")</f>
        <v/>
      </c>
      <c r="AW125" s="887" t="str">
        <f t="shared" ref="AW125:AW144" si="32">_xlfn.IFNA(VLOOKUP(AL125,X10:AW111,26,0),"")</f>
        <v/>
      </c>
      <c r="AX125" s="887" t="e">
        <f>AX124+AT125-AV125</f>
        <v>#VALUE!</v>
      </c>
      <c r="AY125" s="887" t="e">
        <f>AY124+AU125-AW125</f>
        <v>#VALUE!</v>
      </c>
      <c r="AZ125" s="877"/>
      <c r="BA125" s="877"/>
      <c r="BB125" s="877"/>
      <c r="BC125" s="877"/>
      <c r="BD125" s="877"/>
      <c r="BE125" s="877"/>
      <c r="BF125" s="877"/>
      <c r="BG125" s="877"/>
      <c r="BH125" s="877"/>
    </row>
    <row r="126" spans="22:60" ht="35.25" customHeight="1" x14ac:dyDescent="0.5">
      <c r="V126" s="877"/>
      <c r="W126" s="877"/>
      <c r="X126" s="877"/>
      <c r="Y126" s="877"/>
      <c r="Z126" s="877"/>
      <c r="AA126" s="877"/>
      <c r="AB126" s="877"/>
      <c r="AC126" s="877"/>
      <c r="AD126" s="877"/>
      <c r="AE126" s="877"/>
      <c r="AF126" s="877"/>
      <c r="AG126" s="877"/>
      <c r="AH126" s="877"/>
      <c r="AI126" s="878"/>
      <c r="AJ126" s="877"/>
      <c r="AK126" s="877">
        <v>2</v>
      </c>
      <c r="AL126" s="877">
        <v>2</v>
      </c>
      <c r="AM126" s="921" t="str">
        <f t="shared" si="22"/>
        <v/>
      </c>
      <c r="AN126" s="887" t="str">
        <f t="shared" si="23"/>
        <v/>
      </c>
      <c r="AO126" s="887" t="str">
        <f t="shared" si="24"/>
        <v/>
      </c>
      <c r="AP126" s="887" t="str">
        <f t="shared" si="25"/>
        <v/>
      </c>
      <c r="AQ126" s="887" t="str">
        <f t="shared" si="26"/>
        <v/>
      </c>
      <c r="AR126" s="887" t="str">
        <f t="shared" si="27"/>
        <v/>
      </c>
      <c r="AS126" s="887" t="str">
        <f t="shared" si="28"/>
        <v/>
      </c>
      <c r="AT126" s="887" t="str">
        <f t="shared" si="29"/>
        <v/>
      </c>
      <c r="AU126" s="887" t="str">
        <f t="shared" si="30"/>
        <v/>
      </c>
      <c r="AV126" s="887" t="str">
        <f t="shared" si="31"/>
        <v/>
      </c>
      <c r="AW126" s="887" t="str">
        <f t="shared" si="32"/>
        <v/>
      </c>
      <c r="AX126" s="887" t="str">
        <f t="shared" ref="AX126:AX192" si="33">IFERROR(AX125+AT126-AV126,"")</f>
        <v/>
      </c>
      <c r="AY126" s="887" t="str">
        <f t="shared" ref="AY126:AY192" si="34">IFERROR(AY125+AU126-AW126,"")</f>
        <v/>
      </c>
      <c r="AZ126" s="877"/>
      <c r="BA126" s="877"/>
      <c r="BB126" s="877"/>
      <c r="BC126" s="877"/>
      <c r="BD126" s="877"/>
      <c r="BE126" s="877"/>
      <c r="BF126" s="877"/>
      <c r="BG126" s="877"/>
      <c r="BH126" s="877"/>
    </row>
    <row r="127" spans="22:60" ht="35.25" customHeight="1" x14ac:dyDescent="0.5">
      <c r="V127" s="877"/>
      <c r="W127" s="877"/>
      <c r="X127" s="877"/>
      <c r="Y127" s="877"/>
      <c r="Z127" s="877"/>
      <c r="AA127" s="877"/>
      <c r="AB127" s="877"/>
      <c r="AC127" s="877"/>
      <c r="AD127" s="877"/>
      <c r="AE127" s="877"/>
      <c r="AF127" s="877"/>
      <c r="AG127" s="877"/>
      <c r="AH127" s="877"/>
      <c r="AI127" s="878"/>
      <c r="AJ127" s="877"/>
      <c r="AK127" s="877">
        <v>3</v>
      </c>
      <c r="AL127" s="877">
        <v>3</v>
      </c>
      <c r="AM127" s="921" t="str">
        <f t="shared" si="22"/>
        <v/>
      </c>
      <c r="AN127" s="887" t="str">
        <f t="shared" si="23"/>
        <v/>
      </c>
      <c r="AO127" s="887" t="str">
        <f t="shared" si="24"/>
        <v/>
      </c>
      <c r="AP127" s="887" t="str">
        <f t="shared" si="25"/>
        <v/>
      </c>
      <c r="AQ127" s="887" t="str">
        <f t="shared" si="26"/>
        <v/>
      </c>
      <c r="AR127" s="887" t="str">
        <f t="shared" si="27"/>
        <v/>
      </c>
      <c r="AS127" s="887" t="str">
        <f t="shared" si="28"/>
        <v/>
      </c>
      <c r="AT127" s="887" t="str">
        <f t="shared" si="29"/>
        <v/>
      </c>
      <c r="AU127" s="887" t="str">
        <f t="shared" si="30"/>
        <v/>
      </c>
      <c r="AV127" s="887" t="str">
        <f t="shared" si="31"/>
        <v/>
      </c>
      <c r="AW127" s="887" t="str">
        <f t="shared" si="32"/>
        <v/>
      </c>
      <c r="AX127" s="887" t="str">
        <f>IFERROR(AX126+AT127-AV127,"")</f>
        <v/>
      </c>
      <c r="AY127" s="887" t="str">
        <f>IFERROR(AY126+AU127-AW127,"")</f>
        <v/>
      </c>
      <c r="AZ127" s="877"/>
      <c r="BA127" s="877"/>
      <c r="BB127" s="877"/>
      <c r="BC127" s="877"/>
      <c r="BD127" s="877"/>
      <c r="BE127" s="877"/>
      <c r="BF127" s="877"/>
      <c r="BG127" s="877"/>
      <c r="BH127" s="877"/>
    </row>
    <row r="128" spans="22:60" ht="35.25" customHeight="1" x14ac:dyDescent="0.5">
      <c r="V128" s="877"/>
      <c r="W128" s="877"/>
      <c r="X128" s="877"/>
      <c r="Y128" s="877"/>
      <c r="Z128" s="877"/>
      <c r="AA128" s="877"/>
      <c r="AB128" s="877"/>
      <c r="AC128" s="877"/>
      <c r="AD128" s="877"/>
      <c r="AE128" s="877"/>
      <c r="AF128" s="877"/>
      <c r="AG128" s="877"/>
      <c r="AH128" s="877"/>
      <c r="AI128" s="878"/>
      <c r="AJ128" s="877"/>
      <c r="AK128" s="877">
        <v>4</v>
      </c>
      <c r="AL128" s="877">
        <v>4</v>
      </c>
      <c r="AM128" s="921" t="str">
        <f t="shared" si="22"/>
        <v/>
      </c>
      <c r="AN128" s="887" t="str">
        <f t="shared" si="23"/>
        <v/>
      </c>
      <c r="AO128" s="887" t="str">
        <f t="shared" si="24"/>
        <v/>
      </c>
      <c r="AP128" s="887" t="str">
        <f t="shared" si="25"/>
        <v/>
      </c>
      <c r="AQ128" s="887" t="str">
        <f t="shared" si="26"/>
        <v/>
      </c>
      <c r="AR128" s="887" t="str">
        <f t="shared" si="27"/>
        <v/>
      </c>
      <c r="AS128" s="887" t="str">
        <f t="shared" si="28"/>
        <v/>
      </c>
      <c r="AT128" s="887" t="str">
        <f t="shared" si="29"/>
        <v/>
      </c>
      <c r="AU128" s="887" t="str">
        <f t="shared" si="30"/>
        <v/>
      </c>
      <c r="AV128" s="887" t="str">
        <f t="shared" si="31"/>
        <v/>
      </c>
      <c r="AW128" s="887" t="str">
        <f t="shared" si="32"/>
        <v/>
      </c>
      <c r="AX128" s="887" t="str">
        <f>IFERROR(AX127+AT128-AV128,"")</f>
        <v/>
      </c>
      <c r="AY128" s="887" t="str">
        <f t="shared" si="34"/>
        <v/>
      </c>
      <c r="AZ128" s="877"/>
      <c r="BA128" s="877"/>
      <c r="BB128" s="877"/>
      <c r="BC128" s="877"/>
      <c r="BD128" s="877"/>
      <c r="BE128" s="877"/>
      <c r="BF128" s="877"/>
      <c r="BG128" s="877"/>
      <c r="BH128" s="877"/>
    </row>
    <row r="129" spans="22:60" ht="35.25" customHeight="1" x14ac:dyDescent="0.5">
      <c r="V129" s="877"/>
      <c r="W129" s="877"/>
      <c r="X129" s="877"/>
      <c r="Y129" s="877"/>
      <c r="Z129" s="877"/>
      <c r="AA129" s="877"/>
      <c r="AB129" s="877"/>
      <c r="AC129" s="877"/>
      <c r="AD129" s="877"/>
      <c r="AE129" s="877"/>
      <c r="AF129" s="877"/>
      <c r="AG129" s="877"/>
      <c r="AH129" s="877"/>
      <c r="AI129" s="878"/>
      <c r="AJ129" s="877"/>
      <c r="AK129" s="877">
        <v>5</v>
      </c>
      <c r="AL129" s="877">
        <v>5</v>
      </c>
      <c r="AM129" s="921" t="str">
        <f t="shared" si="22"/>
        <v/>
      </c>
      <c r="AN129" s="887" t="str">
        <f t="shared" si="23"/>
        <v/>
      </c>
      <c r="AO129" s="887" t="str">
        <f t="shared" si="24"/>
        <v/>
      </c>
      <c r="AP129" s="887" t="str">
        <f t="shared" si="25"/>
        <v/>
      </c>
      <c r="AQ129" s="887" t="str">
        <f t="shared" si="26"/>
        <v/>
      </c>
      <c r="AR129" s="887" t="str">
        <f t="shared" si="27"/>
        <v/>
      </c>
      <c r="AS129" s="887" t="str">
        <f t="shared" si="28"/>
        <v/>
      </c>
      <c r="AT129" s="887" t="str">
        <f t="shared" si="29"/>
        <v/>
      </c>
      <c r="AU129" s="887" t="str">
        <f t="shared" si="30"/>
        <v/>
      </c>
      <c r="AV129" s="887" t="str">
        <f t="shared" si="31"/>
        <v/>
      </c>
      <c r="AW129" s="887" t="str">
        <f t="shared" si="32"/>
        <v/>
      </c>
      <c r="AX129" s="887" t="str">
        <f t="shared" ref="AX129:AX144" si="35">IFERROR(AX128+AT129-AV129,"")</f>
        <v/>
      </c>
      <c r="AY129" s="887" t="str">
        <f t="shared" ref="AY129:AY144" si="36">IFERROR(AY128+AU129-AW129,"")</f>
        <v/>
      </c>
      <c r="AZ129" s="877"/>
      <c r="BA129" s="877"/>
      <c r="BB129" s="877"/>
      <c r="BC129" s="877"/>
      <c r="BD129" s="877"/>
      <c r="BE129" s="877"/>
      <c r="BF129" s="877"/>
      <c r="BG129" s="877"/>
      <c r="BH129" s="877"/>
    </row>
    <row r="130" spans="22:60" ht="35.25" customHeight="1" x14ac:dyDescent="0.5">
      <c r="V130" s="877"/>
      <c r="W130" s="877"/>
      <c r="X130" s="877"/>
      <c r="Y130" s="877"/>
      <c r="Z130" s="877"/>
      <c r="AA130" s="877"/>
      <c r="AB130" s="877"/>
      <c r="AC130" s="877"/>
      <c r="AD130" s="877"/>
      <c r="AE130" s="877"/>
      <c r="AF130" s="877"/>
      <c r="AG130" s="877"/>
      <c r="AH130" s="877"/>
      <c r="AI130" s="878"/>
      <c r="AJ130" s="877"/>
      <c r="AK130" s="877">
        <v>6</v>
      </c>
      <c r="AL130" s="877">
        <v>6</v>
      </c>
      <c r="AM130" s="921" t="str">
        <f t="shared" si="22"/>
        <v/>
      </c>
      <c r="AN130" s="887" t="str">
        <f t="shared" si="23"/>
        <v/>
      </c>
      <c r="AO130" s="887" t="str">
        <f t="shared" si="24"/>
        <v/>
      </c>
      <c r="AP130" s="887" t="str">
        <f t="shared" si="25"/>
        <v/>
      </c>
      <c r="AQ130" s="887" t="str">
        <f t="shared" si="26"/>
        <v/>
      </c>
      <c r="AR130" s="887" t="str">
        <f t="shared" si="27"/>
        <v/>
      </c>
      <c r="AS130" s="887" t="str">
        <f t="shared" si="28"/>
        <v/>
      </c>
      <c r="AT130" s="887" t="str">
        <f t="shared" si="29"/>
        <v/>
      </c>
      <c r="AU130" s="887" t="str">
        <f t="shared" si="30"/>
        <v/>
      </c>
      <c r="AV130" s="887" t="str">
        <f t="shared" si="31"/>
        <v/>
      </c>
      <c r="AW130" s="887" t="str">
        <f t="shared" si="32"/>
        <v/>
      </c>
      <c r="AX130" s="887" t="str">
        <f t="shared" si="35"/>
        <v/>
      </c>
      <c r="AY130" s="887" t="str">
        <f t="shared" si="36"/>
        <v/>
      </c>
      <c r="AZ130" s="877"/>
      <c r="BA130" s="877"/>
      <c r="BB130" s="877"/>
      <c r="BC130" s="877"/>
      <c r="BD130" s="877"/>
      <c r="BE130" s="877"/>
      <c r="BF130" s="877"/>
      <c r="BG130" s="877"/>
      <c r="BH130" s="877"/>
    </row>
    <row r="131" spans="22:60" ht="35.25" customHeight="1" x14ac:dyDescent="0.5">
      <c r="V131" s="877"/>
      <c r="W131" s="877"/>
      <c r="X131" s="877"/>
      <c r="Y131" s="877"/>
      <c r="Z131" s="877"/>
      <c r="AA131" s="877"/>
      <c r="AB131" s="877"/>
      <c r="AC131" s="877"/>
      <c r="AD131" s="877"/>
      <c r="AE131" s="877"/>
      <c r="AF131" s="877"/>
      <c r="AG131" s="877"/>
      <c r="AH131" s="877"/>
      <c r="AI131" s="878"/>
      <c r="AJ131" s="877"/>
      <c r="AK131" s="877">
        <v>7</v>
      </c>
      <c r="AL131" s="877">
        <v>7</v>
      </c>
      <c r="AM131" s="921" t="str">
        <f t="shared" si="22"/>
        <v/>
      </c>
      <c r="AN131" s="887" t="str">
        <f t="shared" si="23"/>
        <v/>
      </c>
      <c r="AO131" s="887" t="str">
        <f t="shared" si="24"/>
        <v/>
      </c>
      <c r="AP131" s="887" t="str">
        <f t="shared" si="25"/>
        <v/>
      </c>
      <c r="AQ131" s="887" t="str">
        <f t="shared" si="26"/>
        <v/>
      </c>
      <c r="AR131" s="887" t="str">
        <f t="shared" si="27"/>
        <v/>
      </c>
      <c r="AS131" s="887" t="str">
        <f t="shared" si="28"/>
        <v/>
      </c>
      <c r="AT131" s="887" t="str">
        <f t="shared" si="29"/>
        <v/>
      </c>
      <c r="AU131" s="887" t="str">
        <f t="shared" si="30"/>
        <v/>
      </c>
      <c r="AV131" s="887" t="str">
        <f t="shared" si="31"/>
        <v/>
      </c>
      <c r="AW131" s="887" t="str">
        <f t="shared" si="32"/>
        <v/>
      </c>
      <c r="AX131" s="887" t="str">
        <f t="shared" si="35"/>
        <v/>
      </c>
      <c r="AY131" s="887" t="str">
        <f t="shared" si="36"/>
        <v/>
      </c>
      <c r="AZ131" s="877"/>
      <c r="BA131" s="877"/>
      <c r="BB131" s="877"/>
      <c r="BC131" s="877"/>
      <c r="BD131" s="877"/>
      <c r="BE131" s="877"/>
      <c r="BF131" s="877"/>
      <c r="BG131" s="877"/>
      <c r="BH131" s="877"/>
    </row>
    <row r="132" spans="22:60" ht="35.25" customHeight="1" x14ac:dyDescent="0.5">
      <c r="V132" s="877"/>
      <c r="W132" s="877"/>
      <c r="X132" s="877"/>
      <c r="Y132" s="877"/>
      <c r="Z132" s="877"/>
      <c r="AA132" s="877"/>
      <c r="AB132" s="877"/>
      <c r="AC132" s="877"/>
      <c r="AD132" s="877"/>
      <c r="AE132" s="877"/>
      <c r="AF132" s="877"/>
      <c r="AG132" s="877"/>
      <c r="AH132" s="877"/>
      <c r="AI132" s="878"/>
      <c r="AJ132" s="877"/>
      <c r="AK132" s="877">
        <v>8</v>
      </c>
      <c r="AL132" s="877">
        <v>8</v>
      </c>
      <c r="AM132" s="921" t="str">
        <f t="shared" si="22"/>
        <v/>
      </c>
      <c r="AN132" s="887" t="str">
        <f t="shared" si="23"/>
        <v/>
      </c>
      <c r="AO132" s="887" t="str">
        <f t="shared" si="24"/>
        <v/>
      </c>
      <c r="AP132" s="887" t="str">
        <f t="shared" si="25"/>
        <v/>
      </c>
      <c r="AQ132" s="887" t="str">
        <f t="shared" si="26"/>
        <v/>
      </c>
      <c r="AR132" s="887" t="str">
        <f t="shared" si="27"/>
        <v/>
      </c>
      <c r="AS132" s="887" t="str">
        <f t="shared" si="28"/>
        <v/>
      </c>
      <c r="AT132" s="887" t="str">
        <f t="shared" si="29"/>
        <v/>
      </c>
      <c r="AU132" s="887" t="str">
        <f t="shared" si="30"/>
        <v/>
      </c>
      <c r="AV132" s="887" t="str">
        <f t="shared" si="31"/>
        <v/>
      </c>
      <c r="AW132" s="887" t="str">
        <f t="shared" si="32"/>
        <v/>
      </c>
      <c r="AX132" s="887" t="str">
        <f t="shared" si="35"/>
        <v/>
      </c>
      <c r="AY132" s="887" t="str">
        <f t="shared" si="36"/>
        <v/>
      </c>
      <c r="AZ132" s="877"/>
      <c r="BA132" s="877"/>
      <c r="BB132" s="877"/>
      <c r="BC132" s="877"/>
      <c r="BD132" s="877"/>
      <c r="BE132" s="877"/>
      <c r="BF132" s="877"/>
      <c r="BG132" s="877"/>
      <c r="BH132" s="877"/>
    </row>
    <row r="133" spans="22:60" ht="35.25" customHeight="1" x14ac:dyDescent="0.5">
      <c r="V133" s="877"/>
      <c r="W133" s="877"/>
      <c r="X133" s="877"/>
      <c r="Y133" s="877"/>
      <c r="Z133" s="877"/>
      <c r="AA133" s="877"/>
      <c r="AB133" s="877"/>
      <c r="AC133" s="877"/>
      <c r="AD133" s="877"/>
      <c r="AE133" s="877"/>
      <c r="AF133" s="877"/>
      <c r="AG133" s="877"/>
      <c r="AH133" s="877"/>
      <c r="AI133" s="878"/>
      <c r="AJ133" s="877"/>
      <c r="AK133" s="877">
        <v>9</v>
      </c>
      <c r="AL133" s="877">
        <v>9</v>
      </c>
      <c r="AM133" s="921" t="str">
        <f t="shared" si="22"/>
        <v/>
      </c>
      <c r="AN133" s="887" t="str">
        <f t="shared" si="23"/>
        <v/>
      </c>
      <c r="AO133" s="887" t="str">
        <f t="shared" si="24"/>
        <v/>
      </c>
      <c r="AP133" s="887" t="str">
        <f t="shared" si="25"/>
        <v/>
      </c>
      <c r="AQ133" s="887" t="str">
        <f t="shared" si="26"/>
        <v/>
      </c>
      <c r="AR133" s="887" t="str">
        <f t="shared" si="27"/>
        <v/>
      </c>
      <c r="AS133" s="887" t="str">
        <f t="shared" si="28"/>
        <v/>
      </c>
      <c r="AT133" s="887" t="str">
        <f t="shared" si="29"/>
        <v/>
      </c>
      <c r="AU133" s="887" t="str">
        <f t="shared" si="30"/>
        <v/>
      </c>
      <c r="AV133" s="887" t="str">
        <f t="shared" si="31"/>
        <v/>
      </c>
      <c r="AW133" s="887" t="str">
        <f t="shared" si="32"/>
        <v/>
      </c>
      <c r="AX133" s="887" t="str">
        <f t="shared" si="35"/>
        <v/>
      </c>
      <c r="AY133" s="887" t="str">
        <f t="shared" si="36"/>
        <v/>
      </c>
      <c r="AZ133" s="877"/>
      <c r="BA133" s="877"/>
      <c r="BB133" s="877"/>
      <c r="BC133" s="877"/>
      <c r="BD133" s="877"/>
      <c r="BE133" s="877"/>
      <c r="BF133" s="877"/>
      <c r="BG133" s="877"/>
      <c r="BH133" s="877"/>
    </row>
    <row r="134" spans="22:60" ht="35.25" customHeight="1" x14ac:dyDescent="0.5">
      <c r="V134" s="877"/>
      <c r="W134" s="877"/>
      <c r="X134" s="877"/>
      <c r="Y134" s="877"/>
      <c r="Z134" s="877"/>
      <c r="AA134" s="877"/>
      <c r="AB134" s="877"/>
      <c r="AC134" s="877"/>
      <c r="AD134" s="877"/>
      <c r="AE134" s="877"/>
      <c r="AF134" s="877"/>
      <c r="AG134" s="877"/>
      <c r="AH134" s="877"/>
      <c r="AI134" s="878"/>
      <c r="AJ134" s="877"/>
      <c r="AK134" s="877">
        <v>10</v>
      </c>
      <c r="AL134" s="877">
        <v>10</v>
      </c>
      <c r="AM134" s="921" t="str">
        <f t="shared" si="22"/>
        <v/>
      </c>
      <c r="AN134" s="887" t="str">
        <f t="shared" si="23"/>
        <v/>
      </c>
      <c r="AO134" s="887" t="str">
        <f t="shared" si="24"/>
        <v/>
      </c>
      <c r="AP134" s="887" t="str">
        <f t="shared" si="25"/>
        <v/>
      </c>
      <c r="AQ134" s="887" t="str">
        <f t="shared" si="26"/>
        <v/>
      </c>
      <c r="AR134" s="887" t="str">
        <f t="shared" si="27"/>
        <v/>
      </c>
      <c r="AS134" s="887" t="str">
        <f t="shared" si="28"/>
        <v/>
      </c>
      <c r="AT134" s="887" t="str">
        <f t="shared" si="29"/>
        <v/>
      </c>
      <c r="AU134" s="887" t="str">
        <f t="shared" si="30"/>
        <v/>
      </c>
      <c r="AV134" s="887" t="str">
        <f t="shared" si="31"/>
        <v/>
      </c>
      <c r="AW134" s="887" t="str">
        <f t="shared" si="32"/>
        <v/>
      </c>
      <c r="AX134" s="887" t="str">
        <f t="shared" si="35"/>
        <v/>
      </c>
      <c r="AY134" s="887" t="str">
        <f t="shared" si="36"/>
        <v/>
      </c>
      <c r="AZ134" s="877"/>
      <c r="BA134" s="877"/>
      <c r="BB134" s="877"/>
      <c r="BC134" s="877"/>
      <c r="BD134" s="877"/>
      <c r="BE134" s="877"/>
      <c r="BF134" s="877"/>
      <c r="BG134" s="877"/>
      <c r="BH134" s="877"/>
    </row>
    <row r="135" spans="22:60" ht="35.25" customHeight="1" x14ac:dyDescent="0.5">
      <c r="V135" s="877"/>
      <c r="W135" s="877"/>
      <c r="X135" s="877"/>
      <c r="Y135" s="877"/>
      <c r="Z135" s="877"/>
      <c r="AA135" s="877"/>
      <c r="AB135" s="877"/>
      <c r="AC135" s="877"/>
      <c r="AD135" s="877"/>
      <c r="AE135" s="877"/>
      <c r="AF135" s="877"/>
      <c r="AG135" s="877"/>
      <c r="AH135" s="877"/>
      <c r="AI135" s="878"/>
      <c r="AJ135" s="877"/>
      <c r="AK135" s="877">
        <v>11</v>
      </c>
      <c r="AL135" s="877">
        <v>11</v>
      </c>
      <c r="AM135" s="921" t="str">
        <f t="shared" si="22"/>
        <v/>
      </c>
      <c r="AN135" s="887" t="str">
        <f t="shared" si="23"/>
        <v/>
      </c>
      <c r="AO135" s="887" t="str">
        <f t="shared" si="24"/>
        <v/>
      </c>
      <c r="AP135" s="887" t="str">
        <f t="shared" si="25"/>
        <v/>
      </c>
      <c r="AQ135" s="887" t="str">
        <f t="shared" si="26"/>
        <v/>
      </c>
      <c r="AR135" s="887" t="str">
        <f t="shared" si="27"/>
        <v/>
      </c>
      <c r="AS135" s="887" t="str">
        <f t="shared" si="28"/>
        <v/>
      </c>
      <c r="AT135" s="887" t="str">
        <f t="shared" si="29"/>
        <v/>
      </c>
      <c r="AU135" s="887" t="str">
        <f t="shared" si="30"/>
        <v/>
      </c>
      <c r="AV135" s="887" t="str">
        <f t="shared" si="31"/>
        <v/>
      </c>
      <c r="AW135" s="887" t="str">
        <f t="shared" si="32"/>
        <v/>
      </c>
      <c r="AX135" s="887" t="str">
        <f t="shared" si="35"/>
        <v/>
      </c>
      <c r="AY135" s="887" t="str">
        <f t="shared" si="36"/>
        <v/>
      </c>
      <c r="AZ135" s="877"/>
      <c r="BA135" s="877"/>
      <c r="BB135" s="877"/>
      <c r="BC135" s="877"/>
      <c r="BD135" s="877"/>
      <c r="BE135" s="877"/>
      <c r="BF135" s="877"/>
      <c r="BG135" s="877"/>
      <c r="BH135" s="877"/>
    </row>
    <row r="136" spans="22:60" ht="35.25" customHeight="1" x14ac:dyDescent="0.5">
      <c r="V136" s="877"/>
      <c r="W136" s="877"/>
      <c r="X136" s="877"/>
      <c r="Y136" s="877"/>
      <c r="Z136" s="877"/>
      <c r="AA136" s="877"/>
      <c r="AB136" s="877"/>
      <c r="AC136" s="877"/>
      <c r="AD136" s="877"/>
      <c r="AE136" s="877"/>
      <c r="AF136" s="877"/>
      <c r="AG136" s="877"/>
      <c r="AH136" s="877"/>
      <c r="AI136" s="878"/>
      <c r="AJ136" s="877"/>
      <c r="AK136" s="877">
        <v>12</v>
      </c>
      <c r="AL136" s="877">
        <v>12</v>
      </c>
      <c r="AM136" s="921" t="str">
        <f t="shared" si="22"/>
        <v/>
      </c>
      <c r="AN136" s="887" t="str">
        <f t="shared" si="23"/>
        <v/>
      </c>
      <c r="AO136" s="887" t="str">
        <f t="shared" si="24"/>
        <v/>
      </c>
      <c r="AP136" s="887" t="str">
        <f t="shared" si="25"/>
        <v/>
      </c>
      <c r="AQ136" s="887" t="str">
        <f t="shared" si="26"/>
        <v/>
      </c>
      <c r="AR136" s="887" t="str">
        <f t="shared" si="27"/>
        <v/>
      </c>
      <c r="AS136" s="887" t="str">
        <f t="shared" si="28"/>
        <v/>
      </c>
      <c r="AT136" s="887" t="str">
        <f t="shared" si="29"/>
        <v/>
      </c>
      <c r="AU136" s="887" t="str">
        <f t="shared" si="30"/>
        <v/>
      </c>
      <c r="AV136" s="887" t="str">
        <f t="shared" si="31"/>
        <v/>
      </c>
      <c r="AW136" s="887" t="str">
        <f t="shared" si="32"/>
        <v/>
      </c>
      <c r="AX136" s="887" t="str">
        <f t="shared" si="35"/>
        <v/>
      </c>
      <c r="AY136" s="887" t="str">
        <f t="shared" si="36"/>
        <v/>
      </c>
      <c r="AZ136" s="877"/>
      <c r="BA136" s="877"/>
      <c r="BB136" s="877"/>
      <c r="BC136" s="877"/>
      <c r="BD136" s="877"/>
      <c r="BE136" s="877"/>
      <c r="BF136" s="877"/>
      <c r="BG136" s="877"/>
      <c r="BH136" s="877"/>
    </row>
    <row r="137" spans="22:60" ht="35.25" customHeight="1" x14ac:dyDescent="0.5">
      <c r="V137" s="877"/>
      <c r="W137" s="877"/>
      <c r="X137" s="877"/>
      <c r="Y137" s="877"/>
      <c r="Z137" s="877"/>
      <c r="AA137" s="877"/>
      <c r="AB137" s="877"/>
      <c r="AC137" s="877"/>
      <c r="AD137" s="877"/>
      <c r="AE137" s="877"/>
      <c r="AF137" s="877"/>
      <c r="AG137" s="877"/>
      <c r="AH137" s="877"/>
      <c r="AI137" s="878"/>
      <c r="AJ137" s="877"/>
      <c r="AK137" s="877">
        <v>13</v>
      </c>
      <c r="AL137" s="877">
        <v>13</v>
      </c>
      <c r="AM137" s="921" t="str">
        <f t="shared" si="22"/>
        <v/>
      </c>
      <c r="AN137" s="887" t="str">
        <f t="shared" si="23"/>
        <v/>
      </c>
      <c r="AO137" s="887" t="str">
        <f t="shared" si="24"/>
        <v/>
      </c>
      <c r="AP137" s="887" t="str">
        <f t="shared" si="25"/>
        <v/>
      </c>
      <c r="AQ137" s="887" t="str">
        <f t="shared" si="26"/>
        <v/>
      </c>
      <c r="AR137" s="887" t="str">
        <f t="shared" si="27"/>
        <v/>
      </c>
      <c r="AS137" s="887" t="str">
        <f t="shared" si="28"/>
        <v/>
      </c>
      <c r="AT137" s="887" t="str">
        <f t="shared" si="29"/>
        <v/>
      </c>
      <c r="AU137" s="887" t="str">
        <f t="shared" si="30"/>
        <v/>
      </c>
      <c r="AV137" s="887" t="str">
        <f t="shared" si="31"/>
        <v/>
      </c>
      <c r="AW137" s="887" t="str">
        <f t="shared" si="32"/>
        <v/>
      </c>
      <c r="AX137" s="887" t="str">
        <f t="shared" si="35"/>
        <v/>
      </c>
      <c r="AY137" s="887" t="str">
        <f t="shared" si="36"/>
        <v/>
      </c>
      <c r="AZ137" s="877"/>
      <c r="BA137" s="877"/>
      <c r="BB137" s="877"/>
      <c r="BC137" s="877"/>
      <c r="BD137" s="877"/>
      <c r="BE137" s="877"/>
      <c r="BF137" s="877"/>
      <c r="BG137" s="877"/>
      <c r="BH137" s="877"/>
    </row>
    <row r="138" spans="22:60" ht="35.25" customHeight="1" x14ac:dyDescent="0.5">
      <c r="V138" s="877"/>
      <c r="W138" s="877"/>
      <c r="X138" s="877"/>
      <c r="Y138" s="877"/>
      <c r="Z138" s="877"/>
      <c r="AA138" s="877"/>
      <c r="AB138" s="877"/>
      <c r="AC138" s="877"/>
      <c r="AD138" s="877"/>
      <c r="AE138" s="877"/>
      <c r="AF138" s="877"/>
      <c r="AG138" s="877"/>
      <c r="AH138" s="877"/>
      <c r="AI138" s="878"/>
      <c r="AJ138" s="877"/>
      <c r="AK138" s="877">
        <v>14</v>
      </c>
      <c r="AL138" s="877">
        <v>14</v>
      </c>
      <c r="AM138" s="921" t="str">
        <f t="shared" si="22"/>
        <v/>
      </c>
      <c r="AN138" s="887" t="str">
        <f t="shared" si="23"/>
        <v/>
      </c>
      <c r="AO138" s="887" t="str">
        <f t="shared" si="24"/>
        <v/>
      </c>
      <c r="AP138" s="887" t="str">
        <f t="shared" si="25"/>
        <v/>
      </c>
      <c r="AQ138" s="887" t="str">
        <f t="shared" si="26"/>
        <v/>
      </c>
      <c r="AR138" s="887" t="str">
        <f t="shared" si="27"/>
        <v/>
      </c>
      <c r="AS138" s="887" t="str">
        <f t="shared" si="28"/>
        <v/>
      </c>
      <c r="AT138" s="887" t="str">
        <f t="shared" si="29"/>
        <v/>
      </c>
      <c r="AU138" s="887" t="str">
        <f t="shared" si="30"/>
        <v/>
      </c>
      <c r="AV138" s="887" t="str">
        <f t="shared" si="31"/>
        <v/>
      </c>
      <c r="AW138" s="887" t="str">
        <f t="shared" si="32"/>
        <v/>
      </c>
      <c r="AX138" s="887" t="str">
        <f t="shared" si="35"/>
        <v/>
      </c>
      <c r="AY138" s="887" t="str">
        <f t="shared" si="36"/>
        <v/>
      </c>
      <c r="AZ138" s="877"/>
      <c r="BA138" s="877"/>
      <c r="BB138" s="877"/>
      <c r="BC138" s="877"/>
      <c r="BD138" s="877"/>
      <c r="BE138" s="877"/>
      <c r="BF138" s="877"/>
      <c r="BG138" s="877"/>
      <c r="BH138" s="877"/>
    </row>
    <row r="139" spans="22:60" ht="35.25" customHeight="1" x14ac:dyDescent="0.5">
      <c r="V139" s="877"/>
      <c r="W139" s="877"/>
      <c r="X139" s="877"/>
      <c r="Y139" s="877"/>
      <c r="Z139" s="877"/>
      <c r="AA139" s="877"/>
      <c r="AB139" s="877"/>
      <c r="AC139" s="877"/>
      <c r="AD139" s="877"/>
      <c r="AE139" s="877"/>
      <c r="AF139" s="877"/>
      <c r="AG139" s="877"/>
      <c r="AH139" s="877"/>
      <c r="AI139" s="878"/>
      <c r="AJ139" s="877"/>
      <c r="AK139" s="877">
        <v>15</v>
      </c>
      <c r="AL139" s="877">
        <v>15</v>
      </c>
      <c r="AM139" s="921" t="str">
        <f t="shared" si="22"/>
        <v/>
      </c>
      <c r="AN139" s="887" t="str">
        <f t="shared" si="23"/>
        <v/>
      </c>
      <c r="AO139" s="887" t="str">
        <f t="shared" si="24"/>
        <v/>
      </c>
      <c r="AP139" s="887" t="str">
        <f t="shared" si="25"/>
        <v/>
      </c>
      <c r="AQ139" s="887" t="str">
        <f t="shared" si="26"/>
        <v/>
      </c>
      <c r="AR139" s="887" t="str">
        <f t="shared" si="27"/>
        <v/>
      </c>
      <c r="AS139" s="887" t="str">
        <f t="shared" si="28"/>
        <v/>
      </c>
      <c r="AT139" s="887" t="str">
        <f t="shared" si="29"/>
        <v/>
      </c>
      <c r="AU139" s="887" t="str">
        <f t="shared" si="30"/>
        <v/>
      </c>
      <c r="AV139" s="887" t="str">
        <f t="shared" si="31"/>
        <v/>
      </c>
      <c r="AW139" s="887" t="str">
        <f t="shared" si="32"/>
        <v/>
      </c>
      <c r="AX139" s="887" t="str">
        <f t="shared" si="35"/>
        <v/>
      </c>
      <c r="AY139" s="887" t="str">
        <f t="shared" si="36"/>
        <v/>
      </c>
      <c r="AZ139" s="877"/>
      <c r="BA139" s="877"/>
      <c r="BB139" s="877"/>
      <c r="BC139" s="877"/>
      <c r="BD139" s="877"/>
      <c r="BE139" s="877"/>
      <c r="BF139" s="877"/>
      <c r="BG139" s="877"/>
      <c r="BH139" s="877"/>
    </row>
    <row r="140" spans="22:60" ht="35.25" customHeight="1" x14ac:dyDescent="0.5">
      <c r="V140" s="877"/>
      <c r="W140" s="877"/>
      <c r="X140" s="877"/>
      <c r="Y140" s="877"/>
      <c r="Z140" s="877"/>
      <c r="AA140" s="877"/>
      <c r="AB140" s="877"/>
      <c r="AC140" s="877"/>
      <c r="AD140" s="877"/>
      <c r="AE140" s="877"/>
      <c r="AF140" s="877"/>
      <c r="AG140" s="877"/>
      <c r="AH140" s="877"/>
      <c r="AI140" s="878"/>
      <c r="AJ140" s="877"/>
      <c r="AK140" s="877">
        <v>16</v>
      </c>
      <c r="AL140" s="877">
        <v>16</v>
      </c>
      <c r="AM140" s="921" t="str">
        <f t="shared" si="22"/>
        <v/>
      </c>
      <c r="AN140" s="887" t="str">
        <f t="shared" si="23"/>
        <v/>
      </c>
      <c r="AO140" s="887" t="str">
        <f t="shared" si="24"/>
        <v/>
      </c>
      <c r="AP140" s="887" t="str">
        <f t="shared" si="25"/>
        <v/>
      </c>
      <c r="AQ140" s="887" t="str">
        <f t="shared" si="26"/>
        <v/>
      </c>
      <c r="AR140" s="887" t="str">
        <f t="shared" si="27"/>
        <v/>
      </c>
      <c r="AS140" s="887" t="str">
        <f t="shared" si="28"/>
        <v/>
      </c>
      <c r="AT140" s="887" t="str">
        <f t="shared" si="29"/>
        <v/>
      </c>
      <c r="AU140" s="887" t="str">
        <f t="shared" si="30"/>
        <v/>
      </c>
      <c r="AV140" s="887" t="str">
        <f t="shared" si="31"/>
        <v/>
      </c>
      <c r="AW140" s="887" t="str">
        <f t="shared" si="32"/>
        <v/>
      </c>
      <c r="AX140" s="887" t="str">
        <f t="shared" si="35"/>
        <v/>
      </c>
      <c r="AY140" s="887" t="str">
        <f t="shared" si="36"/>
        <v/>
      </c>
      <c r="AZ140" s="877"/>
      <c r="BA140" s="877"/>
      <c r="BB140" s="877"/>
      <c r="BC140" s="877"/>
      <c r="BD140" s="877"/>
      <c r="BE140" s="877"/>
      <c r="BF140" s="877"/>
      <c r="BG140" s="877"/>
      <c r="BH140" s="877"/>
    </row>
    <row r="141" spans="22:60" ht="35.25" customHeight="1" x14ac:dyDescent="0.5">
      <c r="V141" s="877"/>
      <c r="W141" s="877"/>
      <c r="X141" s="877"/>
      <c r="Y141" s="877"/>
      <c r="Z141" s="877"/>
      <c r="AA141" s="877"/>
      <c r="AB141" s="877"/>
      <c r="AC141" s="877"/>
      <c r="AD141" s="877"/>
      <c r="AE141" s="877"/>
      <c r="AF141" s="877"/>
      <c r="AG141" s="877"/>
      <c r="AH141" s="877"/>
      <c r="AI141" s="878"/>
      <c r="AJ141" s="877"/>
      <c r="AK141" s="877">
        <v>17</v>
      </c>
      <c r="AL141" s="877">
        <v>17</v>
      </c>
      <c r="AM141" s="921" t="str">
        <f t="shared" si="22"/>
        <v/>
      </c>
      <c r="AN141" s="887" t="str">
        <f t="shared" si="23"/>
        <v/>
      </c>
      <c r="AO141" s="887" t="str">
        <f t="shared" si="24"/>
        <v/>
      </c>
      <c r="AP141" s="887" t="str">
        <f t="shared" si="25"/>
        <v/>
      </c>
      <c r="AQ141" s="887" t="str">
        <f t="shared" si="26"/>
        <v/>
      </c>
      <c r="AR141" s="887" t="str">
        <f t="shared" si="27"/>
        <v/>
      </c>
      <c r="AS141" s="887" t="str">
        <f t="shared" si="28"/>
        <v/>
      </c>
      <c r="AT141" s="887" t="str">
        <f t="shared" si="29"/>
        <v/>
      </c>
      <c r="AU141" s="887" t="str">
        <f t="shared" si="30"/>
        <v/>
      </c>
      <c r="AV141" s="887" t="str">
        <f t="shared" si="31"/>
        <v/>
      </c>
      <c r="AW141" s="887" t="str">
        <f t="shared" si="32"/>
        <v/>
      </c>
      <c r="AX141" s="887" t="str">
        <f t="shared" si="35"/>
        <v/>
      </c>
      <c r="AY141" s="887" t="str">
        <f t="shared" si="36"/>
        <v/>
      </c>
      <c r="AZ141" s="877"/>
      <c r="BA141" s="877"/>
      <c r="BB141" s="877"/>
      <c r="BC141" s="877"/>
      <c r="BD141" s="877" t="s">
        <v>680</v>
      </c>
      <c r="BE141" s="877"/>
      <c r="BF141" s="877"/>
      <c r="BG141" s="877"/>
      <c r="BH141" s="877"/>
    </row>
    <row r="142" spans="22:60" ht="35.25" customHeight="1" x14ac:dyDescent="0.5">
      <c r="V142" s="877"/>
      <c r="W142" s="877"/>
      <c r="X142" s="877"/>
      <c r="Y142" s="877"/>
      <c r="Z142" s="877"/>
      <c r="AA142" s="877"/>
      <c r="AB142" s="877"/>
      <c r="AC142" s="877"/>
      <c r="AD142" s="877"/>
      <c r="AE142" s="877"/>
      <c r="AF142" s="877"/>
      <c r="AG142" s="877"/>
      <c r="AH142" s="877"/>
      <c r="AI142" s="878"/>
      <c r="AJ142" s="877"/>
      <c r="AK142" s="877">
        <v>18</v>
      </c>
      <c r="AL142" s="877">
        <v>18</v>
      </c>
      <c r="AM142" s="921" t="str">
        <f t="shared" si="22"/>
        <v/>
      </c>
      <c r="AN142" s="887" t="str">
        <f t="shared" si="23"/>
        <v/>
      </c>
      <c r="AO142" s="887" t="str">
        <f t="shared" si="24"/>
        <v/>
      </c>
      <c r="AP142" s="887" t="str">
        <f t="shared" si="25"/>
        <v/>
      </c>
      <c r="AQ142" s="887" t="str">
        <f t="shared" si="26"/>
        <v/>
      </c>
      <c r="AR142" s="887" t="str">
        <f t="shared" si="27"/>
        <v/>
      </c>
      <c r="AS142" s="887" t="str">
        <f t="shared" si="28"/>
        <v/>
      </c>
      <c r="AT142" s="887" t="str">
        <f t="shared" si="29"/>
        <v/>
      </c>
      <c r="AU142" s="887" t="str">
        <f t="shared" si="30"/>
        <v/>
      </c>
      <c r="AV142" s="887" t="str">
        <f t="shared" si="31"/>
        <v/>
      </c>
      <c r="AW142" s="887" t="str">
        <f t="shared" si="32"/>
        <v/>
      </c>
      <c r="AX142" s="887" t="str">
        <f t="shared" si="35"/>
        <v/>
      </c>
      <c r="AY142" s="887" t="str">
        <f t="shared" si="36"/>
        <v/>
      </c>
      <c r="AZ142" s="877"/>
      <c r="BA142" s="877"/>
      <c r="BB142" s="877"/>
      <c r="BC142" s="877"/>
      <c r="BD142" s="877"/>
      <c r="BE142" s="877" t="s">
        <v>586</v>
      </c>
      <c r="BF142" s="877" t="s">
        <v>587</v>
      </c>
      <c r="BG142" s="877"/>
      <c r="BH142" s="877"/>
    </row>
    <row r="143" spans="22:60" ht="35.25" customHeight="1" x14ac:dyDescent="0.5">
      <c r="V143" s="877"/>
      <c r="W143" s="877"/>
      <c r="X143" s="877"/>
      <c r="Y143" s="877"/>
      <c r="Z143" s="877"/>
      <c r="AA143" s="877"/>
      <c r="AB143" s="877"/>
      <c r="AC143" s="877"/>
      <c r="AD143" s="877"/>
      <c r="AE143" s="877"/>
      <c r="AF143" s="877"/>
      <c r="AG143" s="877"/>
      <c r="AH143" s="877"/>
      <c r="AI143" s="878"/>
      <c r="AJ143" s="877"/>
      <c r="AK143" s="877">
        <v>19</v>
      </c>
      <c r="AL143" s="877">
        <v>19</v>
      </c>
      <c r="AM143" s="921" t="str">
        <f t="shared" si="22"/>
        <v/>
      </c>
      <c r="AN143" s="887" t="str">
        <f t="shared" si="23"/>
        <v/>
      </c>
      <c r="AO143" s="887" t="str">
        <f t="shared" si="24"/>
        <v/>
      </c>
      <c r="AP143" s="887" t="str">
        <f t="shared" si="25"/>
        <v/>
      </c>
      <c r="AQ143" s="887" t="str">
        <f t="shared" si="26"/>
        <v/>
      </c>
      <c r="AR143" s="887" t="str">
        <f t="shared" si="27"/>
        <v/>
      </c>
      <c r="AS143" s="887" t="str">
        <f t="shared" si="28"/>
        <v/>
      </c>
      <c r="AT143" s="887" t="str">
        <f t="shared" si="29"/>
        <v/>
      </c>
      <c r="AU143" s="887" t="str">
        <f t="shared" si="30"/>
        <v/>
      </c>
      <c r="AV143" s="887" t="str">
        <f t="shared" si="31"/>
        <v/>
      </c>
      <c r="AW143" s="887" t="str">
        <f t="shared" si="32"/>
        <v/>
      </c>
      <c r="AX143" s="887" t="str">
        <f t="shared" si="35"/>
        <v/>
      </c>
      <c r="AY143" s="887" t="str">
        <f t="shared" si="36"/>
        <v/>
      </c>
      <c r="AZ143" s="877"/>
      <c r="BA143" s="877"/>
      <c r="BB143" s="877"/>
      <c r="BC143" s="877"/>
      <c r="BD143" s="877" t="s">
        <v>42</v>
      </c>
      <c r="BE143" s="887">
        <f>AT9</f>
        <v>3000</v>
      </c>
      <c r="BF143" s="887">
        <f>AU9</f>
        <v>3000</v>
      </c>
      <c r="BG143" s="877"/>
      <c r="BH143" s="877"/>
    </row>
    <row r="144" spans="22:60" ht="35.25" customHeight="1" x14ac:dyDescent="0.5">
      <c r="V144" s="877"/>
      <c r="W144" s="877"/>
      <c r="X144" s="877"/>
      <c r="Y144" s="877"/>
      <c r="Z144" s="877"/>
      <c r="AA144" s="877"/>
      <c r="AB144" s="877"/>
      <c r="AC144" s="877"/>
      <c r="AD144" s="877"/>
      <c r="AE144" s="877"/>
      <c r="AF144" s="877"/>
      <c r="AG144" s="877"/>
      <c r="AH144" s="877"/>
      <c r="AI144" s="878"/>
      <c r="AJ144" s="877"/>
      <c r="AK144" s="877">
        <v>20</v>
      </c>
      <c r="AL144" s="877">
        <v>20</v>
      </c>
      <c r="AM144" s="921" t="str">
        <f t="shared" si="22"/>
        <v/>
      </c>
      <c r="AN144" s="887" t="str">
        <f t="shared" si="23"/>
        <v/>
      </c>
      <c r="AO144" s="887" t="str">
        <f t="shared" si="24"/>
        <v/>
      </c>
      <c r="AP144" s="887" t="str">
        <f t="shared" si="25"/>
        <v/>
      </c>
      <c r="AQ144" s="887" t="str">
        <f t="shared" si="26"/>
        <v/>
      </c>
      <c r="AR144" s="887" t="str">
        <f t="shared" si="27"/>
        <v/>
      </c>
      <c r="AS144" s="887" t="str">
        <f t="shared" si="28"/>
        <v/>
      </c>
      <c r="AT144" s="887" t="str">
        <f t="shared" si="29"/>
        <v/>
      </c>
      <c r="AU144" s="887" t="str">
        <f t="shared" si="30"/>
        <v/>
      </c>
      <c r="AV144" s="887" t="str">
        <f t="shared" si="31"/>
        <v/>
      </c>
      <c r="AW144" s="887" t="str">
        <f t="shared" si="32"/>
        <v/>
      </c>
      <c r="AX144" s="887" t="str">
        <f t="shared" si="35"/>
        <v/>
      </c>
      <c r="AY144" s="887" t="str">
        <f t="shared" si="36"/>
        <v/>
      </c>
      <c r="AZ144" s="877"/>
      <c r="BA144" s="877"/>
      <c r="BB144" s="877"/>
      <c r="BC144" s="877"/>
      <c r="BD144" s="877" t="s">
        <v>44</v>
      </c>
      <c r="BE144" s="887">
        <f>AX145</f>
        <v>3000</v>
      </c>
      <c r="BF144" s="887">
        <f>AY145</f>
        <v>3000</v>
      </c>
      <c r="BG144" s="877"/>
      <c r="BH144" s="877"/>
    </row>
    <row r="145" spans="22:60" ht="35.25" customHeight="1" x14ac:dyDescent="0.5">
      <c r="V145" s="877"/>
      <c r="W145" s="877"/>
      <c r="X145" s="877"/>
      <c r="Y145" s="877"/>
      <c r="Z145" s="877"/>
      <c r="AA145" s="877"/>
      <c r="AB145" s="877"/>
      <c r="AC145" s="877"/>
      <c r="AD145" s="877"/>
      <c r="AE145" s="877"/>
      <c r="AF145" s="877"/>
      <c r="AG145" s="877"/>
      <c r="AH145" s="877"/>
      <c r="AI145" s="878"/>
      <c r="AJ145" s="877"/>
      <c r="AK145" s="877"/>
      <c r="AL145" s="877"/>
      <c r="AM145" s="879"/>
      <c r="AN145" s="877"/>
      <c r="AO145" s="877"/>
      <c r="AP145" s="877"/>
      <c r="AQ145" s="877"/>
      <c r="AR145" s="877"/>
      <c r="AS145" s="877"/>
      <c r="AT145" s="887">
        <f>SUM(AT124:AT144)</f>
        <v>3000</v>
      </c>
      <c r="AU145" s="887">
        <f>SUM(AU124:AU144)</f>
        <v>3000</v>
      </c>
      <c r="AV145" s="887">
        <f>SUM(AV125:AV144)</f>
        <v>0</v>
      </c>
      <c r="AW145" s="887">
        <f>SUM(AW125:AW144)</f>
        <v>0</v>
      </c>
      <c r="AX145" s="887">
        <f>AT145-AV145</f>
        <v>3000</v>
      </c>
      <c r="AY145" s="887">
        <f>AU145-AW145</f>
        <v>3000</v>
      </c>
      <c r="AZ145" s="877"/>
      <c r="BA145" s="877"/>
      <c r="BB145" s="877"/>
      <c r="BC145" s="877"/>
      <c r="BD145" s="877" t="s">
        <v>94</v>
      </c>
      <c r="BE145" s="887">
        <f>AX166</f>
        <v>3000</v>
      </c>
      <c r="BF145" s="887">
        <f>AY166</f>
        <v>3000</v>
      </c>
      <c r="BG145" s="877"/>
      <c r="BH145" s="877"/>
    </row>
    <row r="146" spans="22:60" ht="35.25" customHeight="1" x14ac:dyDescent="0.5">
      <c r="V146" s="877"/>
      <c r="W146" s="877"/>
      <c r="X146" s="877"/>
      <c r="Y146" s="877"/>
      <c r="Z146" s="877"/>
      <c r="AA146" s="877"/>
      <c r="AB146" s="877"/>
      <c r="AC146" s="877"/>
      <c r="AD146" s="877"/>
      <c r="AE146" s="877"/>
      <c r="AF146" s="877"/>
      <c r="AG146" s="877"/>
      <c r="AH146" s="877"/>
      <c r="AI146" s="878"/>
      <c r="AJ146" s="877"/>
      <c r="AK146" s="877">
        <v>21</v>
      </c>
      <c r="AL146" s="877">
        <v>1</v>
      </c>
      <c r="AM146" s="921" t="str">
        <f t="shared" ref="AM146:AM165" si="37">IFERROR(VLOOKUP(AL146,Y10:AW111,15,0),"")</f>
        <v/>
      </c>
      <c r="AN146" s="887" t="str">
        <f t="shared" ref="AN146:AN165" si="38">IFERROR(VLOOKUP(AL146,Y10:AW111,16,0),"")</f>
        <v/>
      </c>
      <c r="AO146" s="887" t="str">
        <f t="shared" ref="AO146:AO165" si="39">IFERROR(VLOOKUP(AL146,Y10:AW111,17,0),"")</f>
        <v/>
      </c>
      <c r="AP146" s="887" t="str">
        <f t="shared" ref="AP146:AP165" si="40">IFERROR(VLOOKUP(AL146,Y10:AW111,18,0),"")</f>
        <v/>
      </c>
      <c r="AQ146" s="887" t="str">
        <f t="shared" ref="AQ146:AQ165" si="41">IFERROR(VLOOKUP(AL146,Y10:AW111,19,0),"")</f>
        <v/>
      </c>
      <c r="AR146" s="887" t="str">
        <f t="shared" ref="AR146:AR165" si="42">IFERROR(VLOOKUP(AL146,Y10:AW111,20,0),"")</f>
        <v/>
      </c>
      <c r="AS146" s="887" t="str">
        <f t="shared" ref="AS146:AS165" si="43">IFERROR(VLOOKUP(AL146,Y10:AW111,21,0),"")</f>
        <v/>
      </c>
      <c r="AT146" s="887" t="str">
        <f t="shared" ref="AT146:AT165" si="44">IFERROR(VLOOKUP(AL146,Y10:AW111,22,0),"")</f>
        <v/>
      </c>
      <c r="AU146" s="887" t="str">
        <f t="shared" ref="AU146:AU165" si="45">IFERROR(VLOOKUP(AL146,Y10:AW111,23,0),"")</f>
        <v/>
      </c>
      <c r="AV146" s="887" t="str">
        <f t="shared" ref="AV146:AV165" si="46">IFERROR(VLOOKUP(AL146,Y10:AW111,24,0),"")</f>
        <v/>
      </c>
      <c r="AW146" s="887" t="str">
        <f t="shared" ref="AW146:AW165" si="47">IFERROR(VLOOKUP(AL146,Y10:AW111,25,0),"")</f>
        <v/>
      </c>
      <c r="AX146" s="887" t="str">
        <f>IFERROR(AX144+AT146-AV146,"")</f>
        <v/>
      </c>
      <c r="AY146" s="887" t="str">
        <f>IFERROR(AY144+AU146-AW146,"")</f>
        <v/>
      </c>
      <c r="AZ146" s="877"/>
      <c r="BA146" s="877"/>
      <c r="BB146" s="877"/>
      <c r="BC146" s="877"/>
      <c r="BD146" s="877" t="s">
        <v>46</v>
      </c>
      <c r="BE146" s="887">
        <f>AX187</f>
        <v>3000</v>
      </c>
      <c r="BF146" s="887">
        <f>AY187</f>
        <v>3000</v>
      </c>
      <c r="BG146" s="877"/>
      <c r="BH146" s="877"/>
    </row>
    <row r="147" spans="22:60" ht="35.25" customHeight="1" x14ac:dyDescent="0.5">
      <c r="V147" s="877"/>
      <c r="W147" s="877"/>
      <c r="X147" s="877"/>
      <c r="Y147" s="877"/>
      <c r="Z147" s="877"/>
      <c r="AA147" s="877"/>
      <c r="AB147" s="877"/>
      <c r="AC147" s="877"/>
      <c r="AD147" s="877"/>
      <c r="AE147" s="877"/>
      <c r="AF147" s="877"/>
      <c r="AG147" s="877"/>
      <c r="AH147" s="877"/>
      <c r="AI147" s="878"/>
      <c r="AJ147" s="877"/>
      <c r="AK147" s="877">
        <v>22</v>
      </c>
      <c r="AL147" s="877">
        <v>2</v>
      </c>
      <c r="AM147" s="921" t="str">
        <f t="shared" si="37"/>
        <v/>
      </c>
      <c r="AN147" s="887" t="str">
        <f t="shared" si="38"/>
        <v/>
      </c>
      <c r="AO147" s="887" t="str">
        <f t="shared" si="39"/>
        <v/>
      </c>
      <c r="AP147" s="887" t="str">
        <f t="shared" si="40"/>
        <v/>
      </c>
      <c r="AQ147" s="887" t="str">
        <f t="shared" si="41"/>
        <v/>
      </c>
      <c r="AR147" s="887" t="str">
        <f t="shared" si="42"/>
        <v/>
      </c>
      <c r="AS147" s="887" t="str">
        <f t="shared" si="43"/>
        <v/>
      </c>
      <c r="AT147" s="887" t="str">
        <f t="shared" si="44"/>
        <v/>
      </c>
      <c r="AU147" s="887" t="str">
        <f t="shared" si="45"/>
        <v/>
      </c>
      <c r="AV147" s="887" t="str">
        <f t="shared" si="46"/>
        <v/>
      </c>
      <c r="AW147" s="887" t="str">
        <f t="shared" si="47"/>
        <v/>
      </c>
      <c r="AX147" s="887" t="str">
        <f t="shared" si="33"/>
        <v/>
      </c>
      <c r="AY147" s="887" t="str">
        <f t="shared" si="34"/>
        <v/>
      </c>
      <c r="AZ147" s="877"/>
      <c r="BA147" s="877"/>
      <c r="BB147" s="877"/>
      <c r="BC147" s="877"/>
      <c r="BD147" s="877" t="s">
        <v>34</v>
      </c>
      <c r="BE147" s="887">
        <f>AX208</f>
        <v>3000</v>
      </c>
      <c r="BF147" s="887">
        <f>AY208</f>
        <v>3000</v>
      </c>
      <c r="BG147" s="877"/>
      <c r="BH147" s="877"/>
    </row>
    <row r="148" spans="22:60" ht="35.25" customHeight="1" x14ac:dyDescent="0.5">
      <c r="V148" s="877"/>
      <c r="W148" s="877"/>
      <c r="X148" s="877"/>
      <c r="Y148" s="877"/>
      <c r="Z148" s="877"/>
      <c r="AA148" s="877"/>
      <c r="AB148" s="877"/>
      <c r="AC148" s="877"/>
      <c r="AD148" s="877"/>
      <c r="AE148" s="877"/>
      <c r="AF148" s="877"/>
      <c r="AG148" s="877"/>
      <c r="AH148" s="877"/>
      <c r="AI148" s="878"/>
      <c r="AJ148" s="877"/>
      <c r="AK148" s="877">
        <v>23</v>
      </c>
      <c r="AL148" s="877">
        <v>3</v>
      </c>
      <c r="AM148" s="921" t="str">
        <f t="shared" si="37"/>
        <v/>
      </c>
      <c r="AN148" s="887" t="str">
        <f t="shared" si="38"/>
        <v/>
      </c>
      <c r="AO148" s="887" t="str">
        <f t="shared" si="39"/>
        <v/>
      </c>
      <c r="AP148" s="887" t="str">
        <f t="shared" si="40"/>
        <v/>
      </c>
      <c r="AQ148" s="887" t="str">
        <f t="shared" si="41"/>
        <v/>
      </c>
      <c r="AR148" s="887" t="str">
        <f t="shared" si="42"/>
        <v/>
      </c>
      <c r="AS148" s="887" t="str">
        <f t="shared" si="43"/>
        <v/>
      </c>
      <c r="AT148" s="887" t="str">
        <f t="shared" si="44"/>
        <v/>
      </c>
      <c r="AU148" s="887" t="str">
        <f t="shared" si="45"/>
        <v/>
      </c>
      <c r="AV148" s="887" t="str">
        <f t="shared" si="46"/>
        <v/>
      </c>
      <c r="AW148" s="887" t="str">
        <f t="shared" si="47"/>
        <v/>
      </c>
      <c r="AX148" s="887" t="str">
        <f t="shared" si="33"/>
        <v/>
      </c>
      <c r="AY148" s="887" t="str">
        <f t="shared" si="34"/>
        <v/>
      </c>
      <c r="AZ148" s="877"/>
      <c r="BA148" s="877"/>
      <c r="BB148" s="877"/>
      <c r="BC148" s="877"/>
      <c r="BD148" s="877" t="s">
        <v>37</v>
      </c>
      <c r="BE148" s="887">
        <f>AX229</f>
        <v>3000</v>
      </c>
      <c r="BF148" s="887">
        <f>AY229</f>
        <v>3000</v>
      </c>
      <c r="BG148" s="877"/>
      <c r="BH148" s="877"/>
    </row>
    <row r="149" spans="22:60" ht="35.25" customHeight="1" x14ac:dyDescent="0.5">
      <c r="V149" s="877"/>
      <c r="W149" s="877"/>
      <c r="X149" s="877"/>
      <c r="Y149" s="877"/>
      <c r="Z149" s="877"/>
      <c r="AA149" s="877"/>
      <c r="AB149" s="877"/>
      <c r="AC149" s="877"/>
      <c r="AD149" s="877"/>
      <c r="AE149" s="877"/>
      <c r="AF149" s="877"/>
      <c r="AG149" s="877"/>
      <c r="AH149" s="877"/>
      <c r="AI149" s="878"/>
      <c r="AJ149" s="877"/>
      <c r="AK149" s="877">
        <v>24</v>
      </c>
      <c r="AL149" s="877">
        <v>4</v>
      </c>
      <c r="AM149" s="921" t="str">
        <f t="shared" si="37"/>
        <v/>
      </c>
      <c r="AN149" s="887" t="str">
        <f t="shared" si="38"/>
        <v/>
      </c>
      <c r="AO149" s="887" t="str">
        <f t="shared" si="39"/>
        <v/>
      </c>
      <c r="AP149" s="887" t="str">
        <f t="shared" si="40"/>
        <v/>
      </c>
      <c r="AQ149" s="887" t="str">
        <f t="shared" si="41"/>
        <v/>
      </c>
      <c r="AR149" s="887" t="str">
        <f t="shared" si="42"/>
        <v/>
      </c>
      <c r="AS149" s="887" t="str">
        <f t="shared" si="43"/>
        <v/>
      </c>
      <c r="AT149" s="887" t="str">
        <f t="shared" si="44"/>
        <v/>
      </c>
      <c r="AU149" s="887" t="str">
        <f t="shared" si="45"/>
        <v/>
      </c>
      <c r="AV149" s="887" t="str">
        <f t="shared" si="46"/>
        <v/>
      </c>
      <c r="AW149" s="887" t="str">
        <f t="shared" si="47"/>
        <v/>
      </c>
      <c r="AX149" s="887" t="str">
        <f t="shared" si="33"/>
        <v/>
      </c>
      <c r="AY149" s="887" t="str">
        <f t="shared" si="34"/>
        <v/>
      </c>
      <c r="AZ149" s="877"/>
      <c r="BA149" s="877"/>
      <c r="BB149" s="877"/>
      <c r="BC149" s="877"/>
      <c r="BD149" s="877" t="s">
        <v>47</v>
      </c>
      <c r="BE149" s="887">
        <f>AX250</f>
        <v>3000</v>
      </c>
      <c r="BF149" s="887">
        <f>AY250</f>
        <v>3000</v>
      </c>
      <c r="BG149" s="877"/>
      <c r="BH149" s="877"/>
    </row>
    <row r="150" spans="22:60" ht="35.25" customHeight="1" x14ac:dyDescent="0.5">
      <c r="V150" s="877"/>
      <c r="W150" s="877"/>
      <c r="X150" s="877"/>
      <c r="Y150" s="877"/>
      <c r="Z150" s="877"/>
      <c r="AA150" s="877"/>
      <c r="AB150" s="877"/>
      <c r="AC150" s="877"/>
      <c r="AD150" s="877"/>
      <c r="AE150" s="877"/>
      <c r="AF150" s="877"/>
      <c r="AG150" s="877"/>
      <c r="AH150" s="877"/>
      <c r="AI150" s="878"/>
      <c r="AJ150" s="877"/>
      <c r="AK150" s="877">
        <v>25</v>
      </c>
      <c r="AL150" s="877">
        <v>5</v>
      </c>
      <c r="AM150" s="921" t="str">
        <f t="shared" si="37"/>
        <v/>
      </c>
      <c r="AN150" s="887" t="str">
        <f t="shared" si="38"/>
        <v/>
      </c>
      <c r="AO150" s="887" t="str">
        <f t="shared" si="39"/>
        <v/>
      </c>
      <c r="AP150" s="887" t="str">
        <f t="shared" si="40"/>
        <v/>
      </c>
      <c r="AQ150" s="887" t="str">
        <f t="shared" si="41"/>
        <v/>
      </c>
      <c r="AR150" s="887" t="str">
        <f t="shared" si="42"/>
        <v/>
      </c>
      <c r="AS150" s="887" t="str">
        <f t="shared" si="43"/>
        <v/>
      </c>
      <c r="AT150" s="887" t="str">
        <f t="shared" si="44"/>
        <v/>
      </c>
      <c r="AU150" s="887" t="str">
        <f t="shared" si="45"/>
        <v/>
      </c>
      <c r="AV150" s="887" t="str">
        <f t="shared" si="46"/>
        <v/>
      </c>
      <c r="AW150" s="887" t="str">
        <f t="shared" si="47"/>
        <v/>
      </c>
      <c r="AX150" s="887" t="str">
        <f t="shared" si="33"/>
        <v/>
      </c>
      <c r="AY150" s="887" t="str">
        <f t="shared" si="34"/>
        <v/>
      </c>
      <c r="AZ150" s="877"/>
      <c r="BA150" s="877"/>
      <c r="BB150" s="877"/>
      <c r="BC150" s="877"/>
      <c r="BD150" s="877" t="s">
        <v>38</v>
      </c>
      <c r="BE150" s="887">
        <f>AX271</f>
        <v>3000</v>
      </c>
      <c r="BF150" s="887">
        <f>AY271</f>
        <v>3000</v>
      </c>
      <c r="BG150" s="877"/>
      <c r="BH150" s="877"/>
    </row>
    <row r="151" spans="22:60" ht="35.25" customHeight="1" x14ac:dyDescent="0.5">
      <c r="V151" s="877"/>
      <c r="W151" s="877"/>
      <c r="X151" s="877"/>
      <c r="Y151" s="877"/>
      <c r="Z151" s="877"/>
      <c r="AA151" s="877"/>
      <c r="AB151" s="877"/>
      <c r="AC151" s="877"/>
      <c r="AD151" s="877"/>
      <c r="AE151" s="877"/>
      <c r="AF151" s="877"/>
      <c r="AG151" s="877"/>
      <c r="AH151" s="877"/>
      <c r="AI151" s="878"/>
      <c r="AJ151" s="877"/>
      <c r="AK151" s="877">
        <v>26</v>
      </c>
      <c r="AL151" s="877">
        <v>6</v>
      </c>
      <c r="AM151" s="921" t="str">
        <f t="shared" si="37"/>
        <v/>
      </c>
      <c r="AN151" s="887" t="str">
        <f t="shared" si="38"/>
        <v/>
      </c>
      <c r="AO151" s="887" t="str">
        <f t="shared" si="39"/>
        <v/>
      </c>
      <c r="AP151" s="887" t="str">
        <f t="shared" si="40"/>
        <v/>
      </c>
      <c r="AQ151" s="887" t="str">
        <f t="shared" si="41"/>
        <v/>
      </c>
      <c r="AR151" s="887" t="str">
        <f t="shared" si="42"/>
        <v/>
      </c>
      <c r="AS151" s="887" t="str">
        <f t="shared" si="43"/>
        <v/>
      </c>
      <c r="AT151" s="887" t="str">
        <f t="shared" si="44"/>
        <v/>
      </c>
      <c r="AU151" s="887" t="str">
        <f t="shared" si="45"/>
        <v/>
      </c>
      <c r="AV151" s="887" t="str">
        <f t="shared" si="46"/>
        <v/>
      </c>
      <c r="AW151" s="887" t="str">
        <f t="shared" si="47"/>
        <v/>
      </c>
      <c r="AX151" s="887" t="str">
        <f t="shared" si="33"/>
        <v/>
      </c>
      <c r="AY151" s="887" t="str">
        <f t="shared" si="34"/>
        <v/>
      </c>
      <c r="AZ151" s="877"/>
      <c r="BA151" s="877"/>
      <c r="BB151" s="877"/>
      <c r="BC151" s="877"/>
      <c r="BD151" s="877" t="s">
        <v>39</v>
      </c>
      <c r="BE151" s="887">
        <f>AX292</f>
        <v>3000</v>
      </c>
      <c r="BF151" s="887">
        <f>AY292</f>
        <v>3000</v>
      </c>
      <c r="BG151" s="877"/>
      <c r="BH151" s="877"/>
    </row>
    <row r="152" spans="22:60" ht="35.25" customHeight="1" x14ac:dyDescent="0.5">
      <c r="V152" s="877"/>
      <c r="W152" s="877"/>
      <c r="X152" s="877"/>
      <c r="Y152" s="877"/>
      <c r="Z152" s="877"/>
      <c r="AA152" s="877"/>
      <c r="AB152" s="877"/>
      <c r="AC152" s="877"/>
      <c r="AD152" s="877"/>
      <c r="AE152" s="877"/>
      <c r="AF152" s="877"/>
      <c r="AG152" s="877"/>
      <c r="AH152" s="877"/>
      <c r="AI152" s="878"/>
      <c r="AJ152" s="877"/>
      <c r="AK152" s="877">
        <v>27</v>
      </c>
      <c r="AL152" s="877">
        <v>7</v>
      </c>
      <c r="AM152" s="921" t="str">
        <f t="shared" si="37"/>
        <v/>
      </c>
      <c r="AN152" s="887" t="str">
        <f t="shared" si="38"/>
        <v/>
      </c>
      <c r="AO152" s="887" t="str">
        <f t="shared" si="39"/>
        <v/>
      </c>
      <c r="AP152" s="887" t="str">
        <f t="shared" si="40"/>
        <v/>
      </c>
      <c r="AQ152" s="887" t="str">
        <f t="shared" si="41"/>
        <v/>
      </c>
      <c r="AR152" s="887" t="str">
        <f t="shared" si="42"/>
        <v/>
      </c>
      <c r="AS152" s="887" t="str">
        <f t="shared" si="43"/>
        <v/>
      </c>
      <c r="AT152" s="887" t="str">
        <f t="shared" si="44"/>
        <v/>
      </c>
      <c r="AU152" s="887" t="str">
        <f t="shared" si="45"/>
        <v/>
      </c>
      <c r="AV152" s="887" t="str">
        <f t="shared" si="46"/>
        <v/>
      </c>
      <c r="AW152" s="887" t="str">
        <f t="shared" si="47"/>
        <v/>
      </c>
      <c r="AX152" s="887" t="str">
        <f t="shared" si="33"/>
        <v/>
      </c>
      <c r="AY152" s="887" t="str">
        <f t="shared" si="34"/>
        <v/>
      </c>
      <c r="AZ152" s="877"/>
      <c r="BA152" s="877"/>
      <c r="BB152" s="877"/>
      <c r="BC152" s="877"/>
      <c r="BD152" s="877" t="s">
        <v>33</v>
      </c>
      <c r="BE152" s="887">
        <f>AX313</f>
        <v>3000</v>
      </c>
      <c r="BF152" s="887">
        <f>AY313</f>
        <v>3000</v>
      </c>
      <c r="BG152" s="877"/>
      <c r="BH152" s="877"/>
    </row>
    <row r="153" spans="22:60" ht="35.25" customHeight="1" x14ac:dyDescent="0.5">
      <c r="V153" s="877"/>
      <c r="W153" s="877"/>
      <c r="X153" s="877"/>
      <c r="Y153" s="877"/>
      <c r="Z153" s="877"/>
      <c r="AA153" s="877"/>
      <c r="AB153" s="877"/>
      <c r="AC153" s="877"/>
      <c r="AD153" s="877"/>
      <c r="AE153" s="877"/>
      <c r="AF153" s="877"/>
      <c r="AG153" s="877"/>
      <c r="AH153" s="877"/>
      <c r="AI153" s="878"/>
      <c r="AJ153" s="877"/>
      <c r="AK153" s="877">
        <v>28</v>
      </c>
      <c r="AL153" s="877">
        <v>8</v>
      </c>
      <c r="AM153" s="921" t="str">
        <f t="shared" si="37"/>
        <v/>
      </c>
      <c r="AN153" s="887" t="str">
        <f t="shared" si="38"/>
        <v/>
      </c>
      <c r="AO153" s="887" t="str">
        <f t="shared" si="39"/>
        <v/>
      </c>
      <c r="AP153" s="887" t="str">
        <f t="shared" si="40"/>
        <v/>
      </c>
      <c r="AQ153" s="887" t="str">
        <f t="shared" si="41"/>
        <v/>
      </c>
      <c r="AR153" s="887" t="str">
        <f t="shared" si="42"/>
        <v/>
      </c>
      <c r="AS153" s="887" t="str">
        <f t="shared" si="43"/>
        <v/>
      </c>
      <c r="AT153" s="887" t="str">
        <f t="shared" si="44"/>
        <v/>
      </c>
      <c r="AU153" s="887" t="str">
        <f t="shared" si="45"/>
        <v/>
      </c>
      <c r="AV153" s="887" t="str">
        <f t="shared" si="46"/>
        <v/>
      </c>
      <c r="AW153" s="887" t="str">
        <f t="shared" si="47"/>
        <v/>
      </c>
      <c r="AX153" s="887" t="str">
        <f t="shared" si="33"/>
        <v/>
      </c>
      <c r="AY153" s="887" t="str">
        <f t="shared" si="34"/>
        <v/>
      </c>
      <c r="AZ153" s="877"/>
      <c r="BA153" s="877"/>
      <c r="BB153" s="877"/>
      <c r="BC153" s="877"/>
      <c r="BD153" s="877" t="s">
        <v>40</v>
      </c>
      <c r="BE153" s="887">
        <f>AX334</f>
        <v>3000</v>
      </c>
      <c r="BF153" s="887">
        <f>AY334</f>
        <v>3000</v>
      </c>
      <c r="BG153" s="877"/>
      <c r="BH153" s="877"/>
    </row>
    <row r="154" spans="22:60" ht="35.25" customHeight="1" x14ac:dyDescent="0.5">
      <c r="V154" s="877"/>
      <c r="W154" s="877"/>
      <c r="X154" s="877"/>
      <c r="Y154" s="877"/>
      <c r="Z154" s="877"/>
      <c r="AA154" s="877"/>
      <c r="AB154" s="877"/>
      <c r="AC154" s="877"/>
      <c r="AD154" s="877"/>
      <c r="AE154" s="877"/>
      <c r="AF154" s="877"/>
      <c r="AG154" s="877"/>
      <c r="AH154" s="877"/>
      <c r="AI154" s="878"/>
      <c r="AJ154" s="877"/>
      <c r="AK154" s="877">
        <v>29</v>
      </c>
      <c r="AL154" s="877">
        <v>9</v>
      </c>
      <c r="AM154" s="921" t="str">
        <f t="shared" si="37"/>
        <v/>
      </c>
      <c r="AN154" s="887" t="str">
        <f t="shared" si="38"/>
        <v/>
      </c>
      <c r="AO154" s="887" t="str">
        <f t="shared" si="39"/>
        <v/>
      </c>
      <c r="AP154" s="887" t="str">
        <f t="shared" si="40"/>
        <v/>
      </c>
      <c r="AQ154" s="887" t="str">
        <f t="shared" si="41"/>
        <v/>
      </c>
      <c r="AR154" s="887" t="str">
        <f t="shared" si="42"/>
        <v/>
      </c>
      <c r="AS154" s="887" t="str">
        <f t="shared" si="43"/>
        <v/>
      </c>
      <c r="AT154" s="887" t="str">
        <f t="shared" si="44"/>
        <v/>
      </c>
      <c r="AU154" s="887" t="str">
        <f t="shared" si="45"/>
        <v/>
      </c>
      <c r="AV154" s="887" t="str">
        <f t="shared" si="46"/>
        <v/>
      </c>
      <c r="AW154" s="887" t="str">
        <f t="shared" si="47"/>
        <v/>
      </c>
      <c r="AX154" s="887" t="str">
        <f t="shared" si="33"/>
        <v/>
      </c>
      <c r="AY154" s="887" t="str">
        <f t="shared" si="34"/>
        <v/>
      </c>
      <c r="AZ154" s="877"/>
      <c r="BA154" s="877"/>
      <c r="BB154" s="877"/>
      <c r="BC154" s="877"/>
      <c r="BD154" s="877" t="s">
        <v>41</v>
      </c>
      <c r="BE154" s="887">
        <f>AX355</f>
        <v>3000</v>
      </c>
      <c r="BF154" s="887">
        <f>AY355</f>
        <v>3000</v>
      </c>
      <c r="BG154" s="877"/>
      <c r="BH154" s="877"/>
    </row>
    <row r="155" spans="22:60" ht="35.25" customHeight="1" x14ac:dyDescent="0.5">
      <c r="V155" s="877"/>
      <c r="W155" s="877"/>
      <c r="X155" s="877"/>
      <c r="Y155" s="877"/>
      <c r="Z155" s="877"/>
      <c r="AA155" s="877"/>
      <c r="AB155" s="877"/>
      <c r="AC155" s="877"/>
      <c r="AD155" s="877"/>
      <c r="AE155" s="877"/>
      <c r="AF155" s="877"/>
      <c r="AG155" s="877"/>
      <c r="AH155" s="877"/>
      <c r="AI155" s="878"/>
      <c r="AJ155" s="877"/>
      <c r="AK155" s="877">
        <v>30</v>
      </c>
      <c r="AL155" s="877">
        <v>10</v>
      </c>
      <c r="AM155" s="921" t="str">
        <f t="shared" si="37"/>
        <v/>
      </c>
      <c r="AN155" s="887" t="str">
        <f t="shared" si="38"/>
        <v/>
      </c>
      <c r="AO155" s="887" t="str">
        <f t="shared" si="39"/>
        <v/>
      </c>
      <c r="AP155" s="887" t="str">
        <f t="shared" si="40"/>
        <v/>
      </c>
      <c r="AQ155" s="887" t="str">
        <f t="shared" si="41"/>
        <v/>
      </c>
      <c r="AR155" s="887" t="str">
        <f t="shared" si="42"/>
        <v/>
      </c>
      <c r="AS155" s="887" t="str">
        <f t="shared" si="43"/>
        <v/>
      </c>
      <c r="AT155" s="887" t="str">
        <f t="shared" si="44"/>
        <v/>
      </c>
      <c r="AU155" s="887" t="str">
        <f t="shared" si="45"/>
        <v/>
      </c>
      <c r="AV155" s="887" t="str">
        <f t="shared" si="46"/>
        <v/>
      </c>
      <c r="AW155" s="887" t="str">
        <f t="shared" si="47"/>
        <v/>
      </c>
      <c r="AX155" s="887" t="str">
        <f t="shared" si="33"/>
        <v/>
      </c>
      <c r="AY155" s="887" t="str">
        <f t="shared" si="34"/>
        <v/>
      </c>
      <c r="AZ155" s="877"/>
      <c r="BA155" s="877"/>
      <c r="BB155" s="877"/>
      <c r="BC155" s="877"/>
      <c r="BD155" s="877"/>
      <c r="BE155" s="877"/>
      <c r="BF155" s="877"/>
      <c r="BG155" s="877"/>
      <c r="BH155" s="877"/>
    </row>
    <row r="156" spans="22:60" ht="35.25" customHeight="1" x14ac:dyDescent="0.5">
      <c r="V156" s="877"/>
      <c r="W156" s="877"/>
      <c r="X156" s="877"/>
      <c r="Y156" s="877"/>
      <c r="Z156" s="877"/>
      <c r="AA156" s="877"/>
      <c r="AB156" s="877"/>
      <c r="AC156" s="877"/>
      <c r="AD156" s="877"/>
      <c r="AE156" s="877"/>
      <c r="AF156" s="877"/>
      <c r="AG156" s="877"/>
      <c r="AH156" s="877"/>
      <c r="AI156" s="878"/>
      <c r="AJ156" s="877"/>
      <c r="AK156" s="877">
        <v>31</v>
      </c>
      <c r="AL156" s="877">
        <v>11</v>
      </c>
      <c r="AM156" s="921" t="str">
        <f t="shared" si="37"/>
        <v/>
      </c>
      <c r="AN156" s="887" t="str">
        <f t="shared" si="38"/>
        <v/>
      </c>
      <c r="AO156" s="887" t="str">
        <f t="shared" si="39"/>
        <v/>
      </c>
      <c r="AP156" s="887" t="str">
        <f t="shared" si="40"/>
        <v/>
      </c>
      <c r="AQ156" s="887" t="str">
        <f t="shared" si="41"/>
        <v/>
      </c>
      <c r="AR156" s="887" t="str">
        <f t="shared" si="42"/>
        <v/>
      </c>
      <c r="AS156" s="887" t="str">
        <f t="shared" si="43"/>
        <v/>
      </c>
      <c r="AT156" s="887" t="str">
        <f t="shared" si="44"/>
        <v/>
      </c>
      <c r="AU156" s="887" t="str">
        <f t="shared" si="45"/>
        <v/>
      </c>
      <c r="AV156" s="887" t="str">
        <f t="shared" si="46"/>
        <v/>
      </c>
      <c r="AW156" s="887" t="str">
        <f t="shared" si="47"/>
        <v/>
      </c>
      <c r="AX156" s="887" t="str">
        <f t="shared" si="33"/>
        <v/>
      </c>
      <c r="AY156" s="887" t="str">
        <f t="shared" si="34"/>
        <v/>
      </c>
      <c r="AZ156" s="877"/>
      <c r="BA156" s="877"/>
      <c r="BB156" s="877"/>
      <c r="BC156" s="877"/>
      <c r="BD156" s="877"/>
      <c r="BE156" s="877"/>
      <c r="BF156" s="877"/>
      <c r="BG156" s="877"/>
      <c r="BH156" s="877"/>
    </row>
    <row r="157" spans="22:60" ht="35.25" customHeight="1" x14ac:dyDescent="0.5">
      <c r="V157" s="877"/>
      <c r="W157" s="877"/>
      <c r="X157" s="877"/>
      <c r="Y157" s="877"/>
      <c r="Z157" s="877"/>
      <c r="AA157" s="877"/>
      <c r="AB157" s="877"/>
      <c r="AC157" s="877"/>
      <c r="AD157" s="877"/>
      <c r="AE157" s="877"/>
      <c r="AF157" s="877"/>
      <c r="AG157" s="877"/>
      <c r="AH157" s="877"/>
      <c r="AI157" s="878"/>
      <c r="AJ157" s="877"/>
      <c r="AK157" s="877">
        <v>32</v>
      </c>
      <c r="AL157" s="877">
        <v>12</v>
      </c>
      <c r="AM157" s="921" t="str">
        <f t="shared" si="37"/>
        <v/>
      </c>
      <c r="AN157" s="887" t="str">
        <f t="shared" si="38"/>
        <v/>
      </c>
      <c r="AO157" s="887" t="str">
        <f t="shared" si="39"/>
        <v/>
      </c>
      <c r="AP157" s="887" t="str">
        <f t="shared" si="40"/>
        <v/>
      </c>
      <c r="AQ157" s="887" t="str">
        <f t="shared" si="41"/>
        <v/>
      </c>
      <c r="AR157" s="887" t="str">
        <f t="shared" si="42"/>
        <v/>
      </c>
      <c r="AS157" s="887" t="str">
        <f t="shared" si="43"/>
        <v/>
      </c>
      <c r="AT157" s="887" t="str">
        <f t="shared" si="44"/>
        <v/>
      </c>
      <c r="AU157" s="887" t="str">
        <f t="shared" si="45"/>
        <v/>
      </c>
      <c r="AV157" s="887" t="str">
        <f t="shared" si="46"/>
        <v/>
      </c>
      <c r="AW157" s="887" t="str">
        <f t="shared" si="47"/>
        <v/>
      </c>
      <c r="AX157" s="887" t="str">
        <f t="shared" si="33"/>
        <v/>
      </c>
      <c r="AY157" s="887" t="str">
        <f t="shared" si="34"/>
        <v/>
      </c>
      <c r="AZ157" s="877"/>
      <c r="BA157" s="877"/>
      <c r="BB157" s="877"/>
      <c r="BC157" s="1489" t="s">
        <v>683</v>
      </c>
      <c r="BD157" s="1489"/>
      <c r="BE157" s="887">
        <f>AX376</f>
        <v>3000</v>
      </c>
      <c r="BF157" s="887">
        <f>AY376</f>
        <v>3000</v>
      </c>
      <c r="BG157" s="877"/>
      <c r="BH157" s="877"/>
    </row>
    <row r="158" spans="22:60" ht="35.25" customHeight="1" x14ac:dyDescent="0.5">
      <c r="V158" s="877"/>
      <c r="W158" s="877"/>
      <c r="X158" s="877"/>
      <c r="Y158" s="877"/>
      <c r="Z158" s="877"/>
      <c r="AA158" s="877"/>
      <c r="AB158" s="877"/>
      <c r="AC158" s="877"/>
      <c r="AD158" s="877"/>
      <c r="AE158" s="877"/>
      <c r="AF158" s="877"/>
      <c r="AG158" s="877"/>
      <c r="AH158" s="877"/>
      <c r="AI158" s="878"/>
      <c r="AJ158" s="877"/>
      <c r="AK158" s="877">
        <v>33</v>
      </c>
      <c r="AL158" s="877">
        <v>13</v>
      </c>
      <c r="AM158" s="921" t="str">
        <f t="shared" si="37"/>
        <v/>
      </c>
      <c r="AN158" s="887" t="str">
        <f t="shared" si="38"/>
        <v/>
      </c>
      <c r="AO158" s="887" t="str">
        <f t="shared" si="39"/>
        <v/>
      </c>
      <c r="AP158" s="887" t="str">
        <f t="shared" si="40"/>
        <v/>
      </c>
      <c r="AQ158" s="887" t="str">
        <f t="shared" si="41"/>
        <v/>
      </c>
      <c r="AR158" s="887" t="str">
        <f t="shared" si="42"/>
        <v/>
      </c>
      <c r="AS158" s="887" t="str">
        <f t="shared" si="43"/>
        <v/>
      </c>
      <c r="AT158" s="887" t="str">
        <f t="shared" si="44"/>
        <v/>
      </c>
      <c r="AU158" s="887" t="str">
        <f t="shared" si="45"/>
        <v/>
      </c>
      <c r="AV158" s="887" t="str">
        <f t="shared" si="46"/>
        <v/>
      </c>
      <c r="AW158" s="887" t="str">
        <f t="shared" si="47"/>
        <v/>
      </c>
      <c r="AX158" s="887" t="str">
        <f t="shared" si="33"/>
        <v/>
      </c>
      <c r="AY158" s="887" t="str">
        <f t="shared" si="34"/>
        <v/>
      </c>
      <c r="AZ158" s="877"/>
      <c r="BA158" s="877"/>
      <c r="BB158" s="877"/>
      <c r="BC158" s="877"/>
      <c r="BD158" s="877"/>
      <c r="BE158" s="877"/>
      <c r="BF158" s="877"/>
      <c r="BG158" s="877"/>
      <c r="BH158" s="877"/>
    </row>
    <row r="159" spans="22:60" ht="35.25" customHeight="1" x14ac:dyDescent="0.5">
      <c r="V159" s="877"/>
      <c r="W159" s="877"/>
      <c r="X159" s="877"/>
      <c r="Y159" s="877"/>
      <c r="Z159" s="877"/>
      <c r="AA159" s="877"/>
      <c r="AB159" s="877"/>
      <c r="AC159" s="877"/>
      <c r="AD159" s="877"/>
      <c r="AE159" s="877"/>
      <c r="AF159" s="877"/>
      <c r="AG159" s="877"/>
      <c r="AH159" s="877"/>
      <c r="AI159" s="878"/>
      <c r="AJ159" s="877"/>
      <c r="AK159" s="877">
        <v>34</v>
      </c>
      <c r="AL159" s="877">
        <v>14</v>
      </c>
      <c r="AM159" s="921" t="str">
        <f t="shared" si="37"/>
        <v/>
      </c>
      <c r="AN159" s="887" t="str">
        <f t="shared" si="38"/>
        <v/>
      </c>
      <c r="AO159" s="887" t="str">
        <f t="shared" si="39"/>
        <v/>
      </c>
      <c r="AP159" s="887" t="str">
        <f t="shared" si="40"/>
        <v/>
      </c>
      <c r="AQ159" s="887" t="str">
        <f t="shared" si="41"/>
        <v/>
      </c>
      <c r="AR159" s="887" t="str">
        <f t="shared" si="42"/>
        <v/>
      </c>
      <c r="AS159" s="887" t="str">
        <f t="shared" si="43"/>
        <v/>
      </c>
      <c r="AT159" s="887" t="str">
        <f t="shared" si="44"/>
        <v/>
      </c>
      <c r="AU159" s="887" t="str">
        <f t="shared" si="45"/>
        <v/>
      </c>
      <c r="AV159" s="887" t="str">
        <f t="shared" si="46"/>
        <v/>
      </c>
      <c r="AW159" s="887" t="str">
        <f t="shared" si="47"/>
        <v/>
      </c>
      <c r="AX159" s="887" t="str">
        <f t="shared" si="33"/>
        <v/>
      </c>
      <c r="AY159" s="887" t="str">
        <f t="shared" si="34"/>
        <v/>
      </c>
      <c r="AZ159" s="877"/>
      <c r="BA159" s="877"/>
      <c r="BB159" s="877"/>
      <c r="BC159" s="877"/>
      <c r="BD159" s="877"/>
      <c r="BE159" s="877"/>
      <c r="BF159" s="877"/>
      <c r="BG159" s="877"/>
      <c r="BH159" s="877"/>
    </row>
    <row r="160" spans="22:60" ht="35.25" customHeight="1" x14ac:dyDescent="0.5">
      <c r="V160" s="877"/>
      <c r="W160" s="877"/>
      <c r="X160" s="877"/>
      <c r="Y160" s="877"/>
      <c r="Z160" s="877"/>
      <c r="AA160" s="877"/>
      <c r="AB160" s="877"/>
      <c r="AC160" s="877"/>
      <c r="AD160" s="877"/>
      <c r="AE160" s="877"/>
      <c r="AF160" s="877"/>
      <c r="AG160" s="877"/>
      <c r="AH160" s="877"/>
      <c r="AI160" s="878"/>
      <c r="AJ160" s="877"/>
      <c r="AK160" s="877">
        <v>35</v>
      </c>
      <c r="AL160" s="877">
        <v>15</v>
      </c>
      <c r="AM160" s="921" t="str">
        <f t="shared" si="37"/>
        <v/>
      </c>
      <c r="AN160" s="887" t="str">
        <f t="shared" si="38"/>
        <v/>
      </c>
      <c r="AO160" s="887" t="str">
        <f t="shared" si="39"/>
        <v/>
      </c>
      <c r="AP160" s="887" t="str">
        <f t="shared" si="40"/>
        <v/>
      </c>
      <c r="AQ160" s="887" t="str">
        <f t="shared" si="41"/>
        <v/>
      </c>
      <c r="AR160" s="887" t="str">
        <f t="shared" si="42"/>
        <v/>
      </c>
      <c r="AS160" s="887" t="str">
        <f t="shared" si="43"/>
        <v/>
      </c>
      <c r="AT160" s="887" t="str">
        <f t="shared" si="44"/>
        <v/>
      </c>
      <c r="AU160" s="887" t="str">
        <f t="shared" si="45"/>
        <v/>
      </c>
      <c r="AV160" s="887" t="str">
        <f t="shared" si="46"/>
        <v/>
      </c>
      <c r="AW160" s="887" t="str">
        <f t="shared" si="47"/>
        <v/>
      </c>
      <c r="AX160" s="887" t="str">
        <f t="shared" si="33"/>
        <v/>
      </c>
      <c r="AY160" s="887" t="str">
        <f t="shared" si="34"/>
        <v/>
      </c>
      <c r="AZ160" s="877"/>
      <c r="BA160" s="877"/>
      <c r="BB160" s="877"/>
      <c r="BC160" s="877"/>
      <c r="BD160" s="877"/>
      <c r="BE160" s="877"/>
      <c r="BF160" s="877"/>
      <c r="BG160" s="877"/>
      <c r="BH160" s="877"/>
    </row>
    <row r="161" spans="22:60" ht="35.25" customHeight="1" x14ac:dyDescent="0.5">
      <c r="V161" s="877"/>
      <c r="W161" s="877"/>
      <c r="X161" s="877"/>
      <c r="Y161" s="877"/>
      <c r="Z161" s="877"/>
      <c r="AA161" s="877"/>
      <c r="AB161" s="877"/>
      <c r="AC161" s="877"/>
      <c r="AD161" s="877"/>
      <c r="AE161" s="877"/>
      <c r="AF161" s="877"/>
      <c r="AG161" s="877"/>
      <c r="AH161" s="877"/>
      <c r="AI161" s="878"/>
      <c r="AJ161" s="877"/>
      <c r="AK161" s="877">
        <v>36</v>
      </c>
      <c r="AL161" s="877">
        <v>16</v>
      </c>
      <c r="AM161" s="921" t="str">
        <f t="shared" si="37"/>
        <v/>
      </c>
      <c r="AN161" s="887" t="str">
        <f t="shared" si="38"/>
        <v/>
      </c>
      <c r="AO161" s="887" t="str">
        <f t="shared" si="39"/>
        <v/>
      </c>
      <c r="AP161" s="887" t="str">
        <f t="shared" si="40"/>
        <v/>
      </c>
      <c r="AQ161" s="887" t="str">
        <f t="shared" si="41"/>
        <v/>
      </c>
      <c r="AR161" s="887" t="str">
        <f t="shared" si="42"/>
        <v/>
      </c>
      <c r="AS161" s="887" t="str">
        <f t="shared" si="43"/>
        <v/>
      </c>
      <c r="AT161" s="887" t="str">
        <f t="shared" si="44"/>
        <v/>
      </c>
      <c r="AU161" s="887" t="str">
        <f t="shared" si="45"/>
        <v/>
      </c>
      <c r="AV161" s="887" t="str">
        <f t="shared" si="46"/>
        <v/>
      </c>
      <c r="AW161" s="887" t="str">
        <f t="shared" si="47"/>
        <v/>
      </c>
      <c r="AX161" s="887" t="str">
        <f t="shared" si="33"/>
        <v/>
      </c>
      <c r="AY161" s="887" t="str">
        <f t="shared" si="34"/>
        <v/>
      </c>
      <c r="AZ161" s="877"/>
      <c r="BA161" s="877"/>
      <c r="BB161" s="877"/>
      <c r="BC161" s="877"/>
      <c r="BD161" s="877"/>
      <c r="BE161" s="877"/>
      <c r="BF161" s="877"/>
      <c r="BG161" s="877"/>
      <c r="BH161" s="877"/>
    </row>
    <row r="162" spans="22:60" ht="35.25" customHeight="1" x14ac:dyDescent="0.5">
      <c r="V162" s="877"/>
      <c r="W162" s="877"/>
      <c r="X162" s="877"/>
      <c r="Y162" s="877"/>
      <c r="Z162" s="877"/>
      <c r="AA162" s="877"/>
      <c r="AB162" s="877"/>
      <c r="AC162" s="877"/>
      <c r="AD162" s="877"/>
      <c r="AE162" s="877"/>
      <c r="AF162" s="877"/>
      <c r="AG162" s="877"/>
      <c r="AH162" s="877"/>
      <c r="AI162" s="878"/>
      <c r="AJ162" s="877"/>
      <c r="AK162" s="877">
        <v>37</v>
      </c>
      <c r="AL162" s="877">
        <v>17</v>
      </c>
      <c r="AM162" s="921" t="str">
        <f t="shared" si="37"/>
        <v/>
      </c>
      <c r="AN162" s="887" t="str">
        <f t="shared" si="38"/>
        <v/>
      </c>
      <c r="AO162" s="887" t="str">
        <f t="shared" si="39"/>
        <v/>
      </c>
      <c r="AP162" s="887" t="str">
        <f t="shared" si="40"/>
        <v/>
      </c>
      <c r="AQ162" s="887" t="str">
        <f t="shared" si="41"/>
        <v/>
      </c>
      <c r="AR162" s="887" t="str">
        <f t="shared" si="42"/>
        <v/>
      </c>
      <c r="AS162" s="887" t="str">
        <f t="shared" si="43"/>
        <v/>
      </c>
      <c r="AT162" s="887" t="str">
        <f t="shared" si="44"/>
        <v/>
      </c>
      <c r="AU162" s="887" t="str">
        <f t="shared" si="45"/>
        <v/>
      </c>
      <c r="AV162" s="887" t="str">
        <f t="shared" si="46"/>
        <v/>
      </c>
      <c r="AW162" s="887" t="str">
        <f t="shared" si="47"/>
        <v/>
      </c>
      <c r="AX162" s="887" t="str">
        <f t="shared" si="33"/>
        <v/>
      </c>
      <c r="AY162" s="887" t="str">
        <f t="shared" si="34"/>
        <v/>
      </c>
      <c r="AZ162" s="877"/>
      <c r="BA162" s="877"/>
      <c r="BB162" s="877"/>
      <c r="BC162" s="877"/>
      <c r="BD162" s="877"/>
      <c r="BE162" s="877"/>
      <c r="BF162" s="877"/>
      <c r="BG162" s="877"/>
      <c r="BH162" s="877"/>
    </row>
    <row r="163" spans="22:60" ht="35.25" customHeight="1" x14ac:dyDescent="0.5">
      <c r="V163" s="877"/>
      <c r="W163" s="877"/>
      <c r="X163" s="877"/>
      <c r="Y163" s="877"/>
      <c r="Z163" s="877"/>
      <c r="AA163" s="877"/>
      <c r="AB163" s="877"/>
      <c r="AC163" s="877"/>
      <c r="AD163" s="877"/>
      <c r="AE163" s="877"/>
      <c r="AF163" s="877"/>
      <c r="AG163" s="877"/>
      <c r="AH163" s="877"/>
      <c r="AI163" s="878"/>
      <c r="AJ163" s="877"/>
      <c r="AK163" s="877">
        <v>38</v>
      </c>
      <c r="AL163" s="877">
        <v>18</v>
      </c>
      <c r="AM163" s="921" t="str">
        <f t="shared" si="37"/>
        <v/>
      </c>
      <c r="AN163" s="887" t="str">
        <f t="shared" si="38"/>
        <v/>
      </c>
      <c r="AO163" s="887" t="str">
        <f t="shared" si="39"/>
        <v/>
      </c>
      <c r="AP163" s="887" t="str">
        <f t="shared" si="40"/>
        <v/>
      </c>
      <c r="AQ163" s="887" t="str">
        <f t="shared" si="41"/>
        <v/>
      </c>
      <c r="AR163" s="887" t="str">
        <f t="shared" si="42"/>
        <v/>
      </c>
      <c r="AS163" s="887" t="str">
        <f t="shared" si="43"/>
        <v/>
      </c>
      <c r="AT163" s="887" t="str">
        <f t="shared" si="44"/>
        <v/>
      </c>
      <c r="AU163" s="887" t="str">
        <f t="shared" si="45"/>
        <v/>
      </c>
      <c r="AV163" s="887" t="str">
        <f t="shared" si="46"/>
        <v/>
      </c>
      <c r="AW163" s="887" t="str">
        <f t="shared" si="47"/>
        <v/>
      </c>
      <c r="AX163" s="887" t="str">
        <f t="shared" si="33"/>
        <v/>
      </c>
      <c r="AY163" s="887" t="str">
        <f t="shared" si="34"/>
        <v/>
      </c>
      <c r="AZ163" s="877"/>
      <c r="BA163" s="877"/>
      <c r="BB163" s="877"/>
      <c r="BC163" s="877"/>
      <c r="BD163" s="877"/>
      <c r="BE163" s="877"/>
      <c r="BF163" s="877"/>
      <c r="BG163" s="877"/>
      <c r="BH163" s="877"/>
    </row>
    <row r="164" spans="22:60" ht="35.25" customHeight="1" x14ac:dyDescent="0.5">
      <c r="V164" s="877"/>
      <c r="W164" s="877"/>
      <c r="X164" s="877"/>
      <c r="Y164" s="877"/>
      <c r="Z164" s="877"/>
      <c r="AA164" s="877"/>
      <c r="AB164" s="877"/>
      <c r="AC164" s="877"/>
      <c r="AD164" s="877"/>
      <c r="AE164" s="877"/>
      <c r="AF164" s="877"/>
      <c r="AG164" s="877"/>
      <c r="AH164" s="877"/>
      <c r="AI164" s="878"/>
      <c r="AJ164" s="877"/>
      <c r="AK164" s="877">
        <v>39</v>
      </c>
      <c r="AL164" s="877">
        <v>19</v>
      </c>
      <c r="AM164" s="921" t="str">
        <f t="shared" si="37"/>
        <v/>
      </c>
      <c r="AN164" s="887" t="str">
        <f t="shared" si="38"/>
        <v/>
      </c>
      <c r="AO164" s="887" t="str">
        <f t="shared" si="39"/>
        <v/>
      </c>
      <c r="AP164" s="887" t="str">
        <f t="shared" si="40"/>
        <v/>
      </c>
      <c r="AQ164" s="887" t="str">
        <f t="shared" si="41"/>
        <v/>
      </c>
      <c r="AR164" s="887" t="str">
        <f t="shared" si="42"/>
        <v/>
      </c>
      <c r="AS164" s="887" t="str">
        <f t="shared" si="43"/>
        <v/>
      </c>
      <c r="AT164" s="887" t="str">
        <f t="shared" si="44"/>
        <v/>
      </c>
      <c r="AU164" s="887" t="str">
        <f t="shared" si="45"/>
        <v/>
      </c>
      <c r="AV164" s="887" t="str">
        <f t="shared" si="46"/>
        <v/>
      </c>
      <c r="AW164" s="887" t="str">
        <f t="shared" si="47"/>
        <v/>
      </c>
      <c r="AX164" s="887" t="str">
        <f t="shared" si="33"/>
        <v/>
      </c>
      <c r="AY164" s="887" t="str">
        <f t="shared" si="34"/>
        <v/>
      </c>
      <c r="AZ164" s="877"/>
      <c r="BA164" s="877"/>
      <c r="BB164" s="877"/>
      <c r="BC164" s="877"/>
      <c r="BD164" s="877"/>
      <c r="BE164" s="877"/>
      <c r="BF164" s="877"/>
      <c r="BG164" s="877"/>
      <c r="BH164" s="877"/>
    </row>
    <row r="165" spans="22:60" ht="35.25" customHeight="1" x14ac:dyDescent="0.5">
      <c r="V165" s="877"/>
      <c r="W165" s="877"/>
      <c r="X165" s="877"/>
      <c r="Y165" s="877"/>
      <c r="Z165" s="877"/>
      <c r="AA165" s="877"/>
      <c r="AB165" s="877"/>
      <c r="AC165" s="877"/>
      <c r="AD165" s="877"/>
      <c r="AE165" s="877"/>
      <c r="AF165" s="877"/>
      <c r="AG165" s="877"/>
      <c r="AH165" s="877"/>
      <c r="AI165" s="878"/>
      <c r="AJ165" s="877"/>
      <c r="AK165" s="877">
        <v>40</v>
      </c>
      <c r="AL165" s="877">
        <v>20</v>
      </c>
      <c r="AM165" s="921" t="str">
        <f t="shared" si="37"/>
        <v/>
      </c>
      <c r="AN165" s="887" t="str">
        <f t="shared" si="38"/>
        <v/>
      </c>
      <c r="AO165" s="887" t="str">
        <f t="shared" si="39"/>
        <v/>
      </c>
      <c r="AP165" s="887" t="str">
        <f t="shared" si="40"/>
        <v/>
      </c>
      <c r="AQ165" s="887" t="str">
        <f t="shared" si="41"/>
        <v/>
      </c>
      <c r="AR165" s="887" t="str">
        <f t="shared" si="42"/>
        <v/>
      </c>
      <c r="AS165" s="887" t="str">
        <f t="shared" si="43"/>
        <v/>
      </c>
      <c r="AT165" s="887" t="str">
        <f t="shared" si="44"/>
        <v/>
      </c>
      <c r="AU165" s="887" t="str">
        <f t="shared" si="45"/>
        <v/>
      </c>
      <c r="AV165" s="887" t="str">
        <f t="shared" si="46"/>
        <v/>
      </c>
      <c r="AW165" s="887" t="str">
        <f t="shared" si="47"/>
        <v/>
      </c>
      <c r="AX165" s="887" t="str">
        <f t="shared" si="33"/>
        <v/>
      </c>
      <c r="AY165" s="887" t="str">
        <f t="shared" si="34"/>
        <v/>
      </c>
      <c r="AZ165" s="877"/>
      <c r="BA165" s="877"/>
      <c r="BB165" s="877"/>
      <c r="BC165" s="877"/>
      <c r="BD165" s="877"/>
      <c r="BE165" s="877"/>
      <c r="BF165" s="877"/>
      <c r="BG165" s="877"/>
      <c r="BH165" s="877"/>
    </row>
    <row r="166" spans="22:60" ht="35.25" customHeight="1" x14ac:dyDescent="0.5">
      <c r="V166" s="877"/>
      <c r="W166" s="877"/>
      <c r="X166" s="877"/>
      <c r="Y166" s="877"/>
      <c r="Z166" s="877"/>
      <c r="AA166" s="877"/>
      <c r="AB166" s="877"/>
      <c r="AC166" s="877"/>
      <c r="AD166" s="877"/>
      <c r="AE166" s="877"/>
      <c r="AF166" s="877"/>
      <c r="AG166" s="877"/>
      <c r="AH166" s="877"/>
      <c r="AI166" s="878"/>
      <c r="AJ166" s="877"/>
      <c r="AK166" s="877"/>
      <c r="AL166" s="877"/>
      <c r="AM166" s="879"/>
      <c r="AN166" s="877"/>
      <c r="AO166" s="877"/>
      <c r="AP166" s="877"/>
      <c r="AQ166" s="877"/>
      <c r="AR166" s="877"/>
      <c r="AS166" s="877"/>
      <c r="AT166" s="887">
        <f>SUM(AT146:AT165)</f>
        <v>0</v>
      </c>
      <c r="AU166" s="887">
        <f>SUM(AU146:AU165)</f>
        <v>0</v>
      </c>
      <c r="AV166" s="887">
        <f>SUM(AV146:AV165)</f>
        <v>0</v>
      </c>
      <c r="AW166" s="887">
        <f>SUM(AW146:AW165)</f>
        <v>0</v>
      </c>
      <c r="AX166" s="887">
        <f>AX145+AT166-AV166</f>
        <v>3000</v>
      </c>
      <c r="AY166" s="887">
        <f>AY145+AU166-AW166</f>
        <v>3000</v>
      </c>
      <c r="AZ166" s="877"/>
      <c r="BA166" s="877"/>
      <c r="BB166" s="877"/>
      <c r="BC166" s="877"/>
      <c r="BD166" s="877"/>
      <c r="BE166" s="877"/>
      <c r="BF166" s="877"/>
      <c r="BG166" s="877"/>
      <c r="BH166" s="877"/>
    </row>
    <row r="167" spans="22:60" ht="35.25" customHeight="1" x14ac:dyDescent="0.5">
      <c r="V167" s="877"/>
      <c r="W167" s="877"/>
      <c r="X167" s="877"/>
      <c r="Y167" s="877"/>
      <c r="Z167" s="877"/>
      <c r="AA167" s="877"/>
      <c r="AB167" s="877"/>
      <c r="AC167" s="877"/>
      <c r="AD167" s="877"/>
      <c r="AE167" s="877"/>
      <c r="AF167" s="877"/>
      <c r="AG167" s="877"/>
      <c r="AH167" s="877"/>
      <c r="AI167" s="878"/>
      <c r="AJ167" s="877"/>
      <c r="AK167" s="877">
        <v>41</v>
      </c>
      <c r="AL167" s="877">
        <v>1</v>
      </c>
      <c r="AM167" s="921" t="str">
        <f t="shared" ref="AM167:AM186" si="48">IFERROR(VLOOKUP(AL167,Z10:AW111,14,0),"")</f>
        <v/>
      </c>
      <c r="AN167" s="887" t="str">
        <f t="shared" ref="AN167:AN186" si="49">IFERROR(VLOOKUP(AL167,Z10:AW111,15,0),"")</f>
        <v/>
      </c>
      <c r="AO167" s="887" t="str">
        <f t="shared" ref="AO167:AO186" si="50">IFERROR(VLOOKUP(AL167,Z10:AW111,16,0),"")</f>
        <v/>
      </c>
      <c r="AP167" s="887" t="str">
        <f t="shared" ref="AP167:AP186" si="51">IFERROR(VLOOKUP(AL167,Z10:AW111,17,0),"")</f>
        <v/>
      </c>
      <c r="AQ167" s="887" t="str">
        <f t="shared" ref="AQ167:AQ186" si="52">IFERROR(VLOOKUP(AL167,Z10:AW111,18,0),"")</f>
        <v/>
      </c>
      <c r="AR167" s="887" t="str">
        <f t="shared" ref="AR167:AR186" si="53">IFERROR(VLOOKUP(AL167,Z10:AW111,19,0),"")</f>
        <v/>
      </c>
      <c r="AS167" s="887" t="str">
        <f t="shared" ref="AS167:AS186" si="54">IFERROR(VLOOKUP(AL167,Z10:AW111,20,0),"")</f>
        <v/>
      </c>
      <c r="AT167" s="887" t="str">
        <f t="shared" ref="AT167:AT186" si="55">IFERROR(VLOOKUP(AL167,Z10:AW111,21,0),"")</f>
        <v/>
      </c>
      <c r="AU167" s="887" t="str">
        <f t="shared" ref="AU167:AU186" si="56">IFERROR(VLOOKUP(AL167,Z10:AW111,22,0),"")</f>
        <v/>
      </c>
      <c r="AV167" s="887" t="str">
        <f t="shared" ref="AV167:AV186" si="57">IFERROR(VLOOKUP(AL167,Z10:AW111,23,0),"")</f>
        <v/>
      </c>
      <c r="AW167" s="887" t="str">
        <f t="shared" ref="AW167:AW186" si="58">IFERROR(VLOOKUP(AL167,Z10:AW111,24,0),"")</f>
        <v/>
      </c>
      <c r="AX167" s="887" t="str">
        <f>IFERROR(AX165+AT167-AV167,"")</f>
        <v/>
      </c>
      <c r="AY167" s="887" t="str">
        <f>IFERROR(AY165+AU167-AW167,"")</f>
        <v/>
      </c>
      <c r="AZ167" s="877"/>
      <c r="BA167" s="877"/>
      <c r="BB167" s="877"/>
      <c r="BC167" s="877"/>
      <c r="BD167" s="877"/>
      <c r="BE167" s="877"/>
      <c r="BF167" s="877"/>
      <c r="BG167" s="877"/>
      <c r="BH167" s="877"/>
    </row>
    <row r="168" spans="22:60" ht="35.25" customHeight="1" x14ac:dyDescent="0.5">
      <c r="V168" s="877"/>
      <c r="W168" s="877"/>
      <c r="X168" s="877"/>
      <c r="Y168" s="877"/>
      <c r="Z168" s="877"/>
      <c r="AA168" s="877"/>
      <c r="AB168" s="877"/>
      <c r="AC168" s="877"/>
      <c r="AD168" s="877"/>
      <c r="AE168" s="877"/>
      <c r="AF168" s="877"/>
      <c r="AG168" s="877"/>
      <c r="AH168" s="877"/>
      <c r="AI168" s="878"/>
      <c r="AJ168" s="877"/>
      <c r="AK168" s="877">
        <v>42</v>
      </c>
      <c r="AL168" s="877">
        <v>2</v>
      </c>
      <c r="AM168" s="921" t="str">
        <f t="shared" si="48"/>
        <v/>
      </c>
      <c r="AN168" s="887" t="str">
        <f t="shared" si="49"/>
        <v/>
      </c>
      <c r="AO168" s="887" t="str">
        <f t="shared" si="50"/>
        <v/>
      </c>
      <c r="AP168" s="887" t="str">
        <f t="shared" si="51"/>
        <v/>
      </c>
      <c r="AQ168" s="887" t="str">
        <f t="shared" si="52"/>
        <v/>
      </c>
      <c r="AR168" s="887" t="str">
        <f t="shared" si="53"/>
        <v/>
      </c>
      <c r="AS168" s="887" t="str">
        <f t="shared" si="54"/>
        <v/>
      </c>
      <c r="AT168" s="887" t="str">
        <f t="shared" si="55"/>
        <v/>
      </c>
      <c r="AU168" s="887" t="str">
        <f t="shared" si="56"/>
        <v/>
      </c>
      <c r="AV168" s="887" t="str">
        <f t="shared" si="57"/>
        <v/>
      </c>
      <c r="AW168" s="887" t="str">
        <f t="shared" si="58"/>
        <v/>
      </c>
      <c r="AX168" s="887" t="str">
        <f t="shared" si="33"/>
        <v/>
      </c>
      <c r="AY168" s="887" t="str">
        <f t="shared" si="34"/>
        <v/>
      </c>
      <c r="AZ168" s="877"/>
      <c r="BA168" s="877"/>
      <c r="BB168" s="877"/>
      <c r="BC168" s="877"/>
      <c r="BD168" s="877"/>
      <c r="BE168" s="877"/>
      <c r="BF168" s="877"/>
      <c r="BG168" s="877"/>
      <c r="BH168" s="877"/>
    </row>
    <row r="169" spans="22:60" ht="35.25" customHeight="1" x14ac:dyDescent="0.5">
      <c r="V169" s="877"/>
      <c r="W169" s="877"/>
      <c r="X169" s="877"/>
      <c r="Y169" s="877"/>
      <c r="Z169" s="877"/>
      <c r="AA169" s="877"/>
      <c r="AB169" s="877"/>
      <c r="AC169" s="877"/>
      <c r="AD169" s="877"/>
      <c r="AE169" s="877"/>
      <c r="AF169" s="877"/>
      <c r="AG169" s="877"/>
      <c r="AH169" s="877"/>
      <c r="AI169" s="878"/>
      <c r="AJ169" s="877"/>
      <c r="AK169" s="877">
        <v>43</v>
      </c>
      <c r="AL169" s="877">
        <v>3</v>
      </c>
      <c r="AM169" s="921" t="str">
        <f t="shared" si="48"/>
        <v/>
      </c>
      <c r="AN169" s="887" t="str">
        <f t="shared" si="49"/>
        <v/>
      </c>
      <c r="AO169" s="887" t="str">
        <f t="shared" si="50"/>
        <v/>
      </c>
      <c r="AP169" s="887" t="str">
        <f t="shared" si="51"/>
        <v/>
      </c>
      <c r="AQ169" s="887" t="str">
        <f t="shared" si="52"/>
        <v/>
      </c>
      <c r="AR169" s="887" t="str">
        <f t="shared" si="53"/>
        <v/>
      </c>
      <c r="AS169" s="887" t="str">
        <f t="shared" si="54"/>
        <v/>
      </c>
      <c r="AT169" s="887" t="str">
        <f t="shared" si="55"/>
        <v/>
      </c>
      <c r="AU169" s="887" t="str">
        <f t="shared" si="56"/>
        <v/>
      </c>
      <c r="AV169" s="887" t="str">
        <f t="shared" si="57"/>
        <v/>
      </c>
      <c r="AW169" s="887" t="str">
        <f t="shared" si="58"/>
        <v/>
      </c>
      <c r="AX169" s="887" t="str">
        <f t="shared" si="33"/>
        <v/>
      </c>
      <c r="AY169" s="887" t="str">
        <f t="shared" si="34"/>
        <v/>
      </c>
      <c r="AZ169" s="877"/>
      <c r="BA169" s="877"/>
      <c r="BB169" s="877"/>
      <c r="BC169" s="877"/>
      <c r="BD169" s="877"/>
      <c r="BE169" s="877"/>
      <c r="BF169" s="877"/>
      <c r="BG169" s="877"/>
      <c r="BH169" s="877"/>
    </row>
    <row r="170" spans="22:60" ht="35.25" customHeight="1" x14ac:dyDescent="0.5">
      <c r="V170" s="877"/>
      <c r="W170" s="877"/>
      <c r="X170" s="877"/>
      <c r="Y170" s="877"/>
      <c r="Z170" s="877"/>
      <c r="AA170" s="877"/>
      <c r="AB170" s="877"/>
      <c r="AC170" s="877"/>
      <c r="AD170" s="877"/>
      <c r="AE170" s="877"/>
      <c r="AF170" s="877"/>
      <c r="AG170" s="877"/>
      <c r="AH170" s="877"/>
      <c r="AI170" s="878"/>
      <c r="AJ170" s="877"/>
      <c r="AK170" s="877">
        <v>44</v>
      </c>
      <c r="AL170" s="877">
        <v>4</v>
      </c>
      <c r="AM170" s="921" t="str">
        <f t="shared" si="48"/>
        <v/>
      </c>
      <c r="AN170" s="887" t="str">
        <f t="shared" si="49"/>
        <v/>
      </c>
      <c r="AO170" s="887" t="str">
        <f t="shared" si="50"/>
        <v/>
      </c>
      <c r="AP170" s="887" t="str">
        <f t="shared" si="51"/>
        <v/>
      </c>
      <c r="AQ170" s="887" t="str">
        <f t="shared" si="52"/>
        <v/>
      </c>
      <c r="AR170" s="887" t="str">
        <f t="shared" si="53"/>
        <v/>
      </c>
      <c r="AS170" s="887" t="str">
        <f t="shared" si="54"/>
        <v/>
      </c>
      <c r="AT170" s="887" t="str">
        <f t="shared" si="55"/>
        <v/>
      </c>
      <c r="AU170" s="887" t="str">
        <f t="shared" si="56"/>
        <v/>
      </c>
      <c r="AV170" s="887" t="str">
        <f t="shared" si="57"/>
        <v/>
      </c>
      <c r="AW170" s="887" t="str">
        <f t="shared" si="58"/>
        <v/>
      </c>
      <c r="AX170" s="887" t="str">
        <f t="shared" si="33"/>
        <v/>
      </c>
      <c r="AY170" s="887" t="str">
        <f t="shared" si="34"/>
        <v/>
      </c>
      <c r="AZ170" s="877"/>
      <c r="BA170" s="877"/>
      <c r="BB170" s="877"/>
      <c r="BC170" s="877"/>
      <c r="BD170" s="877"/>
      <c r="BE170" s="877"/>
      <c r="BF170" s="877"/>
      <c r="BG170" s="877"/>
      <c r="BH170" s="877"/>
    </row>
    <row r="171" spans="22:60" ht="35.25" customHeight="1" x14ac:dyDescent="0.5">
      <c r="V171" s="877"/>
      <c r="W171" s="877"/>
      <c r="X171" s="877"/>
      <c r="Y171" s="877"/>
      <c r="Z171" s="877"/>
      <c r="AA171" s="877"/>
      <c r="AB171" s="877"/>
      <c r="AC171" s="877"/>
      <c r="AD171" s="877"/>
      <c r="AE171" s="877"/>
      <c r="AF171" s="877"/>
      <c r="AG171" s="877"/>
      <c r="AH171" s="877"/>
      <c r="AI171" s="878"/>
      <c r="AJ171" s="877"/>
      <c r="AK171" s="877">
        <v>45</v>
      </c>
      <c r="AL171" s="877">
        <v>5</v>
      </c>
      <c r="AM171" s="921" t="str">
        <f t="shared" si="48"/>
        <v/>
      </c>
      <c r="AN171" s="887" t="str">
        <f t="shared" si="49"/>
        <v/>
      </c>
      <c r="AO171" s="887" t="str">
        <f t="shared" si="50"/>
        <v/>
      </c>
      <c r="AP171" s="887" t="str">
        <f t="shared" si="51"/>
        <v/>
      </c>
      <c r="AQ171" s="887" t="str">
        <f t="shared" si="52"/>
        <v/>
      </c>
      <c r="AR171" s="887" t="str">
        <f t="shared" si="53"/>
        <v/>
      </c>
      <c r="AS171" s="887" t="str">
        <f t="shared" si="54"/>
        <v/>
      </c>
      <c r="AT171" s="887" t="str">
        <f t="shared" si="55"/>
        <v/>
      </c>
      <c r="AU171" s="887" t="str">
        <f t="shared" si="56"/>
        <v/>
      </c>
      <c r="AV171" s="887" t="str">
        <f t="shared" si="57"/>
        <v/>
      </c>
      <c r="AW171" s="887" t="str">
        <f t="shared" si="58"/>
        <v/>
      </c>
      <c r="AX171" s="887" t="str">
        <f t="shared" si="33"/>
        <v/>
      </c>
      <c r="AY171" s="887" t="str">
        <f t="shared" si="34"/>
        <v/>
      </c>
      <c r="AZ171" s="877"/>
      <c r="BA171" s="877"/>
      <c r="BB171" s="877"/>
      <c r="BC171" s="877"/>
      <c r="BD171" s="877"/>
      <c r="BE171" s="877"/>
      <c r="BF171" s="877"/>
      <c r="BG171" s="877"/>
      <c r="BH171" s="877"/>
    </row>
    <row r="172" spans="22:60" ht="35.25" customHeight="1" x14ac:dyDescent="0.5">
      <c r="V172" s="877"/>
      <c r="W172" s="877"/>
      <c r="X172" s="877"/>
      <c r="Y172" s="877"/>
      <c r="Z172" s="877"/>
      <c r="AA172" s="877"/>
      <c r="AB172" s="877"/>
      <c r="AC172" s="877"/>
      <c r="AD172" s="877"/>
      <c r="AE172" s="877"/>
      <c r="AF172" s="877"/>
      <c r="AG172" s="877"/>
      <c r="AH172" s="877"/>
      <c r="AI172" s="878"/>
      <c r="AJ172" s="877"/>
      <c r="AK172" s="877">
        <v>46</v>
      </c>
      <c r="AL172" s="877">
        <v>6</v>
      </c>
      <c r="AM172" s="921" t="str">
        <f t="shared" si="48"/>
        <v/>
      </c>
      <c r="AN172" s="887" t="str">
        <f t="shared" si="49"/>
        <v/>
      </c>
      <c r="AO172" s="887" t="str">
        <f t="shared" si="50"/>
        <v/>
      </c>
      <c r="AP172" s="887" t="str">
        <f t="shared" si="51"/>
        <v/>
      </c>
      <c r="AQ172" s="887" t="str">
        <f t="shared" si="52"/>
        <v/>
      </c>
      <c r="AR172" s="887" t="str">
        <f t="shared" si="53"/>
        <v/>
      </c>
      <c r="AS172" s="887" t="str">
        <f t="shared" si="54"/>
        <v/>
      </c>
      <c r="AT172" s="887" t="str">
        <f t="shared" si="55"/>
        <v/>
      </c>
      <c r="AU172" s="887" t="str">
        <f t="shared" si="56"/>
        <v/>
      </c>
      <c r="AV172" s="887" t="str">
        <f t="shared" si="57"/>
        <v/>
      </c>
      <c r="AW172" s="887" t="str">
        <f t="shared" si="58"/>
        <v/>
      </c>
      <c r="AX172" s="887" t="str">
        <f t="shared" si="33"/>
        <v/>
      </c>
      <c r="AY172" s="887" t="str">
        <f t="shared" si="34"/>
        <v/>
      </c>
      <c r="AZ172" s="877"/>
      <c r="BA172" s="877"/>
      <c r="BB172" s="877"/>
      <c r="BC172" s="877"/>
      <c r="BD172" s="877"/>
      <c r="BE172" s="877"/>
      <c r="BF172" s="877"/>
      <c r="BG172" s="877"/>
      <c r="BH172" s="877"/>
    </row>
    <row r="173" spans="22:60" ht="35.25" customHeight="1" x14ac:dyDescent="0.5">
      <c r="V173" s="877"/>
      <c r="W173" s="877"/>
      <c r="X173" s="877"/>
      <c r="Y173" s="877"/>
      <c r="Z173" s="877"/>
      <c r="AA173" s="877"/>
      <c r="AB173" s="877"/>
      <c r="AC173" s="877"/>
      <c r="AD173" s="877"/>
      <c r="AE173" s="877"/>
      <c r="AF173" s="877"/>
      <c r="AG173" s="877"/>
      <c r="AH173" s="877"/>
      <c r="AI173" s="878"/>
      <c r="AJ173" s="877"/>
      <c r="AK173" s="877">
        <v>47</v>
      </c>
      <c r="AL173" s="877">
        <v>7</v>
      </c>
      <c r="AM173" s="921" t="str">
        <f t="shared" si="48"/>
        <v/>
      </c>
      <c r="AN173" s="887" t="str">
        <f t="shared" si="49"/>
        <v/>
      </c>
      <c r="AO173" s="887" t="str">
        <f t="shared" si="50"/>
        <v/>
      </c>
      <c r="AP173" s="887" t="str">
        <f t="shared" si="51"/>
        <v/>
      </c>
      <c r="AQ173" s="887" t="str">
        <f t="shared" si="52"/>
        <v/>
      </c>
      <c r="AR173" s="887" t="str">
        <f t="shared" si="53"/>
        <v/>
      </c>
      <c r="AS173" s="887" t="str">
        <f t="shared" si="54"/>
        <v/>
      </c>
      <c r="AT173" s="887" t="str">
        <f t="shared" si="55"/>
        <v/>
      </c>
      <c r="AU173" s="887" t="str">
        <f t="shared" si="56"/>
        <v/>
      </c>
      <c r="AV173" s="887" t="str">
        <f t="shared" si="57"/>
        <v/>
      </c>
      <c r="AW173" s="887" t="str">
        <f t="shared" si="58"/>
        <v/>
      </c>
      <c r="AX173" s="887" t="str">
        <f t="shared" si="33"/>
        <v/>
      </c>
      <c r="AY173" s="887" t="str">
        <f t="shared" si="34"/>
        <v/>
      </c>
      <c r="AZ173" s="877"/>
      <c r="BA173" s="877"/>
      <c r="BB173" s="877"/>
      <c r="BC173" s="877"/>
      <c r="BD173" s="877"/>
      <c r="BE173" s="877"/>
      <c r="BF173" s="877"/>
      <c r="BG173" s="877"/>
      <c r="BH173" s="877"/>
    </row>
    <row r="174" spans="22:60" ht="35.25" customHeight="1" x14ac:dyDescent="0.5">
      <c r="V174" s="877"/>
      <c r="W174" s="877"/>
      <c r="X174" s="877"/>
      <c r="Y174" s="877"/>
      <c r="Z174" s="877"/>
      <c r="AA174" s="877"/>
      <c r="AB174" s="877"/>
      <c r="AC174" s="877"/>
      <c r="AD174" s="877"/>
      <c r="AE174" s="877"/>
      <c r="AF174" s="877"/>
      <c r="AG174" s="877"/>
      <c r="AH174" s="877"/>
      <c r="AI174" s="878"/>
      <c r="AJ174" s="877"/>
      <c r="AK174" s="877">
        <v>48</v>
      </c>
      <c r="AL174" s="877">
        <v>8</v>
      </c>
      <c r="AM174" s="921" t="str">
        <f t="shared" si="48"/>
        <v/>
      </c>
      <c r="AN174" s="887" t="str">
        <f t="shared" si="49"/>
        <v/>
      </c>
      <c r="AO174" s="887" t="str">
        <f t="shared" si="50"/>
        <v/>
      </c>
      <c r="AP174" s="887" t="str">
        <f t="shared" si="51"/>
        <v/>
      </c>
      <c r="AQ174" s="887" t="str">
        <f t="shared" si="52"/>
        <v/>
      </c>
      <c r="AR174" s="887" t="str">
        <f t="shared" si="53"/>
        <v/>
      </c>
      <c r="AS174" s="887" t="str">
        <f t="shared" si="54"/>
        <v/>
      </c>
      <c r="AT174" s="887" t="str">
        <f t="shared" si="55"/>
        <v/>
      </c>
      <c r="AU174" s="887" t="str">
        <f t="shared" si="56"/>
        <v/>
      </c>
      <c r="AV174" s="887" t="str">
        <f t="shared" si="57"/>
        <v/>
      </c>
      <c r="AW174" s="887" t="str">
        <f t="shared" si="58"/>
        <v/>
      </c>
      <c r="AX174" s="887" t="str">
        <f t="shared" si="33"/>
        <v/>
      </c>
      <c r="AY174" s="887" t="str">
        <f t="shared" si="34"/>
        <v/>
      </c>
      <c r="AZ174" s="877"/>
      <c r="BA174" s="877"/>
      <c r="BB174" s="877"/>
      <c r="BC174" s="877"/>
      <c r="BD174" s="877"/>
      <c r="BE174" s="877"/>
      <c r="BF174" s="877"/>
      <c r="BG174" s="877"/>
      <c r="BH174" s="877"/>
    </row>
    <row r="175" spans="22:60" ht="35.25" customHeight="1" x14ac:dyDescent="0.5">
      <c r="V175" s="877"/>
      <c r="W175" s="877"/>
      <c r="X175" s="877"/>
      <c r="Y175" s="877"/>
      <c r="Z175" s="877"/>
      <c r="AA175" s="877"/>
      <c r="AB175" s="877"/>
      <c r="AC175" s="877"/>
      <c r="AD175" s="877"/>
      <c r="AE175" s="877"/>
      <c r="AF175" s="877"/>
      <c r="AG175" s="877"/>
      <c r="AH175" s="877"/>
      <c r="AI175" s="878"/>
      <c r="AJ175" s="877"/>
      <c r="AK175" s="877">
        <v>49</v>
      </c>
      <c r="AL175" s="877">
        <v>9</v>
      </c>
      <c r="AM175" s="921" t="str">
        <f t="shared" si="48"/>
        <v/>
      </c>
      <c r="AN175" s="887" t="str">
        <f t="shared" si="49"/>
        <v/>
      </c>
      <c r="AO175" s="887" t="str">
        <f t="shared" si="50"/>
        <v/>
      </c>
      <c r="AP175" s="887" t="str">
        <f t="shared" si="51"/>
        <v/>
      </c>
      <c r="AQ175" s="887" t="str">
        <f t="shared" si="52"/>
        <v/>
      </c>
      <c r="AR175" s="887" t="str">
        <f t="shared" si="53"/>
        <v/>
      </c>
      <c r="AS175" s="887" t="str">
        <f t="shared" si="54"/>
        <v/>
      </c>
      <c r="AT175" s="887" t="str">
        <f t="shared" si="55"/>
        <v/>
      </c>
      <c r="AU175" s="887" t="str">
        <f t="shared" si="56"/>
        <v/>
      </c>
      <c r="AV175" s="887" t="str">
        <f t="shared" si="57"/>
        <v/>
      </c>
      <c r="AW175" s="887" t="str">
        <f t="shared" si="58"/>
        <v/>
      </c>
      <c r="AX175" s="887" t="str">
        <f t="shared" si="33"/>
        <v/>
      </c>
      <c r="AY175" s="887" t="str">
        <f t="shared" si="34"/>
        <v/>
      </c>
      <c r="AZ175" s="877"/>
      <c r="BA175" s="877"/>
      <c r="BB175" s="877"/>
      <c r="BC175" s="877"/>
      <c r="BD175" s="877"/>
      <c r="BE175" s="877"/>
      <c r="BF175" s="877"/>
      <c r="BG175" s="877"/>
      <c r="BH175" s="877"/>
    </row>
    <row r="176" spans="22:60" ht="35.25" customHeight="1" x14ac:dyDescent="0.5">
      <c r="V176" s="877"/>
      <c r="W176" s="877"/>
      <c r="X176" s="877"/>
      <c r="Y176" s="877"/>
      <c r="Z176" s="877"/>
      <c r="AA176" s="877"/>
      <c r="AB176" s="877"/>
      <c r="AC176" s="877"/>
      <c r="AD176" s="877"/>
      <c r="AE176" s="877"/>
      <c r="AF176" s="877"/>
      <c r="AG176" s="877"/>
      <c r="AH176" s="877"/>
      <c r="AI176" s="878"/>
      <c r="AJ176" s="877"/>
      <c r="AK176" s="877">
        <v>50</v>
      </c>
      <c r="AL176" s="877">
        <v>10</v>
      </c>
      <c r="AM176" s="921" t="str">
        <f t="shared" si="48"/>
        <v/>
      </c>
      <c r="AN176" s="887" t="str">
        <f t="shared" si="49"/>
        <v/>
      </c>
      <c r="AO176" s="887" t="str">
        <f t="shared" si="50"/>
        <v/>
      </c>
      <c r="AP176" s="887" t="str">
        <f t="shared" si="51"/>
        <v/>
      </c>
      <c r="AQ176" s="887" t="str">
        <f t="shared" si="52"/>
        <v/>
      </c>
      <c r="AR176" s="887" t="str">
        <f t="shared" si="53"/>
        <v/>
      </c>
      <c r="AS176" s="887" t="str">
        <f t="shared" si="54"/>
        <v/>
      </c>
      <c r="AT176" s="887" t="str">
        <f t="shared" si="55"/>
        <v/>
      </c>
      <c r="AU176" s="887" t="str">
        <f t="shared" si="56"/>
        <v/>
      </c>
      <c r="AV176" s="887" t="str">
        <f t="shared" si="57"/>
        <v/>
      </c>
      <c r="AW176" s="887" t="str">
        <f t="shared" si="58"/>
        <v/>
      </c>
      <c r="AX176" s="887" t="str">
        <f t="shared" si="33"/>
        <v/>
      </c>
      <c r="AY176" s="887" t="str">
        <f t="shared" si="34"/>
        <v/>
      </c>
      <c r="AZ176" s="877"/>
      <c r="BA176" s="877"/>
      <c r="BB176" s="877"/>
      <c r="BC176" s="877"/>
      <c r="BD176" s="877"/>
      <c r="BE176" s="877"/>
      <c r="BF176" s="877"/>
      <c r="BG176" s="877"/>
      <c r="BH176" s="877"/>
    </row>
    <row r="177" spans="22:60" ht="35.25" customHeight="1" x14ac:dyDescent="0.5">
      <c r="V177" s="877"/>
      <c r="W177" s="877"/>
      <c r="X177" s="877"/>
      <c r="Y177" s="877"/>
      <c r="Z177" s="877"/>
      <c r="AA177" s="877"/>
      <c r="AB177" s="877"/>
      <c r="AC177" s="877"/>
      <c r="AD177" s="877"/>
      <c r="AE177" s="877"/>
      <c r="AF177" s="877"/>
      <c r="AG177" s="877"/>
      <c r="AH177" s="877"/>
      <c r="AI177" s="878"/>
      <c r="AJ177" s="877"/>
      <c r="AK177" s="877">
        <v>51</v>
      </c>
      <c r="AL177" s="877">
        <v>11</v>
      </c>
      <c r="AM177" s="921" t="str">
        <f t="shared" si="48"/>
        <v/>
      </c>
      <c r="AN177" s="887" t="str">
        <f t="shared" si="49"/>
        <v/>
      </c>
      <c r="AO177" s="887" t="str">
        <f t="shared" si="50"/>
        <v/>
      </c>
      <c r="AP177" s="887" t="str">
        <f t="shared" si="51"/>
        <v/>
      </c>
      <c r="AQ177" s="887" t="str">
        <f t="shared" si="52"/>
        <v/>
      </c>
      <c r="AR177" s="887" t="str">
        <f t="shared" si="53"/>
        <v/>
      </c>
      <c r="AS177" s="887" t="str">
        <f t="shared" si="54"/>
        <v/>
      </c>
      <c r="AT177" s="887" t="str">
        <f t="shared" si="55"/>
        <v/>
      </c>
      <c r="AU177" s="887" t="str">
        <f t="shared" si="56"/>
        <v/>
      </c>
      <c r="AV177" s="887" t="str">
        <f t="shared" si="57"/>
        <v/>
      </c>
      <c r="AW177" s="887" t="str">
        <f t="shared" si="58"/>
        <v/>
      </c>
      <c r="AX177" s="887" t="str">
        <f t="shared" si="33"/>
        <v/>
      </c>
      <c r="AY177" s="887" t="str">
        <f t="shared" si="34"/>
        <v/>
      </c>
      <c r="AZ177" s="877"/>
      <c r="BA177" s="877"/>
      <c r="BB177" s="877"/>
      <c r="BC177" s="877"/>
      <c r="BD177" s="877"/>
      <c r="BE177" s="877"/>
      <c r="BF177" s="877"/>
      <c r="BG177" s="877"/>
      <c r="BH177" s="877"/>
    </row>
    <row r="178" spans="22:60" ht="35.25" customHeight="1" x14ac:dyDescent="0.5">
      <c r="V178" s="877"/>
      <c r="W178" s="877"/>
      <c r="X178" s="877"/>
      <c r="Y178" s="877"/>
      <c r="Z178" s="877"/>
      <c r="AA178" s="877"/>
      <c r="AB178" s="877"/>
      <c r="AC178" s="877"/>
      <c r="AD178" s="877"/>
      <c r="AE178" s="877"/>
      <c r="AF178" s="877"/>
      <c r="AG178" s="877"/>
      <c r="AH178" s="877"/>
      <c r="AI178" s="878"/>
      <c r="AJ178" s="877"/>
      <c r="AK178" s="877">
        <v>52</v>
      </c>
      <c r="AL178" s="877">
        <v>12</v>
      </c>
      <c r="AM178" s="921" t="str">
        <f t="shared" si="48"/>
        <v/>
      </c>
      <c r="AN178" s="887" t="str">
        <f t="shared" si="49"/>
        <v/>
      </c>
      <c r="AO178" s="887" t="str">
        <f t="shared" si="50"/>
        <v/>
      </c>
      <c r="AP178" s="887" t="str">
        <f t="shared" si="51"/>
        <v/>
      </c>
      <c r="AQ178" s="887" t="str">
        <f t="shared" si="52"/>
        <v/>
      </c>
      <c r="AR178" s="887" t="str">
        <f t="shared" si="53"/>
        <v/>
      </c>
      <c r="AS178" s="887" t="str">
        <f t="shared" si="54"/>
        <v/>
      </c>
      <c r="AT178" s="887" t="str">
        <f t="shared" si="55"/>
        <v/>
      </c>
      <c r="AU178" s="887" t="str">
        <f t="shared" si="56"/>
        <v/>
      </c>
      <c r="AV178" s="887" t="str">
        <f t="shared" si="57"/>
        <v/>
      </c>
      <c r="AW178" s="887" t="str">
        <f t="shared" si="58"/>
        <v/>
      </c>
      <c r="AX178" s="887" t="str">
        <f t="shared" si="33"/>
        <v/>
      </c>
      <c r="AY178" s="887" t="str">
        <f t="shared" si="34"/>
        <v/>
      </c>
      <c r="AZ178" s="877"/>
      <c r="BA178" s="877"/>
      <c r="BB178" s="877"/>
      <c r="BC178" s="877"/>
      <c r="BD178" s="877"/>
      <c r="BE178" s="877"/>
      <c r="BF178" s="877"/>
      <c r="BG178" s="877"/>
      <c r="BH178" s="877"/>
    </row>
    <row r="179" spans="22:60" ht="35.25" customHeight="1" x14ac:dyDescent="0.5">
      <c r="V179" s="877"/>
      <c r="W179" s="877"/>
      <c r="X179" s="877"/>
      <c r="Y179" s="877"/>
      <c r="Z179" s="877"/>
      <c r="AA179" s="877"/>
      <c r="AB179" s="877"/>
      <c r="AC179" s="877"/>
      <c r="AD179" s="877"/>
      <c r="AE179" s="877"/>
      <c r="AF179" s="877"/>
      <c r="AG179" s="877"/>
      <c r="AH179" s="877"/>
      <c r="AI179" s="878"/>
      <c r="AJ179" s="877"/>
      <c r="AK179" s="877">
        <v>53</v>
      </c>
      <c r="AL179" s="877">
        <v>13</v>
      </c>
      <c r="AM179" s="921" t="str">
        <f t="shared" si="48"/>
        <v/>
      </c>
      <c r="AN179" s="887" t="str">
        <f t="shared" si="49"/>
        <v/>
      </c>
      <c r="AO179" s="887" t="str">
        <f t="shared" si="50"/>
        <v/>
      </c>
      <c r="AP179" s="887" t="str">
        <f t="shared" si="51"/>
        <v/>
      </c>
      <c r="AQ179" s="887" t="str">
        <f t="shared" si="52"/>
        <v/>
      </c>
      <c r="AR179" s="887" t="str">
        <f t="shared" si="53"/>
        <v/>
      </c>
      <c r="AS179" s="887" t="str">
        <f t="shared" si="54"/>
        <v/>
      </c>
      <c r="AT179" s="887" t="str">
        <f t="shared" si="55"/>
        <v/>
      </c>
      <c r="AU179" s="887" t="str">
        <f t="shared" si="56"/>
        <v/>
      </c>
      <c r="AV179" s="887" t="str">
        <f t="shared" si="57"/>
        <v/>
      </c>
      <c r="AW179" s="887" t="str">
        <f t="shared" si="58"/>
        <v/>
      </c>
      <c r="AX179" s="887" t="str">
        <f t="shared" si="33"/>
        <v/>
      </c>
      <c r="AY179" s="887" t="str">
        <f t="shared" si="34"/>
        <v/>
      </c>
      <c r="AZ179" s="877"/>
      <c r="BA179" s="877"/>
      <c r="BB179" s="877"/>
      <c r="BC179" s="877"/>
      <c r="BD179" s="877"/>
      <c r="BE179" s="877"/>
      <c r="BF179" s="877"/>
      <c r="BG179" s="877"/>
      <c r="BH179" s="877"/>
    </row>
    <row r="180" spans="22:60" ht="35.25" customHeight="1" x14ac:dyDescent="0.5">
      <c r="V180" s="877"/>
      <c r="W180" s="877"/>
      <c r="X180" s="877"/>
      <c r="Y180" s="877"/>
      <c r="Z180" s="877"/>
      <c r="AA180" s="877"/>
      <c r="AB180" s="877"/>
      <c r="AC180" s="877"/>
      <c r="AD180" s="877"/>
      <c r="AE180" s="877"/>
      <c r="AF180" s="877"/>
      <c r="AG180" s="877"/>
      <c r="AH180" s="877"/>
      <c r="AI180" s="878"/>
      <c r="AJ180" s="877"/>
      <c r="AK180" s="877">
        <v>54</v>
      </c>
      <c r="AL180" s="877">
        <v>14</v>
      </c>
      <c r="AM180" s="921" t="str">
        <f t="shared" si="48"/>
        <v/>
      </c>
      <c r="AN180" s="887" t="str">
        <f t="shared" si="49"/>
        <v/>
      </c>
      <c r="AO180" s="887" t="str">
        <f t="shared" si="50"/>
        <v/>
      </c>
      <c r="AP180" s="887" t="str">
        <f t="shared" si="51"/>
        <v/>
      </c>
      <c r="AQ180" s="887" t="str">
        <f t="shared" si="52"/>
        <v/>
      </c>
      <c r="AR180" s="887" t="str">
        <f t="shared" si="53"/>
        <v/>
      </c>
      <c r="AS180" s="887" t="str">
        <f t="shared" si="54"/>
        <v/>
      </c>
      <c r="AT180" s="887" t="str">
        <f t="shared" si="55"/>
        <v/>
      </c>
      <c r="AU180" s="887" t="str">
        <f t="shared" si="56"/>
        <v/>
      </c>
      <c r="AV180" s="887" t="str">
        <f t="shared" si="57"/>
        <v/>
      </c>
      <c r="AW180" s="887" t="str">
        <f t="shared" si="58"/>
        <v/>
      </c>
      <c r="AX180" s="887" t="str">
        <f t="shared" si="33"/>
        <v/>
      </c>
      <c r="AY180" s="887" t="str">
        <f t="shared" si="34"/>
        <v/>
      </c>
      <c r="AZ180" s="877"/>
      <c r="BA180" s="877"/>
      <c r="BB180" s="877"/>
      <c r="BC180" s="877"/>
      <c r="BD180" s="877"/>
      <c r="BE180" s="877"/>
      <c r="BF180" s="877"/>
      <c r="BG180" s="877"/>
      <c r="BH180" s="877"/>
    </row>
    <row r="181" spans="22:60" ht="35.25" customHeight="1" x14ac:dyDescent="0.5">
      <c r="V181" s="877"/>
      <c r="W181" s="877"/>
      <c r="X181" s="877"/>
      <c r="Y181" s="877"/>
      <c r="Z181" s="877"/>
      <c r="AA181" s="877"/>
      <c r="AB181" s="877"/>
      <c r="AC181" s="877"/>
      <c r="AD181" s="877"/>
      <c r="AE181" s="877"/>
      <c r="AF181" s="877"/>
      <c r="AG181" s="877"/>
      <c r="AH181" s="877"/>
      <c r="AI181" s="878"/>
      <c r="AJ181" s="877"/>
      <c r="AK181" s="877">
        <v>55</v>
      </c>
      <c r="AL181" s="877">
        <v>15</v>
      </c>
      <c r="AM181" s="921" t="str">
        <f t="shared" si="48"/>
        <v/>
      </c>
      <c r="AN181" s="887" t="str">
        <f t="shared" si="49"/>
        <v/>
      </c>
      <c r="AO181" s="887" t="str">
        <f t="shared" si="50"/>
        <v/>
      </c>
      <c r="AP181" s="887" t="str">
        <f t="shared" si="51"/>
        <v/>
      </c>
      <c r="AQ181" s="887" t="str">
        <f t="shared" si="52"/>
        <v/>
      </c>
      <c r="AR181" s="887" t="str">
        <f t="shared" si="53"/>
        <v/>
      </c>
      <c r="AS181" s="887" t="str">
        <f t="shared" si="54"/>
        <v/>
      </c>
      <c r="AT181" s="887" t="str">
        <f t="shared" si="55"/>
        <v/>
      </c>
      <c r="AU181" s="887" t="str">
        <f t="shared" si="56"/>
        <v/>
      </c>
      <c r="AV181" s="887" t="str">
        <f t="shared" si="57"/>
        <v/>
      </c>
      <c r="AW181" s="887" t="str">
        <f t="shared" si="58"/>
        <v/>
      </c>
      <c r="AX181" s="887" t="str">
        <f t="shared" si="33"/>
        <v/>
      </c>
      <c r="AY181" s="887" t="str">
        <f t="shared" si="34"/>
        <v/>
      </c>
      <c r="AZ181" s="877"/>
      <c r="BA181" s="877"/>
      <c r="BB181" s="877"/>
      <c r="BC181" s="877"/>
      <c r="BD181" s="877"/>
      <c r="BE181" s="877"/>
      <c r="BF181" s="877"/>
      <c r="BG181" s="877"/>
      <c r="BH181" s="877"/>
    </row>
    <row r="182" spans="22:60" ht="35.25" customHeight="1" x14ac:dyDescent="0.5">
      <c r="V182" s="877"/>
      <c r="W182" s="877"/>
      <c r="X182" s="877"/>
      <c r="Y182" s="877"/>
      <c r="Z182" s="877"/>
      <c r="AA182" s="877"/>
      <c r="AB182" s="877"/>
      <c r="AC182" s="877"/>
      <c r="AD182" s="877"/>
      <c r="AE182" s="877"/>
      <c r="AF182" s="877"/>
      <c r="AG182" s="877"/>
      <c r="AH182" s="877"/>
      <c r="AI182" s="878"/>
      <c r="AJ182" s="877"/>
      <c r="AK182" s="877">
        <v>56</v>
      </c>
      <c r="AL182" s="877">
        <v>16</v>
      </c>
      <c r="AM182" s="921" t="str">
        <f t="shared" si="48"/>
        <v/>
      </c>
      <c r="AN182" s="887" t="str">
        <f t="shared" si="49"/>
        <v/>
      </c>
      <c r="AO182" s="887" t="str">
        <f t="shared" si="50"/>
        <v/>
      </c>
      <c r="AP182" s="887" t="str">
        <f t="shared" si="51"/>
        <v/>
      </c>
      <c r="AQ182" s="887" t="str">
        <f t="shared" si="52"/>
        <v/>
      </c>
      <c r="AR182" s="887" t="str">
        <f t="shared" si="53"/>
        <v/>
      </c>
      <c r="AS182" s="887" t="str">
        <f t="shared" si="54"/>
        <v/>
      </c>
      <c r="AT182" s="887" t="str">
        <f t="shared" si="55"/>
        <v/>
      </c>
      <c r="AU182" s="887" t="str">
        <f t="shared" si="56"/>
        <v/>
      </c>
      <c r="AV182" s="887" t="str">
        <f t="shared" si="57"/>
        <v/>
      </c>
      <c r="AW182" s="887" t="str">
        <f t="shared" si="58"/>
        <v/>
      </c>
      <c r="AX182" s="887" t="str">
        <f t="shared" si="33"/>
        <v/>
      </c>
      <c r="AY182" s="887" t="str">
        <f t="shared" si="34"/>
        <v/>
      </c>
      <c r="AZ182" s="877"/>
      <c r="BA182" s="877"/>
      <c r="BB182" s="877"/>
      <c r="BC182" s="877"/>
      <c r="BD182" s="877"/>
      <c r="BE182" s="877"/>
      <c r="BF182" s="877"/>
      <c r="BG182" s="877"/>
      <c r="BH182" s="877"/>
    </row>
    <row r="183" spans="22:60" ht="35.25" customHeight="1" x14ac:dyDescent="0.5">
      <c r="V183" s="877"/>
      <c r="W183" s="877"/>
      <c r="X183" s="877"/>
      <c r="Y183" s="877"/>
      <c r="Z183" s="877"/>
      <c r="AA183" s="877"/>
      <c r="AB183" s="877"/>
      <c r="AC183" s="877"/>
      <c r="AD183" s="877"/>
      <c r="AE183" s="877"/>
      <c r="AF183" s="877"/>
      <c r="AG183" s="877"/>
      <c r="AH183" s="877"/>
      <c r="AI183" s="878"/>
      <c r="AJ183" s="877"/>
      <c r="AK183" s="877">
        <v>57</v>
      </c>
      <c r="AL183" s="877">
        <v>17</v>
      </c>
      <c r="AM183" s="921" t="str">
        <f t="shared" si="48"/>
        <v/>
      </c>
      <c r="AN183" s="887" t="str">
        <f t="shared" si="49"/>
        <v/>
      </c>
      <c r="AO183" s="887" t="str">
        <f t="shared" si="50"/>
        <v/>
      </c>
      <c r="AP183" s="887" t="str">
        <f t="shared" si="51"/>
        <v/>
      </c>
      <c r="AQ183" s="887" t="str">
        <f t="shared" si="52"/>
        <v/>
      </c>
      <c r="AR183" s="887" t="str">
        <f t="shared" si="53"/>
        <v/>
      </c>
      <c r="AS183" s="887" t="str">
        <f t="shared" si="54"/>
        <v/>
      </c>
      <c r="AT183" s="887" t="str">
        <f t="shared" si="55"/>
        <v/>
      </c>
      <c r="AU183" s="887" t="str">
        <f t="shared" si="56"/>
        <v/>
      </c>
      <c r="AV183" s="887" t="str">
        <f t="shared" si="57"/>
        <v/>
      </c>
      <c r="AW183" s="887" t="str">
        <f t="shared" si="58"/>
        <v/>
      </c>
      <c r="AX183" s="887" t="str">
        <f t="shared" si="33"/>
        <v/>
      </c>
      <c r="AY183" s="887" t="str">
        <f t="shared" si="34"/>
        <v/>
      </c>
      <c r="AZ183" s="877"/>
      <c r="BA183" s="877"/>
      <c r="BB183" s="877"/>
      <c r="BC183" s="877"/>
      <c r="BD183" s="877"/>
      <c r="BE183" s="877"/>
      <c r="BF183" s="877"/>
      <c r="BG183" s="877"/>
      <c r="BH183" s="877"/>
    </row>
    <row r="184" spans="22:60" ht="35.25" customHeight="1" x14ac:dyDescent="0.5">
      <c r="V184" s="877"/>
      <c r="W184" s="877"/>
      <c r="X184" s="877"/>
      <c r="Y184" s="877"/>
      <c r="Z184" s="877"/>
      <c r="AA184" s="877"/>
      <c r="AB184" s="877"/>
      <c r="AC184" s="877"/>
      <c r="AD184" s="877"/>
      <c r="AE184" s="877"/>
      <c r="AF184" s="877"/>
      <c r="AG184" s="877"/>
      <c r="AH184" s="877"/>
      <c r="AI184" s="878"/>
      <c r="AJ184" s="877"/>
      <c r="AK184" s="877">
        <v>58</v>
      </c>
      <c r="AL184" s="877">
        <v>18</v>
      </c>
      <c r="AM184" s="921" t="str">
        <f t="shared" si="48"/>
        <v/>
      </c>
      <c r="AN184" s="887" t="str">
        <f t="shared" si="49"/>
        <v/>
      </c>
      <c r="AO184" s="887" t="str">
        <f t="shared" si="50"/>
        <v/>
      </c>
      <c r="AP184" s="887" t="str">
        <f t="shared" si="51"/>
        <v/>
      </c>
      <c r="AQ184" s="887" t="str">
        <f t="shared" si="52"/>
        <v/>
      </c>
      <c r="AR184" s="887" t="str">
        <f t="shared" si="53"/>
        <v/>
      </c>
      <c r="AS184" s="887" t="str">
        <f t="shared" si="54"/>
        <v/>
      </c>
      <c r="AT184" s="887" t="str">
        <f t="shared" si="55"/>
        <v/>
      </c>
      <c r="AU184" s="887" t="str">
        <f t="shared" si="56"/>
        <v/>
      </c>
      <c r="AV184" s="887" t="str">
        <f t="shared" si="57"/>
        <v/>
      </c>
      <c r="AW184" s="887" t="str">
        <f t="shared" si="58"/>
        <v/>
      </c>
      <c r="AX184" s="887" t="str">
        <f t="shared" si="33"/>
        <v/>
      </c>
      <c r="AY184" s="887" t="str">
        <f t="shared" si="34"/>
        <v/>
      </c>
      <c r="AZ184" s="877"/>
      <c r="BA184" s="877"/>
      <c r="BB184" s="877"/>
      <c r="BC184" s="877"/>
      <c r="BD184" s="877"/>
      <c r="BE184" s="877"/>
      <c r="BF184" s="877"/>
      <c r="BG184" s="877"/>
      <c r="BH184" s="877"/>
    </row>
    <row r="185" spans="22:60" ht="35.25" customHeight="1" x14ac:dyDescent="0.5">
      <c r="V185" s="877"/>
      <c r="W185" s="877"/>
      <c r="X185" s="877"/>
      <c r="Y185" s="877"/>
      <c r="Z185" s="877"/>
      <c r="AA185" s="877"/>
      <c r="AB185" s="877"/>
      <c r="AC185" s="877"/>
      <c r="AD185" s="877"/>
      <c r="AE185" s="877"/>
      <c r="AF185" s="877"/>
      <c r="AG185" s="877"/>
      <c r="AH185" s="877"/>
      <c r="AI185" s="878"/>
      <c r="AJ185" s="877"/>
      <c r="AK185" s="877">
        <v>59</v>
      </c>
      <c r="AL185" s="877">
        <v>19</v>
      </c>
      <c r="AM185" s="921" t="str">
        <f t="shared" si="48"/>
        <v/>
      </c>
      <c r="AN185" s="887" t="str">
        <f t="shared" si="49"/>
        <v/>
      </c>
      <c r="AO185" s="887" t="str">
        <f t="shared" si="50"/>
        <v/>
      </c>
      <c r="AP185" s="887" t="str">
        <f t="shared" si="51"/>
        <v/>
      </c>
      <c r="AQ185" s="887" t="str">
        <f t="shared" si="52"/>
        <v/>
      </c>
      <c r="AR185" s="887" t="str">
        <f t="shared" si="53"/>
        <v/>
      </c>
      <c r="AS185" s="887" t="str">
        <f t="shared" si="54"/>
        <v/>
      </c>
      <c r="AT185" s="887" t="str">
        <f t="shared" si="55"/>
        <v/>
      </c>
      <c r="AU185" s="887" t="str">
        <f t="shared" si="56"/>
        <v/>
      </c>
      <c r="AV185" s="887" t="str">
        <f t="shared" si="57"/>
        <v/>
      </c>
      <c r="AW185" s="887" t="str">
        <f t="shared" si="58"/>
        <v/>
      </c>
      <c r="AX185" s="887" t="str">
        <f t="shared" si="33"/>
        <v/>
      </c>
      <c r="AY185" s="887" t="str">
        <f t="shared" si="34"/>
        <v/>
      </c>
      <c r="AZ185" s="877"/>
      <c r="BA185" s="877"/>
      <c r="BB185" s="877"/>
      <c r="BC185" s="877"/>
      <c r="BD185" s="877"/>
      <c r="BE185" s="877"/>
      <c r="BF185" s="877"/>
      <c r="BG185" s="877"/>
      <c r="BH185" s="877"/>
    </row>
    <row r="186" spans="22:60" ht="35.25" customHeight="1" x14ac:dyDescent="0.5">
      <c r="V186" s="877"/>
      <c r="W186" s="877"/>
      <c r="X186" s="877"/>
      <c r="Y186" s="877"/>
      <c r="Z186" s="877"/>
      <c r="AA186" s="877"/>
      <c r="AB186" s="877"/>
      <c r="AC186" s="877"/>
      <c r="AD186" s="877"/>
      <c r="AE186" s="877"/>
      <c r="AF186" s="877"/>
      <c r="AG186" s="877"/>
      <c r="AH186" s="877"/>
      <c r="AI186" s="878"/>
      <c r="AJ186" s="877"/>
      <c r="AK186" s="877">
        <v>60</v>
      </c>
      <c r="AL186" s="877">
        <v>20</v>
      </c>
      <c r="AM186" s="921" t="str">
        <f t="shared" si="48"/>
        <v/>
      </c>
      <c r="AN186" s="887" t="str">
        <f t="shared" si="49"/>
        <v/>
      </c>
      <c r="AO186" s="887" t="str">
        <f t="shared" si="50"/>
        <v/>
      </c>
      <c r="AP186" s="887" t="str">
        <f t="shared" si="51"/>
        <v/>
      </c>
      <c r="AQ186" s="887" t="str">
        <f t="shared" si="52"/>
        <v/>
      </c>
      <c r="AR186" s="887" t="str">
        <f t="shared" si="53"/>
        <v/>
      </c>
      <c r="AS186" s="887" t="str">
        <f t="shared" si="54"/>
        <v/>
      </c>
      <c r="AT186" s="887" t="str">
        <f t="shared" si="55"/>
        <v/>
      </c>
      <c r="AU186" s="887" t="str">
        <f t="shared" si="56"/>
        <v/>
      </c>
      <c r="AV186" s="887" t="str">
        <f t="shared" si="57"/>
        <v/>
      </c>
      <c r="AW186" s="887" t="str">
        <f t="shared" si="58"/>
        <v/>
      </c>
      <c r="AX186" s="887" t="str">
        <f t="shared" si="33"/>
        <v/>
      </c>
      <c r="AY186" s="887" t="str">
        <f t="shared" si="34"/>
        <v/>
      </c>
      <c r="AZ186" s="877"/>
      <c r="BA186" s="877"/>
      <c r="BB186" s="877"/>
      <c r="BC186" s="877"/>
      <c r="BD186" s="877"/>
      <c r="BE186" s="877"/>
      <c r="BF186" s="877"/>
      <c r="BG186" s="877"/>
      <c r="BH186" s="877"/>
    </row>
    <row r="187" spans="22:60" ht="35.25" customHeight="1" x14ac:dyDescent="0.5">
      <c r="V187" s="877"/>
      <c r="W187" s="877"/>
      <c r="X187" s="877"/>
      <c r="Y187" s="877"/>
      <c r="Z187" s="877"/>
      <c r="AA187" s="877"/>
      <c r="AB187" s="877"/>
      <c r="AC187" s="877"/>
      <c r="AD187" s="877"/>
      <c r="AE187" s="877"/>
      <c r="AF187" s="877"/>
      <c r="AG187" s="877"/>
      <c r="AH187" s="877"/>
      <c r="AI187" s="878"/>
      <c r="AJ187" s="877"/>
      <c r="AK187" s="877"/>
      <c r="AL187" s="877"/>
      <c r="AM187" s="879"/>
      <c r="AN187" s="877"/>
      <c r="AO187" s="877"/>
      <c r="AP187" s="877"/>
      <c r="AQ187" s="877"/>
      <c r="AR187" s="877"/>
      <c r="AS187" s="877"/>
      <c r="AT187" s="887">
        <f>SUM(AT167:AT186)</f>
        <v>0</v>
      </c>
      <c r="AU187" s="887">
        <f>SUM(AU167:AU186)</f>
        <v>0</v>
      </c>
      <c r="AV187" s="887">
        <f>SUM(AV167:AV186)</f>
        <v>0</v>
      </c>
      <c r="AW187" s="887">
        <f>SUM(AW167:AW186)</f>
        <v>0</v>
      </c>
      <c r="AX187" s="887">
        <f>AX166+AT187-AV187</f>
        <v>3000</v>
      </c>
      <c r="AY187" s="887">
        <f>AY166+AU187-AW187</f>
        <v>3000</v>
      </c>
      <c r="AZ187" s="877"/>
      <c r="BA187" s="877"/>
      <c r="BB187" s="877"/>
      <c r="BC187" s="877"/>
      <c r="BD187" s="877"/>
      <c r="BE187" s="877"/>
      <c r="BF187" s="877"/>
      <c r="BG187" s="877"/>
      <c r="BH187" s="877"/>
    </row>
    <row r="188" spans="22:60" ht="35.25" customHeight="1" x14ac:dyDescent="0.5">
      <c r="V188" s="877"/>
      <c r="W188" s="877"/>
      <c r="X188" s="877"/>
      <c r="Y188" s="877"/>
      <c r="Z188" s="877"/>
      <c r="AA188" s="877"/>
      <c r="AB188" s="877"/>
      <c r="AC188" s="877"/>
      <c r="AD188" s="877"/>
      <c r="AE188" s="877"/>
      <c r="AF188" s="877"/>
      <c r="AG188" s="877"/>
      <c r="AH188" s="877"/>
      <c r="AI188" s="878"/>
      <c r="AJ188" s="877"/>
      <c r="AK188" s="877">
        <v>61</v>
      </c>
      <c r="AL188" s="877">
        <v>1</v>
      </c>
      <c r="AM188" s="921" t="str">
        <f t="shared" ref="AM188:AM207" si="59">IFERROR(VLOOKUP(AL188,$AA$10:$AW$111,13,0),"")</f>
        <v/>
      </c>
      <c r="AN188" s="887" t="str">
        <f t="shared" ref="AN188:AN207" si="60">IFERROR(VLOOKUP(AL188,$AA$10:$AW$111,14,0),"")</f>
        <v/>
      </c>
      <c r="AO188" s="887" t="str">
        <f t="shared" ref="AO188:AO207" si="61">IFERROR(VLOOKUP(AL188,$AA$10:$AW$111,15,0),"")</f>
        <v/>
      </c>
      <c r="AP188" s="887" t="str">
        <f t="shared" ref="AP188:AP207" si="62">IFERROR(VLOOKUP(AL188,$AA$10:$AW$111,16,0),"")</f>
        <v/>
      </c>
      <c r="AQ188" s="887" t="str">
        <f t="shared" ref="AQ188:AQ207" si="63">IFERROR(VLOOKUP(AL188,$AA$10:$AW$111,17,0),"")</f>
        <v/>
      </c>
      <c r="AR188" s="887" t="str">
        <f t="shared" ref="AR188:AR207" si="64">IFERROR(VLOOKUP(AL188,$AA$10:$AW$111,18,0),"")</f>
        <v/>
      </c>
      <c r="AS188" s="887" t="str">
        <f t="shared" ref="AS188:AS207" si="65">IFERROR(VLOOKUP(AL188,$AA$10:$AW$111,19,0),"")</f>
        <v/>
      </c>
      <c r="AT188" s="887" t="str">
        <f t="shared" ref="AT188:AT207" si="66">IFERROR(VLOOKUP(AL188,$AA$10:$AW$111,20,0),"")</f>
        <v/>
      </c>
      <c r="AU188" s="887" t="str">
        <f t="shared" ref="AU188:AU207" si="67">IFERROR(VLOOKUP(AL188,$AA$10:$AW$111,21,0),"")</f>
        <v/>
      </c>
      <c r="AV188" s="887" t="str">
        <f t="shared" ref="AV188:AV207" si="68">IFERROR(VLOOKUP(AL188,$AA$10:$AW$111,22,0),"")</f>
        <v/>
      </c>
      <c r="AW188" s="887" t="str">
        <f t="shared" ref="AW188:AW207" si="69">IFERROR(VLOOKUP(AL188,$AA$10:$AW$111,23,0),"")</f>
        <v/>
      </c>
      <c r="AX188" s="887" t="str">
        <f>IFERROR(AX186+AT188-AV188,"")</f>
        <v/>
      </c>
      <c r="AY188" s="887" t="str">
        <f>IFERROR(AY186+AU188-AW188,"")</f>
        <v/>
      </c>
      <c r="AZ188" s="877"/>
      <c r="BA188" s="877"/>
      <c r="BB188" s="877"/>
      <c r="BC188" s="877"/>
      <c r="BD188" s="877"/>
      <c r="BE188" s="877"/>
      <c r="BF188" s="877"/>
      <c r="BG188" s="877"/>
      <c r="BH188" s="877"/>
    </row>
    <row r="189" spans="22:60" ht="35.25" customHeight="1" x14ac:dyDescent="0.5">
      <c r="V189" s="877"/>
      <c r="W189" s="877"/>
      <c r="X189" s="877"/>
      <c r="Y189" s="877"/>
      <c r="Z189" s="877"/>
      <c r="AA189" s="877"/>
      <c r="AB189" s="877"/>
      <c r="AC189" s="877"/>
      <c r="AD189" s="877"/>
      <c r="AE189" s="877"/>
      <c r="AF189" s="877"/>
      <c r="AG189" s="877"/>
      <c r="AH189" s="877"/>
      <c r="AI189" s="878"/>
      <c r="AJ189" s="877"/>
      <c r="AK189" s="877">
        <v>62</v>
      </c>
      <c r="AL189" s="877">
        <v>2</v>
      </c>
      <c r="AM189" s="921" t="str">
        <f t="shared" si="59"/>
        <v/>
      </c>
      <c r="AN189" s="887" t="str">
        <f t="shared" si="60"/>
        <v/>
      </c>
      <c r="AO189" s="887" t="str">
        <f t="shared" si="61"/>
        <v/>
      </c>
      <c r="AP189" s="887" t="str">
        <f t="shared" si="62"/>
        <v/>
      </c>
      <c r="AQ189" s="887" t="str">
        <f t="shared" si="63"/>
        <v/>
      </c>
      <c r="AR189" s="887" t="str">
        <f t="shared" si="64"/>
        <v/>
      </c>
      <c r="AS189" s="887" t="str">
        <f t="shared" si="65"/>
        <v/>
      </c>
      <c r="AT189" s="887" t="str">
        <f t="shared" si="66"/>
        <v/>
      </c>
      <c r="AU189" s="887" t="str">
        <f t="shared" si="67"/>
        <v/>
      </c>
      <c r="AV189" s="887" t="str">
        <f t="shared" si="68"/>
        <v/>
      </c>
      <c r="AW189" s="887" t="str">
        <f t="shared" si="69"/>
        <v/>
      </c>
      <c r="AX189" s="887" t="str">
        <f t="shared" si="33"/>
        <v/>
      </c>
      <c r="AY189" s="887" t="str">
        <f t="shared" si="34"/>
        <v/>
      </c>
      <c r="AZ189" s="877"/>
      <c r="BA189" s="877"/>
      <c r="BB189" s="877"/>
      <c r="BC189" s="877"/>
      <c r="BD189" s="877"/>
      <c r="BE189" s="877"/>
      <c r="BF189" s="877"/>
      <c r="BG189" s="877"/>
      <c r="BH189" s="877"/>
    </row>
    <row r="190" spans="22:60" ht="35.25" customHeight="1" x14ac:dyDescent="0.5">
      <c r="V190" s="877"/>
      <c r="W190" s="877"/>
      <c r="X190" s="877"/>
      <c r="Y190" s="877"/>
      <c r="Z190" s="877"/>
      <c r="AA190" s="877"/>
      <c r="AB190" s="877"/>
      <c r="AC190" s="877"/>
      <c r="AD190" s="877"/>
      <c r="AE190" s="877"/>
      <c r="AF190" s="877"/>
      <c r="AG190" s="877"/>
      <c r="AH190" s="877"/>
      <c r="AI190" s="878"/>
      <c r="AJ190" s="877"/>
      <c r="AK190" s="877">
        <v>63</v>
      </c>
      <c r="AL190" s="877">
        <v>3</v>
      </c>
      <c r="AM190" s="921" t="str">
        <f t="shared" si="59"/>
        <v/>
      </c>
      <c r="AN190" s="887" t="str">
        <f t="shared" si="60"/>
        <v/>
      </c>
      <c r="AO190" s="887" t="str">
        <f t="shared" si="61"/>
        <v/>
      </c>
      <c r="AP190" s="887" t="str">
        <f t="shared" si="62"/>
        <v/>
      </c>
      <c r="AQ190" s="887" t="str">
        <f t="shared" si="63"/>
        <v/>
      </c>
      <c r="AR190" s="887" t="str">
        <f t="shared" si="64"/>
        <v/>
      </c>
      <c r="AS190" s="887" t="str">
        <f t="shared" si="65"/>
        <v/>
      </c>
      <c r="AT190" s="887" t="str">
        <f t="shared" si="66"/>
        <v/>
      </c>
      <c r="AU190" s="887" t="str">
        <f t="shared" si="67"/>
        <v/>
      </c>
      <c r="AV190" s="887" t="str">
        <f t="shared" si="68"/>
        <v/>
      </c>
      <c r="AW190" s="887" t="str">
        <f t="shared" si="69"/>
        <v/>
      </c>
      <c r="AX190" s="887" t="str">
        <f t="shared" si="33"/>
        <v/>
      </c>
      <c r="AY190" s="887" t="str">
        <f t="shared" si="34"/>
        <v/>
      </c>
      <c r="AZ190" s="877"/>
      <c r="BA190" s="877"/>
      <c r="BB190" s="877"/>
      <c r="BC190" s="877"/>
      <c r="BD190" s="877"/>
      <c r="BE190" s="877"/>
      <c r="BF190" s="877"/>
      <c r="BG190" s="877"/>
      <c r="BH190" s="877"/>
    </row>
    <row r="191" spans="22:60" ht="35.25" customHeight="1" x14ac:dyDescent="0.5">
      <c r="V191" s="877"/>
      <c r="W191" s="877"/>
      <c r="X191" s="877"/>
      <c r="Y191" s="877"/>
      <c r="Z191" s="877"/>
      <c r="AA191" s="877"/>
      <c r="AB191" s="877"/>
      <c r="AC191" s="877"/>
      <c r="AD191" s="877"/>
      <c r="AE191" s="877"/>
      <c r="AF191" s="877"/>
      <c r="AG191" s="877"/>
      <c r="AH191" s="877"/>
      <c r="AI191" s="878"/>
      <c r="AJ191" s="877"/>
      <c r="AK191" s="877">
        <v>64</v>
      </c>
      <c r="AL191" s="877">
        <v>4</v>
      </c>
      <c r="AM191" s="921" t="str">
        <f t="shared" si="59"/>
        <v/>
      </c>
      <c r="AN191" s="887" t="str">
        <f t="shared" si="60"/>
        <v/>
      </c>
      <c r="AO191" s="887" t="str">
        <f t="shared" si="61"/>
        <v/>
      </c>
      <c r="AP191" s="887" t="str">
        <f t="shared" si="62"/>
        <v/>
      </c>
      <c r="AQ191" s="887" t="str">
        <f t="shared" si="63"/>
        <v/>
      </c>
      <c r="AR191" s="887" t="str">
        <f t="shared" si="64"/>
        <v/>
      </c>
      <c r="AS191" s="887" t="str">
        <f t="shared" si="65"/>
        <v/>
      </c>
      <c r="AT191" s="887" t="str">
        <f t="shared" si="66"/>
        <v/>
      </c>
      <c r="AU191" s="887" t="str">
        <f t="shared" si="67"/>
        <v/>
      </c>
      <c r="AV191" s="887" t="str">
        <f t="shared" si="68"/>
        <v/>
      </c>
      <c r="AW191" s="887" t="str">
        <f t="shared" si="69"/>
        <v/>
      </c>
      <c r="AX191" s="887" t="str">
        <f t="shared" si="33"/>
        <v/>
      </c>
      <c r="AY191" s="887" t="str">
        <f t="shared" si="34"/>
        <v/>
      </c>
      <c r="AZ191" s="877"/>
      <c r="BA191" s="877"/>
      <c r="BB191" s="877"/>
      <c r="BC191" s="877"/>
      <c r="BD191" s="877"/>
      <c r="BE191" s="877"/>
      <c r="BF191" s="877"/>
      <c r="BG191" s="877"/>
      <c r="BH191" s="877"/>
    </row>
    <row r="192" spans="22:60" ht="35.25" customHeight="1" x14ac:dyDescent="0.5">
      <c r="V192" s="877"/>
      <c r="W192" s="877"/>
      <c r="X192" s="877"/>
      <c r="Y192" s="877"/>
      <c r="Z192" s="877"/>
      <c r="AA192" s="877"/>
      <c r="AB192" s="877"/>
      <c r="AC192" s="877"/>
      <c r="AD192" s="877"/>
      <c r="AE192" s="877"/>
      <c r="AF192" s="877"/>
      <c r="AG192" s="877"/>
      <c r="AH192" s="877"/>
      <c r="AI192" s="878"/>
      <c r="AJ192" s="877"/>
      <c r="AK192" s="877">
        <v>65</v>
      </c>
      <c r="AL192" s="877">
        <v>5</v>
      </c>
      <c r="AM192" s="921" t="str">
        <f t="shared" si="59"/>
        <v/>
      </c>
      <c r="AN192" s="887" t="str">
        <f t="shared" si="60"/>
        <v/>
      </c>
      <c r="AO192" s="887" t="str">
        <f t="shared" si="61"/>
        <v/>
      </c>
      <c r="AP192" s="887" t="str">
        <f t="shared" si="62"/>
        <v/>
      </c>
      <c r="AQ192" s="887" t="str">
        <f t="shared" si="63"/>
        <v/>
      </c>
      <c r="AR192" s="887" t="str">
        <f t="shared" si="64"/>
        <v/>
      </c>
      <c r="AS192" s="887" t="str">
        <f t="shared" si="65"/>
        <v/>
      </c>
      <c r="AT192" s="887" t="str">
        <f t="shared" si="66"/>
        <v/>
      </c>
      <c r="AU192" s="887" t="str">
        <f t="shared" si="67"/>
        <v/>
      </c>
      <c r="AV192" s="887" t="str">
        <f t="shared" si="68"/>
        <v/>
      </c>
      <c r="AW192" s="887" t="str">
        <f t="shared" si="69"/>
        <v/>
      </c>
      <c r="AX192" s="887" t="str">
        <f t="shared" si="33"/>
        <v/>
      </c>
      <c r="AY192" s="887" t="str">
        <f t="shared" si="34"/>
        <v/>
      </c>
      <c r="AZ192" s="877"/>
      <c r="BA192" s="877"/>
      <c r="BB192" s="877"/>
      <c r="BC192" s="877"/>
      <c r="BD192" s="877"/>
      <c r="BE192" s="877"/>
      <c r="BF192" s="877"/>
      <c r="BG192" s="877"/>
      <c r="BH192" s="877"/>
    </row>
    <row r="193" spans="22:60" ht="35.25" customHeight="1" x14ac:dyDescent="0.5">
      <c r="V193" s="877"/>
      <c r="W193" s="877"/>
      <c r="X193" s="877"/>
      <c r="Y193" s="877"/>
      <c r="Z193" s="877"/>
      <c r="AA193" s="877"/>
      <c r="AB193" s="877"/>
      <c r="AC193" s="877"/>
      <c r="AD193" s="877"/>
      <c r="AE193" s="877"/>
      <c r="AF193" s="877"/>
      <c r="AG193" s="877"/>
      <c r="AH193" s="877"/>
      <c r="AI193" s="878"/>
      <c r="AJ193" s="877"/>
      <c r="AK193" s="877">
        <v>66</v>
      </c>
      <c r="AL193" s="877">
        <v>6</v>
      </c>
      <c r="AM193" s="921" t="str">
        <f t="shared" si="59"/>
        <v/>
      </c>
      <c r="AN193" s="887" t="str">
        <f t="shared" si="60"/>
        <v/>
      </c>
      <c r="AO193" s="887" t="str">
        <f t="shared" si="61"/>
        <v/>
      </c>
      <c r="AP193" s="887" t="str">
        <f t="shared" si="62"/>
        <v/>
      </c>
      <c r="AQ193" s="887" t="str">
        <f t="shared" si="63"/>
        <v/>
      </c>
      <c r="AR193" s="887" t="str">
        <f t="shared" si="64"/>
        <v/>
      </c>
      <c r="AS193" s="887" t="str">
        <f t="shared" si="65"/>
        <v/>
      </c>
      <c r="AT193" s="887" t="str">
        <f t="shared" si="66"/>
        <v/>
      </c>
      <c r="AU193" s="887" t="str">
        <f t="shared" si="67"/>
        <v/>
      </c>
      <c r="AV193" s="887" t="str">
        <f t="shared" si="68"/>
        <v/>
      </c>
      <c r="AW193" s="887" t="str">
        <f t="shared" si="69"/>
        <v/>
      </c>
      <c r="AX193" s="887" t="str">
        <f t="shared" ref="AX193:AX259" si="70">IFERROR(AX192+AT193-AV193,"")</f>
        <v/>
      </c>
      <c r="AY193" s="887" t="str">
        <f t="shared" ref="AY193:AY259" si="71">IFERROR(AY192+AU193-AW193,"")</f>
        <v/>
      </c>
      <c r="AZ193" s="877"/>
      <c r="BA193" s="877"/>
      <c r="BB193" s="877"/>
      <c r="BC193" s="877"/>
      <c r="BD193" s="877"/>
      <c r="BE193" s="877"/>
      <c r="BF193" s="877"/>
      <c r="BG193" s="877"/>
      <c r="BH193" s="877"/>
    </row>
    <row r="194" spans="22:60" ht="35.25" customHeight="1" x14ac:dyDescent="0.5">
      <c r="V194" s="877"/>
      <c r="W194" s="877"/>
      <c r="X194" s="877"/>
      <c r="Y194" s="877"/>
      <c r="Z194" s="877"/>
      <c r="AA194" s="877"/>
      <c r="AB194" s="877"/>
      <c r="AC194" s="877"/>
      <c r="AD194" s="877"/>
      <c r="AE194" s="877"/>
      <c r="AF194" s="877"/>
      <c r="AG194" s="877"/>
      <c r="AH194" s="877"/>
      <c r="AI194" s="878"/>
      <c r="AJ194" s="877"/>
      <c r="AK194" s="877">
        <v>67</v>
      </c>
      <c r="AL194" s="877">
        <v>7</v>
      </c>
      <c r="AM194" s="921" t="str">
        <f t="shared" si="59"/>
        <v/>
      </c>
      <c r="AN194" s="887" t="str">
        <f t="shared" si="60"/>
        <v/>
      </c>
      <c r="AO194" s="887" t="str">
        <f t="shared" si="61"/>
        <v/>
      </c>
      <c r="AP194" s="887" t="str">
        <f t="shared" si="62"/>
        <v/>
      </c>
      <c r="AQ194" s="887" t="str">
        <f t="shared" si="63"/>
        <v/>
      </c>
      <c r="AR194" s="887" t="str">
        <f t="shared" si="64"/>
        <v/>
      </c>
      <c r="AS194" s="887" t="str">
        <f t="shared" si="65"/>
        <v/>
      </c>
      <c r="AT194" s="887" t="str">
        <f t="shared" si="66"/>
        <v/>
      </c>
      <c r="AU194" s="887" t="str">
        <f t="shared" si="67"/>
        <v/>
      </c>
      <c r="AV194" s="887" t="str">
        <f t="shared" si="68"/>
        <v/>
      </c>
      <c r="AW194" s="887" t="str">
        <f t="shared" si="69"/>
        <v/>
      </c>
      <c r="AX194" s="887" t="str">
        <f t="shared" si="70"/>
        <v/>
      </c>
      <c r="AY194" s="887" t="str">
        <f t="shared" si="71"/>
        <v/>
      </c>
      <c r="AZ194" s="877"/>
      <c r="BA194" s="877"/>
      <c r="BB194" s="877"/>
      <c r="BC194" s="877"/>
      <c r="BD194" s="877"/>
      <c r="BE194" s="877"/>
      <c r="BF194" s="877"/>
      <c r="BG194" s="877"/>
      <c r="BH194" s="877"/>
    </row>
    <row r="195" spans="22:60" ht="35.25" customHeight="1" x14ac:dyDescent="0.5">
      <c r="V195" s="877"/>
      <c r="W195" s="877"/>
      <c r="X195" s="877"/>
      <c r="Y195" s="877"/>
      <c r="Z195" s="877"/>
      <c r="AA195" s="877"/>
      <c r="AB195" s="877"/>
      <c r="AC195" s="877"/>
      <c r="AD195" s="877"/>
      <c r="AE195" s="877"/>
      <c r="AF195" s="877"/>
      <c r="AG195" s="877"/>
      <c r="AH195" s="877"/>
      <c r="AI195" s="878"/>
      <c r="AJ195" s="877"/>
      <c r="AK195" s="877">
        <v>68</v>
      </c>
      <c r="AL195" s="877">
        <v>8</v>
      </c>
      <c r="AM195" s="921" t="str">
        <f t="shared" si="59"/>
        <v/>
      </c>
      <c r="AN195" s="887" t="str">
        <f t="shared" si="60"/>
        <v/>
      </c>
      <c r="AO195" s="887" t="str">
        <f t="shared" si="61"/>
        <v/>
      </c>
      <c r="AP195" s="887" t="str">
        <f t="shared" si="62"/>
        <v/>
      </c>
      <c r="AQ195" s="887" t="str">
        <f t="shared" si="63"/>
        <v/>
      </c>
      <c r="AR195" s="887" t="str">
        <f t="shared" si="64"/>
        <v/>
      </c>
      <c r="AS195" s="887" t="str">
        <f t="shared" si="65"/>
        <v/>
      </c>
      <c r="AT195" s="887" t="str">
        <f t="shared" si="66"/>
        <v/>
      </c>
      <c r="AU195" s="887" t="str">
        <f t="shared" si="67"/>
        <v/>
      </c>
      <c r="AV195" s="887" t="str">
        <f t="shared" si="68"/>
        <v/>
      </c>
      <c r="AW195" s="887" t="str">
        <f t="shared" si="69"/>
        <v/>
      </c>
      <c r="AX195" s="887" t="str">
        <f t="shared" si="70"/>
        <v/>
      </c>
      <c r="AY195" s="887" t="str">
        <f t="shared" si="71"/>
        <v/>
      </c>
      <c r="AZ195" s="877"/>
      <c r="BA195" s="877"/>
      <c r="BB195" s="877"/>
      <c r="BC195" s="877"/>
      <c r="BD195" s="877"/>
      <c r="BE195" s="877"/>
      <c r="BF195" s="877"/>
      <c r="BG195" s="877"/>
      <c r="BH195" s="877"/>
    </row>
    <row r="196" spans="22:60" ht="35.25" customHeight="1" x14ac:dyDescent="0.5">
      <c r="V196" s="877"/>
      <c r="W196" s="877"/>
      <c r="X196" s="877"/>
      <c r="Y196" s="877"/>
      <c r="Z196" s="877"/>
      <c r="AA196" s="877"/>
      <c r="AB196" s="877"/>
      <c r="AC196" s="877"/>
      <c r="AD196" s="877"/>
      <c r="AE196" s="877"/>
      <c r="AF196" s="877"/>
      <c r="AG196" s="877"/>
      <c r="AH196" s="877"/>
      <c r="AI196" s="878"/>
      <c r="AJ196" s="877"/>
      <c r="AK196" s="877">
        <v>69</v>
      </c>
      <c r="AL196" s="877">
        <v>9</v>
      </c>
      <c r="AM196" s="921" t="str">
        <f t="shared" si="59"/>
        <v/>
      </c>
      <c r="AN196" s="887" t="str">
        <f t="shared" si="60"/>
        <v/>
      </c>
      <c r="AO196" s="887" t="str">
        <f t="shared" si="61"/>
        <v/>
      </c>
      <c r="AP196" s="887" t="str">
        <f t="shared" si="62"/>
        <v/>
      </c>
      <c r="AQ196" s="887" t="str">
        <f t="shared" si="63"/>
        <v/>
      </c>
      <c r="AR196" s="887" t="str">
        <f t="shared" si="64"/>
        <v/>
      </c>
      <c r="AS196" s="887" t="str">
        <f t="shared" si="65"/>
        <v/>
      </c>
      <c r="AT196" s="887" t="str">
        <f t="shared" si="66"/>
        <v/>
      </c>
      <c r="AU196" s="887" t="str">
        <f t="shared" si="67"/>
        <v/>
      </c>
      <c r="AV196" s="887" t="str">
        <f t="shared" si="68"/>
        <v/>
      </c>
      <c r="AW196" s="887" t="str">
        <f t="shared" si="69"/>
        <v/>
      </c>
      <c r="AX196" s="887" t="str">
        <f t="shared" si="70"/>
        <v/>
      </c>
      <c r="AY196" s="887" t="str">
        <f t="shared" si="71"/>
        <v/>
      </c>
      <c r="AZ196" s="877"/>
      <c r="BA196" s="877"/>
      <c r="BB196" s="877"/>
      <c r="BC196" s="877"/>
      <c r="BD196" s="877"/>
      <c r="BE196" s="877"/>
      <c r="BF196" s="877"/>
      <c r="BG196" s="877"/>
      <c r="BH196" s="877"/>
    </row>
    <row r="197" spans="22:60" ht="35.25" customHeight="1" x14ac:dyDescent="0.5">
      <c r="V197" s="877"/>
      <c r="W197" s="877"/>
      <c r="X197" s="877"/>
      <c r="Y197" s="877"/>
      <c r="Z197" s="877"/>
      <c r="AA197" s="877"/>
      <c r="AB197" s="877"/>
      <c r="AC197" s="877"/>
      <c r="AD197" s="877"/>
      <c r="AE197" s="877"/>
      <c r="AF197" s="877"/>
      <c r="AG197" s="877"/>
      <c r="AH197" s="877"/>
      <c r="AI197" s="878"/>
      <c r="AJ197" s="877"/>
      <c r="AK197" s="877">
        <v>70</v>
      </c>
      <c r="AL197" s="877">
        <v>10</v>
      </c>
      <c r="AM197" s="921" t="str">
        <f t="shared" si="59"/>
        <v/>
      </c>
      <c r="AN197" s="887" t="str">
        <f t="shared" si="60"/>
        <v/>
      </c>
      <c r="AO197" s="887" t="str">
        <f t="shared" si="61"/>
        <v/>
      </c>
      <c r="AP197" s="887" t="str">
        <f t="shared" si="62"/>
        <v/>
      </c>
      <c r="AQ197" s="887" t="str">
        <f t="shared" si="63"/>
        <v/>
      </c>
      <c r="AR197" s="887" t="str">
        <f t="shared" si="64"/>
        <v/>
      </c>
      <c r="AS197" s="887" t="str">
        <f t="shared" si="65"/>
        <v/>
      </c>
      <c r="AT197" s="887" t="str">
        <f t="shared" si="66"/>
        <v/>
      </c>
      <c r="AU197" s="887" t="str">
        <f t="shared" si="67"/>
        <v/>
      </c>
      <c r="AV197" s="887" t="str">
        <f t="shared" si="68"/>
        <v/>
      </c>
      <c r="AW197" s="887" t="str">
        <f t="shared" si="69"/>
        <v/>
      </c>
      <c r="AX197" s="887" t="str">
        <f t="shared" si="70"/>
        <v/>
      </c>
      <c r="AY197" s="887" t="str">
        <f t="shared" si="71"/>
        <v/>
      </c>
      <c r="AZ197" s="877"/>
      <c r="BA197" s="877"/>
      <c r="BB197" s="877"/>
      <c r="BC197" s="877"/>
      <c r="BD197" s="877"/>
      <c r="BE197" s="877"/>
      <c r="BF197" s="877"/>
      <c r="BG197" s="877"/>
      <c r="BH197" s="877"/>
    </row>
    <row r="198" spans="22:60" ht="35.25" customHeight="1" x14ac:dyDescent="0.5">
      <c r="V198" s="877"/>
      <c r="W198" s="877"/>
      <c r="X198" s="877"/>
      <c r="Y198" s="877"/>
      <c r="Z198" s="877"/>
      <c r="AA198" s="877"/>
      <c r="AB198" s="877"/>
      <c r="AC198" s="877"/>
      <c r="AD198" s="877"/>
      <c r="AE198" s="877"/>
      <c r="AF198" s="877"/>
      <c r="AG198" s="877"/>
      <c r="AH198" s="877"/>
      <c r="AI198" s="878"/>
      <c r="AJ198" s="877"/>
      <c r="AK198" s="877">
        <v>71</v>
      </c>
      <c r="AL198" s="877">
        <v>11</v>
      </c>
      <c r="AM198" s="921" t="str">
        <f t="shared" si="59"/>
        <v/>
      </c>
      <c r="AN198" s="887" t="str">
        <f t="shared" si="60"/>
        <v/>
      </c>
      <c r="AO198" s="887" t="str">
        <f t="shared" si="61"/>
        <v/>
      </c>
      <c r="AP198" s="887" t="str">
        <f t="shared" si="62"/>
        <v/>
      </c>
      <c r="AQ198" s="887" t="str">
        <f t="shared" si="63"/>
        <v/>
      </c>
      <c r="AR198" s="887" t="str">
        <f t="shared" si="64"/>
        <v/>
      </c>
      <c r="AS198" s="887" t="str">
        <f t="shared" si="65"/>
        <v/>
      </c>
      <c r="AT198" s="887" t="str">
        <f t="shared" si="66"/>
        <v/>
      </c>
      <c r="AU198" s="887" t="str">
        <f t="shared" si="67"/>
        <v/>
      </c>
      <c r="AV198" s="887" t="str">
        <f t="shared" si="68"/>
        <v/>
      </c>
      <c r="AW198" s="887" t="str">
        <f t="shared" si="69"/>
        <v/>
      </c>
      <c r="AX198" s="887" t="str">
        <f t="shared" si="70"/>
        <v/>
      </c>
      <c r="AY198" s="887" t="str">
        <f t="shared" si="71"/>
        <v/>
      </c>
      <c r="AZ198" s="877"/>
      <c r="BA198" s="877"/>
      <c r="BB198" s="877"/>
      <c r="BC198" s="877"/>
      <c r="BD198" s="877"/>
      <c r="BE198" s="877"/>
      <c r="BF198" s="877"/>
      <c r="BG198" s="877"/>
      <c r="BH198" s="877"/>
    </row>
    <row r="199" spans="22:60" ht="35.25" customHeight="1" x14ac:dyDescent="0.5">
      <c r="V199" s="877"/>
      <c r="W199" s="877"/>
      <c r="X199" s="877"/>
      <c r="Y199" s="877"/>
      <c r="Z199" s="877"/>
      <c r="AA199" s="877"/>
      <c r="AB199" s="877"/>
      <c r="AC199" s="877"/>
      <c r="AD199" s="877"/>
      <c r="AE199" s="877"/>
      <c r="AF199" s="877"/>
      <c r="AG199" s="877"/>
      <c r="AH199" s="877"/>
      <c r="AI199" s="878"/>
      <c r="AJ199" s="877"/>
      <c r="AK199" s="877">
        <v>72</v>
      </c>
      <c r="AL199" s="877">
        <v>12</v>
      </c>
      <c r="AM199" s="921" t="str">
        <f t="shared" si="59"/>
        <v/>
      </c>
      <c r="AN199" s="887" t="str">
        <f t="shared" si="60"/>
        <v/>
      </c>
      <c r="AO199" s="887" t="str">
        <f t="shared" si="61"/>
        <v/>
      </c>
      <c r="AP199" s="887" t="str">
        <f t="shared" si="62"/>
        <v/>
      </c>
      <c r="AQ199" s="887" t="str">
        <f t="shared" si="63"/>
        <v/>
      </c>
      <c r="AR199" s="887" t="str">
        <f t="shared" si="64"/>
        <v/>
      </c>
      <c r="AS199" s="887" t="str">
        <f t="shared" si="65"/>
        <v/>
      </c>
      <c r="AT199" s="887" t="str">
        <f t="shared" si="66"/>
        <v/>
      </c>
      <c r="AU199" s="887" t="str">
        <f t="shared" si="67"/>
        <v/>
      </c>
      <c r="AV199" s="887" t="str">
        <f t="shared" si="68"/>
        <v/>
      </c>
      <c r="AW199" s="887" t="str">
        <f t="shared" si="69"/>
        <v/>
      </c>
      <c r="AX199" s="887" t="str">
        <f t="shared" si="70"/>
        <v/>
      </c>
      <c r="AY199" s="887" t="str">
        <f t="shared" si="71"/>
        <v/>
      </c>
      <c r="AZ199" s="877"/>
      <c r="BA199" s="877"/>
      <c r="BB199" s="877"/>
      <c r="BC199" s="877"/>
      <c r="BD199" s="877"/>
      <c r="BE199" s="877"/>
      <c r="BF199" s="877"/>
      <c r="BG199" s="877"/>
      <c r="BH199" s="877"/>
    </row>
    <row r="200" spans="22:60" ht="35.25" customHeight="1" x14ac:dyDescent="0.5">
      <c r="V200" s="877"/>
      <c r="W200" s="877"/>
      <c r="X200" s="877"/>
      <c r="Y200" s="877"/>
      <c r="Z200" s="877"/>
      <c r="AA200" s="877"/>
      <c r="AB200" s="877"/>
      <c r="AC200" s="877"/>
      <c r="AD200" s="877"/>
      <c r="AE200" s="877"/>
      <c r="AF200" s="877"/>
      <c r="AG200" s="877"/>
      <c r="AH200" s="877"/>
      <c r="AI200" s="878"/>
      <c r="AJ200" s="877"/>
      <c r="AK200" s="877">
        <v>73</v>
      </c>
      <c r="AL200" s="877">
        <v>13</v>
      </c>
      <c r="AM200" s="921" t="str">
        <f t="shared" si="59"/>
        <v/>
      </c>
      <c r="AN200" s="887" t="str">
        <f t="shared" si="60"/>
        <v/>
      </c>
      <c r="AO200" s="887" t="str">
        <f t="shared" si="61"/>
        <v/>
      </c>
      <c r="AP200" s="887" t="str">
        <f t="shared" si="62"/>
        <v/>
      </c>
      <c r="AQ200" s="887" t="str">
        <f t="shared" si="63"/>
        <v/>
      </c>
      <c r="AR200" s="887" t="str">
        <f t="shared" si="64"/>
        <v/>
      </c>
      <c r="AS200" s="887" t="str">
        <f t="shared" si="65"/>
        <v/>
      </c>
      <c r="AT200" s="887" t="str">
        <f t="shared" si="66"/>
        <v/>
      </c>
      <c r="AU200" s="887" t="str">
        <f t="shared" si="67"/>
        <v/>
      </c>
      <c r="AV200" s="887" t="str">
        <f t="shared" si="68"/>
        <v/>
      </c>
      <c r="AW200" s="887" t="str">
        <f t="shared" si="69"/>
        <v/>
      </c>
      <c r="AX200" s="887" t="str">
        <f t="shared" si="70"/>
        <v/>
      </c>
      <c r="AY200" s="887" t="str">
        <f t="shared" si="71"/>
        <v/>
      </c>
      <c r="AZ200" s="877"/>
      <c r="BA200" s="877"/>
      <c r="BB200" s="877"/>
      <c r="BC200" s="877"/>
      <c r="BD200" s="877"/>
      <c r="BE200" s="877"/>
      <c r="BF200" s="877"/>
      <c r="BG200" s="877"/>
      <c r="BH200" s="877"/>
    </row>
    <row r="201" spans="22:60" ht="35.25" customHeight="1" x14ac:dyDescent="0.5">
      <c r="V201" s="877"/>
      <c r="W201" s="877"/>
      <c r="X201" s="877"/>
      <c r="Y201" s="877"/>
      <c r="Z201" s="877"/>
      <c r="AA201" s="877"/>
      <c r="AB201" s="877"/>
      <c r="AC201" s="877"/>
      <c r="AD201" s="877"/>
      <c r="AE201" s="877"/>
      <c r="AF201" s="877"/>
      <c r="AG201" s="877"/>
      <c r="AH201" s="877"/>
      <c r="AI201" s="878"/>
      <c r="AJ201" s="877"/>
      <c r="AK201" s="877">
        <v>74</v>
      </c>
      <c r="AL201" s="877">
        <v>14</v>
      </c>
      <c r="AM201" s="921" t="str">
        <f t="shared" si="59"/>
        <v/>
      </c>
      <c r="AN201" s="887" t="str">
        <f t="shared" si="60"/>
        <v/>
      </c>
      <c r="AO201" s="887" t="str">
        <f t="shared" si="61"/>
        <v/>
      </c>
      <c r="AP201" s="887" t="str">
        <f t="shared" si="62"/>
        <v/>
      </c>
      <c r="AQ201" s="887" t="str">
        <f t="shared" si="63"/>
        <v/>
      </c>
      <c r="AR201" s="887" t="str">
        <f t="shared" si="64"/>
        <v/>
      </c>
      <c r="AS201" s="887" t="str">
        <f t="shared" si="65"/>
        <v/>
      </c>
      <c r="AT201" s="887" t="str">
        <f t="shared" si="66"/>
        <v/>
      </c>
      <c r="AU201" s="887" t="str">
        <f t="shared" si="67"/>
        <v/>
      </c>
      <c r="AV201" s="887" t="str">
        <f t="shared" si="68"/>
        <v/>
      </c>
      <c r="AW201" s="887" t="str">
        <f t="shared" si="69"/>
        <v/>
      </c>
      <c r="AX201" s="887" t="str">
        <f t="shared" si="70"/>
        <v/>
      </c>
      <c r="AY201" s="887" t="str">
        <f t="shared" si="71"/>
        <v/>
      </c>
      <c r="AZ201" s="877"/>
      <c r="BA201" s="877"/>
      <c r="BB201" s="877"/>
      <c r="BC201" s="877"/>
      <c r="BD201" s="877"/>
      <c r="BE201" s="877"/>
      <c r="BF201" s="877"/>
      <c r="BG201" s="877"/>
      <c r="BH201" s="877"/>
    </row>
    <row r="202" spans="22:60" ht="35.25" customHeight="1" x14ac:dyDescent="0.5">
      <c r="V202" s="877"/>
      <c r="W202" s="877"/>
      <c r="X202" s="877"/>
      <c r="Y202" s="877"/>
      <c r="Z202" s="877"/>
      <c r="AA202" s="877"/>
      <c r="AB202" s="877"/>
      <c r="AC202" s="877"/>
      <c r="AD202" s="877"/>
      <c r="AE202" s="877"/>
      <c r="AF202" s="877"/>
      <c r="AG202" s="877"/>
      <c r="AH202" s="877"/>
      <c r="AI202" s="878"/>
      <c r="AJ202" s="877"/>
      <c r="AK202" s="877">
        <v>75</v>
      </c>
      <c r="AL202" s="877">
        <v>15</v>
      </c>
      <c r="AM202" s="921" t="str">
        <f t="shared" si="59"/>
        <v/>
      </c>
      <c r="AN202" s="887" t="str">
        <f t="shared" si="60"/>
        <v/>
      </c>
      <c r="AO202" s="887" t="str">
        <f t="shared" si="61"/>
        <v/>
      </c>
      <c r="AP202" s="887" t="str">
        <f t="shared" si="62"/>
        <v/>
      </c>
      <c r="AQ202" s="887" t="str">
        <f t="shared" si="63"/>
        <v/>
      </c>
      <c r="AR202" s="887" t="str">
        <f t="shared" si="64"/>
        <v/>
      </c>
      <c r="AS202" s="887" t="str">
        <f t="shared" si="65"/>
        <v/>
      </c>
      <c r="AT202" s="887" t="str">
        <f t="shared" si="66"/>
        <v/>
      </c>
      <c r="AU202" s="887" t="str">
        <f t="shared" si="67"/>
        <v/>
      </c>
      <c r="AV202" s="887" t="str">
        <f t="shared" si="68"/>
        <v/>
      </c>
      <c r="AW202" s="887" t="str">
        <f t="shared" si="69"/>
        <v/>
      </c>
      <c r="AX202" s="887" t="str">
        <f t="shared" si="70"/>
        <v/>
      </c>
      <c r="AY202" s="887" t="str">
        <f t="shared" si="71"/>
        <v/>
      </c>
      <c r="AZ202" s="877"/>
      <c r="BA202" s="877"/>
      <c r="BB202" s="877"/>
      <c r="BC202" s="877"/>
      <c r="BD202" s="877"/>
      <c r="BE202" s="877"/>
      <c r="BF202" s="877"/>
      <c r="BG202" s="877"/>
      <c r="BH202" s="877"/>
    </row>
    <row r="203" spans="22:60" ht="35.25" customHeight="1" x14ac:dyDescent="0.5">
      <c r="V203" s="877"/>
      <c r="W203" s="877"/>
      <c r="X203" s="877"/>
      <c r="Y203" s="877"/>
      <c r="Z203" s="877"/>
      <c r="AA203" s="877"/>
      <c r="AB203" s="877"/>
      <c r="AC203" s="877"/>
      <c r="AD203" s="877"/>
      <c r="AE203" s="877"/>
      <c r="AF203" s="877"/>
      <c r="AG203" s="877"/>
      <c r="AH203" s="877"/>
      <c r="AI203" s="878"/>
      <c r="AJ203" s="877"/>
      <c r="AK203" s="877">
        <v>76</v>
      </c>
      <c r="AL203" s="877">
        <v>16</v>
      </c>
      <c r="AM203" s="921" t="str">
        <f t="shared" si="59"/>
        <v/>
      </c>
      <c r="AN203" s="887" t="str">
        <f t="shared" si="60"/>
        <v/>
      </c>
      <c r="AO203" s="887" t="str">
        <f t="shared" si="61"/>
        <v/>
      </c>
      <c r="AP203" s="887" t="str">
        <f t="shared" si="62"/>
        <v/>
      </c>
      <c r="AQ203" s="887" t="str">
        <f t="shared" si="63"/>
        <v/>
      </c>
      <c r="AR203" s="887" t="str">
        <f t="shared" si="64"/>
        <v/>
      </c>
      <c r="AS203" s="887" t="str">
        <f t="shared" si="65"/>
        <v/>
      </c>
      <c r="AT203" s="887" t="str">
        <f t="shared" si="66"/>
        <v/>
      </c>
      <c r="AU203" s="887" t="str">
        <f t="shared" si="67"/>
        <v/>
      </c>
      <c r="AV203" s="887" t="str">
        <f t="shared" si="68"/>
        <v/>
      </c>
      <c r="AW203" s="887" t="str">
        <f t="shared" si="69"/>
        <v/>
      </c>
      <c r="AX203" s="887" t="str">
        <f t="shared" si="70"/>
        <v/>
      </c>
      <c r="AY203" s="887" t="str">
        <f t="shared" si="71"/>
        <v/>
      </c>
      <c r="AZ203" s="877"/>
      <c r="BA203" s="877"/>
      <c r="BB203" s="877"/>
      <c r="BC203" s="877"/>
      <c r="BD203" s="877"/>
      <c r="BE203" s="877"/>
      <c r="BF203" s="877"/>
      <c r="BG203" s="877"/>
      <c r="BH203" s="877"/>
    </row>
    <row r="204" spans="22:60" ht="35.25" customHeight="1" x14ac:dyDescent="0.5">
      <c r="V204" s="877"/>
      <c r="W204" s="877"/>
      <c r="X204" s="877"/>
      <c r="Y204" s="877"/>
      <c r="Z204" s="877"/>
      <c r="AA204" s="877"/>
      <c r="AB204" s="877"/>
      <c r="AC204" s="877"/>
      <c r="AD204" s="877"/>
      <c r="AE204" s="877"/>
      <c r="AF204" s="877"/>
      <c r="AG204" s="877"/>
      <c r="AH204" s="877"/>
      <c r="AI204" s="878"/>
      <c r="AJ204" s="877"/>
      <c r="AK204" s="877">
        <v>77</v>
      </c>
      <c r="AL204" s="877">
        <v>17</v>
      </c>
      <c r="AM204" s="921" t="str">
        <f t="shared" si="59"/>
        <v/>
      </c>
      <c r="AN204" s="887" t="str">
        <f t="shared" si="60"/>
        <v/>
      </c>
      <c r="AO204" s="887" t="str">
        <f t="shared" si="61"/>
        <v/>
      </c>
      <c r="AP204" s="887" t="str">
        <f t="shared" si="62"/>
        <v/>
      </c>
      <c r="AQ204" s="887" t="str">
        <f t="shared" si="63"/>
        <v/>
      </c>
      <c r="AR204" s="887" t="str">
        <f t="shared" si="64"/>
        <v/>
      </c>
      <c r="AS204" s="887" t="str">
        <f t="shared" si="65"/>
        <v/>
      </c>
      <c r="AT204" s="887" t="str">
        <f t="shared" si="66"/>
        <v/>
      </c>
      <c r="AU204" s="887" t="str">
        <f t="shared" si="67"/>
        <v/>
      </c>
      <c r="AV204" s="887" t="str">
        <f t="shared" si="68"/>
        <v/>
      </c>
      <c r="AW204" s="887" t="str">
        <f t="shared" si="69"/>
        <v/>
      </c>
      <c r="AX204" s="887" t="str">
        <f t="shared" si="70"/>
        <v/>
      </c>
      <c r="AY204" s="887" t="str">
        <f t="shared" si="71"/>
        <v/>
      </c>
      <c r="AZ204" s="877"/>
      <c r="BA204" s="877"/>
      <c r="BB204" s="877"/>
      <c r="BC204" s="877"/>
      <c r="BD204" s="877"/>
      <c r="BE204" s="877"/>
      <c r="BF204" s="877"/>
      <c r="BG204" s="877"/>
      <c r="BH204" s="877"/>
    </row>
    <row r="205" spans="22:60" ht="35.25" customHeight="1" x14ac:dyDescent="0.5">
      <c r="V205" s="877"/>
      <c r="W205" s="877"/>
      <c r="X205" s="877"/>
      <c r="Y205" s="877"/>
      <c r="Z205" s="877"/>
      <c r="AA205" s="877"/>
      <c r="AB205" s="877"/>
      <c r="AC205" s="877"/>
      <c r="AD205" s="877"/>
      <c r="AE205" s="877"/>
      <c r="AF205" s="877"/>
      <c r="AG205" s="877"/>
      <c r="AH205" s="877"/>
      <c r="AI205" s="878"/>
      <c r="AJ205" s="877"/>
      <c r="AK205" s="877">
        <v>78</v>
      </c>
      <c r="AL205" s="877">
        <v>18</v>
      </c>
      <c r="AM205" s="921" t="str">
        <f t="shared" si="59"/>
        <v/>
      </c>
      <c r="AN205" s="887" t="str">
        <f t="shared" si="60"/>
        <v/>
      </c>
      <c r="AO205" s="887" t="str">
        <f t="shared" si="61"/>
        <v/>
      </c>
      <c r="AP205" s="887" t="str">
        <f t="shared" si="62"/>
        <v/>
      </c>
      <c r="AQ205" s="887" t="str">
        <f t="shared" si="63"/>
        <v/>
      </c>
      <c r="AR205" s="887" t="str">
        <f t="shared" si="64"/>
        <v/>
      </c>
      <c r="AS205" s="887" t="str">
        <f t="shared" si="65"/>
        <v/>
      </c>
      <c r="AT205" s="887" t="str">
        <f t="shared" si="66"/>
        <v/>
      </c>
      <c r="AU205" s="887" t="str">
        <f t="shared" si="67"/>
        <v/>
      </c>
      <c r="AV205" s="887" t="str">
        <f t="shared" si="68"/>
        <v/>
      </c>
      <c r="AW205" s="887" t="str">
        <f t="shared" si="69"/>
        <v/>
      </c>
      <c r="AX205" s="887" t="str">
        <f t="shared" si="70"/>
        <v/>
      </c>
      <c r="AY205" s="887" t="str">
        <f t="shared" si="71"/>
        <v/>
      </c>
      <c r="AZ205" s="877"/>
      <c r="BA205" s="877"/>
      <c r="BB205" s="877"/>
      <c r="BC205" s="877"/>
      <c r="BD205" s="877"/>
      <c r="BE205" s="877"/>
      <c r="BF205" s="877"/>
      <c r="BG205" s="877"/>
      <c r="BH205" s="877"/>
    </row>
    <row r="206" spans="22:60" ht="35.25" customHeight="1" x14ac:dyDescent="0.5">
      <c r="V206" s="877"/>
      <c r="W206" s="877"/>
      <c r="X206" s="877"/>
      <c r="Y206" s="877"/>
      <c r="Z206" s="877"/>
      <c r="AA206" s="877"/>
      <c r="AB206" s="877"/>
      <c r="AC206" s="877"/>
      <c r="AD206" s="877"/>
      <c r="AE206" s="877"/>
      <c r="AF206" s="877"/>
      <c r="AG206" s="877"/>
      <c r="AH206" s="877"/>
      <c r="AI206" s="878"/>
      <c r="AJ206" s="877"/>
      <c r="AK206" s="877">
        <v>79</v>
      </c>
      <c r="AL206" s="877">
        <v>19</v>
      </c>
      <c r="AM206" s="921" t="str">
        <f t="shared" si="59"/>
        <v/>
      </c>
      <c r="AN206" s="887" t="str">
        <f t="shared" si="60"/>
        <v/>
      </c>
      <c r="AO206" s="887" t="str">
        <f t="shared" si="61"/>
        <v/>
      </c>
      <c r="AP206" s="887" t="str">
        <f t="shared" si="62"/>
        <v/>
      </c>
      <c r="AQ206" s="887" t="str">
        <f t="shared" si="63"/>
        <v/>
      </c>
      <c r="AR206" s="887" t="str">
        <f t="shared" si="64"/>
        <v/>
      </c>
      <c r="AS206" s="887" t="str">
        <f t="shared" si="65"/>
        <v/>
      </c>
      <c r="AT206" s="887" t="str">
        <f t="shared" si="66"/>
        <v/>
      </c>
      <c r="AU206" s="887" t="str">
        <f t="shared" si="67"/>
        <v/>
      </c>
      <c r="AV206" s="887" t="str">
        <f t="shared" si="68"/>
        <v/>
      </c>
      <c r="AW206" s="887" t="str">
        <f t="shared" si="69"/>
        <v/>
      </c>
      <c r="AX206" s="887" t="str">
        <f t="shared" si="70"/>
        <v/>
      </c>
      <c r="AY206" s="887" t="str">
        <f t="shared" si="71"/>
        <v/>
      </c>
      <c r="AZ206" s="877"/>
      <c r="BA206" s="877"/>
      <c r="BB206" s="877"/>
      <c r="BC206" s="877"/>
      <c r="BD206" s="877"/>
      <c r="BE206" s="877"/>
      <c r="BF206" s="877"/>
      <c r="BG206" s="877"/>
      <c r="BH206" s="877"/>
    </row>
    <row r="207" spans="22:60" ht="35.25" customHeight="1" x14ac:dyDescent="0.5">
      <c r="V207" s="877"/>
      <c r="W207" s="877"/>
      <c r="X207" s="877"/>
      <c r="Y207" s="877"/>
      <c r="Z207" s="877"/>
      <c r="AA207" s="877"/>
      <c r="AB207" s="877"/>
      <c r="AC207" s="877"/>
      <c r="AD207" s="877"/>
      <c r="AE207" s="877"/>
      <c r="AF207" s="877"/>
      <c r="AG207" s="877"/>
      <c r="AH207" s="877"/>
      <c r="AI207" s="878"/>
      <c r="AJ207" s="877"/>
      <c r="AK207" s="877">
        <v>80</v>
      </c>
      <c r="AL207" s="877">
        <v>20</v>
      </c>
      <c r="AM207" s="921" t="str">
        <f t="shared" si="59"/>
        <v/>
      </c>
      <c r="AN207" s="887" t="str">
        <f t="shared" si="60"/>
        <v/>
      </c>
      <c r="AO207" s="887" t="str">
        <f t="shared" si="61"/>
        <v/>
      </c>
      <c r="AP207" s="887" t="str">
        <f t="shared" si="62"/>
        <v/>
      </c>
      <c r="AQ207" s="887" t="str">
        <f t="shared" si="63"/>
        <v/>
      </c>
      <c r="AR207" s="887" t="str">
        <f t="shared" si="64"/>
        <v/>
      </c>
      <c r="AS207" s="887" t="str">
        <f t="shared" si="65"/>
        <v/>
      </c>
      <c r="AT207" s="887" t="str">
        <f t="shared" si="66"/>
        <v/>
      </c>
      <c r="AU207" s="887" t="str">
        <f t="shared" si="67"/>
        <v/>
      </c>
      <c r="AV207" s="887" t="str">
        <f t="shared" si="68"/>
        <v/>
      </c>
      <c r="AW207" s="887" t="str">
        <f t="shared" si="69"/>
        <v/>
      </c>
      <c r="AX207" s="887" t="str">
        <f t="shared" si="70"/>
        <v/>
      </c>
      <c r="AY207" s="887" t="str">
        <f t="shared" si="71"/>
        <v/>
      </c>
      <c r="AZ207" s="877"/>
      <c r="BA207" s="877"/>
      <c r="BB207" s="877"/>
      <c r="BC207" s="877"/>
      <c r="BD207" s="877"/>
      <c r="BE207" s="877"/>
      <c r="BF207" s="877"/>
      <c r="BG207" s="877"/>
      <c r="BH207" s="877"/>
    </row>
    <row r="208" spans="22:60" ht="35.25" customHeight="1" x14ac:dyDescent="0.5">
      <c r="V208" s="877"/>
      <c r="W208" s="877"/>
      <c r="X208" s="877"/>
      <c r="Y208" s="877"/>
      <c r="Z208" s="877"/>
      <c r="AA208" s="877"/>
      <c r="AB208" s="877"/>
      <c r="AC208" s="877"/>
      <c r="AD208" s="877"/>
      <c r="AE208" s="877"/>
      <c r="AF208" s="877"/>
      <c r="AG208" s="877"/>
      <c r="AH208" s="877"/>
      <c r="AI208" s="878"/>
      <c r="AJ208" s="877"/>
      <c r="AK208" s="877"/>
      <c r="AL208" s="877"/>
      <c r="AM208" s="879"/>
      <c r="AN208" s="877"/>
      <c r="AO208" s="877"/>
      <c r="AP208" s="877"/>
      <c r="AQ208" s="877"/>
      <c r="AR208" s="877"/>
      <c r="AS208" s="877"/>
      <c r="AT208" s="887">
        <f>SUM(AT188:AT207)</f>
        <v>0</v>
      </c>
      <c r="AU208" s="887">
        <f>SUM(AU188:AU207)</f>
        <v>0</v>
      </c>
      <c r="AV208" s="887">
        <f>SUM(AV188:AV207)</f>
        <v>0</v>
      </c>
      <c r="AW208" s="887">
        <f>SUM(AW188:AW207)</f>
        <v>0</v>
      </c>
      <c r="AX208" s="887">
        <f>AX187+AT208-AV208</f>
        <v>3000</v>
      </c>
      <c r="AY208" s="887">
        <f>AY187+AU208-AW208</f>
        <v>3000</v>
      </c>
      <c r="AZ208" s="877"/>
      <c r="BA208" s="877"/>
      <c r="BB208" s="877"/>
      <c r="BC208" s="877"/>
      <c r="BD208" s="877"/>
      <c r="BE208" s="877"/>
      <c r="BF208" s="877"/>
      <c r="BG208" s="877"/>
      <c r="BH208" s="877"/>
    </row>
    <row r="209" spans="22:60" ht="35.25" customHeight="1" x14ac:dyDescent="0.5">
      <c r="V209" s="877"/>
      <c r="W209" s="877"/>
      <c r="X209" s="877"/>
      <c r="Y209" s="877"/>
      <c r="Z209" s="877"/>
      <c r="AA209" s="877"/>
      <c r="AB209" s="877"/>
      <c r="AC209" s="877"/>
      <c r="AD209" s="877"/>
      <c r="AE209" s="877"/>
      <c r="AF209" s="877"/>
      <c r="AG209" s="877"/>
      <c r="AH209" s="877"/>
      <c r="AI209" s="878"/>
      <c r="AJ209" s="877"/>
      <c r="AK209" s="877">
        <v>81</v>
      </c>
      <c r="AL209" s="877">
        <v>1</v>
      </c>
      <c r="AM209" s="921" t="str">
        <f t="shared" ref="AM209:AM228" si="72">IFERROR(VLOOKUP(AL209,$AB$10:$AW$111,12,0),"")</f>
        <v/>
      </c>
      <c r="AN209" s="887" t="str">
        <f t="shared" ref="AN209:AN228" si="73">IFERROR(VLOOKUP(AL209,$AB$10:$AW$111,13,0),"")</f>
        <v/>
      </c>
      <c r="AO209" s="887" t="str">
        <f t="shared" ref="AO209:AO228" si="74">IFERROR(VLOOKUP(AL209,$AB$10:$AW$111,14,0),"")</f>
        <v/>
      </c>
      <c r="AP209" s="887" t="str">
        <f t="shared" ref="AP209:AP228" si="75">IFERROR(VLOOKUP(AL209,$AB$10:$AW$111,15,0),"")</f>
        <v/>
      </c>
      <c r="AQ209" s="887" t="str">
        <f t="shared" ref="AQ209:AQ228" si="76">IFERROR(VLOOKUP(AL209,$AB$10:$AW$111,16,0),"")</f>
        <v/>
      </c>
      <c r="AR209" s="887" t="str">
        <f t="shared" ref="AR209:AR228" si="77">IFERROR(VLOOKUP(AL209,$AB$10:$AW$111,17,0),"")</f>
        <v/>
      </c>
      <c r="AS209" s="887" t="str">
        <f t="shared" ref="AS209:AS228" si="78">IFERROR(VLOOKUP(AL209,$AB$10:$AW$111,18,0),"")</f>
        <v/>
      </c>
      <c r="AT209" s="887" t="str">
        <f t="shared" ref="AT209:AT228" si="79">IFERROR(VLOOKUP(AL209,$AB$10:$AW$111,19,0),"")</f>
        <v/>
      </c>
      <c r="AU209" s="887" t="str">
        <f t="shared" ref="AU209:AU228" si="80">IFERROR(VLOOKUP(AL209,$AB$10:$AW$111,20,0),"")</f>
        <v/>
      </c>
      <c r="AV209" s="887" t="str">
        <f t="shared" ref="AV209:AV228" si="81">IFERROR(VLOOKUP(AL209,$AB$10:$AW$111,21,0),"")</f>
        <v/>
      </c>
      <c r="AW209" s="887" t="str">
        <f t="shared" ref="AW209:AW228" si="82">IFERROR(VLOOKUP(AL209,$AB$10:$AW$111,22,0),"")</f>
        <v/>
      </c>
      <c r="AX209" s="887" t="str">
        <f>IFERROR(AX207+AT209-AV209,"")</f>
        <v/>
      </c>
      <c r="AY209" s="887" t="str">
        <f>IFERROR(AY207+AU209-AW209,"")</f>
        <v/>
      </c>
      <c r="AZ209" s="877"/>
      <c r="BA209" s="877"/>
      <c r="BB209" s="877"/>
      <c r="BC209" s="877"/>
      <c r="BD209" s="877"/>
      <c r="BE209" s="877"/>
      <c r="BF209" s="877"/>
      <c r="BG209" s="877"/>
      <c r="BH209" s="877"/>
    </row>
    <row r="210" spans="22:60" ht="35.25" customHeight="1" x14ac:dyDescent="0.5">
      <c r="V210" s="877"/>
      <c r="W210" s="877"/>
      <c r="X210" s="877"/>
      <c r="Y210" s="877"/>
      <c r="Z210" s="877"/>
      <c r="AA210" s="877"/>
      <c r="AB210" s="877"/>
      <c r="AC210" s="877"/>
      <c r="AD210" s="877"/>
      <c r="AE210" s="877"/>
      <c r="AF210" s="877"/>
      <c r="AG210" s="877"/>
      <c r="AH210" s="877"/>
      <c r="AI210" s="878"/>
      <c r="AJ210" s="877"/>
      <c r="AK210" s="877">
        <v>82</v>
      </c>
      <c r="AL210" s="877">
        <v>2</v>
      </c>
      <c r="AM210" s="921" t="str">
        <f t="shared" si="72"/>
        <v/>
      </c>
      <c r="AN210" s="887" t="str">
        <f t="shared" si="73"/>
        <v/>
      </c>
      <c r="AO210" s="887" t="str">
        <f t="shared" si="74"/>
        <v/>
      </c>
      <c r="AP210" s="887" t="str">
        <f t="shared" si="75"/>
        <v/>
      </c>
      <c r="AQ210" s="887" t="str">
        <f t="shared" si="76"/>
        <v/>
      </c>
      <c r="AR210" s="887" t="str">
        <f t="shared" si="77"/>
        <v/>
      </c>
      <c r="AS210" s="887" t="str">
        <f t="shared" si="78"/>
        <v/>
      </c>
      <c r="AT210" s="887" t="str">
        <f t="shared" si="79"/>
        <v/>
      </c>
      <c r="AU210" s="887" t="str">
        <f t="shared" si="80"/>
        <v/>
      </c>
      <c r="AV210" s="887" t="str">
        <f t="shared" si="81"/>
        <v/>
      </c>
      <c r="AW210" s="887" t="str">
        <f t="shared" si="82"/>
        <v/>
      </c>
      <c r="AX210" s="887" t="str">
        <f t="shared" si="70"/>
        <v/>
      </c>
      <c r="AY210" s="887" t="str">
        <f t="shared" si="71"/>
        <v/>
      </c>
      <c r="AZ210" s="877"/>
      <c r="BA210" s="877"/>
      <c r="BB210" s="877"/>
      <c r="BC210" s="877"/>
      <c r="BD210" s="877"/>
      <c r="BE210" s="877"/>
      <c r="BF210" s="877"/>
      <c r="BG210" s="877"/>
      <c r="BH210" s="877"/>
    </row>
    <row r="211" spans="22:60" ht="35.25" customHeight="1" x14ac:dyDescent="0.5">
      <c r="V211" s="877"/>
      <c r="W211" s="877"/>
      <c r="X211" s="877"/>
      <c r="Y211" s="877"/>
      <c r="Z211" s="877"/>
      <c r="AA211" s="877"/>
      <c r="AB211" s="877"/>
      <c r="AC211" s="877"/>
      <c r="AD211" s="877"/>
      <c r="AE211" s="877"/>
      <c r="AF211" s="877"/>
      <c r="AG211" s="877"/>
      <c r="AH211" s="877"/>
      <c r="AI211" s="878"/>
      <c r="AJ211" s="877"/>
      <c r="AK211" s="877">
        <v>83</v>
      </c>
      <c r="AL211" s="877">
        <v>3</v>
      </c>
      <c r="AM211" s="921" t="str">
        <f t="shared" si="72"/>
        <v/>
      </c>
      <c r="AN211" s="887" t="str">
        <f t="shared" si="73"/>
        <v/>
      </c>
      <c r="AO211" s="887" t="str">
        <f t="shared" si="74"/>
        <v/>
      </c>
      <c r="AP211" s="887" t="str">
        <f t="shared" si="75"/>
        <v/>
      </c>
      <c r="AQ211" s="887" t="str">
        <f t="shared" si="76"/>
        <v/>
      </c>
      <c r="AR211" s="887" t="str">
        <f t="shared" si="77"/>
        <v/>
      </c>
      <c r="AS211" s="887" t="str">
        <f t="shared" si="78"/>
        <v/>
      </c>
      <c r="AT211" s="887" t="str">
        <f t="shared" si="79"/>
        <v/>
      </c>
      <c r="AU211" s="887" t="str">
        <f t="shared" si="80"/>
        <v/>
      </c>
      <c r="AV211" s="887" t="str">
        <f t="shared" si="81"/>
        <v/>
      </c>
      <c r="AW211" s="887" t="str">
        <f t="shared" si="82"/>
        <v/>
      </c>
      <c r="AX211" s="887" t="str">
        <f t="shared" si="70"/>
        <v/>
      </c>
      <c r="AY211" s="887" t="str">
        <f t="shared" si="71"/>
        <v/>
      </c>
      <c r="AZ211" s="877"/>
      <c r="BA211" s="877"/>
      <c r="BB211" s="877"/>
      <c r="BC211" s="877"/>
      <c r="BD211" s="877"/>
      <c r="BE211" s="877"/>
      <c r="BF211" s="877"/>
      <c r="BG211" s="877"/>
      <c r="BH211" s="877"/>
    </row>
    <row r="212" spans="22:60" ht="35.25" customHeight="1" x14ac:dyDescent="0.5">
      <c r="V212" s="877"/>
      <c r="W212" s="877"/>
      <c r="X212" s="877"/>
      <c r="Y212" s="877"/>
      <c r="Z212" s="877"/>
      <c r="AA212" s="877"/>
      <c r="AB212" s="877"/>
      <c r="AC212" s="877"/>
      <c r="AD212" s="877"/>
      <c r="AE212" s="877"/>
      <c r="AF212" s="877"/>
      <c r="AG212" s="877"/>
      <c r="AH212" s="877"/>
      <c r="AI212" s="878"/>
      <c r="AJ212" s="877"/>
      <c r="AK212" s="877">
        <v>84</v>
      </c>
      <c r="AL212" s="877">
        <v>4</v>
      </c>
      <c r="AM212" s="921" t="str">
        <f t="shared" si="72"/>
        <v/>
      </c>
      <c r="AN212" s="887" t="str">
        <f t="shared" si="73"/>
        <v/>
      </c>
      <c r="AO212" s="887" t="str">
        <f t="shared" si="74"/>
        <v/>
      </c>
      <c r="AP212" s="887" t="str">
        <f t="shared" si="75"/>
        <v/>
      </c>
      <c r="AQ212" s="887" t="str">
        <f t="shared" si="76"/>
        <v/>
      </c>
      <c r="AR212" s="887" t="str">
        <f t="shared" si="77"/>
        <v/>
      </c>
      <c r="AS212" s="887" t="str">
        <f t="shared" si="78"/>
        <v/>
      </c>
      <c r="AT212" s="887" t="str">
        <f t="shared" si="79"/>
        <v/>
      </c>
      <c r="AU212" s="887" t="str">
        <f t="shared" si="80"/>
        <v/>
      </c>
      <c r="AV212" s="887" t="str">
        <f t="shared" si="81"/>
        <v/>
      </c>
      <c r="AW212" s="887" t="str">
        <f t="shared" si="82"/>
        <v/>
      </c>
      <c r="AX212" s="887" t="str">
        <f t="shared" si="70"/>
        <v/>
      </c>
      <c r="AY212" s="887" t="str">
        <f t="shared" si="71"/>
        <v/>
      </c>
      <c r="AZ212" s="877"/>
      <c r="BA212" s="877"/>
      <c r="BB212" s="877"/>
      <c r="BC212" s="877"/>
      <c r="BD212" s="877"/>
      <c r="BE212" s="877"/>
      <c r="BF212" s="877"/>
      <c r="BG212" s="877"/>
      <c r="BH212" s="877"/>
    </row>
    <row r="213" spans="22:60" ht="35.25" customHeight="1" x14ac:dyDescent="0.5">
      <c r="V213" s="877"/>
      <c r="W213" s="877"/>
      <c r="X213" s="877"/>
      <c r="Y213" s="877"/>
      <c r="Z213" s="877"/>
      <c r="AA213" s="877"/>
      <c r="AB213" s="877"/>
      <c r="AC213" s="877"/>
      <c r="AD213" s="877"/>
      <c r="AE213" s="877"/>
      <c r="AF213" s="877"/>
      <c r="AG213" s="877"/>
      <c r="AH213" s="877"/>
      <c r="AI213" s="878"/>
      <c r="AJ213" s="877"/>
      <c r="AK213" s="877">
        <v>85</v>
      </c>
      <c r="AL213" s="877">
        <v>5</v>
      </c>
      <c r="AM213" s="921" t="str">
        <f t="shared" si="72"/>
        <v/>
      </c>
      <c r="AN213" s="887" t="str">
        <f t="shared" si="73"/>
        <v/>
      </c>
      <c r="AO213" s="887" t="str">
        <f t="shared" si="74"/>
        <v/>
      </c>
      <c r="AP213" s="887" t="str">
        <f t="shared" si="75"/>
        <v/>
      </c>
      <c r="AQ213" s="887" t="str">
        <f t="shared" si="76"/>
        <v/>
      </c>
      <c r="AR213" s="887" t="str">
        <f t="shared" si="77"/>
        <v/>
      </c>
      <c r="AS213" s="887" t="str">
        <f t="shared" si="78"/>
        <v/>
      </c>
      <c r="AT213" s="887" t="str">
        <f t="shared" si="79"/>
        <v/>
      </c>
      <c r="AU213" s="887" t="str">
        <f t="shared" si="80"/>
        <v/>
      </c>
      <c r="AV213" s="887" t="str">
        <f t="shared" si="81"/>
        <v/>
      </c>
      <c r="AW213" s="887" t="str">
        <f t="shared" si="82"/>
        <v/>
      </c>
      <c r="AX213" s="887" t="str">
        <f t="shared" si="70"/>
        <v/>
      </c>
      <c r="AY213" s="887" t="str">
        <f t="shared" si="71"/>
        <v/>
      </c>
      <c r="AZ213" s="877"/>
      <c r="BA213" s="877"/>
      <c r="BB213" s="877"/>
      <c r="BC213" s="877"/>
      <c r="BD213" s="877"/>
      <c r="BE213" s="877"/>
      <c r="BF213" s="877"/>
      <c r="BG213" s="877"/>
      <c r="BH213" s="877"/>
    </row>
    <row r="214" spans="22:60" ht="35.25" customHeight="1" x14ac:dyDescent="0.5">
      <c r="V214" s="877"/>
      <c r="W214" s="877"/>
      <c r="X214" s="877"/>
      <c r="Y214" s="877"/>
      <c r="Z214" s="877"/>
      <c r="AA214" s="877"/>
      <c r="AB214" s="877"/>
      <c r="AC214" s="877"/>
      <c r="AD214" s="877"/>
      <c r="AE214" s="877"/>
      <c r="AF214" s="877"/>
      <c r="AG214" s="877"/>
      <c r="AH214" s="877"/>
      <c r="AI214" s="878"/>
      <c r="AJ214" s="877"/>
      <c r="AK214" s="877">
        <v>86</v>
      </c>
      <c r="AL214" s="877">
        <v>6</v>
      </c>
      <c r="AM214" s="921" t="str">
        <f t="shared" si="72"/>
        <v/>
      </c>
      <c r="AN214" s="887" t="str">
        <f t="shared" si="73"/>
        <v/>
      </c>
      <c r="AO214" s="887" t="str">
        <f t="shared" si="74"/>
        <v/>
      </c>
      <c r="AP214" s="887" t="str">
        <f t="shared" si="75"/>
        <v/>
      </c>
      <c r="AQ214" s="887" t="str">
        <f t="shared" si="76"/>
        <v/>
      </c>
      <c r="AR214" s="887" t="str">
        <f t="shared" si="77"/>
        <v/>
      </c>
      <c r="AS214" s="887" t="str">
        <f t="shared" si="78"/>
        <v/>
      </c>
      <c r="AT214" s="887" t="str">
        <f t="shared" si="79"/>
        <v/>
      </c>
      <c r="AU214" s="887" t="str">
        <f t="shared" si="80"/>
        <v/>
      </c>
      <c r="AV214" s="887" t="str">
        <f t="shared" si="81"/>
        <v/>
      </c>
      <c r="AW214" s="887" t="str">
        <f t="shared" si="82"/>
        <v/>
      </c>
      <c r="AX214" s="887" t="str">
        <f t="shared" si="70"/>
        <v/>
      </c>
      <c r="AY214" s="887" t="str">
        <f t="shared" si="71"/>
        <v/>
      </c>
      <c r="AZ214" s="877"/>
      <c r="BA214" s="877"/>
      <c r="BB214" s="877"/>
      <c r="BC214" s="877"/>
      <c r="BD214" s="877"/>
      <c r="BE214" s="877"/>
      <c r="BF214" s="877"/>
      <c r="BG214" s="877"/>
      <c r="BH214" s="877"/>
    </row>
    <row r="215" spans="22:60" ht="35.25" customHeight="1" x14ac:dyDescent="0.5">
      <c r="V215" s="877"/>
      <c r="W215" s="877"/>
      <c r="X215" s="877"/>
      <c r="Y215" s="877"/>
      <c r="Z215" s="877"/>
      <c r="AA215" s="877"/>
      <c r="AB215" s="877"/>
      <c r="AC215" s="877"/>
      <c r="AD215" s="877"/>
      <c r="AE215" s="877"/>
      <c r="AF215" s="877"/>
      <c r="AG215" s="877"/>
      <c r="AH215" s="877"/>
      <c r="AI215" s="878"/>
      <c r="AJ215" s="877"/>
      <c r="AK215" s="877">
        <v>87</v>
      </c>
      <c r="AL215" s="877">
        <v>7</v>
      </c>
      <c r="AM215" s="921" t="str">
        <f t="shared" si="72"/>
        <v/>
      </c>
      <c r="AN215" s="887" t="str">
        <f t="shared" si="73"/>
        <v/>
      </c>
      <c r="AO215" s="887" t="str">
        <f t="shared" si="74"/>
        <v/>
      </c>
      <c r="AP215" s="887" t="str">
        <f t="shared" si="75"/>
        <v/>
      </c>
      <c r="AQ215" s="887" t="str">
        <f t="shared" si="76"/>
        <v/>
      </c>
      <c r="AR215" s="887" t="str">
        <f t="shared" si="77"/>
        <v/>
      </c>
      <c r="AS215" s="887" t="str">
        <f t="shared" si="78"/>
        <v/>
      </c>
      <c r="AT215" s="887" t="str">
        <f t="shared" si="79"/>
        <v/>
      </c>
      <c r="AU215" s="887" t="str">
        <f t="shared" si="80"/>
        <v/>
      </c>
      <c r="AV215" s="887" t="str">
        <f t="shared" si="81"/>
        <v/>
      </c>
      <c r="AW215" s="887" t="str">
        <f t="shared" si="82"/>
        <v/>
      </c>
      <c r="AX215" s="887" t="str">
        <f t="shared" si="70"/>
        <v/>
      </c>
      <c r="AY215" s="887" t="str">
        <f t="shared" si="71"/>
        <v/>
      </c>
      <c r="AZ215" s="877"/>
      <c r="BA215" s="877"/>
      <c r="BB215" s="877"/>
      <c r="BC215" s="877"/>
      <c r="BD215" s="877"/>
      <c r="BE215" s="877"/>
      <c r="BF215" s="877"/>
      <c r="BG215" s="877"/>
      <c r="BH215" s="877"/>
    </row>
    <row r="216" spans="22:60" ht="35.25" customHeight="1" x14ac:dyDescent="0.5">
      <c r="V216" s="877"/>
      <c r="W216" s="877"/>
      <c r="X216" s="877"/>
      <c r="Y216" s="877"/>
      <c r="Z216" s="877"/>
      <c r="AA216" s="877"/>
      <c r="AB216" s="877"/>
      <c r="AC216" s="877"/>
      <c r="AD216" s="877"/>
      <c r="AE216" s="877"/>
      <c r="AF216" s="877"/>
      <c r="AG216" s="877"/>
      <c r="AH216" s="877"/>
      <c r="AI216" s="878"/>
      <c r="AJ216" s="877"/>
      <c r="AK216" s="877">
        <v>88</v>
      </c>
      <c r="AL216" s="877">
        <v>8</v>
      </c>
      <c r="AM216" s="921" t="str">
        <f t="shared" si="72"/>
        <v/>
      </c>
      <c r="AN216" s="887" t="str">
        <f t="shared" si="73"/>
        <v/>
      </c>
      <c r="AO216" s="887" t="str">
        <f t="shared" si="74"/>
        <v/>
      </c>
      <c r="AP216" s="887" t="str">
        <f t="shared" si="75"/>
        <v/>
      </c>
      <c r="AQ216" s="887" t="str">
        <f t="shared" si="76"/>
        <v/>
      </c>
      <c r="AR216" s="887" t="str">
        <f t="shared" si="77"/>
        <v/>
      </c>
      <c r="AS216" s="887" t="str">
        <f t="shared" si="78"/>
        <v/>
      </c>
      <c r="AT216" s="887" t="str">
        <f t="shared" si="79"/>
        <v/>
      </c>
      <c r="AU216" s="887" t="str">
        <f t="shared" si="80"/>
        <v/>
      </c>
      <c r="AV216" s="887" t="str">
        <f t="shared" si="81"/>
        <v/>
      </c>
      <c r="AW216" s="887" t="str">
        <f t="shared" si="82"/>
        <v/>
      </c>
      <c r="AX216" s="887" t="str">
        <f t="shared" si="70"/>
        <v/>
      </c>
      <c r="AY216" s="887" t="str">
        <f t="shared" si="71"/>
        <v/>
      </c>
      <c r="AZ216" s="877"/>
      <c r="BA216" s="877"/>
      <c r="BB216" s="877"/>
      <c r="BC216" s="877"/>
      <c r="BD216" s="877"/>
      <c r="BE216" s="877"/>
      <c r="BF216" s="877"/>
      <c r="BG216" s="877"/>
      <c r="BH216" s="877"/>
    </row>
    <row r="217" spans="22:60" ht="35.25" customHeight="1" x14ac:dyDescent="0.5">
      <c r="V217" s="877"/>
      <c r="W217" s="877"/>
      <c r="X217" s="877"/>
      <c r="Y217" s="877"/>
      <c r="Z217" s="877"/>
      <c r="AA217" s="877"/>
      <c r="AB217" s="877"/>
      <c r="AC217" s="877"/>
      <c r="AD217" s="877"/>
      <c r="AE217" s="877"/>
      <c r="AF217" s="877"/>
      <c r="AG217" s="877"/>
      <c r="AH217" s="877"/>
      <c r="AI217" s="878"/>
      <c r="AJ217" s="877"/>
      <c r="AK217" s="877">
        <v>89</v>
      </c>
      <c r="AL217" s="877">
        <v>9</v>
      </c>
      <c r="AM217" s="921" t="str">
        <f t="shared" si="72"/>
        <v/>
      </c>
      <c r="AN217" s="887" t="str">
        <f t="shared" si="73"/>
        <v/>
      </c>
      <c r="AO217" s="887" t="str">
        <f t="shared" si="74"/>
        <v/>
      </c>
      <c r="AP217" s="887" t="str">
        <f t="shared" si="75"/>
        <v/>
      </c>
      <c r="AQ217" s="887" t="str">
        <f t="shared" si="76"/>
        <v/>
      </c>
      <c r="AR217" s="887" t="str">
        <f t="shared" si="77"/>
        <v/>
      </c>
      <c r="AS217" s="887" t="str">
        <f t="shared" si="78"/>
        <v/>
      </c>
      <c r="AT217" s="887" t="str">
        <f t="shared" si="79"/>
        <v/>
      </c>
      <c r="AU217" s="887" t="str">
        <f t="shared" si="80"/>
        <v/>
      </c>
      <c r="AV217" s="887" t="str">
        <f t="shared" si="81"/>
        <v/>
      </c>
      <c r="AW217" s="887" t="str">
        <f t="shared" si="82"/>
        <v/>
      </c>
      <c r="AX217" s="887" t="str">
        <f t="shared" si="70"/>
        <v/>
      </c>
      <c r="AY217" s="887" t="str">
        <f t="shared" si="71"/>
        <v/>
      </c>
      <c r="AZ217" s="877"/>
      <c r="BA217" s="877"/>
      <c r="BB217" s="877"/>
      <c r="BC217" s="877"/>
      <c r="BD217" s="877"/>
      <c r="BE217" s="877"/>
      <c r="BF217" s="877"/>
      <c r="BG217" s="877"/>
      <c r="BH217" s="877"/>
    </row>
    <row r="218" spans="22:60" ht="35.25" customHeight="1" x14ac:dyDescent="0.5">
      <c r="V218" s="877"/>
      <c r="W218" s="877"/>
      <c r="X218" s="877"/>
      <c r="Y218" s="877"/>
      <c r="Z218" s="877"/>
      <c r="AA218" s="877"/>
      <c r="AB218" s="877"/>
      <c r="AC218" s="877"/>
      <c r="AD218" s="877"/>
      <c r="AE218" s="877"/>
      <c r="AF218" s="877"/>
      <c r="AG218" s="877"/>
      <c r="AH218" s="877"/>
      <c r="AI218" s="878"/>
      <c r="AJ218" s="877"/>
      <c r="AK218" s="877">
        <v>90</v>
      </c>
      <c r="AL218" s="877">
        <v>10</v>
      </c>
      <c r="AM218" s="921" t="str">
        <f t="shared" si="72"/>
        <v/>
      </c>
      <c r="AN218" s="887" t="str">
        <f t="shared" si="73"/>
        <v/>
      </c>
      <c r="AO218" s="887" t="str">
        <f t="shared" si="74"/>
        <v/>
      </c>
      <c r="AP218" s="887" t="str">
        <f t="shared" si="75"/>
        <v/>
      </c>
      <c r="AQ218" s="887" t="str">
        <f t="shared" si="76"/>
        <v/>
      </c>
      <c r="AR218" s="887" t="str">
        <f t="shared" si="77"/>
        <v/>
      </c>
      <c r="AS218" s="887" t="str">
        <f t="shared" si="78"/>
        <v/>
      </c>
      <c r="AT218" s="887" t="str">
        <f t="shared" si="79"/>
        <v/>
      </c>
      <c r="AU218" s="887" t="str">
        <f t="shared" si="80"/>
        <v/>
      </c>
      <c r="AV218" s="887" t="str">
        <f t="shared" si="81"/>
        <v/>
      </c>
      <c r="AW218" s="887" t="str">
        <f t="shared" si="82"/>
        <v/>
      </c>
      <c r="AX218" s="887" t="str">
        <f t="shared" si="70"/>
        <v/>
      </c>
      <c r="AY218" s="887" t="str">
        <f t="shared" si="71"/>
        <v/>
      </c>
      <c r="AZ218" s="877"/>
      <c r="BA218" s="877"/>
      <c r="BB218" s="877"/>
      <c r="BC218" s="877"/>
      <c r="BD218" s="877"/>
      <c r="BE218" s="877"/>
      <c r="BF218" s="877"/>
      <c r="BG218" s="877"/>
      <c r="BH218" s="877"/>
    </row>
    <row r="219" spans="22:60" ht="35.25" customHeight="1" x14ac:dyDescent="0.5">
      <c r="V219" s="877"/>
      <c r="W219" s="877"/>
      <c r="X219" s="877"/>
      <c r="Y219" s="877"/>
      <c r="Z219" s="877"/>
      <c r="AA219" s="877"/>
      <c r="AB219" s="877"/>
      <c r="AC219" s="877"/>
      <c r="AD219" s="877"/>
      <c r="AE219" s="877"/>
      <c r="AF219" s="877"/>
      <c r="AG219" s="877"/>
      <c r="AH219" s="877"/>
      <c r="AI219" s="878"/>
      <c r="AJ219" s="877"/>
      <c r="AK219" s="877">
        <v>91</v>
      </c>
      <c r="AL219" s="877">
        <v>11</v>
      </c>
      <c r="AM219" s="921" t="str">
        <f t="shared" si="72"/>
        <v/>
      </c>
      <c r="AN219" s="887" t="str">
        <f t="shared" si="73"/>
        <v/>
      </c>
      <c r="AO219" s="887" t="str">
        <f t="shared" si="74"/>
        <v/>
      </c>
      <c r="AP219" s="887" t="str">
        <f t="shared" si="75"/>
        <v/>
      </c>
      <c r="AQ219" s="887" t="str">
        <f t="shared" si="76"/>
        <v/>
      </c>
      <c r="AR219" s="887" t="str">
        <f t="shared" si="77"/>
        <v/>
      </c>
      <c r="AS219" s="887" t="str">
        <f t="shared" si="78"/>
        <v/>
      </c>
      <c r="AT219" s="887" t="str">
        <f t="shared" si="79"/>
        <v/>
      </c>
      <c r="AU219" s="887" t="str">
        <f t="shared" si="80"/>
        <v/>
      </c>
      <c r="AV219" s="887" t="str">
        <f t="shared" si="81"/>
        <v/>
      </c>
      <c r="AW219" s="887" t="str">
        <f t="shared" si="82"/>
        <v/>
      </c>
      <c r="AX219" s="887" t="str">
        <f t="shared" si="70"/>
        <v/>
      </c>
      <c r="AY219" s="887" t="str">
        <f t="shared" si="71"/>
        <v/>
      </c>
      <c r="AZ219" s="877"/>
      <c r="BA219" s="877"/>
      <c r="BB219" s="877"/>
      <c r="BC219" s="877"/>
      <c r="BD219" s="877"/>
      <c r="BE219" s="877"/>
      <c r="BF219" s="877"/>
      <c r="BG219" s="877"/>
      <c r="BH219" s="877"/>
    </row>
    <row r="220" spans="22:60" ht="35.25" customHeight="1" x14ac:dyDescent="0.5">
      <c r="V220" s="877"/>
      <c r="W220" s="877"/>
      <c r="X220" s="877"/>
      <c r="Y220" s="877"/>
      <c r="Z220" s="877"/>
      <c r="AA220" s="877"/>
      <c r="AB220" s="877"/>
      <c r="AC220" s="877"/>
      <c r="AD220" s="877"/>
      <c r="AE220" s="877"/>
      <c r="AF220" s="877"/>
      <c r="AG220" s="877"/>
      <c r="AH220" s="877"/>
      <c r="AI220" s="878"/>
      <c r="AJ220" s="877"/>
      <c r="AK220" s="877">
        <v>92</v>
      </c>
      <c r="AL220" s="877">
        <v>12</v>
      </c>
      <c r="AM220" s="921" t="str">
        <f t="shared" si="72"/>
        <v/>
      </c>
      <c r="AN220" s="887" t="str">
        <f t="shared" si="73"/>
        <v/>
      </c>
      <c r="AO220" s="887" t="str">
        <f t="shared" si="74"/>
        <v/>
      </c>
      <c r="AP220" s="887" t="str">
        <f t="shared" si="75"/>
        <v/>
      </c>
      <c r="AQ220" s="887" t="str">
        <f t="shared" si="76"/>
        <v/>
      </c>
      <c r="AR220" s="887" t="str">
        <f t="shared" si="77"/>
        <v/>
      </c>
      <c r="AS220" s="887" t="str">
        <f t="shared" si="78"/>
        <v/>
      </c>
      <c r="AT220" s="887" t="str">
        <f t="shared" si="79"/>
        <v/>
      </c>
      <c r="AU220" s="887" t="str">
        <f t="shared" si="80"/>
        <v/>
      </c>
      <c r="AV220" s="887" t="str">
        <f t="shared" si="81"/>
        <v/>
      </c>
      <c r="AW220" s="887" t="str">
        <f t="shared" si="82"/>
        <v/>
      </c>
      <c r="AX220" s="887" t="str">
        <f t="shared" si="70"/>
        <v/>
      </c>
      <c r="AY220" s="887" t="str">
        <f t="shared" si="71"/>
        <v/>
      </c>
      <c r="AZ220" s="877"/>
      <c r="BA220" s="877"/>
      <c r="BB220" s="877"/>
      <c r="BC220" s="877"/>
      <c r="BD220" s="877"/>
      <c r="BE220" s="877"/>
      <c r="BF220" s="877"/>
      <c r="BG220" s="877"/>
      <c r="BH220" s="877"/>
    </row>
    <row r="221" spans="22:60" ht="35.25" customHeight="1" x14ac:dyDescent="0.5">
      <c r="V221" s="877"/>
      <c r="W221" s="877"/>
      <c r="X221" s="877"/>
      <c r="Y221" s="877"/>
      <c r="Z221" s="877"/>
      <c r="AA221" s="877"/>
      <c r="AB221" s="877"/>
      <c r="AC221" s="877"/>
      <c r="AD221" s="877"/>
      <c r="AE221" s="877"/>
      <c r="AF221" s="877"/>
      <c r="AG221" s="877"/>
      <c r="AH221" s="877"/>
      <c r="AI221" s="878"/>
      <c r="AJ221" s="877"/>
      <c r="AK221" s="877">
        <v>93</v>
      </c>
      <c r="AL221" s="877">
        <v>13</v>
      </c>
      <c r="AM221" s="921" t="str">
        <f t="shared" si="72"/>
        <v/>
      </c>
      <c r="AN221" s="887" t="str">
        <f t="shared" si="73"/>
        <v/>
      </c>
      <c r="AO221" s="887" t="str">
        <f t="shared" si="74"/>
        <v/>
      </c>
      <c r="AP221" s="887" t="str">
        <f t="shared" si="75"/>
        <v/>
      </c>
      <c r="AQ221" s="887" t="str">
        <f t="shared" si="76"/>
        <v/>
      </c>
      <c r="AR221" s="887" t="str">
        <f t="shared" si="77"/>
        <v/>
      </c>
      <c r="AS221" s="887" t="str">
        <f t="shared" si="78"/>
        <v/>
      </c>
      <c r="AT221" s="887" t="str">
        <f t="shared" si="79"/>
        <v/>
      </c>
      <c r="AU221" s="887" t="str">
        <f t="shared" si="80"/>
        <v/>
      </c>
      <c r="AV221" s="887" t="str">
        <f t="shared" si="81"/>
        <v/>
      </c>
      <c r="AW221" s="887" t="str">
        <f t="shared" si="82"/>
        <v/>
      </c>
      <c r="AX221" s="887" t="str">
        <f t="shared" si="70"/>
        <v/>
      </c>
      <c r="AY221" s="887" t="str">
        <f t="shared" si="71"/>
        <v/>
      </c>
      <c r="AZ221" s="877"/>
      <c r="BA221" s="877"/>
      <c r="BB221" s="877"/>
      <c r="BC221" s="877"/>
      <c r="BD221" s="877"/>
      <c r="BE221" s="877"/>
      <c r="BF221" s="877"/>
      <c r="BG221" s="877"/>
      <c r="BH221" s="877"/>
    </row>
    <row r="222" spans="22:60" ht="35.25" customHeight="1" x14ac:dyDescent="0.5">
      <c r="V222" s="877"/>
      <c r="W222" s="877"/>
      <c r="X222" s="877"/>
      <c r="Y222" s="877"/>
      <c r="Z222" s="877"/>
      <c r="AA222" s="877"/>
      <c r="AB222" s="877"/>
      <c r="AC222" s="877"/>
      <c r="AD222" s="877"/>
      <c r="AE222" s="877"/>
      <c r="AF222" s="877"/>
      <c r="AG222" s="877"/>
      <c r="AH222" s="877"/>
      <c r="AI222" s="878"/>
      <c r="AJ222" s="877"/>
      <c r="AK222" s="877">
        <v>94</v>
      </c>
      <c r="AL222" s="877">
        <v>14</v>
      </c>
      <c r="AM222" s="921" t="str">
        <f t="shared" si="72"/>
        <v/>
      </c>
      <c r="AN222" s="887" t="str">
        <f t="shared" si="73"/>
        <v/>
      </c>
      <c r="AO222" s="887" t="str">
        <f t="shared" si="74"/>
        <v/>
      </c>
      <c r="AP222" s="887" t="str">
        <f t="shared" si="75"/>
        <v/>
      </c>
      <c r="AQ222" s="887" t="str">
        <f t="shared" si="76"/>
        <v/>
      </c>
      <c r="AR222" s="887" t="str">
        <f t="shared" si="77"/>
        <v/>
      </c>
      <c r="AS222" s="887" t="str">
        <f t="shared" si="78"/>
        <v/>
      </c>
      <c r="AT222" s="887" t="str">
        <f t="shared" si="79"/>
        <v/>
      </c>
      <c r="AU222" s="887" t="str">
        <f t="shared" si="80"/>
        <v/>
      </c>
      <c r="AV222" s="887" t="str">
        <f t="shared" si="81"/>
        <v/>
      </c>
      <c r="AW222" s="887" t="str">
        <f t="shared" si="82"/>
        <v/>
      </c>
      <c r="AX222" s="887" t="str">
        <f t="shared" si="70"/>
        <v/>
      </c>
      <c r="AY222" s="887" t="str">
        <f t="shared" si="71"/>
        <v/>
      </c>
      <c r="AZ222" s="877"/>
      <c r="BA222" s="877"/>
      <c r="BB222" s="877"/>
      <c r="BC222" s="877"/>
      <c r="BD222" s="877"/>
      <c r="BE222" s="877"/>
      <c r="BF222" s="877"/>
      <c r="BG222" s="877"/>
      <c r="BH222" s="877"/>
    </row>
    <row r="223" spans="22:60" ht="35.25" customHeight="1" x14ac:dyDescent="0.5">
      <c r="V223" s="877"/>
      <c r="W223" s="877"/>
      <c r="X223" s="877"/>
      <c r="Y223" s="877"/>
      <c r="Z223" s="877"/>
      <c r="AA223" s="877"/>
      <c r="AB223" s="877"/>
      <c r="AC223" s="877"/>
      <c r="AD223" s="877"/>
      <c r="AE223" s="877"/>
      <c r="AF223" s="877"/>
      <c r="AG223" s="877"/>
      <c r="AH223" s="877"/>
      <c r="AI223" s="878"/>
      <c r="AJ223" s="877"/>
      <c r="AK223" s="877">
        <v>95</v>
      </c>
      <c r="AL223" s="877">
        <v>15</v>
      </c>
      <c r="AM223" s="921" t="str">
        <f t="shared" si="72"/>
        <v/>
      </c>
      <c r="AN223" s="887" t="str">
        <f t="shared" si="73"/>
        <v/>
      </c>
      <c r="AO223" s="887" t="str">
        <f t="shared" si="74"/>
        <v/>
      </c>
      <c r="AP223" s="887" t="str">
        <f t="shared" si="75"/>
        <v/>
      </c>
      <c r="AQ223" s="887" t="str">
        <f t="shared" si="76"/>
        <v/>
      </c>
      <c r="AR223" s="887" t="str">
        <f t="shared" si="77"/>
        <v/>
      </c>
      <c r="AS223" s="887" t="str">
        <f t="shared" si="78"/>
        <v/>
      </c>
      <c r="AT223" s="887" t="str">
        <f t="shared" si="79"/>
        <v/>
      </c>
      <c r="AU223" s="887" t="str">
        <f t="shared" si="80"/>
        <v/>
      </c>
      <c r="AV223" s="887" t="str">
        <f t="shared" si="81"/>
        <v/>
      </c>
      <c r="AW223" s="887" t="str">
        <f t="shared" si="82"/>
        <v/>
      </c>
      <c r="AX223" s="887" t="str">
        <f t="shared" si="70"/>
        <v/>
      </c>
      <c r="AY223" s="887" t="str">
        <f t="shared" si="71"/>
        <v/>
      </c>
      <c r="AZ223" s="877"/>
      <c r="BA223" s="877"/>
      <c r="BB223" s="877"/>
      <c r="BC223" s="877"/>
      <c r="BD223" s="877"/>
      <c r="BE223" s="877"/>
      <c r="BF223" s="877"/>
      <c r="BG223" s="877"/>
      <c r="BH223" s="877"/>
    </row>
    <row r="224" spans="22:60" ht="35.25" customHeight="1" x14ac:dyDescent="0.5">
      <c r="V224" s="877"/>
      <c r="W224" s="877"/>
      <c r="X224" s="877"/>
      <c r="Y224" s="877"/>
      <c r="Z224" s="877"/>
      <c r="AA224" s="877"/>
      <c r="AB224" s="877"/>
      <c r="AC224" s="877"/>
      <c r="AD224" s="877"/>
      <c r="AE224" s="877"/>
      <c r="AF224" s="877"/>
      <c r="AG224" s="877"/>
      <c r="AH224" s="877"/>
      <c r="AI224" s="878"/>
      <c r="AJ224" s="877"/>
      <c r="AK224" s="877">
        <v>96</v>
      </c>
      <c r="AL224" s="877">
        <v>16</v>
      </c>
      <c r="AM224" s="921" t="str">
        <f t="shared" si="72"/>
        <v/>
      </c>
      <c r="AN224" s="887" t="str">
        <f t="shared" si="73"/>
        <v/>
      </c>
      <c r="AO224" s="887" t="str">
        <f t="shared" si="74"/>
        <v/>
      </c>
      <c r="AP224" s="887" t="str">
        <f t="shared" si="75"/>
        <v/>
      </c>
      <c r="AQ224" s="887" t="str">
        <f t="shared" si="76"/>
        <v/>
      </c>
      <c r="AR224" s="887" t="str">
        <f t="shared" si="77"/>
        <v/>
      </c>
      <c r="AS224" s="887" t="str">
        <f t="shared" si="78"/>
        <v/>
      </c>
      <c r="AT224" s="887" t="str">
        <f t="shared" si="79"/>
        <v/>
      </c>
      <c r="AU224" s="887" t="str">
        <f t="shared" si="80"/>
        <v/>
      </c>
      <c r="AV224" s="887" t="str">
        <f t="shared" si="81"/>
        <v/>
      </c>
      <c r="AW224" s="887" t="str">
        <f t="shared" si="82"/>
        <v/>
      </c>
      <c r="AX224" s="887" t="str">
        <f t="shared" si="70"/>
        <v/>
      </c>
      <c r="AY224" s="887" t="str">
        <f t="shared" si="71"/>
        <v/>
      </c>
      <c r="AZ224" s="877"/>
      <c r="BA224" s="877"/>
      <c r="BB224" s="877"/>
      <c r="BC224" s="877"/>
      <c r="BD224" s="877"/>
      <c r="BE224" s="877"/>
      <c r="BF224" s="877"/>
      <c r="BG224" s="877"/>
      <c r="BH224" s="877"/>
    </row>
    <row r="225" spans="22:60" ht="35.25" customHeight="1" x14ac:dyDescent="0.5">
      <c r="V225" s="877"/>
      <c r="W225" s="877"/>
      <c r="X225" s="877"/>
      <c r="Y225" s="877"/>
      <c r="Z225" s="877"/>
      <c r="AA225" s="877"/>
      <c r="AB225" s="877"/>
      <c r="AC225" s="877"/>
      <c r="AD225" s="877"/>
      <c r="AE225" s="877"/>
      <c r="AF225" s="877"/>
      <c r="AG225" s="877"/>
      <c r="AH225" s="877"/>
      <c r="AI225" s="878"/>
      <c r="AJ225" s="877"/>
      <c r="AK225" s="877">
        <v>97</v>
      </c>
      <c r="AL225" s="877">
        <v>17</v>
      </c>
      <c r="AM225" s="921" t="str">
        <f t="shared" si="72"/>
        <v/>
      </c>
      <c r="AN225" s="887" t="str">
        <f t="shared" si="73"/>
        <v/>
      </c>
      <c r="AO225" s="887" t="str">
        <f t="shared" si="74"/>
        <v/>
      </c>
      <c r="AP225" s="887" t="str">
        <f t="shared" si="75"/>
        <v/>
      </c>
      <c r="AQ225" s="887" t="str">
        <f t="shared" si="76"/>
        <v/>
      </c>
      <c r="AR225" s="887" t="str">
        <f t="shared" si="77"/>
        <v/>
      </c>
      <c r="AS225" s="887" t="str">
        <f t="shared" si="78"/>
        <v/>
      </c>
      <c r="AT225" s="887" t="str">
        <f t="shared" si="79"/>
        <v/>
      </c>
      <c r="AU225" s="887" t="str">
        <f t="shared" si="80"/>
        <v/>
      </c>
      <c r="AV225" s="887" t="str">
        <f t="shared" si="81"/>
        <v/>
      </c>
      <c r="AW225" s="887" t="str">
        <f t="shared" si="82"/>
        <v/>
      </c>
      <c r="AX225" s="887" t="str">
        <f t="shared" si="70"/>
        <v/>
      </c>
      <c r="AY225" s="887" t="str">
        <f t="shared" si="71"/>
        <v/>
      </c>
      <c r="AZ225" s="877"/>
      <c r="BA225" s="877"/>
      <c r="BB225" s="877"/>
      <c r="BC225" s="877"/>
      <c r="BD225" s="877"/>
      <c r="BE225" s="877"/>
      <c r="BF225" s="877"/>
      <c r="BG225" s="877"/>
      <c r="BH225" s="877"/>
    </row>
    <row r="226" spans="22:60" ht="35.25" customHeight="1" x14ac:dyDescent="0.5">
      <c r="V226" s="877"/>
      <c r="W226" s="877"/>
      <c r="X226" s="877"/>
      <c r="Y226" s="877"/>
      <c r="Z226" s="877"/>
      <c r="AA226" s="877"/>
      <c r="AB226" s="877"/>
      <c r="AC226" s="877"/>
      <c r="AD226" s="877"/>
      <c r="AE226" s="877"/>
      <c r="AF226" s="877"/>
      <c r="AG226" s="877"/>
      <c r="AH226" s="877"/>
      <c r="AI226" s="878"/>
      <c r="AJ226" s="877"/>
      <c r="AK226" s="877">
        <v>98</v>
      </c>
      <c r="AL226" s="877">
        <v>18</v>
      </c>
      <c r="AM226" s="921" t="str">
        <f t="shared" si="72"/>
        <v/>
      </c>
      <c r="AN226" s="887" t="str">
        <f t="shared" si="73"/>
        <v/>
      </c>
      <c r="AO226" s="887" t="str">
        <f t="shared" si="74"/>
        <v/>
      </c>
      <c r="AP226" s="887" t="str">
        <f t="shared" si="75"/>
        <v/>
      </c>
      <c r="AQ226" s="887" t="str">
        <f t="shared" si="76"/>
        <v/>
      </c>
      <c r="AR226" s="887" t="str">
        <f t="shared" si="77"/>
        <v/>
      </c>
      <c r="AS226" s="887" t="str">
        <f t="shared" si="78"/>
        <v/>
      </c>
      <c r="AT226" s="887" t="str">
        <f t="shared" si="79"/>
        <v/>
      </c>
      <c r="AU226" s="887" t="str">
        <f t="shared" si="80"/>
        <v/>
      </c>
      <c r="AV226" s="887" t="str">
        <f t="shared" si="81"/>
        <v/>
      </c>
      <c r="AW226" s="887" t="str">
        <f t="shared" si="82"/>
        <v/>
      </c>
      <c r="AX226" s="887" t="str">
        <f t="shared" si="70"/>
        <v/>
      </c>
      <c r="AY226" s="887" t="str">
        <f t="shared" si="71"/>
        <v/>
      </c>
      <c r="AZ226" s="877"/>
      <c r="BA226" s="877"/>
      <c r="BB226" s="877"/>
      <c r="BC226" s="877"/>
      <c r="BD226" s="877"/>
      <c r="BE226" s="877"/>
      <c r="BF226" s="877"/>
      <c r="BG226" s="877"/>
      <c r="BH226" s="877"/>
    </row>
    <row r="227" spans="22:60" ht="35.25" customHeight="1" x14ac:dyDescent="0.5">
      <c r="V227" s="877"/>
      <c r="W227" s="877"/>
      <c r="X227" s="877"/>
      <c r="Y227" s="877"/>
      <c r="Z227" s="877"/>
      <c r="AA227" s="877"/>
      <c r="AB227" s="877"/>
      <c r="AC227" s="877"/>
      <c r="AD227" s="877"/>
      <c r="AE227" s="877"/>
      <c r="AF227" s="877"/>
      <c r="AG227" s="877"/>
      <c r="AH227" s="877"/>
      <c r="AI227" s="878"/>
      <c r="AJ227" s="877"/>
      <c r="AK227" s="877">
        <v>99</v>
      </c>
      <c r="AL227" s="877">
        <v>19</v>
      </c>
      <c r="AM227" s="921" t="str">
        <f t="shared" si="72"/>
        <v/>
      </c>
      <c r="AN227" s="887" t="str">
        <f t="shared" si="73"/>
        <v/>
      </c>
      <c r="AO227" s="887" t="str">
        <f t="shared" si="74"/>
        <v/>
      </c>
      <c r="AP227" s="887" t="str">
        <f t="shared" si="75"/>
        <v/>
      </c>
      <c r="AQ227" s="887" t="str">
        <f t="shared" si="76"/>
        <v/>
      </c>
      <c r="AR227" s="887" t="str">
        <f t="shared" si="77"/>
        <v/>
      </c>
      <c r="AS227" s="887" t="str">
        <f t="shared" si="78"/>
        <v/>
      </c>
      <c r="AT227" s="887" t="str">
        <f t="shared" si="79"/>
        <v/>
      </c>
      <c r="AU227" s="887" t="str">
        <f t="shared" si="80"/>
        <v/>
      </c>
      <c r="AV227" s="887" t="str">
        <f t="shared" si="81"/>
        <v/>
      </c>
      <c r="AW227" s="887" t="str">
        <f t="shared" si="82"/>
        <v/>
      </c>
      <c r="AX227" s="887" t="str">
        <f t="shared" si="70"/>
        <v/>
      </c>
      <c r="AY227" s="887" t="str">
        <f t="shared" si="71"/>
        <v/>
      </c>
      <c r="AZ227" s="877"/>
      <c r="BA227" s="877"/>
      <c r="BB227" s="877"/>
      <c r="BC227" s="877"/>
      <c r="BD227" s="877"/>
      <c r="BE227" s="877"/>
      <c r="BF227" s="877"/>
      <c r="BG227" s="877"/>
      <c r="BH227" s="877"/>
    </row>
    <row r="228" spans="22:60" ht="35.25" customHeight="1" x14ac:dyDescent="0.5">
      <c r="V228" s="877"/>
      <c r="W228" s="877"/>
      <c r="X228" s="877"/>
      <c r="Y228" s="877"/>
      <c r="Z228" s="877"/>
      <c r="AA228" s="877"/>
      <c r="AB228" s="877"/>
      <c r="AC228" s="877"/>
      <c r="AD228" s="877"/>
      <c r="AE228" s="877"/>
      <c r="AF228" s="877"/>
      <c r="AG228" s="877"/>
      <c r="AH228" s="877"/>
      <c r="AI228" s="878"/>
      <c r="AJ228" s="877"/>
      <c r="AK228" s="877">
        <v>100</v>
      </c>
      <c r="AL228" s="877">
        <v>20</v>
      </c>
      <c r="AM228" s="921" t="str">
        <f t="shared" si="72"/>
        <v/>
      </c>
      <c r="AN228" s="887" t="str">
        <f t="shared" si="73"/>
        <v/>
      </c>
      <c r="AO228" s="887" t="str">
        <f t="shared" si="74"/>
        <v/>
      </c>
      <c r="AP228" s="887" t="str">
        <f t="shared" si="75"/>
        <v/>
      </c>
      <c r="AQ228" s="887" t="str">
        <f t="shared" si="76"/>
        <v/>
      </c>
      <c r="AR228" s="887" t="str">
        <f t="shared" si="77"/>
        <v/>
      </c>
      <c r="AS228" s="887" t="str">
        <f t="shared" si="78"/>
        <v/>
      </c>
      <c r="AT228" s="887" t="str">
        <f t="shared" si="79"/>
        <v/>
      </c>
      <c r="AU228" s="887" t="str">
        <f t="shared" si="80"/>
        <v/>
      </c>
      <c r="AV228" s="887" t="str">
        <f t="shared" si="81"/>
        <v/>
      </c>
      <c r="AW228" s="887" t="str">
        <f t="shared" si="82"/>
        <v/>
      </c>
      <c r="AX228" s="887" t="str">
        <f t="shared" si="70"/>
        <v/>
      </c>
      <c r="AY228" s="887" t="str">
        <f t="shared" si="71"/>
        <v/>
      </c>
      <c r="AZ228" s="877"/>
      <c r="BA228" s="877"/>
      <c r="BB228" s="877"/>
      <c r="BC228" s="877"/>
      <c r="BD228" s="877"/>
      <c r="BE228" s="877"/>
      <c r="BF228" s="877"/>
      <c r="BG228" s="877"/>
      <c r="BH228" s="877"/>
    </row>
    <row r="229" spans="22:60" ht="35.25" customHeight="1" x14ac:dyDescent="0.5">
      <c r="V229" s="877"/>
      <c r="W229" s="877"/>
      <c r="X229" s="877"/>
      <c r="Y229" s="877"/>
      <c r="Z229" s="877"/>
      <c r="AA229" s="877"/>
      <c r="AB229" s="877"/>
      <c r="AC229" s="877"/>
      <c r="AD229" s="877"/>
      <c r="AE229" s="877"/>
      <c r="AF229" s="877"/>
      <c r="AG229" s="877"/>
      <c r="AH229" s="877"/>
      <c r="AI229" s="878"/>
      <c r="AJ229" s="877"/>
      <c r="AK229" s="877"/>
      <c r="AL229" s="877"/>
      <c r="AM229" s="879"/>
      <c r="AN229" s="877"/>
      <c r="AO229" s="877"/>
      <c r="AP229" s="877"/>
      <c r="AQ229" s="877"/>
      <c r="AR229" s="877"/>
      <c r="AS229" s="877"/>
      <c r="AT229" s="887">
        <f>SUM(AT209:AT228)</f>
        <v>0</v>
      </c>
      <c r="AU229" s="887">
        <f>SUM(AU209:AU228)</f>
        <v>0</v>
      </c>
      <c r="AV229" s="887">
        <f>SUM(AV209:AV228)</f>
        <v>0</v>
      </c>
      <c r="AW229" s="887">
        <f>SUM(AW209:AW228)</f>
        <v>0</v>
      </c>
      <c r="AX229" s="887">
        <f>AX208+AT229-AV229</f>
        <v>3000</v>
      </c>
      <c r="AY229" s="887">
        <f>AY208+AU229-AW229</f>
        <v>3000</v>
      </c>
      <c r="AZ229" s="877"/>
      <c r="BA229" s="877"/>
      <c r="BB229" s="877"/>
      <c r="BC229" s="877"/>
      <c r="BD229" s="877"/>
      <c r="BE229" s="877"/>
      <c r="BF229" s="877"/>
      <c r="BG229" s="877"/>
      <c r="BH229" s="877"/>
    </row>
    <row r="230" spans="22:60" ht="35.25" customHeight="1" x14ac:dyDescent="0.5">
      <c r="V230" s="877"/>
      <c r="W230" s="877"/>
      <c r="X230" s="877"/>
      <c r="Y230" s="877"/>
      <c r="Z230" s="877"/>
      <c r="AA230" s="877"/>
      <c r="AB230" s="877"/>
      <c r="AC230" s="877"/>
      <c r="AD230" s="877"/>
      <c r="AE230" s="877"/>
      <c r="AF230" s="877"/>
      <c r="AG230" s="877"/>
      <c r="AH230" s="877"/>
      <c r="AI230" s="878"/>
      <c r="AJ230" s="877"/>
      <c r="AK230" s="877">
        <v>101</v>
      </c>
      <c r="AL230" s="877">
        <v>1</v>
      </c>
      <c r="AM230" s="921" t="str">
        <f t="shared" ref="AM230:AM249" si="83">IFERROR(VLOOKUP(AL230,$AC$10:$AW$111,11,0),"")</f>
        <v/>
      </c>
      <c r="AN230" s="887" t="str">
        <f t="shared" ref="AN230:AN249" si="84">IFERROR(VLOOKUP(AL230,$AC$10:$AW$111,12,0),"")</f>
        <v/>
      </c>
      <c r="AO230" s="887" t="str">
        <f t="shared" ref="AO230:AO249" si="85">IFERROR(VLOOKUP(AL230,$AC$10:$AW$111,13,0),"")</f>
        <v/>
      </c>
      <c r="AP230" s="887" t="str">
        <f t="shared" ref="AP230:AP249" si="86">IFERROR(VLOOKUP(AL230,$AC$10:$AW$111,14,0),"")</f>
        <v/>
      </c>
      <c r="AQ230" s="887" t="str">
        <f t="shared" ref="AQ230:AQ249" si="87">IFERROR(VLOOKUP(AL230,$AC$10:$AW$111,15,0),"")</f>
        <v/>
      </c>
      <c r="AR230" s="887" t="str">
        <f t="shared" ref="AR230:AR249" si="88">IFERROR(VLOOKUP(AL230,$AC$10:$AW$111,16,0),"")</f>
        <v/>
      </c>
      <c r="AS230" s="887" t="str">
        <f t="shared" ref="AS230:AS249" si="89">IFERROR(VLOOKUP(AL230,$AC$10:$AW$111,17,0),"")</f>
        <v/>
      </c>
      <c r="AT230" s="887" t="str">
        <f t="shared" ref="AT230:AT249" si="90">IFERROR(VLOOKUP(AL230,$AC$10:$AW$111,18,0),"")</f>
        <v/>
      </c>
      <c r="AU230" s="887" t="str">
        <f t="shared" ref="AU230:AU249" si="91">IFERROR(VLOOKUP(AL230,$AC$10:$AW$111,19,0),"")</f>
        <v/>
      </c>
      <c r="AV230" s="887" t="str">
        <f t="shared" ref="AV230:AV249" si="92">IFERROR(VLOOKUP(AL230,$AC$10:$AW$111,20,0),"")</f>
        <v/>
      </c>
      <c r="AW230" s="887" t="str">
        <f t="shared" ref="AW230:AW249" si="93">IFERROR(VLOOKUP(AL230,$AC$10:$AW$111,21,0),"")</f>
        <v/>
      </c>
      <c r="AX230" s="887" t="str">
        <f>IFERROR(AX228+AT230-AV230,"")</f>
        <v/>
      </c>
      <c r="AY230" s="887" t="str">
        <f>IFERROR(AY228+AU230-AW230,"")</f>
        <v/>
      </c>
      <c r="AZ230" s="877"/>
      <c r="BA230" s="877"/>
      <c r="BB230" s="877"/>
      <c r="BC230" s="877"/>
      <c r="BD230" s="877"/>
      <c r="BE230" s="877"/>
      <c r="BF230" s="877"/>
      <c r="BG230" s="877"/>
      <c r="BH230" s="877"/>
    </row>
    <row r="231" spans="22:60" ht="35.25" customHeight="1" x14ac:dyDescent="0.5">
      <c r="V231" s="877"/>
      <c r="W231" s="877"/>
      <c r="X231" s="877"/>
      <c r="Y231" s="877"/>
      <c r="Z231" s="877"/>
      <c r="AA231" s="877"/>
      <c r="AB231" s="877"/>
      <c r="AC231" s="877"/>
      <c r="AD231" s="877"/>
      <c r="AE231" s="877"/>
      <c r="AF231" s="877"/>
      <c r="AG231" s="877"/>
      <c r="AH231" s="877"/>
      <c r="AI231" s="878"/>
      <c r="AJ231" s="877"/>
      <c r="AK231" s="877">
        <v>102</v>
      </c>
      <c r="AL231" s="877">
        <v>2</v>
      </c>
      <c r="AM231" s="921" t="str">
        <f t="shared" si="83"/>
        <v/>
      </c>
      <c r="AN231" s="887" t="str">
        <f t="shared" si="84"/>
        <v/>
      </c>
      <c r="AO231" s="887" t="str">
        <f t="shared" si="85"/>
        <v/>
      </c>
      <c r="AP231" s="887" t="str">
        <f t="shared" si="86"/>
        <v/>
      </c>
      <c r="AQ231" s="887" t="str">
        <f t="shared" si="87"/>
        <v/>
      </c>
      <c r="AR231" s="887" t="str">
        <f t="shared" si="88"/>
        <v/>
      </c>
      <c r="AS231" s="887" t="str">
        <f t="shared" si="89"/>
        <v/>
      </c>
      <c r="AT231" s="887" t="str">
        <f t="shared" si="90"/>
        <v/>
      </c>
      <c r="AU231" s="887" t="str">
        <f t="shared" si="91"/>
        <v/>
      </c>
      <c r="AV231" s="887" t="str">
        <f t="shared" si="92"/>
        <v/>
      </c>
      <c r="AW231" s="887" t="str">
        <f t="shared" si="93"/>
        <v/>
      </c>
      <c r="AX231" s="887" t="str">
        <f t="shared" si="70"/>
        <v/>
      </c>
      <c r="AY231" s="887" t="str">
        <f t="shared" si="71"/>
        <v/>
      </c>
      <c r="AZ231" s="877"/>
      <c r="BA231" s="877"/>
      <c r="BB231" s="877"/>
      <c r="BC231" s="877"/>
      <c r="BD231" s="877"/>
      <c r="BE231" s="877"/>
      <c r="BF231" s="877"/>
      <c r="BG231" s="877"/>
      <c r="BH231" s="877"/>
    </row>
    <row r="232" spans="22:60" ht="35.25" customHeight="1" x14ac:dyDescent="0.5">
      <c r="V232" s="877"/>
      <c r="W232" s="877"/>
      <c r="X232" s="877"/>
      <c r="Y232" s="877"/>
      <c r="Z232" s="877"/>
      <c r="AA232" s="877"/>
      <c r="AB232" s="877"/>
      <c r="AC232" s="877"/>
      <c r="AD232" s="877"/>
      <c r="AE232" s="877"/>
      <c r="AF232" s="877"/>
      <c r="AG232" s="877"/>
      <c r="AH232" s="877"/>
      <c r="AI232" s="878"/>
      <c r="AJ232" s="877"/>
      <c r="AK232" s="877">
        <v>103</v>
      </c>
      <c r="AL232" s="877">
        <v>3</v>
      </c>
      <c r="AM232" s="921" t="str">
        <f t="shared" si="83"/>
        <v/>
      </c>
      <c r="AN232" s="887" t="str">
        <f t="shared" si="84"/>
        <v/>
      </c>
      <c r="AO232" s="887" t="str">
        <f t="shared" si="85"/>
        <v/>
      </c>
      <c r="AP232" s="887" t="str">
        <f t="shared" si="86"/>
        <v/>
      </c>
      <c r="AQ232" s="887" t="str">
        <f t="shared" si="87"/>
        <v/>
      </c>
      <c r="AR232" s="887" t="str">
        <f t="shared" si="88"/>
        <v/>
      </c>
      <c r="AS232" s="887" t="str">
        <f t="shared" si="89"/>
        <v/>
      </c>
      <c r="AT232" s="887" t="str">
        <f t="shared" si="90"/>
        <v/>
      </c>
      <c r="AU232" s="887" t="str">
        <f t="shared" si="91"/>
        <v/>
      </c>
      <c r="AV232" s="887" t="str">
        <f t="shared" si="92"/>
        <v/>
      </c>
      <c r="AW232" s="887" t="str">
        <f t="shared" si="93"/>
        <v/>
      </c>
      <c r="AX232" s="887" t="str">
        <f t="shared" si="70"/>
        <v/>
      </c>
      <c r="AY232" s="887" t="str">
        <f t="shared" si="71"/>
        <v/>
      </c>
      <c r="AZ232" s="877"/>
      <c r="BA232" s="877"/>
      <c r="BB232" s="877"/>
      <c r="BC232" s="877"/>
      <c r="BD232" s="877"/>
      <c r="BE232" s="877"/>
      <c r="BF232" s="877"/>
      <c r="BG232" s="877"/>
      <c r="BH232" s="877"/>
    </row>
    <row r="233" spans="22:60" ht="35.25" customHeight="1" x14ac:dyDescent="0.5">
      <c r="V233" s="877"/>
      <c r="W233" s="877"/>
      <c r="X233" s="877"/>
      <c r="Y233" s="877"/>
      <c r="Z233" s="877"/>
      <c r="AA233" s="877"/>
      <c r="AB233" s="877"/>
      <c r="AC233" s="877"/>
      <c r="AD233" s="877"/>
      <c r="AE233" s="877"/>
      <c r="AF233" s="877"/>
      <c r="AG233" s="877"/>
      <c r="AH233" s="877"/>
      <c r="AI233" s="878"/>
      <c r="AJ233" s="877"/>
      <c r="AK233" s="877">
        <v>104</v>
      </c>
      <c r="AL233" s="877">
        <v>4</v>
      </c>
      <c r="AM233" s="921" t="str">
        <f t="shared" si="83"/>
        <v/>
      </c>
      <c r="AN233" s="887" t="str">
        <f t="shared" si="84"/>
        <v/>
      </c>
      <c r="AO233" s="887" t="str">
        <f t="shared" si="85"/>
        <v/>
      </c>
      <c r="AP233" s="887" t="str">
        <f t="shared" si="86"/>
        <v/>
      </c>
      <c r="AQ233" s="887" t="str">
        <f t="shared" si="87"/>
        <v/>
      </c>
      <c r="AR233" s="887" t="str">
        <f t="shared" si="88"/>
        <v/>
      </c>
      <c r="AS233" s="887" t="str">
        <f t="shared" si="89"/>
        <v/>
      </c>
      <c r="AT233" s="887" t="str">
        <f t="shared" si="90"/>
        <v/>
      </c>
      <c r="AU233" s="887" t="str">
        <f t="shared" si="91"/>
        <v/>
      </c>
      <c r="AV233" s="887" t="str">
        <f t="shared" si="92"/>
        <v/>
      </c>
      <c r="AW233" s="887" t="str">
        <f t="shared" si="93"/>
        <v/>
      </c>
      <c r="AX233" s="887" t="str">
        <f t="shared" si="70"/>
        <v/>
      </c>
      <c r="AY233" s="887" t="str">
        <f t="shared" si="71"/>
        <v/>
      </c>
      <c r="AZ233" s="877"/>
      <c r="BA233" s="877"/>
      <c r="BB233" s="877"/>
      <c r="BC233" s="877"/>
      <c r="BD233" s="877"/>
      <c r="BE233" s="877"/>
      <c r="BF233" s="877"/>
      <c r="BG233" s="877"/>
      <c r="BH233" s="877"/>
    </row>
    <row r="234" spans="22:60" ht="35.25" customHeight="1" x14ac:dyDescent="0.5">
      <c r="V234" s="877"/>
      <c r="W234" s="877"/>
      <c r="X234" s="877"/>
      <c r="Y234" s="877"/>
      <c r="Z234" s="877"/>
      <c r="AA234" s="877"/>
      <c r="AB234" s="877"/>
      <c r="AC234" s="877"/>
      <c r="AD234" s="877"/>
      <c r="AE234" s="877"/>
      <c r="AF234" s="877"/>
      <c r="AG234" s="877"/>
      <c r="AH234" s="877"/>
      <c r="AI234" s="878"/>
      <c r="AJ234" s="877"/>
      <c r="AK234" s="877">
        <v>105</v>
      </c>
      <c r="AL234" s="877">
        <v>5</v>
      </c>
      <c r="AM234" s="921" t="str">
        <f t="shared" si="83"/>
        <v/>
      </c>
      <c r="AN234" s="887" t="str">
        <f t="shared" si="84"/>
        <v/>
      </c>
      <c r="AO234" s="887" t="str">
        <f t="shared" si="85"/>
        <v/>
      </c>
      <c r="AP234" s="887" t="str">
        <f t="shared" si="86"/>
        <v/>
      </c>
      <c r="AQ234" s="887" t="str">
        <f t="shared" si="87"/>
        <v/>
      </c>
      <c r="AR234" s="887" t="str">
        <f t="shared" si="88"/>
        <v/>
      </c>
      <c r="AS234" s="887" t="str">
        <f t="shared" si="89"/>
        <v/>
      </c>
      <c r="AT234" s="887" t="str">
        <f t="shared" si="90"/>
        <v/>
      </c>
      <c r="AU234" s="887" t="str">
        <f t="shared" si="91"/>
        <v/>
      </c>
      <c r="AV234" s="887" t="str">
        <f t="shared" si="92"/>
        <v/>
      </c>
      <c r="AW234" s="887" t="str">
        <f t="shared" si="93"/>
        <v/>
      </c>
      <c r="AX234" s="887" t="str">
        <f t="shared" si="70"/>
        <v/>
      </c>
      <c r="AY234" s="887" t="str">
        <f t="shared" si="71"/>
        <v/>
      </c>
      <c r="AZ234" s="877"/>
      <c r="BA234" s="877"/>
      <c r="BB234" s="877"/>
      <c r="BC234" s="877"/>
      <c r="BD234" s="877"/>
      <c r="BE234" s="877"/>
      <c r="BF234" s="877"/>
      <c r="BG234" s="877"/>
      <c r="BH234" s="877"/>
    </row>
    <row r="235" spans="22:60" ht="35.25" customHeight="1" x14ac:dyDescent="0.5">
      <c r="V235" s="877"/>
      <c r="W235" s="877"/>
      <c r="X235" s="877"/>
      <c r="Y235" s="877"/>
      <c r="Z235" s="877"/>
      <c r="AA235" s="877"/>
      <c r="AB235" s="877"/>
      <c r="AC235" s="877"/>
      <c r="AD235" s="877"/>
      <c r="AE235" s="877"/>
      <c r="AF235" s="877"/>
      <c r="AG235" s="877"/>
      <c r="AH235" s="877"/>
      <c r="AI235" s="878"/>
      <c r="AJ235" s="877"/>
      <c r="AK235" s="877">
        <v>106</v>
      </c>
      <c r="AL235" s="877">
        <v>6</v>
      </c>
      <c r="AM235" s="921" t="str">
        <f t="shared" si="83"/>
        <v/>
      </c>
      <c r="AN235" s="887" t="str">
        <f t="shared" si="84"/>
        <v/>
      </c>
      <c r="AO235" s="887" t="str">
        <f t="shared" si="85"/>
        <v/>
      </c>
      <c r="AP235" s="887" t="str">
        <f t="shared" si="86"/>
        <v/>
      </c>
      <c r="AQ235" s="887" t="str">
        <f t="shared" si="87"/>
        <v/>
      </c>
      <c r="AR235" s="887" t="str">
        <f t="shared" si="88"/>
        <v/>
      </c>
      <c r="AS235" s="887" t="str">
        <f t="shared" si="89"/>
        <v/>
      </c>
      <c r="AT235" s="887" t="str">
        <f t="shared" si="90"/>
        <v/>
      </c>
      <c r="AU235" s="887" t="str">
        <f t="shared" si="91"/>
        <v/>
      </c>
      <c r="AV235" s="887" t="str">
        <f t="shared" si="92"/>
        <v/>
      </c>
      <c r="AW235" s="887" t="str">
        <f t="shared" si="93"/>
        <v/>
      </c>
      <c r="AX235" s="887" t="str">
        <f t="shared" si="70"/>
        <v/>
      </c>
      <c r="AY235" s="887" t="str">
        <f t="shared" si="71"/>
        <v/>
      </c>
      <c r="AZ235" s="877"/>
      <c r="BA235" s="877"/>
      <c r="BB235" s="877"/>
      <c r="BC235" s="877"/>
      <c r="BD235" s="877"/>
      <c r="BE235" s="877"/>
      <c r="BF235" s="877"/>
      <c r="BG235" s="877"/>
      <c r="BH235" s="877"/>
    </row>
    <row r="236" spans="22:60" ht="35.25" customHeight="1" x14ac:dyDescent="0.5">
      <c r="V236" s="877"/>
      <c r="W236" s="877"/>
      <c r="X236" s="877"/>
      <c r="Y236" s="877"/>
      <c r="Z236" s="877"/>
      <c r="AA236" s="877"/>
      <c r="AB236" s="877"/>
      <c r="AC236" s="877"/>
      <c r="AD236" s="877"/>
      <c r="AE236" s="877"/>
      <c r="AF236" s="877"/>
      <c r="AG236" s="877"/>
      <c r="AH236" s="877"/>
      <c r="AI236" s="878"/>
      <c r="AJ236" s="877"/>
      <c r="AK236" s="877">
        <v>107</v>
      </c>
      <c r="AL236" s="877">
        <v>7</v>
      </c>
      <c r="AM236" s="921" t="str">
        <f t="shared" si="83"/>
        <v/>
      </c>
      <c r="AN236" s="887" t="str">
        <f t="shared" si="84"/>
        <v/>
      </c>
      <c r="AO236" s="887" t="str">
        <f t="shared" si="85"/>
        <v/>
      </c>
      <c r="AP236" s="887" t="str">
        <f t="shared" si="86"/>
        <v/>
      </c>
      <c r="AQ236" s="887" t="str">
        <f t="shared" si="87"/>
        <v/>
      </c>
      <c r="AR236" s="887" t="str">
        <f t="shared" si="88"/>
        <v/>
      </c>
      <c r="AS236" s="887" t="str">
        <f t="shared" si="89"/>
        <v/>
      </c>
      <c r="AT236" s="887" t="str">
        <f t="shared" si="90"/>
        <v/>
      </c>
      <c r="AU236" s="887" t="str">
        <f t="shared" si="91"/>
        <v/>
      </c>
      <c r="AV236" s="887" t="str">
        <f t="shared" si="92"/>
        <v/>
      </c>
      <c r="AW236" s="887" t="str">
        <f t="shared" si="93"/>
        <v/>
      </c>
      <c r="AX236" s="887" t="str">
        <f t="shared" si="70"/>
        <v/>
      </c>
      <c r="AY236" s="887" t="str">
        <f t="shared" si="71"/>
        <v/>
      </c>
      <c r="AZ236" s="877"/>
      <c r="BA236" s="877"/>
      <c r="BB236" s="877"/>
      <c r="BC236" s="877"/>
      <c r="BD236" s="877"/>
      <c r="BE236" s="877"/>
      <c r="BF236" s="877"/>
      <c r="BG236" s="877"/>
      <c r="BH236" s="877"/>
    </row>
    <row r="237" spans="22:60" ht="35.25" customHeight="1" x14ac:dyDescent="0.5">
      <c r="V237" s="877"/>
      <c r="W237" s="877"/>
      <c r="X237" s="877"/>
      <c r="Y237" s="877"/>
      <c r="Z237" s="877"/>
      <c r="AA237" s="877"/>
      <c r="AB237" s="877"/>
      <c r="AC237" s="877"/>
      <c r="AD237" s="877"/>
      <c r="AE237" s="877"/>
      <c r="AF237" s="877"/>
      <c r="AG237" s="877"/>
      <c r="AH237" s="877"/>
      <c r="AI237" s="878"/>
      <c r="AJ237" s="877"/>
      <c r="AK237" s="877">
        <v>108</v>
      </c>
      <c r="AL237" s="877">
        <v>8</v>
      </c>
      <c r="AM237" s="921" t="str">
        <f t="shared" si="83"/>
        <v/>
      </c>
      <c r="AN237" s="887" t="str">
        <f t="shared" si="84"/>
        <v/>
      </c>
      <c r="AO237" s="887" t="str">
        <f t="shared" si="85"/>
        <v/>
      </c>
      <c r="AP237" s="887" t="str">
        <f t="shared" si="86"/>
        <v/>
      </c>
      <c r="AQ237" s="887" t="str">
        <f t="shared" si="87"/>
        <v/>
      </c>
      <c r="AR237" s="887" t="str">
        <f t="shared" si="88"/>
        <v/>
      </c>
      <c r="AS237" s="887" t="str">
        <f t="shared" si="89"/>
        <v/>
      </c>
      <c r="AT237" s="887" t="str">
        <f t="shared" si="90"/>
        <v/>
      </c>
      <c r="AU237" s="887" t="str">
        <f t="shared" si="91"/>
        <v/>
      </c>
      <c r="AV237" s="887" t="str">
        <f t="shared" si="92"/>
        <v/>
      </c>
      <c r="AW237" s="887" t="str">
        <f t="shared" si="93"/>
        <v/>
      </c>
      <c r="AX237" s="887" t="str">
        <f t="shared" si="70"/>
        <v/>
      </c>
      <c r="AY237" s="887" t="str">
        <f t="shared" si="71"/>
        <v/>
      </c>
      <c r="AZ237" s="877"/>
      <c r="BA237" s="877"/>
      <c r="BB237" s="877"/>
      <c r="BC237" s="877"/>
      <c r="BD237" s="877"/>
      <c r="BE237" s="877"/>
      <c r="BF237" s="877"/>
      <c r="BG237" s="877"/>
      <c r="BH237" s="877"/>
    </row>
    <row r="238" spans="22:60" ht="35.25" customHeight="1" x14ac:dyDescent="0.5">
      <c r="V238" s="877"/>
      <c r="W238" s="877"/>
      <c r="X238" s="877"/>
      <c r="Y238" s="877"/>
      <c r="Z238" s="877"/>
      <c r="AA238" s="877"/>
      <c r="AB238" s="877"/>
      <c r="AC238" s="877"/>
      <c r="AD238" s="877"/>
      <c r="AE238" s="877"/>
      <c r="AF238" s="877"/>
      <c r="AG238" s="877"/>
      <c r="AH238" s="877"/>
      <c r="AI238" s="878"/>
      <c r="AJ238" s="877"/>
      <c r="AK238" s="877">
        <v>109</v>
      </c>
      <c r="AL238" s="877">
        <v>9</v>
      </c>
      <c r="AM238" s="921" t="str">
        <f t="shared" si="83"/>
        <v/>
      </c>
      <c r="AN238" s="887" t="str">
        <f t="shared" si="84"/>
        <v/>
      </c>
      <c r="AO238" s="887" t="str">
        <f t="shared" si="85"/>
        <v/>
      </c>
      <c r="AP238" s="887" t="str">
        <f t="shared" si="86"/>
        <v/>
      </c>
      <c r="AQ238" s="887" t="str">
        <f t="shared" si="87"/>
        <v/>
      </c>
      <c r="AR238" s="887" t="str">
        <f t="shared" si="88"/>
        <v/>
      </c>
      <c r="AS238" s="887" t="str">
        <f t="shared" si="89"/>
        <v/>
      </c>
      <c r="AT238" s="887" t="str">
        <f t="shared" si="90"/>
        <v/>
      </c>
      <c r="AU238" s="887" t="str">
        <f t="shared" si="91"/>
        <v/>
      </c>
      <c r="AV238" s="887" t="str">
        <f t="shared" si="92"/>
        <v/>
      </c>
      <c r="AW238" s="887" t="str">
        <f t="shared" si="93"/>
        <v/>
      </c>
      <c r="AX238" s="887" t="str">
        <f t="shared" si="70"/>
        <v/>
      </c>
      <c r="AY238" s="887" t="str">
        <f t="shared" si="71"/>
        <v/>
      </c>
      <c r="AZ238" s="877"/>
      <c r="BA238" s="877"/>
      <c r="BB238" s="877"/>
      <c r="BC238" s="877"/>
      <c r="BD238" s="877"/>
      <c r="BE238" s="877"/>
      <c r="BF238" s="877"/>
      <c r="BG238" s="877"/>
      <c r="BH238" s="877"/>
    </row>
    <row r="239" spans="22:60" ht="35.25" customHeight="1" x14ac:dyDescent="0.5">
      <c r="V239" s="877"/>
      <c r="W239" s="877"/>
      <c r="X239" s="877"/>
      <c r="Y239" s="877"/>
      <c r="Z239" s="877"/>
      <c r="AA239" s="877"/>
      <c r="AB239" s="877"/>
      <c r="AC239" s="877"/>
      <c r="AD239" s="877"/>
      <c r="AE239" s="877"/>
      <c r="AF239" s="877"/>
      <c r="AG239" s="877"/>
      <c r="AH239" s="877"/>
      <c r="AI239" s="878"/>
      <c r="AJ239" s="877"/>
      <c r="AK239" s="877">
        <v>110</v>
      </c>
      <c r="AL239" s="877">
        <v>10</v>
      </c>
      <c r="AM239" s="921" t="str">
        <f t="shared" si="83"/>
        <v/>
      </c>
      <c r="AN239" s="887" t="str">
        <f t="shared" si="84"/>
        <v/>
      </c>
      <c r="AO239" s="887" t="str">
        <f t="shared" si="85"/>
        <v/>
      </c>
      <c r="AP239" s="887" t="str">
        <f t="shared" si="86"/>
        <v/>
      </c>
      <c r="AQ239" s="887" t="str">
        <f t="shared" si="87"/>
        <v/>
      </c>
      <c r="AR239" s="887" t="str">
        <f t="shared" si="88"/>
        <v/>
      </c>
      <c r="AS239" s="887" t="str">
        <f t="shared" si="89"/>
        <v/>
      </c>
      <c r="AT239" s="887" t="str">
        <f t="shared" si="90"/>
        <v/>
      </c>
      <c r="AU239" s="887" t="str">
        <f t="shared" si="91"/>
        <v/>
      </c>
      <c r="AV239" s="887" t="str">
        <f t="shared" si="92"/>
        <v/>
      </c>
      <c r="AW239" s="887" t="str">
        <f t="shared" si="93"/>
        <v/>
      </c>
      <c r="AX239" s="887" t="str">
        <f t="shared" si="70"/>
        <v/>
      </c>
      <c r="AY239" s="887" t="str">
        <f t="shared" si="71"/>
        <v/>
      </c>
      <c r="AZ239" s="877"/>
      <c r="BA239" s="877"/>
      <c r="BB239" s="877"/>
      <c r="BC239" s="877"/>
      <c r="BD239" s="877"/>
      <c r="BE239" s="877"/>
      <c r="BF239" s="877"/>
      <c r="BG239" s="877"/>
      <c r="BH239" s="877"/>
    </row>
    <row r="240" spans="22:60" ht="35.25" customHeight="1" x14ac:dyDescent="0.5">
      <c r="V240" s="877"/>
      <c r="W240" s="877"/>
      <c r="X240" s="877"/>
      <c r="Y240" s="877"/>
      <c r="Z240" s="877"/>
      <c r="AA240" s="877"/>
      <c r="AB240" s="877"/>
      <c r="AC240" s="877"/>
      <c r="AD240" s="877"/>
      <c r="AE240" s="877"/>
      <c r="AF240" s="877"/>
      <c r="AG240" s="877"/>
      <c r="AH240" s="877"/>
      <c r="AI240" s="878"/>
      <c r="AJ240" s="877"/>
      <c r="AK240" s="877">
        <v>111</v>
      </c>
      <c r="AL240" s="877">
        <v>11</v>
      </c>
      <c r="AM240" s="921" t="str">
        <f t="shared" si="83"/>
        <v/>
      </c>
      <c r="AN240" s="887" t="str">
        <f t="shared" si="84"/>
        <v/>
      </c>
      <c r="AO240" s="887" t="str">
        <f t="shared" si="85"/>
        <v/>
      </c>
      <c r="AP240" s="887" t="str">
        <f t="shared" si="86"/>
        <v/>
      </c>
      <c r="AQ240" s="887" t="str">
        <f t="shared" si="87"/>
        <v/>
      </c>
      <c r="AR240" s="887" t="str">
        <f t="shared" si="88"/>
        <v/>
      </c>
      <c r="AS240" s="887" t="str">
        <f t="shared" si="89"/>
        <v/>
      </c>
      <c r="AT240" s="887" t="str">
        <f t="shared" si="90"/>
        <v/>
      </c>
      <c r="AU240" s="887" t="str">
        <f t="shared" si="91"/>
        <v/>
      </c>
      <c r="AV240" s="887" t="str">
        <f t="shared" si="92"/>
        <v/>
      </c>
      <c r="AW240" s="887" t="str">
        <f t="shared" si="93"/>
        <v/>
      </c>
      <c r="AX240" s="887" t="str">
        <f t="shared" si="70"/>
        <v/>
      </c>
      <c r="AY240" s="887" t="str">
        <f t="shared" si="71"/>
        <v/>
      </c>
      <c r="AZ240" s="877"/>
      <c r="BA240" s="877"/>
      <c r="BB240" s="877"/>
      <c r="BC240" s="877"/>
      <c r="BD240" s="877"/>
      <c r="BE240" s="877"/>
      <c r="BF240" s="877"/>
      <c r="BG240" s="877"/>
      <c r="BH240" s="877"/>
    </row>
    <row r="241" spans="22:60" ht="35.25" customHeight="1" x14ac:dyDescent="0.5">
      <c r="V241" s="877"/>
      <c r="W241" s="877"/>
      <c r="X241" s="877"/>
      <c r="Y241" s="877"/>
      <c r="Z241" s="877"/>
      <c r="AA241" s="877"/>
      <c r="AB241" s="877"/>
      <c r="AC241" s="877"/>
      <c r="AD241" s="877"/>
      <c r="AE241" s="877"/>
      <c r="AF241" s="877"/>
      <c r="AG241" s="877"/>
      <c r="AH241" s="877"/>
      <c r="AI241" s="878"/>
      <c r="AJ241" s="877"/>
      <c r="AK241" s="877">
        <v>112</v>
      </c>
      <c r="AL241" s="877">
        <v>12</v>
      </c>
      <c r="AM241" s="921" t="str">
        <f t="shared" si="83"/>
        <v/>
      </c>
      <c r="AN241" s="887" t="str">
        <f t="shared" si="84"/>
        <v/>
      </c>
      <c r="AO241" s="887" t="str">
        <f t="shared" si="85"/>
        <v/>
      </c>
      <c r="AP241" s="887" t="str">
        <f t="shared" si="86"/>
        <v/>
      </c>
      <c r="AQ241" s="887" t="str">
        <f t="shared" si="87"/>
        <v/>
      </c>
      <c r="AR241" s="887" t="str">
        <f t="shared" si="88"/>
        <v/>
      </c>
      <c r="AS241" s="887" t="str">
        <f t="shared" si="89"/>
        <v/>
      </c>
      <c r="AT241" s="887" t="str">
        <f t="shared" si="90"/>
        <v/>
      </c>
      <c r="AU241" s="887" t="str">
        <f t="shared" si="91"/>
        <v/>
      </c>
      <c r="AV241" s="887" t="str">
        <f t="shared" si="92"/>
        <v/>
      </c>
      <c r="AW241" s="887" t="str">
        <f t="shared" si="93"/>
        <v/>
      </c>
      <c r="AX241" s="887" t="str">
        <f t="shared" si="70"/>
        <v/>
      </c>
      <c r="AY241" s="887" t="str">
        <f t="shared" si="71"/>
        <v/>
      </c>
      <c r="AZ241" s="877"/>
      <c r="BA241" s="877"/>
      <c r="BB241" s="877"/>
      <c r="BC241" s="877"/>
      <c r="BD241" s="877"/>
      <c r="BE241" s="877"/>
      <c r="BF241" s="877"/>
      <c r="BG241" s="877"/>
      <c r="BH241" s="877"/>
    </row>
    <row r="242" spans="22:60" ht="35.25" customHeight="1" x14ac:dyDescent="0.5">
      <c r="V242" s="877"/>
      <c r="W242" s="877"/>
      <c r="X242" s="877"/>
      <c r="Y242" s="877"/>
      <c r="Z242" s="877"/>
      <c r="AA242" s="877"/>
      <c r="AB242" s="877"/>
      <c r="AC242" s="877"/>
      <c r="AD242" s="877"/>
      <c r="AE242" s="877"/>
      <c r="AF242" s="877"/>
      <c r="AG242" s="877"/>
      <c r="AH242" s="877"/>
      <c r="AI242" s="878"/>
      <c r="AJ242" s="877"/>
      <c r="AK242" s="877">
        <v>113</v>
      </c>
      <c r="AL242" s="877">
        <v>13</v>
      </c>
      <c r="AM242" s="921" t="str">
        <f t="shared" si="83"/>
        <v/>
      </c>
      <c r="AN242" s="887" t="str">
        <f t="shared" si="84"/>
        <v/>
      </c>
      <c r="AO242" s="887" t="str">
        <f t="shared" si="85"/>
        <v/>
      </c>
      <c r="AP242" s="887" t="str">
        <f t="shared" si="86"/>
        <v/>
      </c>
      <c r="AQ242" s="887" t="str">
        <f t="shared" si="87"/>
        <v/>
      </c>
      <c r="AR242" s="887" t="str">
        <f t="shared" si="88"/>
        <v/>
      </c>
      <c r="AS242" s="887" t="str">
        <f t="shared" si="89"/>
        <v/>
      </c>
      <c r="AT242" s="887" t="str">
        <f t="shared" si="90"/>
        <v/>
      </c>
      <c r="AU242" s="887" t="str">
        <f t="shared" si="91"/>
        <v/>
      </c>
      <c r="AV242" s="887" t="str">
        <f t="shared" si="92"/>
        <v/>
      </c>
      <c r="AW242" s="887" t="str">
        <f t="shared" si="93"/>
        <v/>
      </c>
      <c r="AX242" s="887" t="str">
        <f t="shared" si="70"/>
        <v/>
      </c>
      <c r="AY242" s="887" t="str">
        <f t="shared" si="71"/>
        <v/>
      </c>
      <c r="AZ242" s="877"/>
      <c r="BA242" s="877"/>
      <c r="BB242" s="877"/>
      <c r="BC242" s="877"/>
      <c r="BD242" s="877"/>
      <c r="BE242" s="877"/>
      <c r="BF242" s="877"/>
      <c r="BG242" s="877"/>
      <c r="BH242" s="877"/>
    </row>
    <row r="243" spans="22:60" ht="35.25" customHeight="1" x14ac:dyDescent="0.5">
      <c r="V243" s="877"/>
      <c r="W243" s="877"/>
      <c r="X243" s="877"/>
      <c r="Y243" s="877"/>
      <c r="Z243" s="877"/>
      <c r="AA243" s="877"/>
      <c r="AB243" s="877"/>
      <c r="AC243" s="877"/>
      <c r="AD243" s="877"/>
      <c r="AE243" s="877"/>
      <c r="AF243" s="877"/>
      <c r="AG243" s="877"/>
      <c r="AH243" s="877"/>
      <c r="AI243" s="878"/>
      <c r="AJ243" s="877"/>
      <c r="AK243" s="877">
        <v>114</v>
      </c>
      <c r="AL243" s="877">
        <v>14</v>
      </c>
      <c r="AM243" s="921" t="str">
        <f t="shared" si="83"/>
        <v/>
      </c>
      <c r="AN243" s="887" t="str">
        <f t="shared" si="84"/>
        <v/>
      </c>
      <c r="AO243" s="887" t="str">
        <f t="shared" si="85"/>
        <v/>
      </c>
      <c r="AP243" s="887" t="str">
        <f t="shared" si="86"/>
        <v/>
      </c>
      <c r="AQ243" s="887" t="str">
        <f t="shared" si="87"/>
        <v/>
      </c>
      <c r="AR243" s="887" t="str">
        <f t="shared" si="88"/>
        <v/>
      </c>
      <c r="AS243" s="887" t="str">
        <f t="shared" si="89"/>
        <v/>
      </c>
      <c r="AT243" s="887" t="str">
        <f t="shared" si="90"/>
        <v/>
      </c>
      <c r="AU243" s="887" t="str">
        <f t="shared" si="91"/>
        <v/>
      </c>
      <c r="AV243" s="887" t="str">
        <f t="shared" si="92"/>
        <v/>
      </c>
      <c r="AW243" s="887" t="str">
        <f t="shared" si="93"/>
        <v/>
      </c>
      <c r="AX243" s="887" t="str">
        <f t="shared" si="70"/>
        <v/>
      </c>
      <c r="AY243" s="887" t="str">
        <f t="shared" si="71"/>
        <v/>
      </c>
      <c r="AZ243" s="877"/>
      <c r="BA243" s="877"/>
      <c r="BB243" s="877"/>
      <c r="BC243" s="877"/>
      <c r="BD243" s="877"/>
      <c r="BE243" s="877"/>
      <c r="BF243" s="877"/>
      <c r="BG243" s="877"/>
      <c r="BH243" s="877"/>
    </row>
    <row r="244" spans="22:60" ht="35.25" customHeight="1" x14ac:dyDescent="0.5">
      <c r="V244" s="877"/>
      <c r="W244" s="877"/>
      <c r="X244" s="877"/>
      <c r="Y244" s="877"/>
      <c r="Z244" s="877"/>
      <c r="AA244" s="877"/>
      <c r="AB244" s="877"/>
      <c r="AC244" s="877"/>
      <c r="AD244" s="877"/>
      <c r="AE244" s="877"/>
      <c r="AF244" s="877"/>
      <c r="AG244" s="877"/>
      <c r="AH244" s="877"/>
      <c r="AI244" s="878"/>
      <c r="AJ244" s="877"/>
      <c r="AK244" s="877">
        <v>115</v>
      </c>
      <c r="AL244" s="877">
        <v>15</v>
      </c>
      <c r="AM244" s="921" t="str">
        <f t="shared" si="83"/>
        <v/>
      </c>
      <c r="AN244" s="887" t="str">
        <f t="shared" si="84"/>
        <v/>
      </c>
      <c r="AO244" s="887" t="str">
        <f t="shared" si="85"/>
        <v/>
      </c>
      <c r="AP244" s="887" t="str">
        <f t="shared" si="86"/>
        <v/>
      </c>
      <c r="AQ244" s="887" t="str">
        <f t="shared" si="87"/>
        <v/>
      </c>
      <c r="AR244" s="887" t="str">
        <f t="shared" si="88"/>
        <v/>
      </c>
      <c r="AS244" s="887" t="str">
        <f t="shared" si="89"/>
        <v/>
      </c>
      <c r="AT244" s="887" t="str">
        <f t="shared" si="90"/>
        <v/>
      </c>
      <c r="AU244" s="887" t="str">
        <f t="shared" si="91"/>
        <v/>
      </c>
      <c r="AV244" s="887" t="str">
        <f t="shared" si="92"/>
        <v/>
      </c>
      <c r="AW244" s="887" t="str">
        <f t="shared" si="93"/>
        <v/>
      </c>
      <c r="AX244" s="887" t="str">
        <f t="shared" si="70"/>
        <v/>
      </c>
      <c r="AY244" s="887" t="str">
        <f t="shared" si="71"/>
        <v/>
      </c>
      <c r="AZ244" s="877"/>
      <c r="BA244" s="877"/>
      <c r="BB244" s="877"/>
      <c r="BC244" s="877"/>
      <c r="BD244" s="877"/>
      <c r="BE244" s="877"/>
      <c r="BF244" s="877"/>
      <c r="BG244" s="877"/>
      <c r="BH244" s="877"/>
    </row>
    <row r="245" spans="22:60" ht="35.25" customHeight="1" x14ac:dyDescent="0.5">
      <c r="V245" s="877"/>
      <c r="W245" s="877"/>
      <c r="X245" s="877"/>
      <c r="Y245" s="877"/>
      <c r="Z245" s="877"/>
      <c r="AA245" s="877"/>
      <c r="AB245" s="877"/>
      <c r="AC245" s="877"/>
      <c r="AD245" s="877"/>
      <c r="AE245" s="877"/>
      <c r="AF245" s="877"/>
      <c r="AG245" s="877"/>
      <c r="AH245" s="877"/>
      <c r="AI245" s="878"/>
      <c r="AJ245" s="877"/>
      <c r="AK245" s="877">
        <v>116</v>
      </c>
      <c r="AL245" s="877">
        <v>16</v>
      </c>
      <c r="AM245" s="921" t="str">
        <f t="shared" si="83"/>
        <v/>
      </c>
      <c r="AN245" s="887" t="str">
        <f t="shared" si="84"/>
        <v/>
      </c>
      <c r="AO245" s="887" t="str">
        <f t="shared" si="85"/>
        <v/>
      </c>
      <c r="AP245" s="887" t="str">
        <f t="shared" si="86"/>
        <v/>
      </c>
      <c r="AQ245" s="887" t="str">
        <f t="shared" si="87"/>
        <v/>
      </c>
      <c r="AR245" s="887" t="str">
        <f t="shared" si="88"/>
        <v/>
      </c>
      <c r="AS245" s="887" t="str">
        <f t="shared" si="89"/>
        <v/>
      </c>
      <c r="AT245" s="887" t="str">
        <f t="shared" si="90"/>
        <v/>
      </c>
      <c r="AU245" s="887" t="str">
        <f t="shared" si="91"/>
        <v/>
      </c>
      <c r="AV245" s="887" t="str">
        <f t="shared" si="92"/>
        <v/>
      </c>
      <c r="AW245" s="887" t="str">
        <f t="shared" si="93"/>
        <v/>
      </c>
      <c r="AX245" s="887" t="str">
        <f t="shared" si="70"/>
        <v/>
      </c>
      <c r="AY245" s="887" t="str">
        <f t="shared" si="71"/>
        <v/>
      </c>
      <c r="AZ245" s="877"/>
      <c r="BA245" s="877"/>
      <c r="BB245" s="877"/>
      <c r="BC245" s="877"/>
      <c r="BD245" s="877"/>
      <c r="BE245" s="877"/>
      <c r="BF245" s="877"/>
      <c r="BG245" s="877"/>
      <c r="BH245" s="877"/>
    </row>
    <row r="246" spans="22:60" ht="35.25" customHeight="1" x14ac:dyDescent="0.5">
      <c r="V246" s="877"/>
      <c r="W246" s="877"/>
      <c r="X246" s="877"/>
      <c r="Y246" s="877"/>
      <c r="Z246" s="877"/>
      <c r="AA246" s="877"/>
      <c r="AB246" s="877"/>
      <c r="AC246" s="877"/>
      <c r="AD246" s="877"/>
      <c r="AE246" s="877"/>
      <c r="AF246" s="877"/>
      <c r="AG246" s="877"/>
      <c r="AH246" s="877"/>
      <c r="AI246" s="878"/>
      <c r="AJ246" s="877"/>
      <c r="AK246" s="877">
        <v>117</v>
      </c>
      <c r="AL246" s="877">
        <v>17</v>
      </c>
      <c r="AM246" s="921" t="str">
        <f t="shared" si="83"/>
        <v/>
      </c>
      <c r="AN246" s="887" t="str">
        <f t="shared" si="84"/>
        <v/>
      </c>
      <c r="AO246" s="887" t="str">
        <f t="shared" si="85"/>
        <v/>
      </c>
      <c r="AP246" s="887" t="str">
        <f t="shared" si="86"/>
        <v/>
      </c>
      <c r="AQ246" s="887" t="str">
        <f t="shared" si="87"/>
        <v/>
      </c>
      <c r="AR246" s="887" t="str">
        <f t="shared" si="88"/>
        <v/>
      </c>
      <c r="AS246" s="887" t="str">
        <f t="shared" si="89"/>
        <v/>
      </c>
      <c r="AT246" s="887" t="str">
        <f t="shared" si="90"/>
        <v/>
      </c>
      <c r="AU246" s="887" t="str">
        <f t="shared" si="91"/>
        <v/>
      </c>
      <c r="AV246" s="887" t="str">
        <f t="shared" si="92"/>
        <v/>
      </c>
      <c r="AW246" s="887" t="str">
        <f t="shared" si="93"/>
        <v/>
      </c>
      <c r="AX246" s="887" t="str">
        <f t="shared" si="70"/>
        <v/>
      </c>
      <c r="AY246" s="887" t="str">
        <f t="shared" si="71"/>
        <v/>
      </c>
      <c r="AZ246" s="877"/>
      <c r="BA246" s="877"/>
      <c r="BB246" s="877"/>
      <c r="BC246" s="877"/>
      <c r="BD246" s="877"/>
      <c r="BE246" s="877"/>
      <c r="BF246" s="877"/>
      <c r="BG246" s="877"/>
      <c r="BH246" s="877"/>
    </row>
    <row r="247" spans="22:60" ht="35.25" customHeight="1" x14ac:dyDescent="0.5">
      <c r="V247" s="877"/>
      <c r="W247" s="877"/>
      <c r="X247" s="877"/>
      <c r="Y247" s="877"/>
      <c r="Z247" s="877"/>
      <c r="AA247" s="877"/>
      <c r="AB247" s="877"/>
      <c r="AC247" s="877"/>
      <c r="AD247" s="877"/>
      <c r="AE247" s="877"/>
      <c r="AF247" s="877"/>
      <c r="AG247" s="877"/>
      <c r="AH247" s="877"/>
      <c r="AI247" s="878"/>
      <c r="AJ247" s="877"/>
      <c r="AK247" s="877">
        <v>118</v>
      </c>
      <c r="AL247" s="877">
        <v>18</v>
      </c>
      <c r="AM247" s="921" t="str">
        <f t="shared" si="83"/>
        <v/>
      </c>
      <c r="AN247" s="887" t="str">
        <f t="shared" si="84"/>
        <v/>
      </c>
      <c r="AO247" s="887" t="str">
        <f t="shared" si="85"/>
        <v/>
      </c>
      <c r="AP247" s="887" t="str">
        <f t="shared" si="86"/>
        <v/>
      </c>
      <c r="AQ247" s="887" t="str">
        <f t="shared" si="87"/>
        <v/>
      </c>
      <c r="AR247" s="887" t="str">
        <f t="shared" si="88"/>
        <v/>
      </c>
      <c r="AS247" s="887" t="str">
        <f t="shared" si="89"/>
        <v/>
      </c>
      <c r="AT247" s="887" t="str">
        <f t="shared" si="90"/>
        <v/>
      </c>
      <c r="AU247" s="887" t="str">
        <f t="shared" si="91"/>
        <v/>
      </c>
      <c r="AV247" s="887" t="str">
        <f t="shared" si="92"/>
        <v/>
      </c>
      <c r="AW247" s="887" t="str">
        <f t="shared" si="93"/>
        <v/>
      </c>
      <c r="AX247" s="887" t="str">
        <f t="shared" si="70"/>
        <v/>
      </c>
      <c r="AY247" s="887" t="str">
        <f t="shared" si="71"/>
        <v/>
      </c>
      <c r="AZ247" s="877"/>
      <c r="BA247" s="877"/>
      <c r="BB247" s="877"/>
      <c r="BC247" s="877"/>
      <c r="BD247" s="877"/>
      <c r="BE247" s="877"/>
      <c r="BF247" s="877"/>
      <c r="BG247" s="877"/>
      <c r="BH247" s="877"/>
    </row>
    <row r="248" spans="22:60" ht="35.25" customHeight="1" x14ac:dyDescent="0.5">
      <c r="V248" s="877"/>
      <c r="W248" s="877"/>
      <c r="X248" s="877"/>
      <c r="Y248" s="877"/>
      <c r="Z248" s="877"/>
      <c r="AA248" s="877"/>
      <c r="AB248" s="877"/>
      <c r="AC248" s="877"/>
      <c r="AD248" s="877"/>
      <c r="AE248" s="877"/>
      <c r="AF248" s="877"/>
      <c r="AG248" s="877"/>
      <c r="AH248" s="877"/>
      <c r="AI248" s="878"/>
      <c r="AJ248" s="877"/>
      <c r="AK248" s="877">
        <v>119</v>
      </c>
      <c r="AL248" s="877">
        <v>19</v>
      </c>
      <c r="AM248" s="921" t="str">
        <f t="shared" si="83"/>
        <v/>
      </c>
      <c r="AN248" s="887" t="str">
        <f t="shared" si="84"/>
        <v/>
      </c>
      <c r="AO248" s="887" t="str">
        <f t="shared" si="85"/>
        <v/>
      </c>
      <c r="AP248" s="887" t="str">
        <f t="shared" si="86"/>
        <v/>
      </c>
      <c r="AQ248" s="887" t="str">
        <f t="shared" si="87"/>
        <v/>
      </c>
      <c r="AR248" s="887" t="str">
        <f t="shared" si="88"/>
        <v/>
      </c>
      <c r="AS248" s="887" t="str">
        <f t="shared" si="89"/>
        <v/>
      </c>
      <c r="AT248" s="887" t="str">
        <f t="shared" si="90"/>
        <v/>
      </c>
      <c r="AU248" s="887" t="str">
        <f t="shared" si="91"/>
        <v/>
      </c>
      <c r="AV248" s="887" t="str">
        <f t="shared" si="92"/>
        <v/>
      </c>
      <c r="AW248" s="887" t="str">
        <f t="shared" si="93"/>
        <v/>
      </c>
      <c r="AX248" s="887" t="str">
        <f t="shared" si="70"/>
        <v/>
      </c>
      <c r="AY248" s="887" t="str">
        <f t="shared" si="71"/>
        <v/>
      </c>
      <c r="AZ248" s="877"/>
      <c r="BA248" s="877"/>
      <c r="BB248" s="877"/>
      <c r="BC248" s="877"/>
      <c r="BD248" s="877"/>
      <c r="BE248" s="877"/>
      <c r="BF248" s="877"/>
      <c r="BG248" s="877"/>
      <c r="BH248" s="877"/>
    </row>
    <row r="249" spans="22:60" ht="35.25" customHeight="1" x14ac:dyDescent="0.5">
      <c r="V249" s="877"/>
      <c r="W249" s="877"/>
      <c r="X249" s="877"/>
      <c r="Y249" s="877"/>
      <c r="Z249" s="877"/>
      <c r="AA249" s="877"/>
      <c r="AB249" s="877"/>
      <c r="AC249" s="877"/>
      <c r="AD249" s="877"/>
      <c r="AE249" s="877"/>
      <c r="AF249" s="877"/>
      <c r="AG249" s="877"/>
      <c r="AH249" s="877"/>
      <c r="AI249" s="878"/>
      <c r="AJ249" s="877"/>
      <c r="AK249" s="877">
        <v>120</v>
      </c>
      <c r="AL249" s="877">
        <v>20</v>
      </c>
      <c r="AM249" s="921" t="str">
        <f t="shared" si="83"/>
        <v/>
      </c>
      <c r="AN249" s="887" t="str">
        <f t="shared" si="84"/>
        <v/>
      </c>
      <c r="AO249" s="887" t="str">
        <f t="shared" si="85"/>
        <v/>
      </c>
      <c r="AP249" s="887" t="str">
        <f t="shared" si="86"/>
        <v/>
      </c>
      <c r="AQ249" s="887" t="str">
        <f t="shared" si="87"/>
        <v/>
      </c>
      <c r="AR249" s="887" t="str">
        <f t="shared" si="88"/>
        <v/>
      </c>
      <c r="AS249" s="887" t="str">
        <f t="shared" si="89"/>
        <v/>
      </c>
      <c r="AT249" s="887" t="str">
        <f t="shared" si="90"/>
        <v/>
      </c>
      <c r="AU249" s="887" t="str">
        <f t="shared" si="91"/>
        <v/>
      </c>
      <c r="AV249" s="887" t="str">
        <f t="shared" si="92"/>
        <v/>
      </c>
      <c r="AW249" s="887" t="str">
        <f t="shared" si="93"/>
        <v/>
      </c>
      <c r="AX249" s="887" t="str">
        <f t="shared" si="70"/>
        <v/>
      </c>
      <c r="AY249" s="887" t="str">
        <f t="shared" si="71"/>
        <v/>
      </c>
      <c r="AZ249" s="877"/>
      <c r="BA249" s="877"/>
      <c r="BB249" s="877"/>
      <c r="BC249" s="877"/>
      <c r="BD249" s="877"/>
      <c r="BE249" s="877"/>
      <c r="BF249" s="877"/>
      <c r="BG249" s="877"/>
      <c r="BH249" s="877"/>
    </row>
    <row r="250" spans="22:60" ht="35.25" customHeight="1" x14ac:dyDescent="0.5">
      <c r="V250" s="877"/>
      <c r="W250" s="877"/>
      <c r="X250" s="877"/>
      <c r="Y250" s="877"/>
      <c r="Z250" s="877"/>
      <c r="AA250" s="877"/>
      <c r="AB250" s="877"/>
      <c r="AC250" s="877"/>
      <c r="AD250" s="877"/>
      <c r="AE250" s="877"/>
      <c r="AF250" s="877"/>
      <c r="AG250" s="877"/>
      <c r="AH250" s="877"/>
      <c r="AI250" s="878"/>
      <c r="AJ250" s="877"/>
      <c r="AK250" s="877"/>
      <c r="AL250" s="877"/>
      <c r="AM250" s="879"/>
      <c r="AN250" s="877"/>
      <c r="AO250" s="877"/>
      <c r="AP250" s="877"/>
      <c r="AQ250" s="877"/>
      <c r="AR250" s="877"/>
      <c r="AS250" s="877"/>
      <c r="AT250" s="887">
        <f>SUM(AT230:AT249)</f>
        <v>0</v>
      </c>
      <c r="AU250" s="887">
        <f>SUM(AU230:AU249)</f>
        <v>0</v>
      </c>
      <c r="AV250" s="887">
        <f>SUM(AV230:AV249)</f>
        <v>0</v>
      </c>
      <c r="AW250" s="887">
        <f>SUM(AW230:AW249)</f>
        <v>0</v>
      </c>
      <c r="AX250" s="887">
        <f>AX229+AT250-AV250</f>
        <v>3000</v>
      </c>
      <c r="AY250" s="887">
        <f>AY229+AU250-AW250</f>
        <v>3000</v>
      </c>
      <c r="AZ250" s="877"/>
      <c r="BA250" s="877"/>
      <c r="BB250" s="877"/>
      <c r="BC250" s="877"/>
      <c r="BD250" s="877"/>
      <c r="BE250" s="877"/>
      <c r="BF250" s="877"/>
      <c r="BG250" s="877"/>
      <c r="BH250" s="877"/>
    </row>
    <row r="251" spans="22:60" ht="35.25" customHeight="1" x14ac:dyDescent="0.5">
      <c r="V251" s="877"/>
      <c r="W251" s="877"/>
      <c r="X251" s="877"/>
      <c r="Y251" s="877"/>
      <c r="Z251" s="877"/>
      <c r="AA251" s="877"/>
      <c r="AB251" s="877"/>
      <c r="AC251" s="877"/>
      <c r="AD251" s="877"/>
      <c r="AE251" s="877"/>
      <c r="AF251" s="877"/>
      <c r="AG251" s="877"/>
      <c r="AH251" s="877"/>
      <c r="AI251" s="878"/>
      <c r="AJ251" s="877"/>
      <c r="AK251" s="877">
        <v>121</v>
      </c>
      <c r="AL251" s="877">
        <v>1</v>
      </c>
      <c r="AM251" s="921" t="str">
        <f t="shared" ref="AM251:AM270" si="94">IFERROR(VLOOKUP(AL251,$AD$10:$AW$111,10,0),"")</f>
        <v/>
      </c>
      <c r="AN251" s="887" t="str">
        <f t="shared" ref="AN251:AN270" si="95">IFERROR(VLOOKUP(AL251,$AD$10:$AW$111,11,0),"")</f>
        <v/>
      </c>
      <c r="AO251" s="887" t="str">
        <f t="shared" ref="AO251:AO270" si="96">IFERROR(VLOOKUP(AL251,$AD$10:$AW$111,12,0),"")</f>
        <v/>
      </c>
      <c r="AP251" s="887" t="str">
        <f t="shared" ref="AP251:AP270" si="97">IFERROR(VLOOKUP(AL251,$AD$10:$AW$111,13,0),"")</f>
        <v/>
      </c>
      <c r="AQ251" s="887" t="str">
        <f t="shared" ref="AQ251:AQ270" si="98">IFERROR(VLOOKUP(AL251,$AD$10:$AW$111,14,0),"")</f>
        <v/>
      </c>
      <c r="AR251" s="887" t="str">
        <f t="shared" ref="AR251:AR270" si="99">IFERROR(VLOOKUP(AL251,$AD$10:$AW$111,15,0),"")</f>
        <v/>
      </c>
      <c r="AS251" s="887" t="str">
        <f t="shared" ref="AS251:AS270" si="100">IFERROR(VLOOKUP(AL251,$AD$10:$AW$111,16,0),"")</f>
        <v/>
      </c>
      <c r="AT251" s="887" t="str">
        <f t="shared" ref="AT251:AT270" si="101">IFERROR(VLOOKUP(AL251,$AD$10:$AW$111,17,0),"")</f>
        <v/>
      </c>
      <c r="AU251" s="887" t="str">
        <f t="shared" ref="AU251:AU270" si="102">IFERROR(VLOOKUP(AL251,$AD$10:$AW$111,18,0),"")</f>
        <v/>
      </c>
      <c r="AV251" s="887" t="str">
        <f t="shared" ref="AV251:AV270" si="103">IFERROR(VLOOKUP(AL251,$AD$10:$AW$111,19,0),"")</f>
        <v/>
      </c>
      <c r="AW251" s="887" t="str">
        <f t="shared" ref="AW251:AW270" si="104">IFERROR(VLOOKUP(AL251,$AD$10:$AW$111,20,0),"")</f>
        <v/>
      </c>
      <c r="AX251" s="887" t="str">
        <f>IFERROR(AX249+AT251-AV251,"")</f>
        <v/>
      </c>
      <c r="AY251" s="887" t="str">
        <f>IFERROR(AY249+AU251-AW251,"")</f>
        <v/>
      </c>
      <c r="AZ251" s="877"/>
      <c r="BA251" s="877"/>
      <c r="BB251" s="877"/>
      <c r="BC251" s="877"/>
      <c r="BD251" s="877"/>
      <c r="BE251" s="877"/>
      <c r="BF251" s="877"/>
      <c r="BG251" s="877"/>
      <c r="BH251" s="877"/>
    </row>
    <row r="252" spans="22:60" ht="35.25" customHeight="1" x14ac:dyDescent="0.5">
      <c r="V252" s="877"/>
      <c r="W252" s="877"/>
      <c r="X252" s="877"/>
      <c r="Y252" s="877"/>
      <c r="Z252" s="877"/>
      <c r="AA252" s="877"/>
      <c r="AB252" s="877"/>
      <c r="AC252" s="877"/>
      <c r="AD252" s="877"/>
      <c r="AE252" s="877"/>
      <c r="AF252" s="877"/>
      <c r="AG252" s="877"/>
      <c r="AH252" s="877"/>
      <c r="AI252" s="878"/>
      <c r="AJ252" s="877"/>
      <c r="AK252" s="877">
        <v>122</v>
      </c>
      <c r="AL252" s="877">
        <v>2</v>
      </c>
      <c r="AM252" s="921" t="str">
        <f t="shared" si="94"/>
        <v/>
      </c>
      <c r="AN252" s="887" t="str">
        <f t="shared" si="95"/>
        <v/>
      </c>
      <c r="AO252" s="887" t="str">
        <f t="shared" si="96"/>
        <v/>
      </c>
      <c r="AP252" s="887" t="str">
        <f t="shared" si="97"/>
        <v/>
      </c>
      <c r="AQ252" s="887" t="str">
        <f t="shared" si="98"/>
        <v/>
      </c>
      <c r="AR252" s="887" t="str">
        <f t="shared" si="99"/>
        <v/>
      </c>
      <c r="AS252" s="887" t="str">
        <f t="shared" si="100"/>
        <v/>
      </c>
      <c r="AT252" s="887" t="str">
        <f t="shared" si="101"/>
        <v/>
      </c>
      <c r="AU252" s="887" t="str">
        <f t="shared" si="102"/>
        <v/>
      </c>
      <c r="AV252" s="887" t="str">
        <f t="shared" si="103"/>
        <v/>
      </c>
      <c r="AW252" s="887" t="str">
        <f t="shared" si="104"/>
        <v/>
      </c>
      <c r="AX252" s="887" t="str">
        <f t="shared" si="70"/>
        <v/>
      </c>
      <c r="AY252" s="887" t="str">
        <f t="shared" si="71"/>
        <v/>
      </c>
      <c r="AZ252" s="877"/>
      <c r="BA252" s="877"/>
      <c r="BB252" s="877"/>
      <c r="BC252" s="877"/>
      <c r="BD252" s="877"/>
      <c r="BE252" s="877"/>
      <c r="BF252" s="877"/>
      <c r="BG252" s="877"/>
      <c r="BH252" s="877"/>
    </row>
    <row r="253" spans="22:60" ht="35.25" customHeight="1" x14ac:dyDescent="0.5">
      <c r="V253" s="877"/>
      <c r="W253" s="877"/>
      <c r="X253" s="877"/>
      <c r="Y253" s="877"/>
      <c r="Z253" s="877"/>
      <c r="AA253" s="877"/>
      <c r="AB253" s="877"/>
      <c r="AC253" s="877"/>
      <c r="AD253" s="877"/>
      <c r="AE253" s="877"/>
      <c r="AF253" s="877"/>
      <c r="AG253" s="877"/>
      <c r="AH253" s="877"/>
      <c r="AI253" s="878"/>
      <c r="AJ253" s="877"/>
      <c r="AK253" s="877">
        <v>123</v>
      </c>
      <c r="AL253" s="877">
        <v>3</v>
      </c>
      <c r="AM253" s="921" t="str">
        <f t="shared" si="94"/>
        <v/>
      </c>
      <c r="AN253" s="887" t="str">
        <f t="shared" si="95"/>
        <v/>
      </c>
      <c r="AO253" s="887" t="str">
        <f t="shared" si="96"/>
        <v/>
      </c>
      <c r="AP253" s="887" t="str">
        <f t="shared" si="97"/>
        <v/>
      </c>
      <c r="AQ253" s="887" t="str">
        <f t="shared" si="98"/>
        <v/>
      </c>
      <c r="AR253" s="887" t="str">
        <f t="shared" si="99"/>
        <v/>
      </c>
      <c r="AS253" s="887" t="str">
        <f t="shared" si="100"/>
        <v/>
      </c>
      <c r="AT253" s="887" t="str">
        <f t="shared" si="101"/>
        <v/>
      </c>
      <c r="AU253" s="887" t="str">
        <f t="shared" si="102"/>
        <v/>
      </c>
      <c r="AV253" s="887" t="str">
        <f t="shared" si="103"/>
        <v/>
      </c>
      <c r="AW253" s="887" t="str">
        <f t="shared" si="104"/>
        <v/>
      </c>
      <c r="AX253" s="887" t="str">
        <f t="shared" si="70"/>
        <v/>
      </c>
      <c r="AY253" s="887" t="str">
        <f t="shared" si="71"/>
        <v/>
      </c>
      <c r="AZ253" s="877"/>
      <c r="BA253" s="877"/>
      <c r="BB253" s="877"/>
      <c r="BC253" s="877"/>
      <c r="BD253" s="877"/>
      <c r="BE253" s="877"/>
      <c r="BF253" s="877"/>
      <c r="BG253" s="877"/>
      <c r="BH253" s="877"/>
    </row>
    <row r="254" spans="22:60" ht="35.25" customHeight="1" x14ac:dyDescent="0.5">
      <c r="V254" s="877"/>
      <c r="W254" s="877"/>
      <c r="X254" s="877"/>
      <c r="Y254" s="877"/>
      <c r="Z254" s="877"/>
      <c r="AA254" s="877"/>
      <c r="AB254" s="877"/>
      <c r="AC254" s="877"/>
      <c r="AD254" s="877"/>
      <c r="AE254" s="877"/>
      <c r="AF254" s="877"/>
      <c r="AG254" s="877"/>
      <c r="AH254" s="877"/>
      <c r="AI254" s="878"/>
      <c r="AJ254" s="877"/>
      <c r="AK254" s="877">
        <v>124</v>
      </c>
      <c r="AL254" s="877">
        <v>4</v>
      </c>
      <c r="AM254" s="921" t="str">
        <f t="shared" si="94"/>
        <v/>
      </c>
      <c r="AN254" s="887" t="str">
        <f t="shared" si="95"/>
        <v/>
      </c>
      <c r="AO254" s="887" t="str">
        <f t="shared" si="96"/>
        <v/>
      </c>
      <c r="AP254" s="887" t="str">
        <f t="shared" si="97"/>
        <v/>
      </c>
      <c r="AQ254" s="887" t="str">
        <f t="shared" si="98"/>
        <v/>
      </c>
      <c r="AR254" s="887" t="str">
        <f t="shared" si="99"/>
        <v/>
      </c>
      <c r="AS254" s="887" t="str">
        <f t="shared" si="100"/>
        <v/>
      </c>
      <c r="AT254" s="887" t="str">
        <f t="shared" si="101"/>
        <v/>
      </c>
      <c r="AU254" s="887" t="str">
        <f t="shared" si="102"/>
        <v/>
      </c>
      <c r="AV254" s="887" t="str">
        <f t="shared" si="103"/>
        <v/>
      </c>
      <c r="AW254" s="887" t="str">
        <f t="shared" si="104"/>
        <v/>
      </c>
      <c r="AX254" s="887" t="str">
        <f t="shared" si="70"/>
        <v/>
      </c>
      <c r="AY254" s="887" t="str">
        <f t="shared" si="71"/>
        <v/>
      </c>
      <c r="AZ254" s="877"/>
      <c r="BA254" s="877"/>
      <c r="BB254" s="877"/>
      <c r="BC254" s="877"/>
      <c r="BD254" s="877"/>
      <c r="BE254" s="877"/>
      <c r="BF254" s="877"/>
      <c r="BG254" s="877"/>
      <c r="BH254" s="877"/>
    </row>
    <row r="255" spans="22:60" ht="35.25" customHeight="1" x14ac:dyDescent="0.5">
      <c r="V255" s="877"/>
      <c r="W255" s="877"/>
      <c r="X255" s="877"/>
      <c r="Y255" s="877"/>
      <c r="Z255" s="877"/>
      <c r="AA255" s="877"/>
      <c r="AB255" s="877"/>
      <c r="AC255" s="877"/>
      <c r="AD255" s="877"/>
      <c r="AE255" s="877"/>
      <c r="AF255" s="877"/>
      <c r="AG255" s="877"/>
      <c r="AH255" s="877"/>
      <c r="AI255" s="878"/>
      <c r="AJ255" s="877"/>
      <c r="AK255" s="877">
        <v>125</v>
      </c>
      <c r="AL255" s="877">
        <v>5</v>
      </c>
      <c r="AM255" s="921" t="str">
        <f t="shared" si="94"/>
        <v/>
      </c>
      <c r="AN255" s="887" t="str">
        <f t="shared" si="95"/>
        <v/>
      </c>
      <c r="AO255" s="887" t="str">
        <f t="shared" si="96"/>
        <v/>
      </c>
      <c r="AP255" s="887" t="str">
        <f t="shared" si="97"/>
        <v/>
      </c>
      <c r="AQ255" s="887" t="str">
        <f t="shared" si="98"/>
        <v/>
      </c>
      <c r="AR255" s="887" t="str">
        <f t="shared" si="99"/>
        <v/>
      </c>
      <c r="AS255" s="887" t="str">
        <f t="shared" si="100"/>
        <v/>
      </c>
      <c r="AT255" s="887" t="str">
        <f t="shared" si="101"/>
        <v/>
      </c>
      <c r="AU255" s="887" t="str">
        <f t="shared" si="102"/>
        <v/>
      </c>
      <c r="AV255" s="887" t="str">
        <f t="shared" si="103"/>
        <v/>
      </c>
      <c r="AW255" s="887" t="str">
        <f t="shared" si="104"/>
        <v/>
      </c>
      <c r="AX255" s="887" t="str">
        <f t="shared" si="70"/>
        <v/>
      </c>
      <c r="AY255" s="887" t="str">
        <f t="shared" si="71"/>
        <v/>
      </c>
      <c r="AZ255" s="877"/>
      <c r="BA255" s="877"/>
      <c r="BB255" s="877"/>
      <c r="BC255" s="877"/>
      <c r="BD255" s="877"/>
      <c r="BE255" s="877"/>
      <c r="BF255" s="877"/>
      <c r="BG255" s="877"/>
      <c r="BH255" s="877"/>
    </row>
    <row r="256" spans="22:60" ht="35.25" customHeight="1" x14ac:dyDescent="0.5">
      <c r="V256" s="877"/>
      <c r="W256" s="877"/>
      <c r="X256" s="877"/>
      <c r="Y256" s="877"/>
      <c r="Z256" s="877"/>
      <c r="AA256" s="877"/>
      <c r="AB256" s="877"/>
      <c r="AC256" s="877"/>
      <c r="AD256" s="877"/>
      <c r="AE256" s="877"/>
      <c r="AF256" s="877"/>
      <c r="AG256" s="877"/>
      <c r="AH256" s="877"/>
      <c r="AI256" s="878"/>
      <c r="AJ256" s="877"/>
      <c r="AK256" s="877">
        <v>126</v>
      </c>
      <c r="AL256" s="877">
        <v>6</v>
      </c>
      <c r="AM256" s="921" t="str">
        <f t="shared" si="94"/>
        <v/>
      </c>
      <c r="AN256" s="887" t="str">
        <f t="shared" si="95"/>
        <v/>
      </c>
      <c r="AO256" s="887" t="str">
        <f t="shared" si="96"/>
        <v/>
      </c>
      <c r="AP256" s="887" t="str">
        <f t="shared" si="97"/>
        <v/>
      </c>
      <c r="AQ256" s="887" t="str">
        <f t="shared" si="98"/>
        <v/>
      </c>
      <c r="AR256" s="887" t="str">
        <f t="shared" si="99"/>
        <v/>
      </c>
      <c r="AS256" s="887" t="str">
        <f t="shared" si="100"/>
        <v/>
      </c>
      <c r="AT256" s="887" t="str">
        <f t="shared" si="101"/>
        <v/>
      </c>
      <c r="AU256" s="887" t="str">
        <f t="shared" si="102"/>
        <v/>
      </c>
      <c r="AV256" s="887" t="str">
        <f t="shared" si="103"/>
        <v/>
      </c>
      <c r="AW256" s="887" t="str">
        <f t="shared" si="104"/>
        <v/>
      </c>
      <c r="AX256" s="887" t="str">
        <f t="shared" si="70"/>
        <v/>
      </c>
      <c r="AY256" s="887" t="str">
        <f t="shared" si="71"/>
        <v/>
      </c>
      <c r="AZ256" s="877"/>
      <c r="BA256" s="877"/>
      <c r="BB256" s="877"/>
      <c r="BC256" s="877"/>
      <c r="BD256" s="877"/>
      <c r="BE256" s="877"/>
      <c r="BF256" s="877"/>
      <c r="BG256" s="877"/>
      <c r="BH256" s="877"/>
    </row>
    <row r="257" spans="22:60" ht="35.25" customHeight="1" x14ac:dyDescent="0.5">
      <c r="V257" s="877"/>
      <c r="W257" s="877"/>
      <c r="X257" s="877"/>
      <c r="Y257" s="877"/>
      <c r="Z257" s="877"/>
      <c r="AA257" s="877"/>
      <c r="AB257" s="877"/>
      <c r="AC257" s="877"/>
      <c r="AD257" s="877"/>
      <c r="AE257" s="877"/>
      <c r="AF257" s="877"/>
      <c r="AG257" s="877"/>
      <c r="AH257" s="877"/>
      <c r="AI257" s="878"/>
      <c r="AJ257" s="877"/>
      <c r="AK257" s="877">
        <v>127</v>
      </c>
      <c r="AL257" s="877">
        <v>7</v>
      </c>
      <c r="AM257" s="921" t="str">
        <f t="shared" si="94"/>
        <v/>
      </c>
      <c r="AN257" s="887" t="str">
        <f t="shared" si="95"/>
        <v/>
      </c>
      <c r="AO257" s="887" t="str">
        <f t="shared" si="96"/>
        <v/>
      </c>
      <c r="AP257" s="887" t="str">
        <f t="shared" si="97"/>
        <v/>
      </c>
      <c r="AQ257" s="887" t="str">
        <f t="shared" si="98"/>
        <v/>
      </c>
      <c r="AR257" s="887" t="str">
        <f t="shared" si="99"/>
        <v/>
      </c>
      <c r="AS257" s="887" t="str">
        <f t="shared" si="100"/>
        <v/>
      </c>
      <c r="AT257" s="887" t="str">
        <f t="shared" si="101"/>
        <v/>
      </c>
      <c r="AU257" s="887" t="str">
        <f t="shared" si="102"/>
        <v/>
      </c>
      <c r="AV257" s="887" t="str">
        <f t="shared" si="103"/>
        <v/>
      </c>
      <c r="AW257" s="887" t="str">
        <f t="shared" si="104"/>
        <v/>
      </c>
      <c r="AX257" s="887" t="str">
        <f t="shared" si="70"/>
        <v/>
      </c>
      <c r="AY257" s="887" t="str">
        <f t="shared" si="71"/>
        <v/>
      </c>
      <c r="AZ257" s="877"/>
      <c r="BA257" s="877"/>
      <c r="BB257" s="877"/>
      <c r="BC257" s="877"/>
      <c r="BD257" s="877"/>
      <c r="BE257" s="877"/>
      <c r="BF257" s="877"/>
      <c r="BG257" s="877"/>
      <c r="BH257" s="877"/>
    </row>
    <row r="258" spans="22:60" ht="35.25" customHeight="1" x14ac:dyDescent="0.5">
      <c r="V258" s="877"/>
      <c r="W258" s="877"/>
      <c r="X258" s="877"/>
      <c r="Y258" s="877"/>
      <c r="Z258" s="877"/>
      <c r="AA258" s="877"/>
      <c r="AB258" s="877"/>
      <c r="AC258" s="877"/>
      <c r="AD258" s="877"/>
      <c r="AE258" s="877"/>
      <c r="AF258" s="877"/>
      <c r="AG258" s="877"/>
      <c r="AH258" s="877"/>
      <c r="AI258" s="878"/>
      <c r="AJ258" s="877"/>
      <c r="AK258" s="877">
        <v>128</v>
      </c>
      <c r="AL258" s="877">
        <v>8</v>
      </c>
      <c r="AM258" s="921" t="str">
        <f t="shared" si="94"/>
        <v/>
      </c>
      <c r="AN258" s="887" t="str">
        <f t="shared" si="95"/>
        <v/>
      </c>
      <c r="AO258" s="887" t="str">
        <f t="shared" si="96"/>
        <v/>
      </c>
      <c r="AP258" s="887" t="str">
        <f t="shared" si="97"/>
        <v/>
      </c>
      <c r="AQ258" s="887" t="str">
        <f t="shared" si="98"/>
        <v/>
      </c>
      <c r="AR258" s="887" t="str">
        <f t="shared" si="99"/>
        <v/>
      </c>
      <c r="AS258" s="887" t="str">
        <f t="shared" si="100"/>
        <v/>
      </c>
      <c r="AT258" s="887" t="str">
        <f t="shared" si="101"/>
        <v/>
      </c>
      <c r="AU258" s="887" t="str">
        <f t="shared" si="102"/>
        <v/>
      </c>
      <c r="AV258" s="887" t="str">
        <f t="shared" si="103"/>
        <v/>
      </c>
      <c r="AW258" s="887" t="str">
        <f t="shared" si="104"/>
        <v/>
      </c>
      <c r="AX258" s="887" t="str">
        <f t="shared" si="70"/>
        <v/>
      </c>
      <c r="AY258" s="887" t="str">
        <f t="shared" si="71"/>
        <v/>
      </c>
      <c r="AZ258" s="877"/>
      <c r="BA258" s="877"/>
      <c r="BB258" s="877"/>
      <c r="BC258" s="877"/>
      <c r="BD258" s="877"/>
      <c r="BE258" s="877"/>
      <c r="BF258" s="877"/>
      <c r="BG258" s="877"/>
      <c r="BH258" s="877"/>
    </row>
    <row r="259" spans="22:60" ht="35.25" customHeight="1" x14ac:dyDescent="0.5">
      <c r="V259" s="877"/>
      <c r="W259" s="877"/>
      <c r="X259" s="877"/>
      <c r="Y259" s="877"/>
      <c r="Z259" s="877"/>
      <c r="AA259" s="877"/>
      <c r="AB259" s="877"/>
      <c r="AC259" s="877"/>
      <c r="AD259" s="877"/>
      <c r="AE259" s="877"/>
      <c r="AF259" s="877"/>
      <c r="AG259" s="877"/>
      <c r="AH259" s="877"/>
      <c r="AI259" s="878"/>
      <c r="AJ259" s="877"/>
      <c r="AK259" s="877">
        <v>129</v>
      </c>
      <c r="AL259" s="877">
        <v>9</v>
      </c>
      <c r="AM259" s="921" t="str">
        <f t="shared" si="94"/>
        <v/>
      </c>
      <c r="AN259" s="887" t="str">
        <f t="shared" si="95"/>
        <v/>
      </c>
      <c r="AO259" s="887" t="str">
        <f t="shared" si="96"/>
        <v/>
      </c>
      <c r="AP259" s="887" t="str">
        <f t="shared" si="97"/>
        <v/>
      </c>
      <c r="AQ259" s="887" t="str">
        <f t="shared" si="98"/>
        <v/>
      </c>
      <c r="AR259" s="887" t="str">
        <f t="shared" si="99"/>
        <v/>
      </c>
      <c r="AS259" s="887" t="str">
        <f t="shared" si="100"/>
        <v/>
      </c>
      <c r="AT259" s="887" t="str">
        <f t="shared" si="101"/>
        <v/>
      </c>
      <c r="AU259" s="887" t="str">
        <f t="shared" si="102"/>
        <v/>
      </c>
      <c r="AV259" s="887" t="str">
        <f t="shared" si="103"/>
        <v/>
      </c>
      <c r="AW259" s="887" t="str">
        <f t="shared" si="104"/>
        <v/>
      </c>
      <c r="AX259" s="887" t="str">
        <f t="shared" si="70"/>
        <v/>
      </c>
      <c r="AY259" s="887" t="str">
        <f t="shared" si="71"/>
        <v/>
      </c>
      <c r="AZ259" s="877"/>
      <c r="BA259" s="877"/>
      <c r="BB259" s="877"/>
      <c r="BC259" s="877"/>
      <c r="BD259" s="877"/>
      <c r="BE259" s="877"/>
      <c r="BF259" s="877"/>
      <c r="BG259" s="877"/>
      <c r="BH259" s="877"/>
    </row>
    <row r="260" spans="22:60" ht="35.25" customHeight="1" x14ac:dyDescent="0.5">
      <c r="V260" s="877"/>
      <c r="W260" s="877"/>
      <c r="X260" s="877"/>
      <c r="Y260" s="877"/>
      <c r="Z260" s="877"/>
      <c r="AA260" s="877"/>
      <c r="AB260" s="877"/>
      <c r="AC260" s="877"/>
      <c r="AD260" s="877"/>
      <c r="AE260" s="877"/>
      <c r="AF260" s="877"/>
      <c r="AG260" s="877"/>
      <c r="AH260" s="877"/>
      <c r="AI260" s="878"/>
      <c r="AJ260" s="877"/>
      <c r="AK260" s="877">
        <v>130</v>
      </c>
      <c r="AL260" s="877">
        <v>10</v>
      </c>
      <c r="AM260" s="921" t="str">
        <f t="shared" si="94"/>
        <v/>
      </c>
      <c r="AN260" s="887" t="str">
        <f t="shared" si="95"/>
        <v/>
      </c>
      <c r="AO260" s="887" t="str">
        <f t="shared" si="96"/>
        <v/>
      </c>
      <c r="AP260" s="887" t="str">
        <f t="shared" si="97"/>
        <v/>
      </c>
      <c r="AQ260" s="887" t="str">
        <f t="shared" si="98"/>
        <v/>
      </c>
      <c r="AR260" s="887" t="str">
        <f t="shared" si="99"/>
        <v/>
      </c>
      <c r="AS260" s="887" t="str">
        <f t="shared" si="100"/>
        <v/>
      </c>
      <c r="AT260" s="887" t="str">
        <f t="shared" si="101"/>
        <v/>
      </c>
      <c r="AU260" s="887" t="str">
        <f t="shared" si="102"/>
        <v/>
      </c>
      <c r="AV260" s="887" t="str">
        <f t="shared" si="103"/>
        <v/>
      </c>
      <c r="AW260" s="887" t="str">
        <f t="shared" si="104"/>
        <v/>
      </c>
      <c r="AX260" s="887" t="str">
        <f t="shared" ref="AX260:AX326" si="105">IFERROR(AX259+AT260-AV260,"")</f>
        <v/>
      </c>
      <c r="AY260" s="887" t="str">
        <f t="shared" ref="AY260:AY326" si="106">IFERROR(AY259+AU260-AW260,"")</f>
        <v/>
      </c>
      <c r="AZ260" s="877"/>
      <c r="BA260" s="877"/>
      <c r="BB260" s="877"/>
      <c r="BC260" s="877"/>
      <c r="BD260" s="877"/>
      <c r="BE260" s="877"/>
      <c r="BF260" s="877"/>
      <c r="BG260" s="877"/>
      <c r="BH260" s="877"/>
    </row>
    <row r="261" spans="22:60" ht="35.25" customHeight="1" x14ac:dyDescent="0.5">
      <c r="V261" s="877"/>
      <c r="W261" s="877"/>
      <c r="X261" s="877"/>
      <c r="Y261" s="877"/>
      <c r="Z261" s="877"/>
      <c r="AA261" s="877"/>
      <c r="AB261" s="877"/>
      <c r="AC261" s="877"/>
      <c r="AD261" s="877"/>
      <c r="AE261" s="877"/>
      <c r="AF261" s="877"/>
      <c r="AG261" s="877"/>
      <c r="AH261" s="877"/>
      <c r="AI261" s="878"/>
      <c r="AJ261" s="877"/>
      <c r="AK261" s="877">
        <v>131</v>
      </c>
      <c r="AL261" s="877">
        <v>11</v>
      </c>
      <c r="AM261" s="921" t="str">
        <f t="shared" si="94"/>
        <v/>
      </c>
      <c r="AN261" s="887" t="str">
        <f t="shared" si="95"/>
        <v/>
      </c>
      <c r="AO261" s="887" t="str">
        <f t="shared" si="96"/>
        <v/>
      </c>
      <c r="AP261" s="887" t="str">
        <f t="shared" si="97"/>
        <v/>
      </c>
      <c r="AQ261" s="887" t="str">
        <f t="shared" si="98"/>
        <v/>
      </c>
      <c r="AR261" s="887" t="str">
        <f t="shared" si="99"/>
        <v/>
      </c>
      <c r="AS261" s="887" t="str">
        <f t="shared" si="100"/>
        <v/>
      </c>
      <c r="AT261" s="887" t="str">
        <f t="shared" si="101"/>
        <v/>
      </c>
      <c r="AU261" s="887" t="str">
        <f t="shared" si="102"/>
        <v/>
      </c>
      <c r="AV261" s="887" t="str">
        <f t="shared" si="103"/>
        <v/>
      </c>
      <c r="AW261" s="887" t="str">
        <f t="shared" si="104"/>
        <v/>
      </c>
      <c r="AX261" s="887" t="str">
        <f t="shared" si="105"/>
        <v/>
      </c>
      <c r="AY261" s="887" t="str">
        <f t="shared" si="106"/>
        <v/>
      </c>
      <c r="AZ261" s="877"/>
      <c r="BA261" s="877"/>
      <c r="BB261" s="877"/>
      <c r="BC261" s="877"/>
      <c r="BD261" s="877"/>
      <c r="BE261" s="877"/>
      <c r="BF261" s="877"/>
      <c r="BG261" s="877"/>
      <c r="BH261" s="877"/>
    </row>
    <row r="262" spans="22:60" ht="35.25" customHeight="1" x14ac:dyDescent="0.5">
      <c r="V262" s="877"/>
      <c r="W262" s="877"/>
      <c r="X262" s="877"/>
      <c r="Y262" s="877"/>
      <c r="Z262" s="877"/>
      <c r="AA262" s="877"/>
      <c r="AB262" s="877"/>
      <c r="AC262" s="877"/>
      <c r="AD262" s="877"/>
      <c r="AE262" s="877"/>
      <c r="AF262" s="877"/>
      <c r="AG262" s="877"/>
      <c r="AH262" s="877"/>
      <c r="AI262" s="878"/>
      <c r="AJ262" s="877"/>
      <c r="AK262" s="877">
        <v>132</v>
      </c>
      <c r="AL262" s="877">
        <v>12</v>
      </c>
      <c r="AM262" s="921" t="str">
        <f t="shared" si="94"/>
        <v/>
      </c>
      <c r="AN262" s="887" t="str">
        <f t="shared" si="95"/>
        <v/>
      </c>
      <c r="AO262" s="887" t="str">
        <f t="shared" si="96"/>
        <v/>
      </c>
      <c r="AP262" s="887" t="str">
        <f t="shared" si="97"/>
        <v/>
      </c>
      <c r="AQ262" s="887" t="str">
        <f t="shared" si="98"/>
        <v/>
      </c>
      <c r="AR262" s="887" t="str">
        <f t="shared" si="99"/>
        <v/>
      </c>
      <c r="AS262" s="887" t="str">
        <f t="shared" si="100"/>
        <v/>
      </c>
      <c r="AT262" s="887" t="str">
        <f t="shared" si="101"/>
        <v/>
      </c>
      <c r="AU262" s="887" t="str">
        <f t="shared" si="102"/>
        <v/>
      </c>
      <c r="AV262" s="887" t="str">
        <f t="shared" si="103"/>
        <v/>
      </c>
      <c r="AW262" s="887" t="str">
        <f t="shared" si="104"/>
        <v/>
      </c>
      <c r="AX262" s="887" t="str">
        <f t="shared" si="105"/>
        <v/>
      </c>
      <c r="AY262" s="887" t="str">
        <f t="shared" si="106"/>
        <v/>
      </c>
      <c r="AZ262" s="877"/>
      <c r="BA262" s="877"/>
      <c r="BB262" s="877"/>
      <c r="BC262" s="877"/>
      <c r="BD262" s="877"/>
      <c r="BE262" s="877"/>
      <c r="BF262" s="877"/>
      <c r="BG262" s="877"/>
      <c r="BH262" s="877"/>
    </row>
    <row r="263" spans="22:60" ht="35.25" customHeight="1" x14ac:dyDescent="0.5">
      <c r="V263" s="877"/>
      <c r="W263" s="877"/>
      <c r="X263" s="877"/>
      <c r="Y263" s="877"/>
      <c r="Z263" s="877"/>
      <c r="AA263" s="877"/>
      <c r="AB263" s="877"/>
      <c r="AC263" s="877"/>
      <c r="AD263" s="877"/>
      <c r="AE263" s="877"/>
      <c r="AF263" s="877"/>
      <c r="AG263" s="877"/>
      <c r="AH263" s="877"/>
      <c r="AI263" s="878"/>
      <c r="AJ263" s="877"/>
      <c r="AK263" s="877">
        <v>133</v>
      </c>
      <c r="AL263" s="877">
        <v>13</v>
      </c>
      <c r="AM263" s="921" t="str">
        <f t="shared" si="94"/>
        <v/>
      </c>
      <c r="AN263" s="887" t="str">
        <f t="shared" si="95"/>
        <v/>
      </c>
      <c r="AO263" s="887" t="str">
        <f t="shared" si="96"/>
        <v/>
      </c>
      <c r="AP263" s="887" t="str">
        <f t="shared" si="97"/>
        <v/>
      </c>
      <c r="AQ263" s="887" t="str">
        <f t="shared" si="98"/>
        <v/>
      </c>
      <c r="AR263" s="887" t="str">
        <f t="shared" si="99"/>
        <v/>
      </c>
      <c r="AS263" s="887" t="str">
        <f t="shared" si="100"/>
        <v/>
      </c>
      <c r="AT263" s="887" t="str">
        <f t="shared" si="101"/>
        <v/>
      </c>
      <c r="AU263" s="887" t="str">
        <f t="shared" si="102"/>
        <v/>
      </c>
      <c r="AV263" s="887" t="str">
        <f t="shared" si="103"/>
        <v/>
      </c>
      <c r="AW263" s="887" t="str">
        <f t="shared" si="104"/>
        <v/>
      </c>
      <c r="AX263" s="887" t="str">
        <f t="shared" si="105"/>
        <v/>
      </c>
      <c r="AY263" s="887" t="str">
        <f t="shared" si="106"/>
        <v/>
      </c>
      <c r="AZ263" s="877"/>
      <c r="BA263" s="877"/>
      <c r="BB263" s="877"/>
      <c r="BC263" s="877"/>
      <c r="BD263" s="877"/>
      <c r="BE263" s="877"/>
      <c r="BF263" s="877"/>
      <c r="BG263" s="877"/>
      <c r="BH263" s="877"/>
    </row>
    <row r="264" spans="22:60" ht="35.25" customHeight="1" x14ac:dyDescent="0.5">
      <c r="V264" s="877"/>
      <c r="W264" s="877"/>
      <c r="X264" s="877"/>
      <c r="Y264" s="877"/>
      <c r="Z264" s="877"/>
      <c r="AA264" s="877"/>
      <c r="AB264" s="877"/>
      <c r="AC264" s="877"/>
      <c r="AD264" s="877"/>
      <c r="AE264" s="877"/>
      <c r="AF264" s="877"/>
      <c r="AG264" s="877"/>
      <c r="AH264" s="877"/>
      <c r="AI264" s="878"/>
      <c r="AJ264" s="877"/>
      <c r="AK264" s="877">
        <v>134</v>
      </c>
      <c r="AL264" s="877">
        <v>14</v>
      </c>
      <c r="AM264" s="921" t="str">
        <f t="shared" si="94"/>
        <v/>
      </c>
      <c r="AN264" s="887" t="str">
        <f t="shared" si="95"/>
        <v/>
      </c>
      <c r="AO264" s="887" t="str">
        <f t="shared" si="96"/>
        <v/>
      </c>
      <c r="AP264" s="887" t="str">
        <f t="shared" si="97"/>
        <v/>
      </c>
      <c r="AQ264" s="887" t="str">
        <f t="shared" si="98"/>
        <v/>
      </c>
      <c r="AR264" s="887" t="str">
        <f t="shared" si="99"/>
        <v/>
      </c>
      <c r="AS264" s="887" t="str">
        <f t="shared" si="100"/>
        <v/>
      </c>
      <c r="AT264" s="887" t="str">
        <f t="shared" si="101"/>
        <v/>
      </c>
      <c r="AU264" s="887" t="str">
        <f t="shared" si="102"/>
        <v/>
      </c>
      <c r="AV264" s="887" t="str">
        <f t="shared" si="103"/>
        <v/>
      </c>
      <c r="AW264" s="887" t="str">
        <f t="shared" si="104"/>
        <v/>
      </c>
      <c r="AX264" s="887" t="str">
        <f t="shared" si="105"/>
        <v/>
      </c>
      <c r="AY264" s="887" t="str">
        <f t="shared" si="106"/>
        <v/>
      </c>
      <c r="AZ264" s="877"/>
      <c r="BA264" s="877"/>
      <c r="BB264" s="877"/>
      <c r="BC264" s="877"/>
      <c r="BD264" s="877"/>
      <c r="BE264" s="877"/>
      <c r="BF264" s="877"/>
      <c r="BG264" s="877"/>
      <c r="BH264" s="877"/>
    </row>
    <row r="265" spans="22:60" ht="35.25" customHeight="1" x14ac:dyDescent="0.5">
      <c r="V265" s="877"/>
      <c r="W265" s="877"/>
      <c r="X265" s="877"/>
      <c r="Y265" s="877"/>
      <c r="Z265" s="877"/>
      <c r="AA265" s="877"/>
      <c r="AB265" s="877"/>
      <c r="AC265" s="877"/>
      <c r="AD265" s="877"/>
      <c r="AE265" s="877"/>
      <c r="AF265" s="877"/>
      <c r="AG265" s="877"/>
      <c r="AH265" s="877"/>
      <c r="AI265" s="878"/>
      <c r="AJ265" s="877"/>
      <c r="AK265" s="877">
        <v>135</v>
      </c>
      <c r="AL265" s="877">
        <v>15</v>
      </c>
      <c r="AM265" s="921" t="str">
        <f t="shared" si="94"/>
        <v/>
      </c>
      <c r="AN265" s="887" t="str">
        <f t="shared" si="95"/>
        <v/>
      </c>
      <c r="AO265" s="887" t="str">
        <f t="shared" si="96"/>
        <v/>
      </c>
      <c r="AP265" s="887" t="str">
        <f t="shared" si="97"/>
        <v/>
      </c>
      <c r="AQ265" s="887" t="str">
        <f t="shared" si="98"/>
        <v/>
      </c>
      <c r="AR265" s="887" t="str">
        <f t="shared" si="99"/>
        <v/>
      </c>
      <c r="AS265" s="887" t="str">
        <f t="shared" si="100"/>
        <v/>
      </c>
      <c r="AT265" s="887" t="str">
        <f t="shared" si="101"/>
        <v/>
      </c>
      <c r="AU265" s="887" t="str">
        <f t="shared" si="102"/>
        <v/>
      </c>
      <c r="AV265" s="887" t="str">
        <f t="shared" si="103"/>
        <v/>
      </c>
      <c r="AW265" s="887" t="str">
        <f t="shared" si="104"/>
        <v/>
      </c>
      <c r="AX265" s="887" t="str">
        <f t="shared" si="105"/>
        <v/>
      </c>
      <c r="AY265" s="887" t="str">
        <f t="shared" si="106"/>
        <v/>
      </c>
      <c r="AZ265" s="877"/>
      <c r="BA265" s="877"/>
      <c r="BB265" s="877"/>
      <c r="BC265" s="877"/>
      <c r="BD265" s="877"/>
      <c r="BE265" s="877"/>
      <c r="BF265" s="877"/>
      <c r="BG265" s="877"/>
      <c r="BH265" s="877"/>
    </row>
    <row r="266" spans="22:60" ht="35.25" customHeight="1" x14ac:dyDescent="0.5">
      <c r="V266" s="877"/>
      <c r="W266" s="877"/>
      <c r="X266" s="877"/>
      <c r="Y266" s="877"/>
      <c r="Z266" s="877"/>
      <c r="AA266" s="877"/>
      <c r="AB266" s="877"/>
      <c r="AC266" s="877"/>
      <c r="AD266" s="877"/>
      <c r="AE266" s="877"/>
      <c r="AF266" s="877"/>
      <c r="AG266" s="877"/>
      <c r="AH266" s="877"/>
      <c r="AI266" s="878"/>
      <c r="AJ266" s="877"/>
      <c r="AK266" s="877">
        <v>136</v>
      </c>
      <c r="AL266" s="877">
        <v>16</v>
      </c>
      <c r="AM266" s="921" t="str">
        <f t="shared" si="94"/>
        <v/>
      </c>
      <c r="AN266" s="887" t="str">
        <f t="shared" si="95"/>
        <v/>
      </c>
      <c r="AO266" s="887" t="str">
        <f t="shared" si="96"/>
        <v/>
      </c>
      <c r="AP266" s="887" t="str">
        <f t="shared" si="97"/>
        <v/>
      </c>
      <c r="AQ266" s="887" t="str">
        <f t="shared" si="98"/>
        <v/>
      </c>
      <c r="AR266" s="887" t="str">
        <f t="shared" si="99"/>
        <v/>
      </c>
      <c r="AS266" s="887" t="str">
        <f t="shared" si="100"/>
        <v/>
      </c>
      <c r="AT266" s="887" t="str">
        <f t="shared" si="101"/>
        <v/>
      </c>
      <c r="AU266" s="887" t="str">
        <f t="shared" si="102"/>
        <v/>
      </c>
      <c r="AV266" s="887" t="str">
        <f t="shared" si="103"/>
        <v/>
      </c>
      <c r="AW266" s="887" t="str">
        <f t="shared" si="104"/>
        <v/>
      </c>
      <c r="AX266" s="887" t="str">
        <f t="shared" si="105"/>
        <v/>
      </c>
      <c r="AY266" s="887" t="str">
        <f t="shared" si="106"/>
        <v/>
      </c>
      <c r="AZ266" s="877"/>
      <c r="BA266" s="877"/>
      <c r="BB266" s="877"/>
      <c r="BC266" s="877"/>
      <c r="BD266" s="877"/>
      <c r="BE266" s="877"/>
      <c r="BF266" s="877"/>
      <c r="BG266" s="877"/>
      <c r="BH266" s="877"/>
    </row>
    <row r="267" spans="22:60" ht="35.25" customHeight="1" x14ac:dyDescent="0.5">
      <c r="V267" s="877"/>
      <c r="W267" s="877"/>
      <c r="X267" s="877"/>
      <c r="Y267" s="877"/>
      <c r="Z267" s="877"/>
      <c r="AA267" s="877"/>
      <c r="AB267" s="877"/>
      <c r="AC267" s="877"/>
      <c r="AD267" s="877"/>
      <c r="AE267" s="877"/>
      <c r="AF267" s="877"/>
      <c r="AG267" s="877"/>
      <c r="AH267" s="877"/>
      <c r="AI267" s="878"/>
      <c r="AJ267" s="877"/>
      <c r="AK267" s="877">
        <v>137</v>
      </c>
      <c r="AL267" s="877">
        <v>17</v>
      </c>
      <c r="AM267" s="921" t="str">
        <f t="shared" si="94"/>
        <v/>
      </c>
      <c r="AN267" s="887" t="str">
        <f t="shared" si="95"/>
        <v/>
      </c>
      <c r="AO267" s="887" t="str">
        <f t="shared" si="96"/>
        <v/>
      </c>
      <c r="AP267" s="887" t="str">
        <f t="shared" si="97"/>
        <v/>
      </c>
      <c r="AQ267" s="887" t="str">
        <f t="shared" si="98"/>
        <v/>
      </c>
      <c r="AR267" s="887" t="str">
        <f t="shared" si="99"/>
        <v/>
      </c>
      <c r="AS267" s="887" t="str">
        <f t="shared" si="100"/>
        <v/>
      </c>
      <c r="AT267" s="887" t="str">
        <f t="shared" si="101"/>
        <v/>
      </c>
      <c r="AU267" s="887" t="str">
        <f t="shared" si="102"/>
        <v/>
      </c>
      <c r="AV267" s="887" t="str">
        <f t="shared" si="103"/>
        <v/>
      </c>
      <c r="AW267" s="887" t="str">
        <f t="shared" si="104"/>
        <v/>
      </c>
      <c r="AX267" s="887" t="str">
        <f t="shared" si="105"/>
        <v/>
      </c>
      <c r="AY267" s="887" t="str">
        <f t="shared" si="106"/>
        <v/>
      </c>
      <c r="AZ267" s="877"/>
      <c r="BA267" s="877"/>
      <c r="BB267" s="877"/>
      <c r="BC267" s="877"/>
      <c r="BD267" s="877"/>
      <c r="BE267" s="877"/>
      <c r="BF267" s="877"/>
      <c r="BG267" s="877"/>
      <c r="BH267" s="877"/>
    </row>
    <row r="268" spans="22:60" ht="35.25" customHeight="1" x14ac:dyDescent="0.5">
      <c r="V268" s="877"/>
      <c r="W268" s="877"/>
      <c r="X268" s="877"/>
      <c r="Y268" s="877"/>
      <c r="Z268" s="877"/>
      <c r="AA268" s="877"/>
      <c r="AB268" s="877"/>
      <c r="AC268" s="877"/>
      <c r="AD268" s="877"/>
      <c r="AE268" s="877"/>
      <c r="AF268" s="877"/>
      <c r="AG268" s="877"/>
      <c r="AH268" s="877"/>
      <c r="AI268" s="878"/>
      <c r="AJ268" s="877"/>
      <c r="AK268" s="877">
        <v>138</v>
      </c>
      <c r="AL268" s="877">
        <v>18</v>
      </c>
      <c r="AM268" s="921" t="str">
        <f t="shared" si="94"/>
        <v/>
      </c>
      <c r="AN268" s="887" t="str">
        <f t="shared" si="95"/>
        <v/>
      </c>
      <c r="AO268" s="887" t="str">
        <f t="shared" si="96"/>
        <v/>
      </c>
      <c r="AP268" s="887" t="str">
        <f t="shared" si="97"/>
        <v/>
      </c>
      <c r="AQ268" s="887" t="str">
        <f t="shared" si="98"/>
        <v/>
      </c>
      <c r="AR268" s="887" t="str">
        <f t="shared" si="99"/>
        <v/>
      </c>
      <c r="AS268" s="887" t="str">
        <f t="shared" si="100"/>
        <v/>
      </c>
      <c r="AT268" s="887" t="str">
        <f t="shared" si="101"/>
        <v/>
      </c>
      <c r="AU268" s="887" t="str">
        <f t="shared" si="102"/>
        <v/>
      </c>
      <c r="AV268" s="887" t="str">
        <f t="shared" si="103"/>
        <v/>
      </c>
      <c r="AW268" s="887" t="str">
        <f t="shared" si="104"/>
        <v/>
      </c>
      <c r="AX268" s="887" t="str">
        <f t="shared" si="105"/>
        <v/>
      </c>
      <c r="AY268" s="887" t="str">
        <f t="shared" si="106"/>
        <v/>
      </c>
      <c r="AZ268" s="877"/>
      <c r="BA268" s="877"/>
      <c r="BB268" s="877"/>
      <c r="BC268" s="877"/>
      <c r="BD268" s="877"/>
      <c r="BE268" s="877"/>
      <c r="BF268" s="877"/>
      <c r="BG268" s="877"/>
      <c r="BH268" s="877"/>
    </row>
    <row r="269" spans="22:60" ht="35.25" customHeight="1" x14ac:dyDescent="0.5">
      <c r="V269" s="877"/>
      <c r="W269" s="877"/>
      <c r="X269" s="877"/>
      <c r="Y269" s="877"/>
      <c r="Z269" s="877"/>
      <c r="AA269" s="877"/>
      <c r="AB269" s="877"/>
      <c r="AC269" s="877"/>
      <c r="AD269" s="877"/>
      <c r="AE269" s="877"/>
      <c r="AF269" s="877"/>
      <c r="AG269" s="877"/>
      <c r="AH269" s="877"/>
      <c r="AI269" s="878"/>
      <c r="AJ269" s="877"/>
      <c r="AK269" s="877">
        <v>139</v>
      </c>
      <c r="AL269" s="877">
        <v>19</v>
      </c>
      <c r="AM269" s="921" t="str">
        <f t="shared" si="94"/>
        <v/>
      </c>
      <c r="AN269" s="887" t="str">
        <f t="shared" si="95"/>
        <v/>
      </c>
      <c r="AO269" s="887" t="str">
        <f t="shared" si="96"/>
        <v/>
      </c>
      <c r="AP269" s="887" t="str">
        <f t="shared" si="97"/>
        <v/>
      </c>
      <c r="AQ269" s="887" t="str">
        <f t="shared" si="98"/>
        <v/>
      </c>
      <c r="AR269" s="887" t="str">
        <f t="shared" si="99"/>
        <v/>
      </c>
      <c r="AS269" s="887" t="str">
        <f t="shared" si="100"/>
        <v/>
      </c>
      <c r="AT269" s="887" t="str">
        <f t="shared" si="101"/>
        <v/>
      </c>
      <c r="AU269" s="887" t="str">
        <f t="shared" si="102"/>
        <v/>
      </c>
      <c r="AV269" s="887" t="str">
        <f t="shared" si="103"/>
        <v/>
      </c>
      <c r="AW269" s="887" t="str">
        <f t="shared" si="104"/>
        <v/>
      </c>
      <c r="AX269" s="887" t="str">
        <f t="shared" si="105"/>
        <v/>
      </c>
      <c r="AY269" s="887" t="str">
        <f t="shared" si="106"/>
        <v/>
      </c>
      <c r="AZ269" s="877"/>
      <c r="BA269" s="877"/>
      <c r="BB269" s="877"/>
      <c r="BC269" s="877"/>
      <c r="BD269" s="877"/>
      <c r="BE269" s="877"/>
      <c r="BF269" s="877"/>
      <c r="BG269" s="877"/>
      <c r="BH269" s="877"/>
    </row>
    <row r="270" spans="22:60" ht="35.25" customHeight="1" x14ac:dyDescent="0.5">
      <c r="V270" s="877"/>
      <c r="W270" s="877"/>
      <c r="X270" s="877"/>
      <c r="Y270" s="877"/>
      <c r="Z270" s="877"/>
      <c r="AA270" s="877"/>
      <c r="AB270" s="877"/>
      <c r="AC270" s="877"/>
      <c r="AD270" s="877"/>
      <c r="AE270" s="877"/>
      <c r="AF270" s="877"/>
      <c r="AG270" s="877"/>
      <c r="AH270" s="877"/>
      <c r="AI270" s="878"/>
      <c r="AJ270" s="877"/>
      <c r="AK270" s="877">
        <v>140</v>
      </c>
      <c r="AL270" s="877">
        <v>20</v>
      </c>
      <c r="AM270" s="921" t="str">
        <f t="shared" si="94"/>
        <v/>
      </c>
      <c r="AN270" s="887" t="str">
        <f t="shared" si="95"/>
        <v/>
      </c>
      <c r="AO270" s="887" t="str">
        <f t="shared" si="96"/>
        <v/>
      </c>
      <c r="AP270" s="887" t="str">
        <f t="shared" si="97"/>
        <v/>
      </c>
      <c r="AQ270" s="887" t="str">
        <f t="shared" si="98"/>
        <v/>
      </c>
      <c r="AR270" s="887" t="str">
        <f t="shared" si="99"/>
        <v/>
      </c>
      <c r="AS270" s="887" t="str">
        <f t="shared" si="100"/>
        <v/>
      </c>
      <c r="AT270" s="887" t="str">
        <f t="shared" si="101"/>
        <v/>
      </c>
      <c r="AU270" s="887" t="str">
        <f t="shared" si="102"/>
        <v/>
      </c>
      <c r="AV270" s="887" t="str">
        <f t="shared" si="103"/>
        <v/>
      </c>
      <c r="AW270" s="887" t="str">
        <f t="shared" si="104"/>
        <v/>
      </c>
      <c r="AX270" s="887" t="str">
        <f t="shared" si="105"/>
        <v/>
      </c>
      <c r="AY270" s="887" t="str">
        <f t="shared" si="106"/>
        <v/>
      </c>
      <c r="AZ270" s="877"/>
      <c r="BA270" s="877"/>
      <c r="BB270" s="877"/>
      <c r="BC270" s="877"/>
      <c r="BD270" s="877"/>
      <c r="BE270" s="877"/>
      <c r="BF270" s="877"/>
      <c r="BG270" s="877"/>
      <c r="BH270" s="877"/>
    </row>
    <row r="271" spans="22:60" ht="35.25" customHeight="1" x14ac:dyDescent="0.5">
      <c r="V271" s="877"/>
      <c r="W271" s="877"/>
      <c r="X271" s="877"/>
      <c r="Y271" s="877"/>
      <c r="Z271" s="877"/>
      <c r="AA271" s="877"/>
      <c r="AB271" s="877"/>
      <c r="AC271" s="877"/>
      <c r="AD271" s="877"/>
      <c r="AE271" s="877"/>
      <c r="AF271" s="877"/>
      <c r="AG271" s="877"/>
      <c r="AH271" s="877"/>
      <c r="AI271" s="878"/>
      <c r="AJ271" s="877"/>
      <c r="AK271" s="877"/>
      <c r="AL271" s="877"/>
      <c r="AM271" s="879"/>
      <c r="AN271" s="877"/>
      <c r="AO271" s="877"/>
      <c r="AP271" s="877"/>
      <c r="AQ271" s="877"/>
      <c r="AR271" s="877"/>
      <c r="AS271" s="877"/>
      <c r="AT271" s="887">
        <f>SUM(AT251:AT270)</f>
        <v>0</v>
      </c>
      <c r="AU271" s="887">
        <f>SUM(AU251:AU270)</f>
        <v>0</v>
      </c>
      <c r="AV271" s="887">
        <f>SUM(AV251:AV270)</f>
        <v>0</v>
      </c>
      <c r="AW271" s="887">
        <f>SUM(AW251:AW270)</f>
        <v>0</v>
      </c>
      <c r="AX271" s="887">
        <f>AX250+AT271-AV271</f>
        <v>3000</v>
      </c>
      <c r="AY271" s="887">
        <f>AY250+AU271-AW271</f>
        <v>3000</v>
      </c>
      <c r="AZ271" s="877"/>
      <c r="BA271" s="877"/>
      <c r="BB271" s="877"/>
      <c r="BC271" s="877"/>
      <c r="BD271" s="877"/>
      <c r="BE271" s="877"/>
      <c r="BF271" s="877"/>
      <c r="BG271" s="877"/>
      <c r="BH271" s="877"/>
    </row>
    <row r="272" spans="22:60" ht="35.25" customHeight="1" x14ac:dyDescent="0.5">
      <c r="V272" s="877"/>
      <c r="W272" s="877"/>
      <c r="X272" s="877"/>
      <c r="Y272" s="877"/>
      <c r="Z272" s="877"/>
      <c r="AA272" s="877"/>
      <c r="AB272" s="877"/>
      <c r="AC272" s="877"/>
      <c r="AD272" s="877"/>
      <c r="AE272" s="877"/>
      <c r="AF272" s="877"/>
      <c r="AG272" s="877"/>
      <c r="AH272" s="877"/>
      <c r="AI272" s="878"/>
      <c r="AJ272" s="877"/>
      <c r="AK272" s="877">
        <v>141</v>
      </c>
      <c r="AL272" s="877">
        <v>1</v>
      </c>
      <c r="AM272" s="921" t="str">
        <f t="shared" ref="AM272:AM291" si="107">IFERROR(VLOOKUP(AL272,$AE$10:$AW$111,9,0),"")</f>
        <v/>
      </c>
      <c r="AN272" s="887" t="str">
        <f t="shared" ref="AN272:AN291" si="108">IFERROR(VLOOKUP(AL272,$AE$10:$AW$111,10,0),"")</f>
        <v/>
      </c>
      <c r="AO272" s="887" t="str">
        <f t="shared" ref="AO272:AO291" si="109">IFERROR(VLOOKUP(AL272,$AE$10:$AW$111,11,0),"")</f>
        <v/>
      </c>
      <c r="AP272" s="887" t="str">
        <f t="shared" ref="AP272:AP291" si="110">IFERROR(VLOOKUP(AL272,$AE$10:$AW$111,12,0),"")</f>
        <v/>
      </c>
      <c r="AQ272" s="887" t="str">
        <f t="shared" ref="AQ272:AQ291" si="111">IFERROR(VLOOKUP(AL272,$AE$10:$AW$111,13,0),"")</f>
        <v/>
      </c>
      <c r="AR272" s="887" t="str">
        <f t="shared" ref="AR272:AR291" si="112">IFERROR(VLOOKUP(AL272,$AE$10:$AW$111,14,0),"")</f>
        <v/>
      </c>
      <c r="AS272" s="887" t="str">
        <f t="shared" ref="AS272:AS291" si="113">IFERROR(VLOOKUP(AL272,$AE$10:$AW$111,15,0),"")</f>
        <v/>
      </c>
      <c r="AT272" s="887" t="str">
        <f t="shared" ref="AT272:AT291" si="114">IFERROR(VLOOKUP(AL272,$AE$10:$AW$111,16,0),"")</f>
        <v/>
      </c>
      <c r="AU272" s="887" t="str">
        <f t="shared" ref="AU272:AU291" si="115">IFERROR(VLOOKUP(AL272,$AE$10:$AW$111,17,0),"")</f>
        <v/>
      </c>
      <c r="AV272" s="887" t="str">
        <f t="shared" ref="AV272:AV291" si="116">IFERROR(VLOOKUP(AL272,$AE$10:$AW$111,18,0),"")</f>
        <v/>
      </c>
      <c r="AW272" s="887" t="str">
        <f t="shared" ref="AW272:AW291" si="117">IFERROR(VLOOKUP(AL272,$AE$10:$AW$111,19,0),"")</f>
        <v/>
      </c>
      <c r="AX272" s="887" t="str">
        <f>IFERROR(AX270+AT272-AV272,"")</f>
        <v/>
      </c>
      <c r="AY272" s="887" t="str">
        <f>IFERROR(AY270+AU272-AW272,"")</f>
        <v/>
      </c>
      <c r="AZ272" s="877"/>
      <c r="BA272" s="877"/>
      <c r="BB272" s="877"/>
      <c r="BC272" s="877"/>
      <c r="BD272" s="877"/>
      <c r="BE272" s="877"/>
      <c r="BF272" s="877"/>
      <c r="BG272" s="877"/>
      <c r="BH272" s="877"/>
    </row>
    <row r="273" spans="22:60" ht="35.25" customHeight="1" x14ac:dyDescent="0.5">
      <c r="V273" s="877"/>
      <c r="W273" s="877"/>
      <c r="X273" s="877"/>
      <c r="Y273" s="877"/>
      <c r="Z273" s="877"/>
      <c r="AA273" s="877"/>
      <c r="AB273" s="877"/>
      <c r="AC273" s="877"/>
      <c r="AD273" s="877"/>
      <c r="AE273" s="877"/>
      <c r="AF273" s="877"/>
      <c r="AG273" s="877"/>
      <c r="AH273" s="877"/>
      <c r="AI273" s="878"/>
      <c r="AJ273" s="877"/>
      <c r="AK273" s="877">
        <v>142</v>
      </c>
      <c r="AL273" s="877">
        <v>2</v>
      </c>
      <c r="AM273" s="921" t="str">
        <f t="shared" si="107"/>
        <v/>
      </c>
      <c r="AN273" s="887" t="str">
        <f t="shared" si="108"/>
        <v/>
      </c>
      <c r="AO273" s="887" t="str">
        <f t="shared" si="109"/>
        <v/>
      </c>
      <c r="AP273" s="887" t="str">
        <f t="shared" si="110"/>
        <v/>
      </c>
      <c r="AQ273" s="887" t="str">
        <f t="shared" si="111"/>
        <v/>
      </c>
      <c r="AR273" s="887" t="str">
        <f t="shared" si="112"/>
        <v/>
      </c>
      <c r="AS273" s="887" t="str">
        <f t="shared" si="113"/>
        <v/>
      </c>
      <c r="AT273" s="887" t="str">
        <f t="shared" si="114"/>
        <v/>
      </c>
      <c r="AU273" s="887" t="str">
        <f t="shared" si="115"/>
        <v/>
      </c>
      <c r="AV273" s="887" t="str">
        <f t="shared" si="116"/>
        <v/>
      </c>
      <c r="AW273" s="887" t="str">
        <f t="shared" si="117"/>
        <v/>
      </c>
      <c r="AX273" s="887" t="str">
        <f t="shared" si="105"/>
        <v/>
      </c>
      <c r="AY273" s="887" t="str">
        <f t="shared" si="106"/>
        <v/>
      </c>
      <c r="AZ273" s="877"/>
      <c r="BA273" s="877"/>
      <c r="BB273" s="877"/>
      <c r="BC273" s="877"/>
      <c r="BD273" s="877"/>
      <c r="BE273" s="877"/>
      <c r="BF273" s="877"/>
      <c r="BG273" s="877"/>
      <c r="BH273" s="877"/>
    </row>
    <row r="274" spans="22:60" ht="35.25" customHeight="1" x14ac:dyDescent="0.5">
      <c r="V274" s="877"/>
      <c r="W274" s="877"/>
      <c r="X274" s="877"/>
      <c r="Y274" s="877"/>
      <c r="Z274" s="877"/>
      <c r="AA274" s="877"/>
      <c r="AB274" s="877"/>
      <c r="AC274" s="877"/>
      <c r="AD274" s="877"/>
      <c r="AE274" s="877"/>
      <c r="AF274" s="877"/>
      <c r="AG274" s="877"/>
      <c r="AH274" s="877"/>
      <c r="AI274" s="878"/>
      <c r="AJ274" s="877"/>
      <c r="AK274" s="877">
        <v>143</v>
      </c>
      <c r="AL274" s="877">
        <v>3</v>
      </c>
      <c r="AM274" s="921" t="str">
        <f t="shared" si="107"/>
        <v/>
      </c>
      <c r="AN274" s="887" t="str">
        <f t="shared" si="108"/>
        <v/>
      </c>
      <c r="AO274" s="887" t="str">
        <f t="shared" si="109"/>
        <v/>
      </c>
      <c r="AP274" s="887" t="str">
        <f t="shared" si="110"/>
        <v/>
      </c>
      <c r="AQ274" s="887" t="str">
        <f t="shared" si="111"/>
        <v/>
      </c>
      <c r="AR274" s="887" t="str">
        <f t="shared" si="112"/>
        <v/>
      </c>
      <c r="AS274" s="887" t="str">
        <f t="shared" si="113"/>
        <v/>
      </c>
      <c r="AT274" s="887" t="str">
        <f t="shared" si="114"/>
        <v/>
      </c>
      <c r="AU274" s="887" t="str">
        <f t="shared" si="115"/>
        <v/>
      </c>
      <c r="AV274" s="887" t="str">
        <f t="shared" si="116"/>
        <v/>
      </c>
      <c r="AW274" s="887" t="str">
        <f t="shared" si="117"/>
        <v/>
      </c>
      <c r="AX274" s="887" t="str">
        <f t="shared" si="105"/>
        <v/>
      </c>
      <c r="AY274" s="887" t="str">
        <f t="shared" si="106"/>
        <v/>
      </c>
      <c r="AZ274" s="877"/>
      <c r="BA274" s="877"/>
      <c r="BB274" s="877"/>
      <c r="BC274" s="877"/>
      <c r="BD274" s="877"/>
      <c r="BE274" s="877"/>
      <c r="BF274" s="877"/>
      <c r="BG274" s="877"/>
      <c r="BH274" s="877"/>
    </row>
    <row r="275" spans="22:60" ht="35.25" customHeight="1" x14ac:dyDescent="0.5">
      <c r="V275" s="877"/>
      <c r="W275" s="877"/>
      <c r="X275" s="877"/>
      <c r="Y275" s="877"/>
      <c r="Z275" s="877"/>
      <c r="AA275" s="877"/>
      <c r="AB275" s="877"/>
      <c r="AC275" s="877"/>
      <c r="AD275" s="877"/>
      <c r="AE275" s="877"/>
      <c r="AF275" s="877"/>
      <c r="AG275" s="877"/>
      <c r="AH275" s="877"/>
      <c r="AI275" s="878"/>
      <c r="AJ275" s="877"/>
      <c r="AK275" s="877">
        <v>144</v>
      </c>
      <c r="AL275" s="877">
        <v>4</v>
      </c>
      <c r="AM275" s="921" t="str">
        <f t="shared" si="107"/>
        <v/>
      </c>
      <c r="AN275" s="887" t="str">
        <f t="shared" si="108"/>
        <v/>
      </c>
      <c r="AO275" s="887" t="str">
        <f t="shared" si="109"/>
        <v/>
      </c>
      <c r="AP275" s="887" t="str">
        <f t="shared" si="110"/>
        <v/>
      </c>
      <c r="AQ275" s="887" t="str">
        <f t="shared" si="111"/>
        <v/>
      </c>
      <c r="AR275" s="887" t="str">
        <f t="shared" si="112"/>
        <v/>
      </c>
      <c r="AS275" s="887" t="str">
        <f t="shared" si="113"/>
        <v/>
      </c>
      <c r="AT275" s="887" t="str">
        <f t="shared" si="114"/>
        <v/>
      </c>
      <c r="AU275" s="887" t="str">
        <f t="shared" si="115"/>
        <v/>
      </c>
      <c r="AV275" s="887" t="str">
        <f t="shared" si="116"/>
        <v/>
      </c>
      <c r="AW275" s="887" t="str">
        <f t="shared" si="117"/>
        <v/>
      </c>
      <c r="AX275" s="887" t="str">
        <f t="shared" si="105"/>
        <v/>
      </c>
      <c r="AY275" s="887" t="str">
        <f t="shared" si="106"/>
        <v/>
      </c>
      <c r="AZ275" s="877"/>
      <c r="BA275" s="877"/>
      <c r="BB275" s="877"/>
      <c r="BC275" s="877"/>
      <c r="BD275" s="877"/>
      <c r="BE275" s="877"/>
      <c r="BF275" s="877"/>
      <c r="BG275" s="877"/>
      <c r="BH275" s="877"/>
    </row>
    <row r="276" spans="22:60" ht="35.25" customHeight="1" x14ac:dyDescent="0.5">
      <c r="V276" s="877"/>
      <c r="W276" s="877"/>
      <c r="X276" s="877"/>
      <c r="Y276" s="877"/>
      <c r="Z276" s="877"/>
      <c r="AA276" s="877"/>
      <c r="AB276" s="877"/>
      <c r="AC276" s="877"/>
      <c r="AD276" s="877"/>
      <c r="AE276" s="877"/>
      <c r="AF276" s="877"/>
      <c r="AG276" s="877"/>
      <c r="AH276" s="877"/>
      <c r="AI276" s="878"/>
      <c r="AJ276" s="877"/>
      <c r="AK276" s="877">
        <v>145</v>
      </c>
      <c r="AL276" s="877">
        <v>5</v>
      </c>
      <c r="AM276" s="921" t="str">
        <f t="shared" si="107"/>
        <v/>
      </c>
      <c r="AN276" s="887" t="str">
        <f t="shared" si="108"/>
        <v/>
      </c>
      <c r="AO276" s="887" t="str">
        <f t="shared" si="109"/>
        <v/>
      </c>
      <c r="AP276" s="887" t="str">
        <f t="shared" si="110"/>
        <v/>
      </c>
      <c r="AQ276" s="887" t="str">
        <f t="shared" si="111"/>
        <v/>
      </c>
      <c r="AR276" s="887" t="str">
        <f t="shared" si="112"/>
        <v/>
      </c>
      <c r="AS276" s="887" t="str">
        <f t="shared" si="113"/>
        <v/>
      </c>
      <c r="AT276" s="887" t="str">
        <f t="shared" si="114"/>
        <v/>
      </c>
      <c r="AU276" s="887" t="str">
        <f t="shared" si="115"/>
        <v/>
      </c>
      <c r="AV276" s="887" t="str">
        <f t="shared" si="116"/>
        <v/>
      </c>
      <c r="AW276" s="887" t="str">
        <f t="shared" si="117"/>
        <v/>
      </c>
      <c r="AX276" s="887" t="str">
        <f t="shared" si="105"/>
        <v/>
      </c>
      <c r="AY276" s="887" t="str">
        <f t="shared" si="106"/>
        <v/>
      </c>
      <c r="AZ276" s="877"/>
      <c r="BA276" s="877"/>
      <c r="BB276" s="877"/>
      <c r="BC276" s="877"/>
      <c r="BD276" s="877"/>
      <c r="BE276" s="877"/>
      <c r="BF276" s="877"/>
      <c r="BG276" s="877"/>
      <c r="BH276" s="877"/>
    </row>
    <row r="277" spans="22:60" ht="35.25" customHeight="1" x14ac:dyDescent="0.5">
      <c r="V277" s="877"/>
      <c r="W277" s="877"/>
      <c r="X277" s="877"/>
      <c r="Y277" s="877"/>
      <c r="Z277" s="877"/>
      <c r="AA277" s="877"/>
      <c r="AB277" s="877"/>
      <c r="AC277" s="877"/>
      <c r="AD277" s="877"/>
      <c r="AE277" s="877"/>
      <c r="AF277" s="877"/>
      <c r="AG277" s="877"/>
      <c r="AH277" s="877"/>
      <c r="AI277" s="878"/>
      <c r="AJ277" s="877"/>
      <c r="AK277" s="877">
        <v>146</v>
      </c>
      <c r="AL277" s="877">
        <v>6</v>
      </c>
      <c r="AM277" s="921" t="str">
        <f t="shared" si="107"/>
        <v/>
      </c>
      <c r="AN277" s="887" t="str">
        <f t="shared" si="108"/>
        <v/>
      </c>
      <c r="AO277" s="887" t="str">
        <f t="shared" si="109"/>
        <v/>
      </c>
      <c r="AP277" s="887" t="str">
        <f t="shared" si="110"/>
        <v/>
      </c>
      <c r="AQ277" s="887" t="str">
        <f t="shared" si="111"/>
        <v/>
      </c>
      <c r="AR277" s="887" t="str">
        <f t="shared" si="112"/>
        <v/>
      </c>
      <c r="AS277" s="887" t="str">
        <f t="shared" si="113"/>
        <v/>
      </c>
      <c r="AT277" s="887" t="str">
        <f t="shared" si="114"/>
        <v/>
      </c>
      <c r="AU277" s="887" t="str">
        <f t="shared" si="115"/>
        <v/>
      </c>
      <c r="AV277" s="887" t="str">
        <f t="shared" si="116"/>
        <v/>
      </c>
      <c r="AW277" s="887" t="str">
        <f t="shared" si="117"/>
        <v/>
      </c>
      <c r="AX277" s="887" t="str">
        <f t="shared" si="105"/>
        <v/>
      </c>
      <c r="AY277" s="887" t="str">
        <f t="shared" si="106"/>
        <v/>
      </c>
      <c r="AZ277" s="877"/>
      <c r="BA277" s="877"/>
      <c r="BB277" s="877"/>
      <c r="BC277" s="877"/>
      <c r="BD277" s="877"/>
      <c r="BE277" s="877"/>
      <c r="BF277" s="877"/>
      <c r="BG277" s="877"/>
      <c r="BH277" s="877"/>
    </row>
    <row r="278" spans="22:60" ht="35.25" customHeight="1" x14ac:dyDescent="0.5">
      <c r="V278" s="877"/>
      <c r="W278" s="877"/>
      <c r="X278" s="877"/>
      <c r="Y278" s="877"/>
      <c r="Z278" s="877"/>
      <c r="AA278" s="877"/>
      <c r="AB278" s="877"/>
      <c r="AC278" s="877"/>
      <c r="AD278" s="877"/>
      <c r="AE278" s="877"/>
      <c r="AF278" s="877"/>
      <c r="AG278" s="877"/>
      <c r="AH278" s="877"/>
      <c r="AI278" s="878"/>
      <c r="AJ278" s="877"/>
      <c r="AK278" s="877">
        <v>147</v>
      </c>
      <c r="AL278" s="877">
        <v>7</v>
      </c>
      <c r="AM278" s="921" t="str">
        <f t="shared" si="107"/>
        <v/>
      </c>
      <c r="AN278" s="887" t="str">
        <f t="shared" si="108"/>
        <v/>
      </c>
      <c r="AO278" s="887" t="str">
        <f t="shared" si="109"/>
        <v/>
      </c>
      <c r="AP278" s="887" t="str">
        <f t="shared" si="110"/>
        <v/>
      </c>
      <c r="AQ278" s="887" t="str">
        <f t="shared" si="111"/>
        <v/>
      </c>
      <c r="AR278" s="887" t="str">
        <f t="shared" si="112"/>
        <v/>
      </c>
      <c r="AS278" s="887" t="str">
        <f t="shared" si="113"/>
        <v/>
      </c>
      <c r="AT278" s="887" t="str">
        <f t="shared" si="114"/>
        <v/>
      </c>
      <c r="AU278" s="887" t="str">
        <f t="shared" si="115"/>
        <v/>
      </c>
      <c r="AV278" s="887" t="str">
        <f t="shared" si="116"/>
        <v/>
      </c>
      <c r="AW278" s="887" t="str">
        <f t="shared" si="117"/>
        <v/>
      </c>
      <c r="AX278" s="887" t="str">
        <f t="shared" si="105"/>
        <v/>
      </c>
      <c r="AY278" s="887" t="str">
        <f t="shared" si="106"/>
        <v/>
      </c>
      <c r="AZ278" s="877"/>
      <c r="BA278" s="877"/>
      <c r="BB278" s="877"/>
      <c r="BC278" s="877"/>
      <c r="BD278" s="877"/>
      <c r="BE278" s="877"/>
      <c r="BF278" s="877"/>
      <c r="BG278" s="877"/>
      <c r="BH278" s="877"/>
    </row>
    <row r="279" spans="22:60" ht="35.25" customHeight="1" x14ac:dyDescent="0.5">
      <c r="V279" s="877"/>
      <c r="W279" s="877"/>
      <c r="X279" s="877"/>
      <c r="Y279" s="877"/>
      <c r="Z279" s="877"/>
      <c r="AA279" s="877"/>
      <c r="AB279" s="877"/>
      <c r="AC279" s="877"/>
      <c r="AD279" s="877"/>
      <c r="AE279" s="877"/>
      <c r="AF279" s="877"/>
      <c r="AG279" s="877"/>
      <c r="AH279" s="877"/>
      <c r="AI279" s="878"/>
      <c r="AJ279" s="877"/>
      <c r="AK279" s="877">
        <v>148</v>
      </c>
      <c r="AL279" s="877">
        <v>8</v>
      </c>
      <c r="AM279" s="921" t="str">
        <f t="shared" si="107"/>
        <v/>
      </c>
      <c r="AN279" s="887" t="str">
        <f t="shared" si="108"/>
        <v/>
      </c>
      <c r="AO279" s="887" t="str">
        <f t="shared" si="109"/>
        <v/>
      </c>
      <c r="AP279" s="887" t="str">
        <f t="shared" si="110"/>
        <v/>
      </c>
      <c r="AQ279" s="887" t="str">
        <f t="shared" si="111"/>
        <v/>
      </c>
      <c r="AR279" s="887" t="str">
        <f t="shared" si="112"/>
        <v/>
      </c>
      <c r="AS279" s="887" t="str">
        <f t="shared" si="113"/>
        <v/>
      </c>
      <c r="AT279" s="887" t="str">
        <f t="shared" si="114"/>
        <v/>
      </c>
      <c r="AU279" s="887" t="str">
        <f t="shared" si="115"/>
        <v/>
      </c>
      <c r="AV279" s="887" t="str">
        <f t="shared" si="116"/>
        <v/>
      </c>
      <c r="AW279" s="887" t="str">
        <f t="shared" si="117"/>
        <v/>
      </c>
      <c r="AX279" s="887" t="str">
        <f t="shared" si="105"/>
        <v/>
      </c>
      <c r="AY279" s="887" t="str">
        <f t="shared" si="106"/>
        <v/>
      </c>
      <c r="AZ279" s="877"/>
      <c r="BA279" s="877"/>
      <c r="BB279" s="877"/>
      <c r="BC279" s="877"/>
      <c r="BD279" s="877"/>
      <c r="BE279" s="877"/>
      <c r="BF279" s="877"/>
      <c r="BG279" s="877"/>
      <c r="BH279" s="877"/>
    </row>
    <row r="280" spans="22:60" ht="35.25" customHeight="1" x14ac:dyDescent="0.5">
      <c r="V280" s="877"/>
      <c r="W280" s="877"/>
      <c r="X280" s="877"/>
      <c r="Y280" s="877"/>
      <c r="Z280" s="877"/>
      <c r="AA280" s="877"/>
      <c r="AB280" s="877"/>
      <c r="AC280" s="877"/>
      <c r="AD280" s="877"/>
      <c r="AE280" s="877"/>
      <c r="AF280" s="877"/>
      <c r="AG280" s="877"/>
      <c r="AH280" s="877"/>
      <c r="AI280" s="878"/>
      <c r="AJ280" s="877"/>
      <c r="AK280" s="877">
        <v>149</v>
      </c>
      <c r="AL280" s="877">
        <v>9</v>
      </c>
      <c r="AM280" s="921" t="str">
        <f t="shared" si="107"/>
        <v/>
      </c>
      <c r="AN280" s="887" t="str">
        <f t="shared" si="108"/>
        <v/>
      </c>
      <c r="AO280" s="887" t="str">
        <f t="shared" si="109"/>
        <v/>
      </c>
      <c r="AP280" s="887" t="str">
        <f t="shared" si="110"/>
        <v/>
      </c>
      <c r="AQ280" s="887" t="str">
        <f t="shared" si="111"/>
        <v/>
      </c>
      <c r="AR280" s="887" t="str">
        <f t="shared" si="112"/>
        <v/>
      </c>
      <c r="AS280" s="887" t="str">
        <f t="shared" si="113"/>
        <v/>
      </c>
      <c r="AT280" s="887" t="str">
        <f t="shared" si="114"/>
        <v/>
      </c>
      <c r="AU280" s="887" t="str">
        <f t="shared" si="115"/>
        <v/>
      </c>
      <c r="AV280" s="887" t="str">
        <f t="shared" si="116"/>
        <v/>
      </c>
      <c r="AW280" s="887" t="str">
        <f t="shared" si="117"/>
        <v/>
      </c>
      <c r="AX280" s="887" t="str">
        <f t="shared" si="105"/>
        <v/>
      </c>
      <c r="AY280" s="887" t="str">
        <f t="shared" si="106"/>
        <v/>
      </c>
      <c r="AZ280" s="877"/>
      <c r="BA280" s="877"/>
      <c r="BB280" s="877"/>
      <c r="BC280" s="877"/>
      <c r="BD280" s="877"/>
      <c r="BE280" s="877"/>
      <c r="BF280" s="877"/>
      <c r="BG280" s="877"/>
      <c r="BH280" s="877"/>
    </row>
    <row r="281" spans="22:60" ht="35.25" customHeight="1" x14ac:dyDescent="0.5">
      <c r="V281" s="877"/>
      <c r="W281" s="877"/>
      <c r="X281" s="877"/>
      <c r="Y281" s="877"/>
      <c r="Z281" s="877"/>
      <c r="AA281" s="877"/>
      <c r="AB281" s="877"/>
      <c r="AC281" s="877"/>
      <c r="AD281" s="877"/>
      <c r="AE281" s="877"/>
      <c r="AF281" s="877"/>
      <c r="AG281" s="877"/>
      <c r="AH281" s="877"/>
      <c r="AI281" s="878"/>
      <c r="AJ281" s="877"/>
      <c r="AK281" s="877">
        <v>150</v>
      </c>
      <c r="AL281" s="877">
        <v>10</v>
      </c>
      <c r="AM281" s="921" t="str">
        <f t="shared" si="107"/>
        <v/>
      </c>
      <c r="AN281" s="887" t="str">
        <f t="shared" si="108"/>
        <v/>
      </c>
      <c r="AO281" s="887" t="str">
        <f t="shared" si="109"/>
        <v/>
      </c>
      <c r="AP281" s="887" t="str">
        <f t="shared" si="110"/>
        <v/>
      </c>
      <c r="AQ281" s="887" t="str">
        <f t="shared" si="111"/>
        <v/>
      </c>
      <c r="AR281" s="887" t="str">
        <f t="shared" si="112"/>
        <v/>
      </c>
      <c r="AS281" s="887" t="str">
        <f t="shared" si="113"/>
        <v/>
      </c>
      <c r="AT281" s="887" t="str">
        <f t="shared" si="114"/>
        <v/>
      </c>
      <c r="AU281" s="887" t="str">
        <f t="shared" si="115"/>
        <v/>
      </c>
      <c r="AV281" s="887" t="str">
        <f t="shared" si="116"/>
        <v/>
      </c>
      <c r="AW281" s="887" t="str">
        <f t="shared" si="117"/>
        <v/>
      </c>
      <c r="AX281" s="887" t="str">
        <f t="shared" si="105"/>
        <v/>
      </c>
      <c r="AY281" s="887" t="str">
        <f t="shared" si="106"/>
        <v/>
      </c>
      <c r="AZ281" s="877"/>
      <c r="BA281" s="877"/>
      <c r="BB281" s="877"/>
      <c r="BC281" s="877"/>
      <c r="BD281" s="877"/>
      <c r="BE281" s="877"/>
      <c r="BF281" s="877"/>
      <c r="BG281" s="877"/>
      <c r="BH281" s="877"/>
    </row>
    <row r="282" spans="22:60" ht="35.25" customHeight="1" x14ac:dyDescent="0.5">
      <c r="V282" s="877"/>
      <c r="W282" s="877"/>
      <c r="X282" s="877"/>
      <c r="Y282" s="877"/>
      <c r="Z282" s="877"/>
      <c r="AA282" s="877"/>
      <c r="AB282" s="877"/>
      <c r="AC282" s="877"/>
      <c r="AD282" s="877"/>
      <c r="AE282" s="877"/>
      <c r="AF282" s="877"/>
      <c r="AG282" s="877"/>
      <c r="AH282" s="877"/>
      <c r="AI282" s="878"/>
      <c r="AJ282" s="877"/>
      <c r="AK282" s="877">
        <v>151</v>
      </c>
      <c r="AL282" s="877">
        <v>11</v>
      </c>
      <c r="AM282" s="921" t="str">
        <f t="shared" si="107"/>
        <v/>
      </c>
      <c r="AN282" s="887" t="str">
        <f t="shared" si="108"/>
        <v/>
      </c>
      <c r="AO282" s="887" t="str">
        <f t="shared" si="109"/>
        <v/>
      </c>
      <c r="AP282" s="887" t="str">
        <f t="shared" si="110"/>
        <v/>
      </c>
      <c r="AQ282" s="887" t="str">
        <f t="shared" si="111"/>
        <v/>
      </c>
      <c r="AR282" s="887" t="str">
        <f t="shared" si="112"/>
        <v/>
      </c>
      <c r="AS282" s="887" t="str">
        <f t="shared" si="113"/>
        <v/>
      </c>
      <c r="AT282" s="887" t="str">
        <f t="shared" si="114"/>
        <v/>
      </c>
      <c r="AU282" s="887" t="str">
        <f t="shared" si="115"/>
        <v/>
      </c>
      <c r="AV282" s="887" t="str">
        <f t="shared" si="116"/>
        <v/>
      </c>
      <c r="AW282" s="887" t="str">
        <f t="shared" si="117"/>
        <v/>
      </c>
      <c r="AX282" s="887" t="str">
        <f t="shared" si="105"/>
        <v/>
      </c>
      <c r="AY282" s="887" t="str">
        <f t="shared" si="106"/>
        <v/>
      </c>
      <c r="AZ282" s="877"/>
      <c r="BA282" s="877"/>
      <c r="BB282" s="877"/>
      <c r="BC282" s="877"/>
      <c r="BD282" s="877"/>
      <c r="BE282" s="877"/>
      <c r="BF282" s="877"/>
      <c r="BG282" s="877"/>
      <c r="BH282" s="877"/>
    </row>
    <row r="283" spans="22:60" ht="35.25" customHeight="1" x14ac:dyDescent="0.5">
      <c r="V283" s="877"/>
      <c r="W283" s="877"/>
      <c r="X283" s="877"/>
      <c r="Y283" s="877"/>
      <c r="Z283" s="877"/>
      <c r="AA283" s="877"/>
      <c r="AB283" s="877"/>
      <c r="AC283" s="877"/>
      <c r="AD283" s="877"/>
      <c r="AE283" s="877"/>
      <c r="AF283" s="877"/>
      <c r="AG283" s="877"/>
      <c r="AH283" s="877"/>
      <c r="AI283" s="878"/>
      <c r="AJ283" s="877"/>
      <c r="AK283" s="877">
        <v>152</v>
      </c>
      <c r="AL283" s="877">
        <v>12</v>
      </c>
      <c r="AM283" s="921" t="str">
        <f t="shared" si="107"/>
        <v/>
      </c>
      <c r="AN283" s="887" t="str">
        <f t="shared" si="108"/>
        <v/>
      </c>
      <c r="AO283" s="887" t="str">
        <f t="shared" si="109"/>
        <v/>
      </c>
      <c r="AP283" s="887" t="str">
        <f t="shared" si="110"/>
        <v/>
      </c>
      <c r="AQ283" s="887" t="str">
        <f t="shared" si="111"/>
        <v/>
      </c>
      <c r="AR283" s="887" t="str">
        <f t="shared" si="112"/>
        <v/>
      </c>
      <c r="AS283" s="887" t="str">
        <f t="shared" si="113"/>
        <v/>
      </c>
      <c r="AT283" s="887" t="str">
        <f t="shared" si="114"/>
        <v/>
      </c>
      <c r="AU283" s="887" t="str">
        <f t="shared" si="115"/>
        <v/>
      </c>
      <c r="AV283" s="887" t="str">
        <f t="shared" si="116"/>
        <v/>
      </c>
      <c r="AW283" s="887" t="str">
        <f t="shared" si="117"/>
        <v/>
      </c>
      <c r="AX283" s="887" t="str">
        <f t="shared" si="105"/>
        <v/>
      </c>
      <c r="AY283" s="887" t="str">
        <f t="shared" si="106"/>
        <v/>
      </c>
      <c r="AZ283" s="877"/>
      <c r="BA283" s="877"/>
      <c r="BB283" s="877"/>
      <c r="BC283" s="877"/>
      <c r="BD283" s="877"/>
      <c r="BE283" s="877"/>
      <c r="BF283" s="877"/>
      <c r="BG283" s="877"/>
      <c r="BH283" s="877"/>
    </row>
    <row r="284" spans="22:60" ht="35.25" customHeight="1" x14ac:dyDescent="0.5">
      <c r="V284" s="877"/>
      <c r="W284" s="877"/>
      <c r="X284" s="877"/>
      <c r="Y284" s="877"/>
      <c r="Z284" s="877"/>
      <c r="AA284" s="877"/>
      <c r="AB284" s="877"/>
      <c r="AC284" s="877"/>
      <c r="AD284" s="877"/>
      <c r="AE284" s="877"/>
      <c r="AF284" s="877"/>
      <c r="AG284" s="877"/>
      <c r="AH284" s="877"/>
      <c r="AI284" s="878"/>
      <c r="AJ284" s="877"/>
      <c r="AK284" s="877">
        <v>153</v>
      </c>
      <c r="AL284" s="877">
        <v>13</v>
      </c>
      <c r="AM284" s="921" t="str">
        <f t="shared" si="107"/>
        <v/>
      </c>
      <c r="AN284" s="887" t="str">
        <f t="shared" si="108"/>
        <v/>
      </c>
      <c r="AO284" s="887" t="str">
        <f t="shared" si="109"/>
        <v/>
      </c>
      <c r="AP284" s="887" t="str">
        <f t="shared" si="110"/>
        <v/>
      </c>
      <c r="AQ284" s="887" t="str">
        <f t="shared" si="111"/>
        <v/>
      </c>
      <c r="AR284" s="887" t="str">
        <f t="shared" si="112"/>
        <v/>
      </c>
      <c r="AS284" s="887" t="str">
        <f t="shared" si="113"/>
        <v/>
      </c>
      <c r="AT284" s="887" t="str">
        <f t="shared" si="114"/>
        <v/>
      </c>
      <c r="AU284" s="887" t="str">
        <f t="shared" si="115"/>
        <v/>
      </c>
      <c r="AV284" s="887" t="str">
        <f t="shared" si="116"/>
        <v/>
      </c>
      <c r="AW284" s="887" t="str">
        <f t="shared" si="117"/>
        <v/>
      </c>
      <c r="AX284" s="887" t="str">
        <f t="shared" si="105"/>
        <v/>
      </c>
      <c r="AY284" s="887" t="str">
        <f t="shared" si="106"/>
        <v/>
      </c>
      <c r="AZ284" s="877"/>
      <c r="BA284" s="877"/>
      <c r="BB284" s="877"/>
      <c r="BC284" s="877"/>
      <c r="BD284" s="877"/>
      <c r="BE284" s="877"/>
      <c r="BF284" s="877"/>
      <c r="BG284" s="877"/>
      <c r="BH284" s="877"/>
    </row>
    <row r="285" spans="22:60" ht="35.25" customHeight="1" x14ac:dyDescent="0.5">
      <c r="V285" s="877"/>
      <c r="W285" s="877"/>
      <c r="X285" s="877"/>
      <c r="Y285" s="877"/>
      <c r="Z285" s="877"/>
      <c r="AA285" s="877"/>
      <c r="AB285" s="877"/>
      <c r="AC285" s="877"/>
      <c r="AD285" s="877"/>
      <c r="AE285" s="877"/>
      <c r="AF285" s="877"/>
      <c r="AG285" s="877"/>
      <c r="AH285" s="877"/>
      <c r="AI285" s="878"/>
      <c r="AJ285" s="877"/>
      <c r="AK285" s="877">
        <v>154</v>
      </c>
      <c r="AL285" s="877">
        <v>14</v>
      </c>
      <c r="AM285" s="921" t="str">
        <f t="shared" si="107"/>
        <v/>
      </c>
      <c r="AN285" s="887" t="str">
        <f t="shared" si="108"/>
        <v/>
      </c>
      <c r="AO285" s="887" t="str">
        <f t="shared" si="109"/>
        <v/>
      </c>
      <c r="AP285" s="887" t="str">
        <f t="shared" si="110"/>
        <v/>
      </c>
      <c r="AQ285" s="887" t="str">
        <f t="shared" si="111"/>
        <v/>
      </c>
      <c r="AR285" s="887" t="str">
        <f t="shared" si="112"/>
        <v/>
      </c>
      <c r="AS285" s="887" t="str">
        <f t="shared" si="113"/>
        <v/>
      </c>
      <c r="AT285" s="887" t="str">
        <f t="shared" si="114"/>
        <v/>
      </c>
      <c r="AU285" s="887" t="str">
        <f t="shared" si="115"/>
        <v/>
      </c>
      <c r="AV285" s="887" t="str">
        <f t="shared" si="116"/>
        <v/>
      </c>
      <c r="AW285" s="887" t="str">
        <f t="shared" si="117"/>
        <v/>
      </c>
      <c r="AX285" s="887" t="str">
        <f t="shared" si="105"/>
        <v/>
      </c>
      <c r="AY285" s="887" t="str">
        <f t="shared" si="106"/>
        <v/>
      </c>
      <c r="AZ285" s="877"/>
      <c r="BA285" s="877"/>
      <c r="BB285" s="877"/>
      <c r="BC285" s="877"/>
      <c r="BD285" s="877"/>
      <c r="BE285" s="877"/>
      <c r="BF285" s="877"/>
      <c r="BG285" s="877"/>
      <c r="BH285" s="877"/>
    </row>
    <row r="286" spans="22:60" ht="35.25" customHeight="1" x14ac:dyDescent="0.5">
      <c r="V286" s="877"/>
      <c r="W286" s="877"/>
      <c r="X286" s="877"/>
      <c r="Y286" s="877"/>
      <c r="Z286" s="877"/>
      <c r="AA286" s="877"/>
      <c r="AB286" s="877"/>
      <c r="AC286" s="877"/>
      <c r="AD286" s="877"/>
      <c r="AE286" s="877"/>
      <c r="AF286" s="877"/>
      <c r="AG286" s="877"/>
      <c r="AH286" s="877"/>
      <c r="AI286" s="878"/>
      <c r="AJ286" s="877"/>
      <c r="AK286" s="877">
        <v>155</v>
      </c>
      <c r="AL286" s="877">
        <v>15</v>
      </c>
      <c r="AM286" s="921" t="str">
        <f t="shared" si="107"/>
        <v/>
      </c>
      <c r="AN286" s="887" t="str">
        <f t="shared" si="108"/>
        <v/>
      </c>
      <c r="AO286" s="887" t="str">
        <f t="shared" si="109"/>
        <v/>
      </c>
      <c r="AP286" s="887" t="str">
        <f t="shared" si="110"/>
        <v/>
      </c>
      <c r="AQ286" s="887" t="str">
        <f t="shared" si="111"/>
        <v/>
      </c>
      <c r="AR286" s="887" t="str">
        <f t="shared" si="112"/>
        <v/>
      </c>
      <c r="AS286" s="887" t="str">
        <f t="shared" si="113"/>
        <v/>
      </c>
      <c r="AT286" s="887" t="str">
        <f t="shared" si="114"/>
        <v/>
      </c>
      <c r="AU286" s="887" t="str">
        <f t="shared" si="115"/>
        <v/>
      </c>
      <c r="AV286" s="887" t="str">
        <f t="shared" si="116"/>
        <v/>
      </c>
      <c r="AW286" s="887" t="str">
        <f t="shared" si="117"/>
        <v/>
      </c>
      <c r="AX286" s="887" t="str">
        <f t="shared" si="105"/>
        <v/>
      </c>
      <c r="AY286" s="887" t="str">
        <f t="shared" si="106"/>
        <v/>
      </c>
      <c r="AZ286" s="877"/>
      <c r="BA286" s="877"/>
      <c r="BB286" s="877"/>
      <c r="BC286" s="877"/>
      <c r="BD286" s="877"/>
      <c r="BE286" s="877"/>
      <c r="BF286" s="877"/>
      <c r="BG286" s="877"/>
      <c r="BH286" s="877"/>
    </row>
    <row r="287" spans="22:60" ht="35.25" customHeight="1" x14ac:dyDescent="0.5">
      <c r="V287" s="877"/>
      <c r="W287" s="877"/>
      <c r="X287" s="877"/>
      <c r="Y287" s="877"/>
      <c r="Z287" s="877"/>
      <c r="AA287" s="877"/>
      <c r="AB287" s="877"/>
      <c r="AC287" s="877"/>
      <c r="AD287" s="877"/>
      <c r="AE287" s="877"/>
      <c r="AF287" s="877"/>
      <c r="AG287" s="877"/>
      <c r="AH287" s="877"/>
      <c r="AI287" s="878"/>
      <c r="AJ287" s="877"/>
      <c r="AK287" s="877">
        <v>156</v>
      </c>
      <c r="AL287" s="877">
        <v>16</v>
      </c>
      <c r="AM287" s="921" t="str">
        <f t="shared" si="107"/>
        <v/>
      </c>
      <c r="AN287" s="887" t="str">
        <f t="shared" si="108"/>
        <v/>
      </c>
      <c r="AO287" s="887" t="str">
        <f t="shared" si="109"/>
        <v/>
      </c>
      <c r="AP287" s="887" t="str">
        <f t="shared" si="110"/>
        <v/>
      </c>
      <c r="AQ287" s="887" t="str">
        <f t="shared" si="111"/>
        <v/>
      </c>
      <c r="AR287" s="887" t="str">
        <f t="shared" si="112"/>
        <v/>
      </c>
      <c r="AS287" s="887" t="str">
        <f t="shared" si="113"/>
        <v/>
      </c>
      <c r="AT287" s="887" t="str">
        <f t="shared" si="114"/>
        <v/>
      </c>
      <c r="AU287" s="887" t="str">
        <f t="shared" si="115"/>
        <v/>
      </c>
      <c r="AV287" s="887" t="str">
        <f t="shared" si="116"/>
        <v/>
      </c>
      <c r="AW287" s="887" t="str">
        <f t="shared" si="117"/>
        <v/>
      </c>
      <c r="AX287" s="887" t="str">
        <f t="shared" si="105"/>
        <v/>
      </c>
      <c r="AY287" s="887" t="str">
        <f t="shared" si="106"/>
        <v/>
      </c>
      <c r="AZ287" s="877"/>
      <c r="BA287" s="877"/>
      <c r="BB287" s="877"/>
      <c r="BC287" s="877"/>
      <c r="BD287" s="877"/>
      <c r="BE287" s="877"/>
      <c r="BF287" s="877"/>
      <c r="BG287" s="877"/>
      <c r="BH287" s="877"/>
    </row>
    <row r="288" spans="22:60" ht="35.25" customHeight="1" x14ac:dyDescent="0.5">
      <c r="V288" s="877"/>
      <c r="W288" s="877"/>
      <c r="X288" s="877"/>
      <c r="Y288" s="877"/>
      <c r="Z288" s="877"/>
      <c r="AA288" s="877"/>
      <c r="AB288" s="877"/>
      <c r="AC288" s="877"/>
      <c r="AD288" s="877"/>
      <c r="AE288" s="877"/>
      <c r="AF288" s="877"/>
      <c r="AG288" s="877"/>
      <c r="AH288" s="877"/>
      <c r="AI288" s="878"/>
      <c r="AJ288" s="877"/>
      <c r="AK288" s="877">
        <v>157</v>
      </c>
      <c r="AL288" s="877">
        <v>17</v>
      </c>
      <c r="AM288" s="921" t="str">
        <f t="shared" si="107"/>
        <v/>
      </c>
      <c r="AN288" s="887" t="str">
        <f t="shared" si="108"/>
        <v/>
      </c>
      <c r="AO288" s="887" t="str">
        <f t="shared" si="109"/>
        <v/>
      </c>
      <c r="AP288" s="887" t="str">
        <f t="shared" si="110"/>
        <v/>
      </c>
      <c r="AQ288" s="887" t="str">
        <f t="shared" si="111"/>
        <v/>
      </c>
      <c r="AR288" s="887" t="str">
        <f t="shared" si="112"/>
        <v/>
      </c>
      <c r="AS288" s="887" t="str">
        <f t="shared" si="113"/>
        <v/>
      </c>
      <c r="AT288" s="887" t="str">
        <f t="shared" si="114"/>
        <v/>
      </c>
      <c r="AU288" s="887" t="str">
        <f t="shared" si="115"/>
        <v/>
      </c>
      <c r="AV288" s="887" t="str">
        <f t="shared" si="116"/>
        <v/>
      </c>
      <c r="AW288" s="887" t="str">
        <f t="shared" si="117"/>
        <v/>
      </c>
      <c r="AX288" s="887" t="str">
        <f t="shared" si="105"/>
        <v/>
      </c>
      <c r="AY288" s="887" t="str">
        <f t="shared" si="106"/>
        <v/>
      </c>
      <c r="AZ288" s="877"/>
      <c r="BA288" s="877"/>
      <c r="BB288" s="877"/>
      <c r="BC288" s="877"/>
      <c r="BD288" s="877"/>
      <c r="BE288" s="877"/>
      <c r="BF288" s="877"/>
      <c r="BG288" s="877"/>
      <c r="BH288" s="877"/>
    </row>
    <row r="289" spans="22:60" ht="35.25" customHeight="1" x14ac:dyDescent="0.5">
      <c r="V289" s="877"/>
      <c r="W289" s="877"/>
      <c r="X289" s="877"/>
      <c r="Y289" s="877"/>
      <c r="Z289" s="877"/>
      <c r="AA289" s="877"/>
      <c r="AB289" s="877"/>
      <c r="AC289" s="877"/>
      <c r="AD289" s="877"/>
      <c r="AE289" s="877"/>
      <c r="AF289" s="877"/>
      <c r="AG289" s="877"/>
      <c r="AH289" s="877"/>
      <c r="AI289" s="878"/>
      <c r="AJ289" s="877"/>
      <c r="AK289" s="877">
        <v>158</v>
      </c>
      <c r="AL289" s="877">
        <v>18</v>
      </c>
      <c r="AM289" s="921" t="str">
        <f t="shared" si="107"/>
        <v/>
      </c>
      <c r="AN289" s="887" t="str">
        <f t="shared" si="108"/>
        <v/>
      </c>
      <c r="AO289" s="887" t="str">
        <f t="shared" si="109"/>
        <v/>
      </c>
      <c r="AP289" s="887" t="str">
        <f t="shared" si="110"/>
        <v/>
      </c>
      <c r="AQ289" s="887" t="str">
        <f t="shared" si="111"/>
        <v/>
      </c>
      <c r="AR289" s="887" t="str">
        <f t="shared" si="112"/>
        <v/>
      </c>
      <c r="AS289" s="887" t="str">
        <f t="shared" si="113"/>
        <v/>
      </c>
      <c r="AT289" s="887" t="str">
        <f t="shared" si="114"/>
        <v/>
      </c>
      <c r="AU289" s="887" t="str">
        <f t="shared" si="115"/>
        <v/>
      </c>
      <c r="AV289" s="887" t="str">
        <f t="shared" si="116"/>
        <v/>
      </c>
      <c r="AW289" s="887" t="str">
        <f t="shared" si="117"/>
        <v/>
      </c>
      <c r="AX289" s="887" t="str">
        <f t="shared" si="105"/>
        <v/>
      </c>
      <c r="AY289" s="887" t="str">
        <f t="shared" si="106"/>
        <v/>
      </c>
      <c r="AZ289" s="877"/>
      <c r="BA289" s="877"/>
      <c r="BB289" s="877"/>
      <c r="BC289" s="877"/>
      <c r="BD289" s="877"/>
      <c r="BE289" s="877"/>
      <c r="BF289" s="877"/>
      <c r="BG289" s="877"/>
      <c r="BH289" s="877"/>
    </row>
    <row r="290" spans="22:60" ht="35.25" customHeight="1" x14ac:dyDescent="0.5">
      <c r="V290" s="877"/>
      <c r="W290" s="877"/>
      <c r="X290" s="877"/>
      <c r="Y290" s="877"/>
      <c r="Z290" s="877"/>
      <c r="AA290" s="877"/>
      <c r="AB290" s="877"/>
      <c r="AC290" s="877"/>
      <c r="AD290" s="877"/>
      <c r="AE290" s="877"/>
      <c r="AF290" s="877"/>
      <c r="AG290" s="877"/>
      <c r="AH290" s="877"/>
      <c r="AI290" s="878"/>
      <c r="AJ290" s="877"/>
      <c r="AK290" s="877">
        <v>159</v>
      </c>
      <c r="AL290" s="877">
        <v>19</v>
      </c>
      <c r="AM290" s="921" t="str">
        <f t="shared" si="107"/>
        <v/>
      </c>
      <c r="AN290" s="887" t="str">
        <f t="shared" si="108"/>
        <v/>
      </c>
      <c r="AO290" s="887" t="str">
        <f t="shared" si="109"/>
        <v/>
      </c>
      <c r="AP290" s="887" t="str">
        <f t="shared" si="110"/>
        <v/>
      </c>
      <c r="AQ290" s="887" t="str">
        <f t="shared" si="111"/>
        <v/>
      </c>
      <c r="AR290" s="887" t="str">
        <f t="shared" si="112"/>
        <v/>
      </c>
      <c r="AS290" s="887" t="str">
        <f t="shared" si="113"/>
        <v/>
      </c>
      <c r="AT290" s="887" t="str">
        <f t="shared" si="114"/>
        <v/>
      </c>
      <c r="AU290" s="887" t="str">
        <f t="shared" si="115"/>
        <v/>
      </c>
      <c r="AV290" s="887" t="str">
        <f t="shared" si="116"/>
        <v/>
      </c>
      <c r="AW290" s="887" t="str">
        <f t="shared" si="117"/>
        <v/>
      </c>
      <c r="AX290" s="887" t="str">
        <f t="shared" si="105"/>
        <v/>
      </c>
      <c r="AY290" s="887" t="str">
        <f t="shared" si="106"/>
        <v/>
      </c>
      <c r="AZ290" s="877"/>
      <c r="BA290" s="877"/>
      <c r="BB290" s="877"/>
      <c r="BC290" s="877"/>
      <c r="BD290" s="877"/>
      <c r="BE290" s="877"/>
      <c r="BF290" s="877"/>
      <c r="BG290" s="877"/>
      <c r="BH290" s="877"/>
    </row>
    <row r="291" spans="22:60" ht="35.25" customHeight="1" x14ac:dyDescent="0.5">
      <c r="V291" s="877"/>
      <c r="W291" s="877"/>
      <c r="X291" s="877"/>
      <c r="Y291" s="877"/>
      <c r="Z291" s="877"/>
      <c r="AA291" s="877"/>
      <c r="AB291" s="877"/>
      <c r="AC291" s="877"/>
      <c r="AD291" s="877"/>
      <c r="AE291" s="877"/>
      <c r="AF291" s="877"/>
      <c r="AG291" s="877"/>
      <c r="AH291" s="877"/>
      <c r="AI291" s="878"/>
      <c r="AJ291" s="877"/>
      <c r="AK291" s="877">
        <v>160</v>
      </c>
      <c r="AL291" s="877">
        <v>20</v>
      </c>
      <c r="AM291" s="921" t="str">
        <f t="shared" si="107"/>
        <v/>
      </c>
      <c r="AN291" s="887" t="str">
        <f t="shared" si="108"/>
        <v/>
      </c>
      <c r="AO291" s="887" t="str">
        <f t="shared" si="109"/>
        <v/>
      </c>
      <c r="AP291" s="887" t="str">
        <f t="shared" si="110"/>
        <v/>
      </c>
      <c r="AQ291" s="887" t="str">
        <f t="shared" si="111"/>
        <v/>
      </c>
      <c r="AR291" s="887" t="str">
        <f t="shared" si="112"/>
        <v/>
      </c>
      <c r="AS291" s="887" t="str">
        <f t="shared" si="113"/>
        <v/>
      </c>
      <c r="AT291" s="887" t="str">
        <f t="shared" si="114"/>
        <v/>
      </c>
      <c r="AU291" s="887" t="str">
        <f t="shared" si="115"/>
        <v/>
      </c>
      <c r="AV291" s="887" t="str">
        <f t="shared" si="116"/>
        <v/>
      </c>
      <c r="AW291" s="887" t="str">
        <f t="shared" si="117"/>
        <v/>
      </c>
      <c r="AX291" s="887" t="str">
        <f t="shared" si="105"/>
        <v/>
      </c>
      <c r="AY291" s="887" t="str">
        <f t="shared" si="106"/>
        <v/>
      </c>
      <c r="AZ291" s="877"/>
      <c r="BA291" s="877"/>
      <c r="BB291" s="877"/>
      <c r="BC291" s="877"/>
      <c r="BD291" s="877"/>
      <c r="BE291" s="877"/>
      <c r="BF291" s="877"/>
      <c r="BG291" s="877"/>
      <c r="BH291" s="877"/>
    </row>
    <row r="292" spans="22:60" ht="35.25" customHeight="1" x14ac:dyDescent="0.5">
      <c r="V292" s="877"/>
      <c r="W292" s="877"/>
      <c r="X292" s="877"/>
      <c r="Y292" s="877"/>
      <c r="Z292" s="877"/>
      <c r="AA292" s="877"/>
      <c r="AB292" s="877"/>
      <c r="AC292" s="877"/>
      <c r="AD292" s="877"/>
      <c r="AE292" s="877"/>
      <c r="AF292" s="877"/>
      <c r="AG292" s="877"/>
      <c r="AH292" s="877"/>
      <c r="AI292" s="878"/>
      <c r="AJ292" s="877"/>
      <c r="AK292" s="877"/>
      <c r="AL292" s="877"/>
      <c r="AM292" s="879"/>
      <c r="AN292" s="877"/>
      <c r="AO292" s="877"/>
      <c r="AP292" s="877"/>
      <c r="AQ292" s="877"/>
      <c r="AR292" s="877"/>
      <c r="AS292" s="877"/>
      <c r="AT292" s="887">
        <f>SUM(AT272:AT291)</f>
        <v>0</v>
      </c>
      <c r="AU292" s="887">
        <f>SUM(AU272:AU291)</f>
        <v>0</v>
      </c>
      <c r="AV292" s="887">
        <f>SUM(AV272:AV291)</f>
        <v>0</v>
      </c>
      <c r="AW292" s="887">
        <f>SUM(AW272:AW291)</f>
        <v>0</v>
      </c>
      <c r="AX292" s="887">
        <f>AX271+AT292-AV292</f>
        <v>3000</v>
      </c>
      <c r="AY292" s="887">
        <f>AY271+AU292-AW292</f>
        <v>3000</v>
      </c>
      <c r="AZ292" s="877"/>
      <c r="BA292" s="877"/>
      <c r="BB292" s="877"/>
      <c r="BC292" s="877"/>
      <c r="BD292" s="877"/>
      <c r="BE292" s="877"/>
      <c r="BF292" s="877"/>
      <c r="BG292" s="877"/>
      <c r="BH292" s="877"/>
    </row>
    <row r="293" spans="22:60" ht="35.25" customHeight="1" x14ac:dyDescent="0.5">
      <c r="V293" s="877"/>
      <c r="W293" s="877"/>
      <c r="X293" s="877"/>
      <c r="Y293" s="877"/>
      <c r="Z293" s="877"/>
      <c r="AA293" s="877"/>
      <c r="AB293" s="877"/>
      <c r="AC293" s="877"/>
      <c r="AD293" s="877"/>
      <c r="AE293" s="877"/>
      <c r="AF293" s="877"/>
      <c r="AG293" s="877"/>
      <c r="AH293" s="877"/>
      <c r="AI293" s="878"/>
      <c r="AJ293" s="877"/>
      <c r="AK293" s="877">
        <v>161</v>
      </c>
      <c r="AL293" s="877">
        <v>1</v>
      </c>
      <c r="AM293" s="921" t="str">
        <f t="shared" ref="AM293:AM312" si="118">IFERROR(VLOOKUP(AL293,$AF$10:$AW$111,8,0),"")</f>
        <v/>
      </c>
      <c r="AN293" s="887" t="str">
        <f t="shared" ref="AN293:AN312" si="119">IFERROR(VLOOKUP(AL293,$AF$10:$AW$111,9,0),"")</f>
        <v/>
      </c>
      <c r="AO293" s="887" t="str">
        <f t="shared" ref="AO293:AO312" si="120">IFERROR(VLOOKUP(AL293,$AF$10:$AW$111,10,0),"")</f>
        <v/>
      </c>
      <c r="AP293" s="887" t="str">
        <f t="shared" ref="AP293:AP312" si="121">IFERROR(VLOOKUP(AL293,$AF$10:$AW$111,11,0),"")</f>
        <v/>
      </c>
      <c r="AQ293" s="887" t="str">
        <f t="shared" ref="AQ293:AQ312" si="122">IFERROR(VLOOKUP(AL293,$AF$10:$AW$111,12,0),"")</f>
        <v/>
      </c>
      <c r="AR293" s="887" t="str">
        <f t="shared" ref="AR293:AR312" si="123">IFERROR(VLOOKUP(AL293,$AF$10:$AW$111,13,0),"")</f>
        <v/>
      </c>
      <c r="AS293" s="887" t="str">
        <f t="shared" ref="AS293:AS312" si="124">IFERROR(VLOOKUP(AL293,$AF$10:$AW$111,14,0),"")</f>
        <v/>
      </c>
      <c r="AT293" s="887" t="str">
        <f t="shared" ref="AT293:AT312" si="125">IFERROR(VLOOKUP(AL293,$AF$10:$AW$111,15,0),"")</f>
        <v/>
      </c>
      <c r="AU293" s="887" t="str">
        <f t="shared" ref="AU293:AU312" si="126">IFERROR(VLOOKUP(AL293,$AF$10:$AW$111,16,0),"")</f>
        <v/>
      </c>
      <c r="AV293" s="887" t="str">
        <f t="shared" ref="AV293:AV312" si="127">IFERROR(VLOOKUP(AL293,$AF$10:$AW$111,17,0),"")</f>
        <v/>
      </c>
      <c r="AW293" s="887" t="str">
        <f t="shared" ref="AW293:AW312" si="128">IFERROR(VLOOKUP(AL293,$AF$10:$AW$111,18,0),"")</f>
        <v/>
      </c>
      <c r="AX293" s="887" t="str">
        <f>IFERROR(AX291+AT293-AV293,"")</f>
        <v/>
      </c>
      <c r="AY293" s="887" t="str">
        <f>IFERROR(AY291+AU293-AW293,"")</f>
        <v/>
      </c>
      <c r="AZ293" s="877"/>
      <c r="BA293" s="877"/>
      <c r="BB293" s="877"/>
      <c r="BC293" s="877"/>
      <c r="BD293" s="877"/>
      <c r="BE293" s="877"/>
      <c r="BF293" s="877"/>
      <c r="BG293" s="877"/>
      <c r="BH293" s="877"/>
    </row>
    <row r="294" spans="22:60" ht="35.25" customHeight="1" x14ac:dyDescent="0.5">
      <c r="V294" s="877"/>
      <c r="W294" s="877"/>
      <c r="X294" s="877"/>
      <c r="Y294" s="877"/>
      <c r="Z294" s="877"/>
      <c r="AA294" s="877"/>
      <c r="AB294" s="877"/>
      <c r="AC294" s="877"/>
      <c r="AD294" s="877"/>
      <c r="AE294" s="877"/>
      <c r="AF294" s="877"/>
      <c r="AG294" s="877"/>
      <c r="AH294" s="877"/>
      <c r="AI294" s="878"/>
      <c r="AJ294" s="877"/>
      <c r="AK294" s="877">
        <v>162</v>
      </c>
      <c r="AL294" s="877">
        <v>2</v>
      </c>
      <c r="AM294" s="921" t="str">
        <f t="shared" si="118"/>
        <v/>
      </c>
      <c r="AN294" s="887" t="str">
        <f t="shared" si="119"/>
        <v/>
      </c>
      <c r="AO294" s="887" t="str">
        <f t="shared" si="120"/>
        <v/>
      </c>
      <c r="AP294" s="887" t="str">
        <f t="shared" si="121"/>
        <v/>
      </c>
      <c r="AQ294" s="887" t="str">
        <f t="shared" si="122"/>
        <v/>
      </c>
      <c r="AR294" s="887" t="str">
        <f t="shared" si="123"/>
        <v/>
      </c>
      <c r="AS294" s="887" t="str">
        <f t="shared" si="124"/>
        <v/>
      </c>
      <c r="AT294" s="887" t="str">
        <f t="shared" si="125"/>
        <v/>
      </c>
      <c r="AU294" s="887" t="str">
        <f t="shared" si="126"/>
        <v/>
      </c>
      <c r="AV294" s="887" t="str">
        <f t="shared" si="127"/>
        <v/>
      </c>
      <c r="AW294" s="887" t="str">
        <f t="shared" si="128"/>
        <v/>
      </c>
      <c r="AX294" s="887" t="str">
        <f t="shared" si="105"/>
        <v/>
      </c>
      <c r="AY294" s="887" t="str">
        <f t="shared" si="106"/>
        <v/>
      </c>
      <c r="AZ294" s="877"/>
      <c r="BA294" s="877"/>
      <c r="BB294" s="877"/>
      <c r="BC294" s="877"/>
      <c r="BD294" s="877"/>
      <c r="BE294" s="877"/>
      <c r="BF294" s="877"/>
      <c r="BG294" s="877"/>
      <c r="BH294" s="877"/>
    </row>
    <row r="295" spans="22:60" ht="35.25" customHeight="1" x14ac:dyDescent="0.5">
      <c r="V295" s="877"/>
      <c r="W295" s="877"/>
      <c r="X295" s="877"/>
      <c r="Y295" s="877"/>
      <c r="Z295" s="877"/>
      <c r="AA295" s="877"/>
      <c r="AB295" s="877"/>
      <c r="AC295" s="877"/>
      <c r="AD295" s="877"/>
      <c r="AE295" s="877"/>
      <c r="AF295" s="877"/>
      <c r="AG295" s="877"/>
      <c r="AH295" s="877"/>
      <c r="AI295" s="878"/>
      <c r="AJ295" s="877"/>
      <c r="AK295" s="877">
        <v>163</v>
      </c>
      <c r="AL295" s="877">
        <v>3</v>
      </c>
      <c r="AM295" s="921" t="str">
        <f t="shared" si="118"/>
        <v/>
      </c>
      <c r="AN295" s="887" t="str">
        <f t="shared" si="119"/>
        <v/>
      </c>
      <c r="AO295" s="887" t="str">
        <f t="shared" si="120"/>
        <v/>
      </c>
      <c r="AP295" s="887" t="str">
        <f t="shared" si="121"/>
        <v/>
      </c>
      <c r="AQ295" s="887" t="str">
        <f t="shared" si="122"/>
        <v/>
      </c>
      <c r="AR295" s="887" t="str">
        <f t="shared" si="123"/>
        <v/>
      </c>
      <c r="AS295" s="887" t="str">
        <f t="shared" si="124"/>
        <v/>
      </c>
      <c r="AT295" s="887" t="str">
        <f t="shared" si="125"/>
        <v/>
      </c>
      <c r="AU295" s="887" t="str">
        <f t="shared" si="126"/>
        <v/>
      </c>
      <c r="AV295" s="887" t="str">
        <f t="shared" si="127"/>
        <v/>
      </c>
      <c r="AW295" s="887" t="str">
        <f t="shared" si="128"/>
        <v/>
      </c>
      <c r="AX295" s="887" t="str">
        <f t="shared" si="105"/>
        <v/>
      </c>
      <c r="AY295" s="887" t="str">
        <f t="shared" si="106"/>
        <v/>
      </c>
      <c r="AZ295" s="877"/>
      <c r="BA295" s="877"/>
      <c r="BB295" s="877"/>
      <c r="BC295" s="877"/>
      <c r="BD295" s="877"/>
      <c r="BE295" s="877"/>
      <c r="BF295" s="877"/>
      <c r="BG295" s="877"/>
      <c r="BH295" s="877"/>
    </row>
    <row r="296" spans="22:60" ht="35.25" customHeight="1" x14ac:dyDescent="0.5">
      <c r="V296" s="877"/>
      <c r="W296" s="877"/>
      <c r="X296" s="877"/>
      <c r="Y296" s="877"/>
      <c r="Z296" s="877"/>
      <c r="AA296" s="877"/>
      <c r="AB296" s="877"/>
      <c r="AC296" s="877"/>
      <c r="AD296" s="877"/>
      <c r="AE296" s="877"/>
      <c r="AF296" s="877"/>
      <c r="AG296" s="877"/>
      <c r="AH296" s="877"/>
      <c r="AI296" s="878"/>
      <c r="AJ296" s="877"/>
      <c r="AK296" s="877">
        <v>164</v>
      </c>
      <c r="AL296" s="877">
        <v>4</v>
      </c>
      <c r="AM296" s="921" t="str">
        <f t="shared" si="118"/>
        <v/>
      </c>
      <c r="AN296" s="887" t="str">
        <f t="shared" si="119"/>
        <v/>
      </c>
      <c r="AO296" s="887" t="str">
        <f t="shared" si="120"/>
        <v/>
      </c>
      <c r="AP296" s="887" t="str">
        <f t="shared" si="121"/>
        <v/>
      </c>
      <c r="AQ296" s="887" t="str">
        <f t="shared" si="122"/>
        <v/>
      </c>
      <c r="AR296" s="887" t="str">
        <f t="shared" si="123"/>
        <v/>
      </c>
      <c r="AS296" s="887" t="str">
        <f t="shared" si="124"/>
        <v/>
      </c>
      <c r="AT296" s="887" t="str">
        <f t="shared" si="125"/>
        <v/>
      </c>
      <c r="AU296" s="887" t="str">
        <f t="shared" si="126"/>
        <v/>
      </c>
      <c r="AV296" s="887" t="str">
        <f t="shared" si="127"/>
        <v/>
      </c>
      <c r="AW296" s="887" t="str">
        <f t="shared" si="128"/>
        <v/>
      </c>
      <c r="AX296" s="887" t="str">
        <f t="shared" si="105"/>
        <v/>
      </c>
      <c r="AY296" s="887" t="str">
        <f t="shared" si="106"/>
        <v/>
      </c>
      <c r="AZ296" s="877"/>
      <c r="BA296" s="877"/>
      <c r="BB296" s="877"/>
      <c r="BC296" s="877"/>
      <c r="BD296" s="877"/>
      <c r="BE296" s="877"/>
      <c r="BF296" s="877"/>
      <c r="BG296" s="877"/>
      <c r="BH296" s="877"/>
    </row>
    <row r="297" spans="22:60" ht="35.25" customHeight="1" x14ac:dyDescent="0.5">
      <c r="V297" s="877"/>
      <c r="W297" s="877"/>
      <c r="X297" s="877"/>
      <c r="Y297" s="877"/>
      <c r="Z297" s="877"/>
      <c r="AA297" s="877"/>
      <c r="AB297" s="877"/>
      <c r="AC297" s="877"/>
      <c r="AD297" s="877"/>
      <c r="AE297" s="877"/>
      <c r="AF297" s="877"/>
      <c r="AG297" s="877"/>
      <c r="AH297" s="877"/>
      <c r="AI297" s="878"/>
      <c r="AJ297" s="877"/>
      <c r="AK297" s="877">
        <v>165</v>
      </c>
      <c r="AL297" s="877">
        <v>5</v>
      </c>
      <c r="AM297" s="921" t="str">
        <f t="shared" si="118"/>
        <v/>
      </c>
      <c r="AN297" s="887" t="str">
        <f t="shared" si="119"/>
        <v/>
      </c>
      <c r="AO297" s="887" t="str">
        <f t="shared" si="120"/>
        <v/>
      </c>
      <c r="AP297" s="887" t="str">
        <f t="shared" si="121"/>
        <v/>
      </c>
      <c r="AQ297" s="887" t="str">
        <f t="shared" si="122"/>
        <v/>
      </c>
      <c r="AR297" s="887" t="str">
        <f t="shared" si="123"/>
        <v/>
      </c>
      <c r="AS297" s="887" t="str">
        <f t="shared" si="124"/>
        <v/>
      </c>
      <c r="AT297" s="887" t="str">
        <f t="shared" si="125"/>
        <v/>
      </c>
      <c r="AU297" s="887" t="str">
        <f t="shared" si="126"/>
        <v/>
      </c>
      <c r="AV297" s="887" t="str">
        <f t="shared" si="127"/>
        <v/>
      </c>
      <c r="AW297" s="887" t="str">
        <f t="shared" si="128"/>
        <v/>
      </c>
      <c r="AX297" s="887" t="str">
        <f t="shared" si="105"/>
        <v/>
      </c>
      <c r="AY297" s="887" t="str">
        <f t="shared" si="106"/>
        <v/>
      </c>
      <c r="AZ297" s="877"/>
      <c r="BA297" s="877"/>
      <c r="BB297" s="877"/>
      <c r="BC297" s="877"/>
      <c r="BD297" s="877"/>
      <c r="BE297" s="877"/>
      <c r="BF297" s="877"/>
      <c r="BG297" s="877"/>
      <c r="BH297" s="877"/>
    </row>
    <row r="298" spans="22:60" ht="35.25" customHeight="1" x14ac:dyDescent="0.5">
      <c r="V298" s="877"/>
      <c r="W298" s="877"/>
      <c r="X298" s="877"/>
      <c r="Y298" s="877"/>
      <c r="Z298" s="877"/>
      <c r="AA298" s="877"/>
      <c r="AB298" s="877"/>
      <c r="AC298" s="877"/>
      <c r="AD298" s="877"/>
      <c r="AE298" s="877"/>
      <c r="AF298" s="877"/>
      <c r="AG298" s="877"/>
      <c r="AH298" s="877"/>
      <c r="AI298" s="878"/>
      <c r="AJ298" s="877"/>
      <c r="AK298" s="877">
        <v>166</v>
      </c>
      <c r="AL298" s="877">
        <v>6</v>
      </c>
      <c r="AM298" s="921" t="str">
        <f t="shared" si="118"/>
        <v/>
      </c>
      <c r="AN298" s="887" t="str">
        <f t="shared" si="119"/>
        <v/>
      </c>
      <c r="AO298" s="887" t="str">
        <f t="shared" si="120"/>
        <v/>
      </c>
      <c r="AP298" s="887" t="str">
        <f t="shared" si="121"/>
        <v/>
      </c>
      <c r="AQ298" s="887" t="str">
        <f t="shared" si="122"/>
        <v/>
      </c>
      <c r="AR298" s="887" t="str">
        <f t="shared" si="123"/>
        <v/>
      </c>
      <c r="AS298" s="887" t="str">
        <f t="shared" si="124"/>
        <v/>
      </c>
      <c r="AT298" s="887" t="str">
        <f t="shared" si="125"/>
        <v/>
      </c>
      <c r="AU298" s="887" t="str">
        <f t="shared" si="126"/>
        <v/>
      </c>
      <c r="AV298" s="887" t="str">
        <f t="shared" si="127"/>
        <v/>
      </c>
      <c r="AW298" s="887" t="str">
        <f t="shared" si="128"/>
        <v/>
      </c>
      <c r="AX298" s="887" t="str">
        <f t="shared" si="105"/>
        <v/>
      </c>
      <c r="AY298" s="887" t="str">
        <f t="shared" si="106"/>
        <v/>
      </c>
      <c r="AZ298" s="877"/>
      <c r="BA298" s="877"/>
      <c r="BB298" s="877"/>
      <c r="BC298" s="877"/>
      <c r="BD298" s="877"/>
      <c r="BE298" s="877"/>
      <c r="BF298" s="877"/>
      <c r="BG298" s="877"/>
      <c r="BH298" s="877"/>
    </row>
    <row r="299" spans="22:60" ht="35.25" customHeight="1" x14ac:dyDescent="0.5">
      <c r="V299" s="877"/>
      <c r="W299" s="877"/>
      <c r="X299" s="877"/>
      <c r="Y299" s="877"/>
      <c r="Z299" s="877"/>
      <c r="AA299" s="877"/>
      <c r="AB299" s="877"/>
      <c r="AC299" s="877"/>
      <c r="AD299" s="877"/>
      <c r="AE299" s="877"/>
      <c r="AF299" s="877"/>
      <c r="AG299" s="877"/>
      <c r="AH299" s="877"/>
      <c r="AI299" s="878"/>
      <c r="AJ299" s="877"/>
      <c r="AK299" s="877">
        <v>167</v>
      </c>
      <c r="AL299" s="877">
        <v>7</v>
      </c>
      <c r="AM299" s="921" t="str">
        <f t="shared" si="118"/>
        <v/>
      </c>
      <c r="AN299" s="887" t="str">
        <f t="shared" si="119"/>
        <v/>
      </c>
      <c r="AO299" s="887" t="str">
        <f t="shared" si="120"/>
        <v/>
      </c>
      <c r="AP299" s="887" t="str">
        <f t="shared" si="121"/>
        <v/>
      </c>
      <c r="AQ299" s="887" t="str">
        <f t="shared" si="122"/>
        <v/>
      </c>
      <c r="AR299" s="887" t="str">
        <f t="shared" si="123"/>
        <v/>
      </c>
      <c r="AS299" s="887" t="str">
        <f t="shared" si="124"/>
        <v/>
      </c>
      <c r="AT299" s="887" t="str">
        <f t="shared" si="125"/>
        <v/>
      </c>
      <c r="AU299" s="887" t="str">
        <f t="shared" si="126"/>
        <v/>
      </c>
      <c r="AV299" s="887" t="str">
        <f t="shared" si="127"/>
        <v/>
      </c>
      <c r="AW299" s="887" t="str">
        <f t="shared" si="128"/>
        <v/>
      </c>
      <c r="AX299" s="887" t="str">
        <f t="shared" si="105"/>
        <v/>
      </c>
      <c r="AY299" s="887" t="str">
        <f t="shared" si="106"/>
        <v/>
      </c>
      <c r="AZ299" s="877"/>
      <c r="BA299" s="877"/>
      <c r="BB299" s="877"/>
      <c r="BC299" s="877"/>
      <c r="BD299" s="877"/>
      <c r="BE299" s="877"/>
      <c r="BF299" s="877"/>
      <c r="BG299" s="877"/>
      <c r="BH299" s="877"/>
    </row>
    <row r="300" spans="22:60" ht="35.25" customHeight="1" x14ac:dyDescent="0.5">
      <c r="V300" s="877"/>
      <c r="W300" s="877"/>
      <c r="X300" s="877"/>
      <c r="Y300" s="877"/>
      <c r="Z300" s="877"/>
      <c r="AA300" s="877"/>
      <c r="AB300" s="877"/>
      <c r="AC300" s="877"/>
      <c r="AD300" s="877"/>
      <c r="AE300" s="877"/>
      <c r="AF300" s="877"/>
      <c r="AG300" s="877"/>
      <c r="AH300" s="877"/>
      <c r="AI300" s="878"/>
      <c r="AJ300" s="877"/>
      <c r="AK300" s="877">
        <v>168</v>
      </c>
      <c r="AL300" s="877">
        <v>8</v>
      </c>
      <c r="AM300" s="921" t="str">
        <f t="shared" si="118"/>
        <v/>
      </c>
      <c r="AN300" s="887" t="str">
        <f t="shared" si="119"/>
        <v/>
      </c>
      <c r="AO300" s="887" t="str">
        <f t="shared" si="120"/>
        <v/>
      </c>
      <c r="AP300" s="887" t="str">
        <f t="shared" si="121"/>
        <v/>
      </c>
      <c r="AQ300" s="887" t="str">
        <f t="shared" si="122"/>
        <v/>
      </c>
      <c r="AR300" s="887" t="str">
        <f t="shared" si="123"/>
        <v/>
      </c>
      <c r="AS300" s="887" t="str">
        <f t="shared" si="124"/>
        <v/>
      </c>
      <c r="AT300" s="887" t="str">
        <f t="shared" si="125"/>
        <v/>
      </c>
      <c r="AU300" s="887" t="str">
        <f t="shared" si="126"/>
        <v/>
      </c>
      <c r="AV300" s="887" t="str">
        <f t="shared" si="127"/>
        <v/>
      </c>
      <c r="AW300" s="887" t="str">
        <f t="shared" si="128"/>
        <v/>
      </c>
      <c r="AX300" s="887" t="str">
        <f t="shared" si="105"/>
        <v/>
      </c>
      <c r="AY300" s="887" t="str">
        <f t="shared" si="106"/>
        <v/>
      </c>
      <c r="AZ300" s="877"/>
      <c r="BA300" s="877"/>
      <c r="BB300" s="877"/>
      <c r="BC300" s="877"/>
      <c r="BD300" s="877"/>
      <c r="BE300" s="877"/>
      <c r="BF300" s="877"/>
      <c r="BG300" s="877"/>
      <c r="BH300" s="877"/>
    </row>
    <row r="301" spans="22:60" ht="35.25" customHeight="1" x14ac:dyDescent="0.5">
      <c r="V301" s="877"/>
      <c r="W301" s="877"/>
      <c r="X301" s="877"/>
      <c r="Y301" s="877"/>
      <c r="Z301" s="877"/>
      <c r="AA301" s="877"/>
      <c r="AB301" s="877"/>
      <c r="AC301" s="877"/>
      <c r="AD301" s="877"/>
      <c r="AE301" s="877"/>
      <c r="AF301" s="877"/>
      <c r="AG301" s="877"/>
      <c r="AH301" s="877"/>
      <c r="AI301" s="878"/>
      <c r="AJ301" s="877"/>
      <c r="AK301" s="877">
        <v>169</v>
      </c>
      <c r="AL301" s="877">
        <v>9</v>
      </c>
      <c r="AM301" s="921" t="str">
        <f t="shared" si="118"/>
        <v/>
      </c>
      <c r="AN301" s="887" t="str">
        <f t="shared" si="119"/>
        <v/>
      </c>
      <c r="AO301" s="887" t="str">
        <f t="shared" si="120"/>
        <v/>
      </c>
      <c r="AP301" s="887" t="str">
        <f t="shared" si="121"/>
        <v/>
      </c>
      <c r="AQ301" s="887" t="str">
        <f t="shared" si="122"/>
        <v/>
      </c>
      <c r="AR301" s="887" t="str">
        <f t="shared" si="123"/>
        <v/>
      </c>
      <c r="AS301" s="887" t="str">
        <f t="shared" si="124"/>
        <v/>
      </c>
      <c r="AT301" s="887" t="str">
        <f t="shared" si="125"/>
        <v/>
      </c>
      <c r="AU301" s="887" t="str">
        <f t="shared" si="126"/>
        <v/>
      </c>
      <c r="AV301" s="887" t="str">
        <f t="shared" si="127"/>
        <v/>
      </c>
      <c r="AW301" s="887" t="str">
        <f t="shared" si="128"/>
        <v/>
      </c>
      <c r="AX301" s="887" t="str">
        <f t="shared" si="105"/>
        <v/>
      </c>
      <c r="AY301" s="887" t="str">
        <f t="shared" si="106"/>
        <v/>
      </c>
      <c r="AZ301" s="877"/>
      <c r="BA301" s="877"/>
      <c r="BB301" s="877"/>
      <c r="BC301" s="877"/>
      <c r="BD301" s="877"/>
      <c r="BE301" s="877"/>
      <c r="BF301" s="877"/>
      <c r="BG301" s="877"/>
      <c r="BH301" s="877"/>
    </row>
    <row r="302" spans="22:60" ht="35.25" customHeight="1" x14ac:dyDescent="0.5">
      <c r="V302" s="877"/>
      <c r="W302" s="877"/>
      <c r="X302" s="877"/>
      <c r="Y302" s="877"/>
      <c r="Z302" s="877"/>
      <c r="AA302" s="877"/>
      <c r="AB302" s="877"/>
      <c r="AC302" s="877"/>
      <c r="AD302" s="877"/>
      <c r="AE302" s="877"/>
      <c r="AF302" s="877"/>
      <c r="AG302" s="877"/>
      <c r="AH302" s="877"/>
      <c r="AI302" s="878"/>
      <c r="AJ302" s="877"/>
      <c r="AK302" s="877">
        <v>170</v>
      </c>
      <c r="AL302" s="877">
        <v>10</v>
      </c>
      <c r="AM302" s="921" t="str">
        <f t="shared" si="118"/>
        <v/>
      </c>
      <c r="AN302" s="887" t="str">
        <f t="shared" si="119"/>
        <v/>
      </c>
      <c r="AO302" s="887" t="str">
        <f t="shared" si="120"/>
        <v/>
      </c>
      <c r="AP302" s="887" t="str">
        <f t="shared" si="121"/>
        <v/>
      </c>
      <c r="AQ302" s="887" t="str">
        <f t="shared" si="122"/>
        <v/>
      </c>
      <c r="AR302" s="887" t="str">
        <f t="shared" si="123"/>
        <v/>
      </c>
      <c r="AS302" s="887" t="str">
        <f t="shared" si="124"/>
        <v/>
      </c>
      <c r="AT302" s="887" t="str">
        <f t="shared" si="125"/>
        <v/>
      </c>
      <c r="AU302" s="887" t="str">
        <f t="shared" si="126"/>
        <v/>
      </c>
      <c r="AV302" s="887" t="str">
        <f t="shared" si="127"/>
        <v/>
      </c>
      <c r="AW302" s="887" t="str">
        <f t="shared" si="128"/>
        <v/>
      </c>
      <c r="AX302" s="887" t="str">
        <f t="shared" si="105"/>
        <v/>
      </c>
      <c r="AY302" s="887" t="str">
        <f t="shared" si="106"/>
        <v/>
      </c>
      <c r="AZ302" s="877"/>
      <c r="BA302" s="877"/>
      <c r="BB302" s="877"/>
      <c r="BC302" s="877"/>
      <c r="BD302" s="877"/>
      <c r="BE302" s="877"/>
      <c r="BF302" s="877"/>
      <c r="BG302" s="877"/>
      <c r="BH302" s="877"/>
    </row>
    <row r="303" spans="22:60" ht="35.25" customHeight="1" x14ac:dyDescent="0.5">
      <c r="V303" s="877"/>
      <c r="W303" s="877"/>
      <c r="X303" s="877"/>
      <c r="Y303" s="877"/>
      <c r="Z303" s="877"/>
      <c r="AA303" s="877"/>
      <c r="AB303" s="877"/>
      <c r="AC303" s="877"/>
      <c r="AD303" s="877"/>
      <c r="AE303" s="877"/>
      <c r="AF303" s="877"/>
      <c r="AG303" s="877"/>
      <c r="AH303" s="877"/>
      <c r="AI303" s="878"/>
      <c r="AJ303" s="877"/>
      <c r="AK303" s="877">
        <v>171</v>
      </c>
      <c r="AL303" s="877">
        <v>11</v>
      </c>
      <c r="AM303" s="921" t="str">
        <f t="shared" si="118"/>
        <v/>
      </c>
      <c r="AN303" s="887" t="str">
        <f t="shared" si="119"/>
        <v/>
      </c>
      <c r="AO303" s="887" t="str">
        <f t="shared" si="120"/>
        <v/>
      </c>
      <c r="AP303" s="887" t="str">
        <f t="shared" si="121"/>
        <v/>
      </c>
      <c r="AQ303" s="887" t="str">
        <f t="shared" si="122"/>
        <v/>
      </c>
      <c r="AR303" s="887" t="str">
        <f t="shared" si="123"/>
        <v/>
      </c>
      <c r="AS303" s="887" t="str">
        <f t="shared" si="124"/>
        <v/>
      </c>
      <c r="AT303" s="887" t="str">
        <f t="shared" si="125"/>
        <v/>
      </c>
      <c r="AU303" s="887" t="str">
        <f t="shared" si="126"/>
        <v/>
      </c>
      <c r="AV303" s="887" t="str">
        <f t="shared" si="127"/>
        <v/>
      </c>
      <c r="AW303" s="887" t="str">
        <f t="shared" si="128"/>
        <v/>
      </c>
      <c r="AX303" s="887" t="str">
        <f t="shared" si="105"/>
        <v/>
      </c>
      <c r="AY303" s="887" t="str">
        <f t="shared" si="106"/>
        <v/>
      </c>
      <c r="AZ303" s="877"/>
      <c r="BA303" s="877"/>
      <c r="BB303" s="877"/>
      <c r="BC303" s="877"/>
      <c r="BD303" s="877"/>
      <c r="BE303" s="877"/>
      <c r="BF303" s="877"/>
      <c r="BG303" s="877"/>
      <c r="BH303" s="877"/>
    </row>
    <row r="304" spans="22:60" ht="35.25" customHeight="1" x14ac:dyDescent="0.5">
      <c r="V304" s="877"/>
      <c r="W304" s="877"/>
      <c r="X304" s="877"/>
      <c r="Y304" s="877"/>
      <c r="Z304" s="877"/>
      <c r="AA304" s="877"/>
      <c r="AB304" s="877"/>
      <c r="AC304" s="877"/>
      <c r="AD304" s="877"/>
      <c r="AE304" s="877"/>
      <c r="AF304" s="877"/>
      <c r="AG304" s="877"/>
      <c r="AH304" s="877"/>
      <c r="AI304" s="878"/>
      <c r="AJ304" s="877"/>
      <c r="AK304" s="877">
        <v>172</v>
      </c>
      <c r="AL304" s="877">
        <v>12</v>
      </c>
      <c r="AM304" s="921" t="str">
        <f t="shared" si="118"/>
        <v/>
      </c>
      <c r="AN304" s="887" t="str">
        <f t="shared" si="119"/>
        <v/>
      </c>
      <c r="AO304" s="887" t="str">
        <f t="shared" si="120"/>
        <v/>
      </c>
      <c r="AP304" s="887" t="str">
        <f t="shared" si="121"/>
        <v/>
      </c>
      <c r="AQ304" s="887" t="str">
        <f t="shared" si="122"/>
        <v/>
      </c>
      <c r="AR304" s="887" t="str">
        <f t="shared" si="123"/>
        <v/>
      </c>
      <c r="AS304" s="887" t="str">
        <f t="shared" si="124"/>
        <v/>
      </c>
      <c r="AT304" s="887" t="str">
        <f t="shared" si="125"/>
        <v/>
      </c>
      <c r="AU304" s="887" t="str">
        <f t="shared" si="126"/>
        <v/>
      </c>
      <c r="AV304" s="887" t="str">
        <f t="shared" si="127"/>
        <v/>
      </c>
      <c r="AW304" s="887" t="str">
        <f t="shared" si="128"/>
        <v/>
      </c>
      <c r="AX304" s="887" t="str">
        <f t="shared" si="105"/>
        <v/>
      </c>
      <c r="AY304" s="887" t="str">
        <f t="shared" si="106"/>
        <v/>
      </c>
      <c r="AZ304" s="877"/>
      <c r="BA304" s="877"/>
      <c r="BB304" s="877"/>
      <c r="BC304" s="877"/>
      <c r="BD304" s="877"/>
      <c r="BE304" s="877"/>
      <c r="BF304" s="877"/>
      <c r="BG304" s="877"/>
      <c r="BH304" s="877"/>
    </row>
    <row r="305" spans="22:60" ht="35.25" customHeight="1" x14ac:dyDescent="0.5">
      <c r="V305" s="877"/>
      <c r="W305" s="877"/>
      <c r="X305" s="877"/>
      <c r="Y305" s="877"/>
      <c r="Z305" s="877"/>
      <c r="AA305" s="877"/>
      <c r="AB305" s="877"/>
      <c r="AC305" s="877"/>
      <c r="AD305" s="877"/>
      <c r="AE305" s="877"/>
      <c r="AF305" s="877"/>
      <c r="AG305" s="877"/>
      <c r="AH305" s="877"/>
      <c r="AI305" s="878"/>
      <c r="AJ305" s="877"/>
      <c r="AK305" s="877">
        <v>173</v>
      </c>
      <c r="AL305" s="877">
        <v>13</v>
      </c>
      <c r="AM305" s="921" t="str">
        <f t="shared" si="118"/>
        <v/>
      </c>
      <c r="AN305" s="887" t="str">
        <f t="shared" si="119"/>
        <v/>
      </c>
      <c r="AO305" s="887" t="str">
        <f t="shared" si="120"/>
        <v/>
      </c>
      <c r="AP305" s="887" t="str">
        <f t="shared" si="121"/>
        <v/>
      </c>
      <c r="AQ305" s="887" t="str">
        <f t="shared" si="122"/>
        <v/>
      </c>
      <c r="AR305" s="887" t="str">
        <f t="shared" si="123"/>
        <v/>
      </c>
      <c r="AS305" s="887" t="str">
        <f t="shared" si="124"/>
        <v/>
      </c>
      <c r="AT305" s="887" t="str">
        <f t="shared" si="125"/>
        <v/>
      </c>
      <c r="AU305" s="887" t="str">
        <f t="shared" si="126"/>
        <v/>
      </c>
      <c r="AV305" s="887" t="str">
        <f t="shared" si="127"/>
        <v/>
      </c>
      <c r="AW305" s="887" t="str">
        <f t="shared" si="128"/>
        <v/>
      </c>
      <c r="AX305" s="887" t="str">
        <f t="shared" si="105"/>
        <v/>
      </c>
      <c r="AY305" s="887" t="str">
        <f t="shared" si="106"/>
        <v/>
      </c>
      <c r="AZ305" s="877"/>
      <c r="BA305" s="877"/>
      <c r="BB305" s="877"/>
      <c r="BC305" s="877"/>
      <c r="BD305" s="877"/>
      <c r="BE305" s="877"/>
      <c r="BF305" s="877"/>
      <c r="BG305" s="877"/>
      <c r="BH305" s="877"/>
    </row>
    <row r="306" spans="22:60" ht="35.25" customHeight="1" x14ac:dyDescent="0.5">
      <c r="V306" s="877"/>
      <c r="W306" s="877"/>
      <c r="X306" s="877"/>
      <c r="Y306" s="877"/>
      <c r="Z306" s="877"/>
      <c r="AA306" s="877"/>
      <c r="AB306" s="877"/>
      <c r="AC306" s="877"/>
      <c r="AD306" s="877"/>
      <c r="AE306" s="877"/>
      <c r="AF306" s="877"/>
      <c r="AG306" s="877"/>
      <c r="AH306" s="877"/>
      <c r="AI306" s="878"/>
      <c r="AJ306" s="877"/>
      <c r="AK306" s="877">
        <v>174</v>
      </c>
      <c r="AL306" s="877">
        <v>14</v>
      </c>
      <c r="AM306" s="921" t="str">
        <f t="shared" si="118"/>
        <v/>
      </c>
      <c r="AN306" s="887" t="str">
        <f t="shared" si="119"/>
        <v/>
      </c>
      <c r="AO306" s="887" t="str">
        <f t="shared" si="120"/>
        <v/>
      </c>
      <c r="AP306" s="887" t="str">
        <f t="shared" si="121"/>
        <v/>
      </c>
      <c r="AQ306" s="887" t="str">
        <f t="shared" si="122"/>
        <v/>
      </c>
      <c r="AR306" s="887" t="str">
        <f t="shared" si="123"/>
        <v/>
      </c>
      <c r="AS306" s="887" t="str">
        <f t="shared" si="124"/>
        <v/>
      </c>
      <c r="AT306" s="887" t="str">
        <f t="shared" si="125"/>
        <v/>
      </c>
      <c r="AU306" s="887" t="str">
        <f t="shared" si="126"/>
        <v/>
      </c>
      <c r="AV306" s="887" t="str">
        <f t="shared" si="127"/>
        <v/>
      </c>
      <c r="AW306" s="887" t="str">
        <f t="shared" si="128"/>
        <v/>
      </c>
      <c r="AX306" s="887" t="str">
        <f t="shared" si="105"/>
        <v/>
      </c>
      <c r="AY306" s="887" t="str">
        <f t="shared" si="106"/>
        <v/>
      </c>
      <c r="AZ306" s="877"/>
      <c r="BA306" s="877"/>
      <c r="BB306" s="877"/>
      <c r="BC306" s="877"/>
      <c r="BD306" s="877"/>
      <c r="BE306" s="877"/>
      <c r="BF306" s="877"/>
      <c r="BG306" s="877"/>
      <c r="BH306" s="877"/>
    </row>
    <row r="307" spans="22:60" ht="35.25" customHeight="1" x14ac:dyDescent="0.5">
      <c r="V307" s="877"/>
      <c r="W307" s="877"/>
      <c r="X307" s="877"/>
      <c r="Y307" s="877"/>
      <c r="Z307" s="877"/>
      <c r="AA307" s="877"/>
      <c r="AB307" s="877"/>
      <c r="AC307" s="877"/>
      <c r="AD307" s="877"/>
      <c r="AE307" s="877"/>
      <c r="AF307" s="877"/>
      <c r="AG307" s="877"/>
      <c r="AH307" s="877"/>
      <c r="AI307" s="878"/>
      <c r="AJ307" s="877"/>
      <c r="AK307" s="877">
        <v>175</v>
      </c>
      <c r="AL307" s="877">
        <v>15</v>
      </c>
      <c r="AM307" s="921" t="str">
        <f t="shared" si="118"/>
        <v/>
      </c>
      <c r="AN307" s="887" t="str">
        <f t="shared" si="119"/>
        <v/>
      </c>
      <c r="AO307" s="887" t="str">
        <f t="shared" si="120"/>
        <v/>
      </c>
      <c r="AP307" s="887" t="str">
        <f t="shared" si="121"/>
        <v/>
      </c>
      <c r="AQ307" s="887" t="str">
        <f t="shared" si="122"/>
        <v/>
      </c>
      <c r="AR307" s="887" t="str">
        <f t="shared" si="123"/>
        <v/>
      </c>
      <c r="AS307" s="887" t="str">
        <f t="shared" si="124"/>
        <v/>
      </c>
      <c r="AT307" s="887" t="str">
        <f t="shared" si="125"/>
        <v/>
      </c>
      <c r="AU307" s="887" t="str">
        <f t="shared" si="126"/>
        <v/>
      </c>
      <c r="AV307" s="887" t="str">
        <f t="shared" si="127"/>
        <v/>
      </c>
      <c r="AW307" s="887" t="str">
        <f t="shared" si="128"/>
        <v/>
      </c>
      <c r="AX307" s="887" t="str">
        <f t="shared" si="105"/>
        <v/>
      </c>
      <c r="AY307" s="887" t="str">
        <f t="shared" si="106"/>
        <v/>
      </c>
      <c r="AZ307" s="877"/>
      <c r="BA307" s="877"/>
      <c r="BB307" s="877"/>
      <c r="BC307" s="877"/>
      <c r="BD307" s="877"/>
      <c r="BE307" s="877"/>
      <c r="BF307" s="877"/>
      <c r="BG307" s="877"/>
      <c r="BH307" s="877"/>
    </row>
    <row r="308" spans="22:60" ht="35.25" customHeight="1" x14ac:dyDescent="0.5">
      <c r="V308" s="877"/>
      <c r="W308" s="877"/>
      <c r="X308" s="877"/>
      <c r="Y308" s="877"/>
      <c r="Z308" s="877"/>
      <c r="AA308" s="877"/>
      <c r="AB308" s="877"/>
      <c r="AC308" s="877"/>
      <c r="AD308" s="877"/>
      <c r="AE308" s="877"/>
      <c r="AF308" s="877"/>
      <c r="AG308" s="877"/>
      <c r="AH308" s="877"/>
      <c r="AI308" s="878"/>
      <c r="AJ308" s="877"/>
      <c r="AK308" s="877">
        <v>176</v>
      </c>
      <c r="AL308" s="877">
        <v>16</v>
      </c>
      <c r="AM308" s="921" t="str">
        <f t="shared" si="118"/>
        <v/>
      </c>
      <c r="AN308" s="887" t="str">
        <f t="shared" si="119"/>
        <v/>
      </c>
      <c r="AO308" s="887" t="str">
        <f t="shared" si="120"/>
        <v/>
      </c>
      <c r="AP308" s="887" t="str">
        <f t="shared" si="121"/>
        <v/>
      </c>
      <c r="AQ308" s="887" t="str">
        <f t="shared" si="122"/>
        <v/>
      </c>
      <c r="AR308" s="887" t="str">
        <f t="shared" si="123"/>
        <v/>
      </c>
      <c r="AS308" s="887" t="str">
        <f t="shared" si="124"/>
        <v/>
      </c>
      <c r="AT308" s="887" t="str">
        <f t="shared" si="125"/>
        <v/>
      </c>
      <c r="AU308" s="887" t="str">
        <f t="shared" si="126"/>
        <v/>
      </c>
      <c r="AV308" s="887" t="str">
        <f t="shared" si="127"/>
        <v/>
      </c>
      <c r="AW308" s="887" t="str">
        <f t="shared" si="128"/>
        <v/>
      </c>
      <c r="AX308" s="887" t="str">
        <f t="shared" si="105"/>
        <v/>
      </c>
      <c r="AY308" s="887" t="str">
        <f t="shared" si="106"/>
        <v/>
      </c>
      <c r="AZ308" s="877"/>
      <c r="BA308" s="877"/>
      <c r="BB308" s="877"/>
      <c r="BC308" s="877"/>
      <c r="BD308" s="877"/>
      <c r="BE308" s="877"/>
      <c r="BF308" s="877"/>
      <c r="BG308" s="877"/>
      <c r="BH308" s="877"/>
    </row>
    <row r="309" spans="22:60" ht="35.25" customHeight="1" x14ac:dyDescent="0.5">
      <c r="V309" s="877"/>
      <c r="W309" s="877"/>
      <c r="X309" s="877"/>
      <c r="Y309" s="877"/>
      <c r="Z309" s="877"/>
      <c r="AA309" s="877"/>
      <c r="AB309" s="877"/>
      <c r="AC309" s="877"/>
      <c r="AD309" s="877"/>
      <c r="AE309" s="877"/>
      <c r="AF309" s="877"/>
      <c r="AG309" s="877"/>
      <c r="AH309" s="877"/>
      <c r="AI309" s="878"/>
      <c r="AJ309" s="877"/>
      <c r="AK309" s="877">
        <v>177</v>
      </c>
      <c r="AL309" s="877">
        <v>17</v>
      </c>
      <c r="AM309" s="921" t="str">
        <f t="shared" si="118"/>
        <v/>
      </c>
      <c r="AN309" s="887" t="str">
        <f t="shared" si="119"/>
        <v/>
      </c>
      <c r="AO309" s="887" t="str">
        <f t="shared" si="120"/>
        <v/>
      </c>
      <c r="AP309" s="887" t="str">
        <f t="shared" si="121"/>
        <v/>
      </c>
      <c r="AQ309" s="887" t="str">
        <f t="shared" si="122"/>
        <v/>
      </c>
      <c r="AR309" s="887" t="str">
        <f t="shared" si="123"/>
        <v/>
      </c>
      <c r="AS309" s="887" t="str">
        <f t="shared" si="124"/>
        <v/>
      </c>
      <c r="AT309" s="887" t="str">
        <f t="shared" si="125"/>
        <v/>
      </c>
      <c r="AU309" s="887" t="str">
        <f t="shared" si="126"/>
        <v/>
      </c>
      <c r="AV309" s="887" t="str">
        <f t="shared" si="127"/>
        <v/>
      </c>
      <c r="AW309" s="887" t="str">
        <f t="shared" si="128"/>
        <v/>
      </c>
      <c r="AX309" s="887" t="str">
        <f t="shared" si="105"/>
        <v/>
      </c>
      <c r="AY309" s="887" t="str">
        <f t="shared" si="106"/>
        <v/>
      </c>
      <c r="AZ309" s="877"/>
      <c r="BA309" s="877"/>
      <c r="BB309" s="877"/>
      <c r="BC309" s="877"/>
      <c r="BD309" s="877"/>
      <c r="BE309" s="877"/>
      <c r="BF309" s="877"/>
      <c r="BG309" s="877"/>
      <c r="BH309" s="877"/>
    </row>
    <row r="310" spans="22:60" ht="35.25" customHeight="1" x14ac:dyDescent="0.5">
      <c r="V310" s="877"/>
      <c r="W310" s="877"/>
      <c r="X310" s="877"/>
      <c r="Y310" s="877"/>
      <c r="Z310" s="877"/>
      <c r="AA310" s="877"/>
      <c r="AB310" s="877"/>
      <c r="AC310" s="877"/>
      <c r="AD310" s="877"/>
      <c r="AE310" s="877"/>
      <c r="AF310" s="877"/>
      <c r="AG310" s="877"/>
      <c r="AH310" s="877"/>
      <c r="AI310" s="878"/>
      <c r="AJ310" s="877"/>
      <c r="AK310" s="877">
        <v>178</v>
      </c>
      <c r="AL310" s="877">
        <v>18</v>
      </c>
      <c r="AM310" s="921" t="str">
        <f t="shared" si="118"/>
        <v/>
      </c>
      <c r="AN310" s="887" t="str">
        <f t="shared" si="119"/>
        <v/>
      </c>
      <c r="AO310" s="887" t="str">
        <f t="shared" si="120"/>
        <v/>
      </c>
      <c r="AP310" s="887" t="str">
        <f t="shared" si="121"/>
        <v/>
      </c>
      <c r="AQ310" s="887" t="str">
        <f t="shared" si="122"/>
        <v/>
      </c>
      <c r="AR310" s="887" t="str">
        <f t="shared" si="123"/>
        <v/>
      </c>
      <c r="AS310" s="887" t="str">
        <f t="shared" si="124"/>
        <v/>
      </c>
      <c r="AT310" s="887" t="str">
        <f t="shared" si="125"/>
        <v/>
      </c>
      <c r="AU310" s="887" t="str">
        <f t="shared" si="126"/>
        <v/>
      </c>
      <c r="AV310" s="887" t="str">
        <f t="shared" si="127"/>
        <v/>
      </c>
      <c r="AW310" s="887" t="str">
        <f t="shared" si="128"/>
        <v/>
      </c>
      <c r="AX310" s="887" t="str">
        <f t="shared" si="105"/>
        <v/>
      </c>
      <c r="AY310" s="887" t="str">
        <f t="shared" si="106"/>
        <v/>
      </c>
      <c r="AZ310" s="877"/>
      <c r="BA310" s="877"/>
      <c r="BB310" s="877"/>
      <c r="BC310" s="877"/>
      <c r="BD310" s="877"/>
      <c r="BE310" s="877"/>
      <c r="BF310" s="877"/>
      <c r="BG310" s="877"/>
      <c r="BH310" s="877"/>
    </row>
    <row r="311" spans="22:60" ht="35.25" customHeight="1" x14ac:dyDescent="0.5">
      <c r="V311" s="877"/>
      <c r="W311" s="877"/>
      <c r="X311" s="877"/>
      <c r="Y311" s="877"/>
      <c r="Z311" s="877"/>
      <c r="AA311" s="877"/>
      <c r="AB311" s="877"/>
      <c r="AC311" s="877"/>
      <c r="AD311" s="877"/>
      <c r="AE311" s="877"/>
      <c r="AF311" s="877"/>
      <c r="AG311" s="877"/>
      <c r="AH311" s="877"/>
      <c r="AI311" s="878"/>
      <c r="AJ311" s="877"/>
      <c r="AK311" s="877">
        <v>179</v>
      </c>
      <c r="AL311" s="877">
        <v>19</v>
      </c>
      <c r="AM311" s="921" t="str">
        <f t="shared" si="118"/>
        <v/>
      </c>
      <c r="AN311" s="887" t="str">
        <f t="shared" si="119"/>
        <v/>
      </c>
      <c r="AO311" s="887" t="str">
        <f t="shared" si="120"/>
        <v/>
      </c>
      <c r="AP311" s="887" t="str">
        <f t="shared" si="121"/>
        <v/>
      </c>
      <c r="AQ311" s="887" t="str">
        <f t="shared" si="122"/>
        <v/>
      </c>
      <c r="AR311" s="887" t="str">
        <f t="shared" si="123"/>
        <v/>
      </c>
      <c r="AS311" s="887" t="str">
        <f t="shared" si="124"/>
        <v/>
      </c>
      <c r="AT311" s="887" t="str">
        <f t="shared" si="125"/>
        <v/>
      </c>
      <c r="AU311" s="887" t="str">
        <f t="shared" si="126"/>
        <v/>
      </c>
      <c r="AV311" s="887" t="str">
        <f t="shared" si="127"/>
        <v/>
      </c>
      <c r="AW311" s="887" t="str">
        <f t="shared" si="128"/>
        <v/>
      </c>
      <c r="AX311" s="887" t="str">
        <f t="shared" si="105"/>
        <v/>
      </c>
      <c r="AY311" s="887" t="str">
        <f t="shared" si="106"/>
        <v/>
      </c>
      <c r="AZ311" s="877"/>
      <c r="BA311" s="877"/>
      <c r="BB311" s="877"/>
      <c r="BC311" s="877"/>
      <c r="BD311" s="877"/>
      <c r="BE311" s="877"/>
      <c r="BF311" s="877"/>
      <c r="BG311" s="877"/>
      <c r="BH311" s="877"/>
    </row>
    <row r="312" spans="22:60" ht="35.25" customHeight="1" x14ac:dyDescent="0.5">
      <c r="V312" s="877"/>
      <c r="W312" s="877"/>
      <c r="X312" s="877"/>
      <c r="Y312" s="877"/>
      <c r="Z312" s="877"/>
      <c r="AA312" s="877"/>
      <c r="AB312" s="877"/>
      <c r="AC312" s="877"/>
      <c r="AD312" s="877"/>
      <c r="AE312" s="877"/>
      <c r="AF312" s="877"/>
      <c r="AG312" s="877"/>
      <c r="AH312" s="877"/>
      <c r="AI312" s="878"/>
      <c r="AJ312" s="877"/>
      <c r="AK312" s="877">
        <v>180</v>
      </c>
      <c r="AL312" s="877">
        <v>20</v>
      </c>
      <c r="AM312" s="921" t="str">
        <f t="shared" si="118"/>
        <v/>
      </c>
      <c r="AN312" s="887" t="str">
        <f t="shared" si="119"/>
        <v/>
      </c>
      <c r="AO312" s="887" t="str">
        <f t="shared" si="120"/>
        <v/>
      </c>
      <c r="AP312" s="887" t="str">
        <f t="shared" si="121"/>
        <v/>
      </c>
      <c r="AQ312" s="887" t="str">
        <f t="shared" si="122"/>
        <v/>
      </c>
      <c r="AR312" s="887" t="str">
        <f t="shared" si="123"/>
        <v/>
      </c>
      <c r="AS312" s="887" t="str">
        <f t="shared" si="124"/>
        <v/>
      </c>
      <c r="AT312" s="887" t="str">
        <f t="shared" si="125"/>
        <v/>
      </c>
      <c r="AU312" s="887" t="str">
        <f t="shared" si="126"/>
        <v/>
      </c>
      <c r="AV312" s="887" t="str">
        <f t="shared" si="127"/>
        <v/>
      </c>
      <c r="AW312" s="887" t="str">
        <f t="shared" si="128"/>
        <v/>
      </c>
      <c r="AX312" s="887" t="str">
        <f t="shared" si="105"/>
        <v/>
      </c>
      <c r="AY312" s="887" t="str">
        <f t="shared" si="106"/>
        <v/>
      </c>
      <c r="AZ312" s="877"/>
      <c r="BA312" s="877"/>
      <c r="BB312" s="877"/>
      <c r="BC312" s="877"/>
      <c r="BD312" s="877"/>
      <c r="BE312" s="877"/>
      <c r="BF312" s="877"/>
      <c r="BG312" s="877"/>
      <c r="BH312" s="877"/>
    </row>
    <row r="313" spans="22:60" ht="35.25" customHeight="1" x14ac:dyDescent="0.5">
      <c r="V313" s="877"/>
      <c r="W313" s="877"/>
      <c r="X313" s="877"/>
      <c r="Y313" s="877"/>
      <c r="Z313" s="877"/>
      <c r="AA313" s="877"/>
      <c r="AB313" s="877"/>
      <c r="AC313" s="877"/>
      <c r="AD313" s="877"/>
      <c r="AE313" s="877"/>
      <c r="AF313" s="877"/>
      <c r="AG313" s="877"/>
      <c r="AH313" s="877"/>
      <c r="AI313" s="878"/>
      <c r="AJ313" s="877"/>
      <c r="AK313" s="877"/>
      <c r="AL313" s="877"/>
      <c r="AM313" s="879"/>
      <c r="AN313" s="877"/>
      <c r="AO313" s="877"/>
      <c r="AP313" s="877"/>
      <c r="AQ313" s="877"/>
      <c r="AR313" s="877"/>
      <c r="AS313" s="877"/>
      <c r="AT313" s="887">
        <f>SUM(AT293:AT312)</f>
        <v>0</v>
      </c>
      <c r="AU313" s="887">
        <f>SUM(AU293:AU312)</f>
        <v>0</v>
      </c>
      <c r="AV313" s="887">
        <f>SUM(AV293:AV312)</f>
        <v>0</v>
      </c>
      <c r="AW313" s="887">
        <f>SUM(AW293:AW312)</f>
        <v>0</v>
      </c>
      <c r="AX313" s="887">
        <f>AX292+AT313-AV313</f>
        <v>3000</v>
      </c>
      <c r="AY313" s="887">
        <f>AY292+AU313-AW313</f>
        <v>3000</v>
      </c>
      <c r="AZ313" s="877"/>
      <c r="BA313" s="877"/>
      <c r="BB313" s="877"/>
      <c r="BC313" s="877"/>
      <c r="BD313" s="877"/>
      <c r="BE313" s="877"/>
      <c r="BF313" s="877"/>
      <c r="BG313" s="877"/>
      <c r="BH313" s="877"/>
    </row>
    <row r="314" spans="22:60" ht="35.25" customHeight="1" x14ac:dyDescent="0.5">
      <c r="V314" s="877"/>
      <c r="W314" s="877"/>
      <c r="X314" s="877"/>
      <c r="Y314" s="877"/>
      <c r="Z314" s="877"/>
      <c r="AA314" s="877"/>
      <c r="AB314" s="877"/>
      <c r="AC314" s="877"/>
      <c r="AD314" s="877"/>
      <c r="AE314" s="877"/>
      <c r="AF314" s="877"/>
      <c r="AG314" s="877"/>
      <c r="AH314" s="877"/>
      <c r="AI314" s="878"/>
      <c r="AJ314" s="877"/>
      <c r="AK314" s="877">
        <v>181</v>
      </c>
      <c r="AL314" s="877">
        <v>1</v>
      </c>
      <c r="AM314" s="921" t="str">
        <f t="shared" ref="AM314:AM333" si="129">IFERROR(VLOOKUP(AL314,$AG$10:$AW$111,7,0),"")</f>
        <v/>
      </c>
      <c r="AN314" s="887" t="str">
        <f t="shared" ref="AN314:AN333" si="130">IFERROR(VLOOKUP(AL314,$AG$10:$AW$111,8,0),"")</f>
        <v/>
      </c>
      <c r="AO314" s="887" t="str">
        <f t="shared" ref="AO314:AO333" si="131">IFERROR(VLOOKUP(AL314,$AG$10:$AW$111,9,0),"")</f>
        <v/>
      </c>
      <c r="AP314" s="887" t="str">
        <f t="shared" ref="AP314:AP333" si="132">IFERROR(VLOOKUP(AL314,$AG$10:$AW$111,10,0),"")</f>
        <v/>
      </c>
      <c r="AQ314" s="887" t="str">
        <f t="shared" ref="AQ314:AQ333" si="133">IFERROR(VLOOKUP(AL314,$AG$10:$AW$111,11,0),"")</f>
        <v/>
      </c>
      <c r="AR314" s="887" t="str">
        <f t="shared" ref="AR314:AR333" si="134">IFERROR(VLOOKUP(AL314,$AG$10:$AW$111,12,0),"")</f>
        <v/>
      </c>
      <c r="AS314" s="887" t="str">
        <f t="shared" ref="AS314:AS333" si="135">IFERROR(VLOOKUP(AL314,$AG$10:$AW$111,13,0),"")</f>
        <v/>
      </c>
      <c r="AT314" s="887" t="str">
        <f t="shared" ref="AT314:AT333" si="136">IFERROR(VLOOKUP(AL314,$AG$10:$AW$111,14,0),"")</f>
        <v/>
      </c>
      <c r="AU314" s="887" t="str">
        <f t="shared" ref="AU314:AU333" si="137">IFERROR(VLOOKUP(AL314,$AG$10:$AW$111,15,0),"")</f>
        <v/>
      </c>
      <c r="AV314" s="887" t="str">
        <f t="shared" ref="AV314:AV333" si="138">IFERROR(VLOOKUP(AL314,$AG$10:$AW$111,16,0),"")</f>
        <v/>
      </c>
      <c r="AW314" s="887" t="str">
        <f t="shared" ref="AW314:AW333" si="139">IFERROR(VLOOKUP(AL314,$AG$10:$AW$111,17,0),"")</f>
        <v/>
      </c>
      <c r="AX314" s="887" t="str">
        <f>IFERROR(AX312+AT314-AV314,"")</f>
        <v/>
      </c>
      <c r="AY314" s="887" t="str">
        <f>IFERROR(AY312+AU314-AW314,"")</f>
        <v/>
      </c>
      <c r="AZ314" s="877"/>
      <c r="BA314" s="877"/>
      <c r="BB314" s="877"/>
      <c r="BC314" s="877"/>
      <c r="BD314" s="877"/>
      <c r="BE314" s="877"/>
      <c r="BF314" s="877"/>
      <c r="BG314" s="877"/>
      <c r="BH314" s="877"/>
    </row>
    <row r="315" spans="22:60" ht="35.25" customHeight="1" x14ac:dyDescent="0.5">
      <c r="V315" s="877"/>
      <c r="W315" s="877"/>
      <c r="X315" s="877"/>
      <c r="Y315" s="877"/>
      <c r="Z315" s="877"/>
      <c r="AA315" s="877"/>
      <c r="AB315" s="877"/>
      <c r="AC315" s="877"/>
      <c r="AD315" s="877"/>
      <c r="AE315" s="877"/>
      <c r="AF315" s="877"/>
      <c r="AG315" s="877"/>
      <c r="AH315" s="877"/>
      <c r="AI315" s="878"/>
      <c r="AJ315" s="877"/>
      <c r="AK315" s="877">
        <v>182</v>
      </c>
      <c r="AL315" s="877">
        <v>2</v>
      </c>
      <c r="AM315" s="921" t="str">
        <f t="shared" si="129"/>
        <v/>
      </c>
      <c r="AN315" s="887" t="str">
        <f t="shared" si="130"/>
        <v/>
      </c>
      <c r="AO315" s="887" t="str">
        <f t="shared" si="131"/>
        <v/>
      </c>
      <c r="AP315" s="887" t="str">
        <f t="shared" si="132"/>
        <v/>
      </c>
      <c r="AQ315" s="887" t="str">
        <f t="shared" si="133"/>
        <v/>
      </c>
      <c r="AR315" s="887" t="str">
        <f t="shared" si="134"/>
        <v/>
      </c>
      <c r="AS315" s="887" t="str">
        <f t="shared" si="135"/>
        <v/>
      </c>
      <c r="AT315" s="887" t="str">
        <f t="shared" si="136"/>
        <v/>
      </c>
      <c r="AU315" s="887" t="str">
        <f t="shared" si="137"/>
        <v/>
      </c>
      <c r="AV315" s="887" t="str">
        <f t="shared" si="138"/>
        <v/>
      </c>
      <c r="AW315" s="887" t="str">
        <f t="shared" si="139"/>
        <v/>
      </c>
      <c r="AX315" s="887" t="str">
        <f t="shared" si="105"/>
        <v/>
      </c>
      <c r="AY315" s="887" t="str">
        <f t="shared" si="106"/>
        <v/>
      </c>
      <c r="AZ315" s="877"/>
      <c r="BA315" s="877"/>
      <c r="BB315" s="877"/>
      <c r="BC315" s="877"/>
      <c r="BD315" s="877"/>
      <c r="BE315" s="877"/>
      <c r="BF315" s="877"/>
      <c r="BG315" s="877"/>
      <c r="BH315" s="877"/>
    </row>
    <row r="316" spans="22:60" ht="35.25" customHeight="1" x14ac:dyDescent="0.5">
      <c r="V316" s="877"/>
      <c r="W316" s="877"/>
      <c r="X316" s="877"/>
      <c r="Y316" s="877"/>
      <c r="Z316" s="877"/>
      <c r="AA316" s="877"/>
      <c r="AB316" s="877"/>
      <c r="AC316" s="877"/>
      <c r="AD316" s="877"/>
      <c r="AE316" s="877"/>
      <c r="AF316" s="877"/>
      <c r="AG316" s="877"/>
      <c r="AH316" s="877"/>
      <c r="AI316" s="878"/>
      <c r="AJ316" s="877"/>
      <c r="AK316" s="877">
        <v>183</v>
      </c>
      <c r="AL316" s="877">
        <v>3</v>
      </c>
      <c r="AM316" s="921" t="str">
        <f t="shared" si="129"/>
        <v/>
      </c>
      <c r="AN316" s="887" t="str">
        <f t="shared" si="130"/>
        <v/>
      </c>
      <c r="AO316" s="887" t="str">
        <f t="shared" si="131"/>
        <v/>
      </c>
      <c r="AP316" s="887" t="str">
        <f t="shared" si="132"/>
        <v/>
      </c>
      <c r="AQ316" s="887" t="str">
        <f t="shared" si="133"/>
        <v/>
      </c>
      <c r="AR316" s="887" t="str">
        <f t="shared" si="134"/>
        <v/>
      </c>
      <c r="AS316" s="887" t="str">
        <f t="shared" si="135"/>
        <v/>
      </c>
      <c r="AT316" s="887" t="str">
        <f t="shared" si="136"/>
        <v/>
      </c>
      <c r="AU316" s="887" t="str">
        <f t="shared" si="137"/>
        <v/>
      </c>
      <c r="AV316" s="887" t="str">
        <f t="shared" si="138"/>
        <v/>
      </c>
      <c r="AW316" s="887" t="str">
        <f t="shared" si="139"/>
        <v/>
      </c>
      <c r="AX316" s="887" t="str">
        <f t="shared" si="105"/>
        <v/>
      </c>
      <c r="AY316" s="887" t="str">
        <f t="shared" si="106"/>
        <v/>
      </c>
      <c r="AZ316" s="877"/>
      <c r="BA316" s="877"/>
      <c r="BB316" s="877"/>
      <c r="BC316" s="877"/>
      <c r="BD316" s="877"/>
      <c r="BE316" s="877"/>
      <c r="BF316" s="877"/>
      <c r="BG316" s="877"/>
      <c r="BH316" s="877"/>
    </row>
    <row r="317" spans="22:60" ht="35.25" customHeight="1" x14ac:dyDescent="0.5">
      <c r="V317" s="877"/>
      <c r="W317" s="877"/>
      <c r="X317" s="877"/>
      <c r="Y317" s="877"/>
      <c r="Z317" s="877"/>
      <c r="AA317" s="877"/>
      <c r="AB317" s="877"/>
      <c r="AC317" s="877"/>
      <c r="AD317" s="877"/>
      <c r="AE317" s="877"/>
      <c r="AF317" s="877"/>
      <c r="AG317" s="877"/>
      <c r="AH317" s="877"/>
      <c r="AI317" s="878"/>
      <c r="AJ317" s="877"/>
      <c r="AK317" s="877">
        <v>184</v>
      </c>
      <c r="AL317" s="877">
        <v>4</v>
      </c>
      <c r="AM317" s="921" t="str">
        <f t="shared" si="129"/>
        <v/>
      </c>
      <c r="AN317" s="887" t="str">
        <f t="shared" si="130"/>
        <v/>
      </c>
      <c r="AO317" s="887" t="str">
        <f t="shared" si="131"/>
        <v/>
      </c>
      <c r="AP317" s="887" t="str">
        <f t="shared" si="132"/>
        <v/>
      </c>
      <c r="AQ317" s="887" t="str">
        <f t="shared" si="133"/>
        <v/>
      </c>
      <c r="AR317" s="887" t="str">
        <f t="shared" si="134"/>
        <v/>
      </c>
      <c r="AS317" s="887" t="str">
        <f t="shared" si="135"/>
        <v/>
      </c>
      <c r="AT317" s="887" t="str">
        <f t="shared" si="136"/>
        <v/>
      </c>
      <c r="AU317" s="887" t="str">
        <f t="shared" si="137"/>
        <v/>
      </c>
      <c r="AV317" s="887" t="str">
        <f t="shared" si="138"/>
        <v/>
      </c>
      <c r="AW317" s="887" t="str">
        <f t="shared" si="139"/>
        <v/>
      </c>
      <c r="AX317" s="887" t="str">
        <f t="shared" si="105"/>
        <v/>
      </c>
      <c r="AY317" s="887" t="str">
        <f t="shared" si="106"/>
        <v/>
      </c>
      <c r="AZ317" s="877"/>
      <c r="BA317" s="877"/>
      <c r="BB317" s="877"/>
      <c r="BC317" s="877"/>
      <c r="BD317" s="877"/>
      <c r="BE317" s="877"/>
      <c r="BF317" s="877"/>
      <c r="BG317" s="877"/>
      <c r="BH317" s="877"/>
    </row>
    <row r="318" spans="22:60" ht="35.25" customHeight="1" x14ac:dyDescent="0.5">
      <c r="V318" s="877"/>
      <c r="W318" s="877"/>
      <c r="X318" s="877"/>
      <c r="Y318" s="877"/>
      <c r="Z318" s="877"/>
      <c r="AA318" s="877"/>
      <c r="AB318" s="877"/>
      <c r="AC318" s="877"/>
      <c r="AD318" s="877"/>
      <c r="AE318" s="877"/>
      <c r="AF318" s="877"/>
      <c r="AG318" s="877"/>
      <c r="AH318" s="877"/>
      <c r="AI318" s="878"/>
      <c r="AJ318" s="877"/>
      <c r="AK318" s="877">
        <v>185</v>
      </c>
      <c r="AL318" s="877">
        <v>5</v>
      </c>
      <c r="AM318" s="921" t="str">
        <f t="shared" si="129"/>
        <v/>
      </c>
      <c r="AN318" s="887" t="str">
        <f t="shared" si="130"/>
        <v/>
      </c>
      <c r="AO318" s="887" t="str">
        <f t="shared" si="131"/>
        <v/>
      </c>
      <c r="AP318" s="887" t="str">
        <f t="shared" si="132"/>
        <v/>
      </c>
      <c r="AQ318" s="887" t="str">
        <f t="shared" si="133"/>
        <v/>
      </c>
      <c r="AR318" s="887" t="str">
        <f t="shared" si="134"/>
        <v/>
      </c>
      <c r="AS318" s="887" t="str">
        <f t="shared" si="135"/>
        <v/>
      </c>
      <c r="AT318" s="887" t="str">
        <f t="shared" si="136"/>
        <v/>
      </c>
      <c r="AU318" s="887" t="str">
        <f t="shared" si="137"/>
        <v/>
      </c>
      <c r="AV318" s="887" t="str">
        <f t="shared" si="138"/>
        <v/>
      </c>
      <c r="AW318" s="887" t="str">
        <f t="shared" si="139"/>
        <v/>
      </c>
      <c r="AX318" s="887" t="str">
        <f t="shared" si="105"/>
        <v/>
      </c>
      <c r="AY318" s="887" t="str">
        <f t="shared" si="106"/>
        <v/>
      </c>
      <c r="AZ318" s="877"/>
      <c r="BA318" s="877"/>
      <c r="BB318" s="877"/>
      <c r="BC318" s="877"/>
      <c r="BD318" s="877"/>
      <c r="BE318" s="877"/>
      <c r="BF318" s="877"/>
      <c r="BG318" s="877"/>
      <c r="BH318" s="877"/>
    </row>
    <row r="319" spans="22:60" ht="35.25" customHeight="1" x14ac:dyDescent="0.5">
      <c r="V319" s="877"/>
      <c r="W319" s="877"/>
      <c r="X319" s="877"/>
      <c r="Y319" s="877"/>
      <c r="Z319" s="877"/>
      <c r="AA319" s="877"/>
      <c r="AB319" s="877"/>
      <c r="AC319" s="877"/>
      <c r="AD319" s="877"/>
      <c r="AE319" s="877"/>
      <c r="AF319" s="877"/>
      <c r="AG319" s="877"/>
      <c r="AH319" s="877"/>
      <c r="AI319" s="878"/>
      <c r="AJ319" s="877"/>
      <c r="AK319" s="877">
        <v>186</v>
      </c>
      <c r="AL319" s="877">
        <v>6</v>
      </c>
      <c r="AM319" s="921" t="str">
        <f t="shared" si="129"/>
        <v/>
      </c>
      <c r="AN319" s="887" t="str">
        <f t="shared" si="130"/>
        <v/>
      </c>
      <c r="AO319" s="887" t="str">
        <f t="shared" si="131"/>
        <v/>
      </c>
      <c r="AP319" s="887" t="str">
        <f t="shared" si="132"/>
        <v/>
      </c>
      <c r="AQ319" s="887" t="str">
        <f t="shared" si="133"/>
        <v/>
      </c>
      <c r="AR319" s="887" t="str">
        <f t="shared" si="134"/>
        <v/>
      </c>
      <c r="AS319" s="887" t="str">
        <f t="shared" si="135"/>
        <v/>
      </c>
      <c r="AT319" s="887" t="str">
        <f t="shared" si="136"/>
        <v/>
      </c>
      <c r="AU319" s="887" t="str">
        <f t="shared" si="137"/>
        <v/>
      </c>
      <c r="AV319" s="887" t="str">
        <f t="shared" si="138"/>
        <v/>
      </c>
      <c r="AW319" s="887" t="str">
        <f t="shared" si="139"/>
        <v/>
      </c>
      <c r="AX319" s="887" t="str">
        <f t="shared" si="105"/>
        <v/>
      </c>
      <c r="AY319" s="887" t="str">
        <f t="shared" si="106"/>
        <v/>
      </c>
      <c r="AZ319" s="877"/>
      <c r="BA319" s="877"/>
      <c r="BB319" s="877"/>
      <c r="BC319" s="877"/>
      <c r="BD319" s="877"/>
      <c r="BE319" s="877"/>
      <c r="BF319" s="877"/>
      <c r="BG319" s="877"/>
      <c r="BH319" s="877"/>
    </row>
    <row r="320" spans="22:60" ht="35.25" customHeight="1" x14ac:dyDescent="0.5">
      <c r="V320" s="877"/>
      <c r="W320" s="877"/>
      <c r="X320" s="877"/>
      <c r="Y320" s="877"/>
      <c r="Z320" s="877"/>
      <c r="AA320" s="877"/>
      <c r="AB320" s="877"/>
      <c r="AC320" s="877"/>
      <c r="AD320" s="877"/>
      <c r="AE320" s="877"/>
      <c r="AF320" s="877"/>
      <c r="AG320" s="877"/>
      <c r="AH320" s="877"/>
      <c r="AI320" s="878"/>
      <c r="AJ320" s="877"/>
      <c r="AK320" s="877">
        <v>187</v>
      </c>
      <c r="AL320" s="877">
        <v>7</v>
      </c>
      <c r="AM320" s="921" t="str">
        <f t="shared" si="129"/>
        <v/>
      </c>
      <c r="AN320" s="887" t="str">
        <f t="shared" si="130"/>
        <v/>
      </c>
      <c r="AO320" s="887" t="str">
        <f t="shared" si="131"/>
        <v/>
      </c>
      <c r="AP320" s="887" t="str">
        <f t="shared" si="132"/>
        <v/>
      </c>
      <c r="AQ320" s="887" t="str">
        <f t="shared" si="133"/>
        <v/>
      </c>
      <c r="AR320" s="887" t="str">
        <f t="shared" si="134"/>
        <v/>
      </c>
      <c r="AS320" s="887" t="str">
        <f t="shared" si="135"/>
        <v/>
      </c>
      <c r="AT320" s="887" t="str">
        <f t="shared" si="136"/>
        <v/>
      </c>
      <c r="AU320" s="887" t="str">
        <f t="shared" si="137"/>
        <v/>
      </c>
      <c r="AV320" s="887" t="str">
        <f t="shared" si="138"/>
        <v/>
      </c>
      <c r="AW320" s="887" t="str">
        <f t="shared" si="139"/>
        <v/>
      </c>
      <c r="AX320" s="887" t="str">
        <f t="shared" si="105"/>
        <v/>
      </c>
      <c r="AY320" s="887" t="str">
        <f t="shared" si="106"/>
        <v/>
      </c>
      <c r="AZ320" s="877"/>
      <c r="BA320" s="877"/>
      <c r="BB320" s="877"/>
      <c r="BC320" s="877"/>
      <c r="BD320" s="877"/>
      <c r="BE320" s="877"/>
      <c r="BF320" s="877"/>
      <c r="BG320" s="877"/>
      <c r="BH320" s="877"/>
    </row>
    <row r="321" spans="22:60" ht="35.25" customHeight="1" x14ac:dyDescent="0.5">
      <c r="V321" s="877"/>
      <c r="W321" s="877"/>
      <c r="X321" s="877"/>
      <c r="Y321" s="877"/>
      <c r="Z321" s="877"/>
      <c r="AA321" s="877"/>
      <c r="AB321" s="877"/>
      <c r="AC321" s="877"/>
      <c r="AD321" s="877"/>
      <c r="AE321" s="877"/>
      <c r="AF321" s="877"/>
      <c r="AG321" s="877"/>
      <c r="AH321" s="877"/>
      <c r="AI321" s="878"/>
      <c r="AJ321" s="877"/>
      <c r="AK321" s="877">
        <v>188</v>
      </c>
      <c r="AL321" s="877">
        <v>8</v>
      </c>
      <c r="AM321" s="921" t="str">
        <f t="shared" si="129"/>
        <v/>
      </c>
      <c r="AN321" s="887" t="str">
        <f t="shared" si="130"/>
        <v/>
      </c>
      <c r="AO321" s="887" t="str">
        <f t="shared" si="131"/>
        <v/>
      </c>
      <c r="AP321" s="887" t="str">
        <f t="shared" si="132"/>
        <v/>
      </c>
      <c r="AQ321" s="887" t="str">
        <f t="shared" si="133"/>
        <v/>
      </c>
      <c r="AR321" s="887" t="str">
        <f t="shared" si="134"/>
        <v/>
      </c>
      <c r="AS321" s="887" t="str">
        <f t="shared" si="135"/>
        <v/>
      </c>
      <c r="AT321" s="887" t="str">
        <f t="shared" si="136"/>
        <v/>
      </c>
      <c r="AU321" s="887" t="str">
        <f t="shared" si="137"/>
        <v/>
      </c>
      <c r="AV321" s="887" t="str">
        <f t="shared" si="138"/>
        <v/>
      </c>
      <c r="AW321" s="887" t="str">
        <f t="shared" si="139"/>
        <v/>
      </c>
      <c r="AX321" s="887" t="str">
        <f t="shared" si="105"/>
        <v/>
      </c>
      <c r="AY321" s="887" t="str">
        <f t="shared" si="106"/>
        <v/>
      </c>
      <c r="AZ321" s="877"/>
      <c r="BA321" s="877"/>
      <c r="BB321" s="877"/>
      <c r="BC321" s="877"/>
      <c r="BD321" s="877"/>
      <c r="BE321" s="877"/>
      <c r="BF321" s="877"/>
      <c r="BG321" s="877"/>
      <c r="BH321" s="877"/>
    </row>
    <row r="322" spans="22:60" ht="35.25" customHeight="1" x14ac:dyDescent="0.5">
      <c r="V322" s="877"/>
      <c r="W322" s="877"/>
      <c r="X322" s="877"/>
      <c r="Y322" s="877"/>
      <c r="Z322" s="877"/>
      <c r="AA322" s="877"/>
      <c r="AB322" s="877"/>
      <c r="AC322" s="877"/>
      <c r="AD322" s="877"/>
      <c r="AE322" s="877"/>
      <c r="AF322" s="877"/>
      <c r="AG322" s="877"/>
      <c r="AH322" s="877"/>
      <c r="AI322" s="878"/>
      <c r="AJ322" s="877"/>
      <c r="AK322" s="877">
        <v>189</v>
      </c>
      <c r="AL322" s="877">
        <v>9</v>
      </c>
      <c r="AM322" s="921" t="str">
        <f t="shared" si="129"/>
        <v/>
      </c>
      <c r="AN322" s="887" t="str">
        <f t="shared" si="130"/>
        <v/>
      </c>
      <c r="AO322" s="887" t="str">
        <f t="shared" si="131"/>
        <v/>
      </c>
      <c r="AP322" s="887" t="str">
        <f t="shared" si="132"/>
        <v/>
      </c>
      <c r="AQ322" s="887" t="str">
        <f t="shared" si="133"/>
        <v/>
      </c>
      <c r="AR322" s="887" t="str">
        <f t="shared" si="134"/>
        <v/>
      </c>
      <c r="AS322" s="887" t="str">
        <f t="shared" si="135"/>
        <v/>
      </c>
      <c r="AT322" s="887" t="str">
        <f t="shared" si="136"/>
        <v/>
      </c>
      <c r="AU322" s="887" t="str">
        <f t="shared" si="137"/>
        <v/>
      </c>
      <c r="AV322" s="887" t="str">
        <f t="shared" si="138"/>
        <v/>
      </c>
      <c r="AW322" s="887" t="str">
        <f t="shared" si="139"/>
        <v/>
      </c>
      <c r="AX322" s="887" t="str">
        <f t="shared" si="105"/>
        <v/>
      </c>
      <c r="AY322" s="887" t="str">
        <f t="shared" si="106"/>
        <v/>
      </c>
      <c r="AZ322" s="877"/>
      <c r="BA322" s="877"/>
      <c r="BB322" s="877"/>
      <c r="BC322" s="877"/>
      <c r="BD322" s="877"/>
      <c r="BE322" s="877"/>
      <c r="BF322" s="877"/>
      <c r="BG322" s="877"/>
      <c r="BH322" s="877"/>
    </row>
    <row r="323" spans="22:60" ht="35.25" customHeight="1" x14ac:dyDescent="0.5">
      <c r="V323" s="877"/>
      <c r="W323" s="877"/>
      <c r="X323" s="877"/>
      <c r="Y323" s="877"/>
      <c r="Z323" s="877"/>
      <c r="AA323" s="877"/>
      <c r="AB323" s="877"/>
      <c r="AC323" s="877"/>
      <c r="AD323" s="877"/>
      <c r="AE323" s="877"/>
      <c r="AF323" s="877"/>
      <c r="AG323" s="877"/>
      <c r="AH323" s="877"/>
      <c r="AI323" s="878"/>
      <c r="AJ323" s="877"/>
      <c r="AK323" s="877">
        <v>190</v>
      </c>
      <c r="AL323" s="877">
        <v>10</v>
      </c>
      <c r="AM323" s="921" t="str">
        <f t="shared" si="129"/>
        <v/>
      </c>
      <c r="AN323" s="887" t="str">
        <f t="shared" si="130"/>
        <v/>
      </c>
      <c r="AO323" s="887" t="str">
        <f t="shared" si="131"/>
        <v/>
      </c>
      <c r="AP323" s="887" t="str">
        <f t="shared" si="132"/>
        <v/>
      </c>
      <c r="AQ323" s="887" t="str">
        <f t="shared" si="133"/>
        <v/>
      </c>
      <c r="AR323" s="887" t="str">
        <f t="shared" si="134"/>
        <v/>
      </c>
      <c r="AS323" s="887" t="str">
        <f t="shared" si="135"/>
        <v/>
      </c>
      <c r="AT323" s="887" t="str">
        <f t="shared" si="136"/>
        <v/>
      </c>
      <c r="AU323" s="887" t="str">
        <f t="shared" si="137"/>
        <v/>
      </c>
      <c r="AV323" s="887" t="str">
        <f t="shared" si="138"/>
        <v/>
      </c>
      <c r="AW323" s="887" t="str">
        <f t="shared" si="139"/>
        <v/>
      </c>
      <c r="AX323" s="887" t="str">
        <f t="shared" si="105"/>
        <v/>
      </c>
      <c r="AY323" s="887" t="str">
        <f t="shared" si="106"/>
        <v/>
      </c>
      <c r="AZ323" s="877"/>
      <c r="BA323" s="877"/>
      <c r="BB323" s="877"/>
      <c r="BC323" s="877"/>
      <c r="BD323" s="877"/>
      <c r="BE323" s="877"/>
      <c r="BF323" s="877"/>
      <c r="BG323" s="877"/>
      <c r="BH323" s="877"/>
    </row>
    <row r="324" spans="22:60" ht="35.25" customHeight="1" x14ac:dyDescent="0.5">
      <c r="V324" s="877"/>
      <c r="W324" s="877"/>
      <c r="X324" s="877"/>
      <c r="Y324" s="877"/>
      <c r="Z324" s="877"/>
      <c r="AA324" s="877"/>
      <c r="AB324" s="877"/>
      <c r="AC324" s="877"/>
      <c r="AD324" s="877"/>
      <c r="AE324" s="877"/>
      <c r="AF324" s="877"/>
      <c r="AG324" s="877"/>
      <c r="AH324" s="877"/>
      <c r="AI324" s="878"/>
      <c r="AJ324" s="877"/>
      <c r="AK324" s="877">
        <v>191</v>
      </c>
      <c r="AL324" s="877">
        <v>11</v>
      </c>
      <c r="AM324" s="921" t="str">
        <f t="shared" si="129"/>
        <v/>
      </c>
      <c r="AN324" s="887" t="str">
        <f t="shared" si="130"/>
        <v/>
      </c>
      <c r="AO324" s="887" t="str">
        <f t="shared" si="131"/>
        <v/>
      </c>
      <c r="AP324" s="887" t="str">
        <f t="shared" si="132"/>
        <v/>
      </c>
      <c r="AQ324" s="887" t="str">
        <f t="shared" si="133"/>
        <v/>
      </c>
      <c r="AR324" s="887" t="str">
        <f t="shared" si="134"/>
        <v/>
      </c>
      <c r="AS324" s="887" t="str">
        <f t="shared" si="135"/>
        <v/>
      </c>
      <c r="AT324" s="887" t="str">
        <f t="shared" si="136"/>
        <v/>
      </c>
      <c r="AU324" s="887" t="str">
        <f t="shared" si="137"/>
        <v/>
      </c>
      <c r="AV324" s="887" t="str">
        <f t="shared" si="138"/>
        <v/>
      </c>
      <c r="AW324" s="887" t="str">
        <f t="shared" si="139"/>
        <v/>
      </c>
      <c r="AX324" s="887" t="str">
        <f t="shared" si="105"/>
        <v/>
      </c>
      <c r="AY324" s="887" t="str">
        <f t="shared" si="106"/>
        <v/>
      </c>
      <c r="AZ324" s="877"/>
      <c r="BA324" s="877"/>
      <c r="BB324" s="877"/>
      <c r="BC324" s="877"/>
      <c r="BD324" s="877"/>
      <c r="BE324" s="877"/>
      <c r="BF324" s="877"/>
      <c r="BG324" s="877"/>
      <c r="BH324" s="877"/>
    </row>
    <row r="325" spans="22:60" ht="35.25" customHeight="1" x14ac:dyDescent="0.5">
      <c r="V325" s="877"/>
      <c r="W325" s="877"/>
      <c r="X325" s="877"/>
      <c r="Y325" s="877"/>
      <c r="Z325" s="877"/>
      <c r="AA325" s="877"/>
      <c r="AB325" s="877"/>
      <c r="AC325" s="877"/>
      <c r="AD325" s="877"/>
      <c r="AE325" s="877"/>
      <c r="AF325" s="877"/>
      <c r="AG325" s="877"/>
      <c r="AH325" s="877"/>
      <c r="AI325" s="878"/>
      <c r="AJ325" s="877"/>
      <c r="AK325" s="877">
        <v>192</v>
      </c>
      <c r="AL325" s="877">
        <v>12</v>
      </c>
      <c r="AM325" s="921" t="str">
        <f t="shared" si="129"/>
        <v/>
      </c>
      <c r="AN325" s="887" t="str">
        <f t="shared" si="130"/>
        <v/>
      </c>
      <c r="AO325" s="887" t="str">
        <f t="shared" si="131"/>
        <v/>
      </c>
      <c r="AP325" s="887" t="str">
        <f t="shared" si="132"/>
        <v/>
      </c>
      <c r="AQ325" s="887" t="str">
        <f t="shared" si="133"/>
        <v/>
      </c>
      <c r="AR325" s="887" t="str">
        <f t="shared" si="134"/>
        <v/>
      </c>
      <c r="AS325" s="887" t="str">
        <f t="shared" si="135"/>
        <v/>
      </c>
      <c r="AT325" s="887" t="str">
        <f t="shared" si="136"/>
        <v/>
      </c>
      <c r="AU325" s="887" t="str">
        <f t="shared" si="137"/>
        <v/>
      </c>
      <c r="AV325" s="887" t="str">
        <f t="shared" si="138"/>
        <v/>
      </c>
      <c r="AW325" s="887" t="str">
        <f t="shared" si="139"/>
        <v/>
      </c>
      <c r="AX325" s="887" t="str">
        <f t="shared" si="105"/>
        <v/>
      </c>
      <c r="AY325" s="887" t="str">
        <f t="shared" si="106"/>
        <v/>
      </c>
      <c r="AZ325" s="877"/>
      <c r="BA325" s="877"/>
      <c r="BB325" s="877"/>
      <c r="BC325" s="877"/>
      <c r="BD325" s="877"/>
      <c r="BE325" s="877"/>
      <c r="BF325" s="877"/>
      <c r="BG325" s="877"/>
      <c r="BH325" s="877"/>
    </row>
    <row r="326" spans="22:60" ht="35.25" customHeight="1" x14ac:dyDescent="0.5">
      <c r="V326" s="877"/>
      <c r="W326" s="877"/>
      <c r="X326" s="877"/>
      <c r="Y326" s="877"/>
      <c r="Z326" s="877"/>
      <c r="AA326" s="877"/>
      <c r="AB326" s="877"/>
      <c r="AC326" s="877"/>
      <c r="AD326" s="877"/>
      <c r="AE326" s="877"/>
      <c r="AF326" s="877"/>
      <c r="AG326" s="877"/>
      <c r="AH326" s="877"/>
      <c r="AI326" s="878"/>
      <c r="AJ326" s="877"/>
      <c r="AK326" s="877">
        <v>193</v>
      </c>
      <c r="AL326" s="877">
        <v>13</v>
      </c>
      <c r="AM326" s="921" t="str">
        <f t="shared" si="129"/>
        <v/>
      </c>
      <c r="AN326" s="887" t="str">
        <f t="shared" si="130"/>
        <v/>
      </c>
      <c r="AO326" s="887" t="str">
        <f t="shared" si="131"/>
        <v/>
      </c>
      <c r="AP326" s="887" t="str">
        <f t="shared" si="132"/>
        <v/>
      </c>
      <c r="AQ326" s="887" t="str">
        <f t="shared" si="133"/>
        <v/>
      </c>
      <c r="AR326" s="887" t="str">
        <f t="shared" si="134"/>
        <v/>
      </c>
      <c r="AS326" s="887" t="str">
        <f t="shared" si="135"/>
        <v/>
      </c>
      <c r="AT326" s="887" t="str">
        <f t="shared" si="136"/>
        <v/>
      </c>
      <c r="AU326" s="887" t="str">
        <f t="shared" si="137"/>
        <v/>
      </c>
      <c r="AV326" s="887" t="str">
        <f t="shared" si="138"/>
        <v/>
      </c>
      <c r="AW326" s="887" t="str">
        <f t="shared" si="139"/>
        <v/>
      </c>
      <c r="AX326" s="887" t="str">
        <f t="shared" si="105"/>
        <v/>
      </c>
      <c r="AY326" s="887" t="str">
        <f t="shared" si="106"/>
        <v/>
      </c>
      <c r="AZ326" s="877"/>
      <c r="BA326" s="877"/>
      <c r="BB326" s="877"/>
      <c r="BC326" s="877"/>
      <c r="BD326" s="877"/>
      <c r="BE326" s="877"/>
      <c r="BF326" s="877"/>
      <c r="BG326" s="877"/>
      <c r="BH326" s="877"/>
    </row>
    <row r="327" spans="22:60" ht="35.25" customHeight="1" x14ac:dyDescent="0.5">
      <c r="V327" s="877"/>
      <c r="W327" s="877"/>
      <c r="X327" s="877"/>
      <c r="Y327" s="877"/>
      <c r="Z327" s="877"/>
      <c r="AA327" s="877"/>
      <c r="AB327" s="877"/>
      <c r="AC327" s="877"/>
      <c r="AD327" s="877"/>
      <c r="AE327" s="877"/>
      <c r="AF327" s="877"/>
      <c r="AG327" s="877"/>
      <c r="AH327" s="877"/>
      <c r="AI327" s="878"/>
      <c r="AJ327" s="877"/>
      <c r="AK327" s="877">
        <v>194</v>
      </c>
      <c r="AL327" s="877">
        <v>14</v>
      </c>
      <c r="AM327" s="921" t="str">
        <f t="shared" si="129"/>
        <v/>
      </c>
      <c r="AN327" s="887" t="str">
        <f t="shared" si="130"/>
        <v/>
      </c>
      <c r="AO327" s="887" t="str">
        <f t="shared" si="131"/>
        <v/>
      </c>
      <c r="AP327" s="887" t="str">
        <f t="shared" si="132"/>
        <v/>
      </c>
      <c r="AQ327" s="887" t="str">
        <f t="shared" si="133"/>
        <v/>
      </c>
      <c r="AR327" s="887" t="str">
        <f t="shared" si="134"/>
        <v/>
      </c>
      <c r="AS327" s="887" t="str">
        <f t="shared" si="135"/>
        <v/>
      </c>
      <c r="AT327" s="887" t="str">
        <f t="shared" si="136"/>
        <v/>
      </c>
      <c r="AU327" s="887" t="str">
        <f t="shared" si="137"/>
        <v/>
      </c>
      <c r="AV327" s="887" t="str">
        <f t="shared" si="138"/>
        <v/>
      </c>
      <c r="AW327" s="887" t="str">
        <f t="shared" si="139"/>
        <v/>
      </c>
      <c r="AX327" s="887" t="str">
        <f t="shared" ref="AX327:AX375" si="140">IFERROR(AX326+AT327-AV327,"")</f>
        <v/>
      </c>
      <c r="AY327" s="887" t="str">
        <f t="shared" ref="AY327:AY375" si="141">IFERROR(AY326+AU327-AW327,"")</f>
        <v/>
      </c>
      <c r="AZ327" s="877"/>
      <c r="BA327" s="877"/>
      <c r="BB327" s="877"/>
      <c r="BC327" s="877"/>
      <c r="BD327" s="877"/>
      <c r="BE327" s="877"/>
      <c r="BF327" s="877"/>
      <c r="BG327" s="877"/>
      <c r="BH327" s="877"/>
    </row>
    <row r="328" spans="22:60" ht="35.25" customHeight="1" x14ac:dyDescent="0.5">
      <c r="V328" s="877"/>
      <c r="W328" s="877"/>
      <c r="X328" s="877"/>
      <c r="Y328" s="877"/>
      <c r="Z328" s="877"/>
      <c r="AA328" s="877"/>
      <c r="AB328" s="877"/>
      <c r="AC328" s="877"/>
      <c r="AD328" s="877"/>
      <c r="AE328" s="877"/>
      <c r="AF328" s="877"/>
      <c r="AG328" s="877"/>
      <c r="AH328" s="877"/>
      <c r="AI328" s="878"/>
      <c r="AJ328" s="877"/>
      <c r="AK328" s="877">
        <v>195</v>
      </c>
      <c r="AL328" s="877">
        <v>15</v>
      </c>
      <c r="AM328" s="921" t="str">
        <f t="shared" si="129"/>
        <v/>
      </c>
      <c r="AN328" s="887" t="str">
        <f t="shared" si="130"/>
        <v/>
      </c>
      <c r="AO328" s="887" t="str">
        <f t="shared" si="131"/>
        <v/>
      </c>
      <c r="AP328" s="887" t="str">
        <f t="shared" si="132"/>
        <v/>
      </c>
      <c r="AQ328" s="887" t="str">
        <f t="shared" si="133"/>
        <v/>
      </c>
      <c r="AR328" s="887" t="str">
        <f t="shared" si="134"/>
        <v/>
      </c>
      <c r="AS328" s="887" t="str">
        <f t="shared" si="135"/>
        <v/>
      </c>
      <c r="AT328" s="887" t="str">
        <f t="shared" si="136"/>
        <v/>
      </c>
      <c r="AU328" s="887" t="str">
        <f t="shared" si="137"/>
        <v/>
      </c>
      <c r="AV328" s="887" t="str">
        <f t="shared" si="138"/>
        <v/>
      </c>
      <c r="AW328" s="887" t="str">
        <f t="shared" si="139"/>
        <v/>
      </c>
      <c r="AX328" s="887" t="str">
        <f t="shared" si="140"/>
        <v/>
      </c>
      <c r="AY328" s="887" t="str">
        <f t="shared" si="141"/>
        <v/>
      </c>
      <c r="AZ328" s="877"/>
      <c r="BA328" s="877"/>
      <c r="BB328" s="877"/>
      <c r="BC328" s="877"/>
      <c r="BD328" s="877"/>
      <c r="BE328" s="877"/>
      <c r="BF328" s="877"/>
      <c r="BG328" s="877"/>
      <c r="BH328" s="877"/>
    </row>
    <row r="329" spans="22:60" ht="35.25" customHeight="1" x14ac:dyDescent="0.5">
      <c r="V329" s="877"/>
      <c r="W329" s="877"/>
      <c r="X329" s="877"/>
      <c r="Y329" s="877"/>
      <c r="Z329" s="877"/>
      <c r="AA329" s="877"/>
      <c r="AB329" s="877"/>
      <c r="AC329" s="877"/>
      <c r="AD329" s="877"/>
      <c r="AE329" s="877"/>
      <c r="AF329" s="877"/>
      <c r="AG329" s="877"/>
      <c r="AH329" s="877"/>
      <c r="AI329" s="878"/>
      <c r="AJ329" s="877"/>
      <c r="AK329" s="877">
        <v>196</v>
      </c>
      <c r="AL329" s="877">
        <v>16</v>
      </c>
      <c r="AM329" s="921" t="str">
        <f t="shared" si="129"/>
        <v/>
      </c>
      <c r="AN329" s="887" t="str">
        <f t="shared" si="130"/>
        <v/>
      </c>
      <c r="AO329" s="887" t="str">
        <f t="shared" si="131"/>
        <v/>
      </c>
      <c r="AP329" s="887" t="str">
        <f t="shared" si="132"/>
        <v/>
      </c>
      <c r="AQ329" s="887" t="str">
        <f t="shared" si="133"/>
        <v/>
      </c>
      <c r="AR329" s="887" t="str">
        <f t="shared" si="134"/>
        <v/>
      </c>
      <c r="AS329" s="887" t="str">
        <f t="shared" si="135"/>
        <v/>
      </c>
      <c r="AT329" s="887" t="str">
        <f t="shared" si="136"/>
        <v/>
      </c>
      <c r="AU329" s="887" t="str">
        <f t="shared" si="137"/>
        <v/>
      </c>
      <c r="AV329" s="887" t="str">
        <f t="shared" si="138"/>
        <v/>
      </c>
      <c r="AW329" s="887" t="str">
        <f t="shared" si="139"/>
        <v/>
      </c>
      <c r="AX329" s="887" t="str">
        <f t="shared" si="140"/>
        <v/>
      </c>
      <c r="AY329" s="887" t="str">
        <f t="shared" si="141"/>
        <v/>
      </c>
      <c r="AZ329" s="877"/>
      <c r="BA329" s="877"/>
      <c r="BB329" s="877"/>
      <c r="BC329" s="877"/>
      <c r="BD329" s="877"/>
      <c r="BE329" s="877"/>
      <c r="BF329" s="877"/>
      <c r="BG329" s="877"/>
      <c r="BH329" s="877"/>
    </row>
    <row r="330" spans="22:60" ht="35.25" customHeight="1" x14ac:dyDescent="0.5">
      <c r="V330" s="877"/>
      <c r="W330" s="877"/>
      <c r="X330" s="877"/>
      <c r="Y330" s="877"/>
      <c r="Z330" s="877"/>
      <c r="AA330" s="877"/>
      <c r="AB330" s="877"/>
      <c r="AC330" s="877"/>
      <c r="AD330" s="877"/>
      <c r="AE330" s="877"/>
      <c r="AF330" s="877"/>
      <c r="AG330" s="877"/>
      <c r="AH330" s="877"/>
      <c r="AI330" s="878"/>
      <c r="AJ330" s="877"/>
      <c r="AK330" s="877">
        <v>197</v>
      </c>
      <c r="AL330" s="877">
        <v>17</v>
      </c>
      <c r="AM330" s="921" t="str">
        <f t="shared" si="129"/>
        <v/>
      </c>
      <c r="AN330" s="887" t="str">
        <f t="shared" si="130"/>
        <v/>
      </c>
      <c r="AO330" s="887" t="str">
        <f t="shared" si="131"/>
        <v/>
      </c>
      <c r="AP330" s="887" t="str">
        <f t="shared" si="132"/>
        <v/>
      </c>
      <c r="AQ330" s="887" t="str">
        <f t="shared" si="133"/>
        <v/>
      </c>
      <c r="AR330" s="887" t="str">
        <f t="shared" si="134"/>
        <v/>
      </c>
      <c r="AS330" s="887" t="str">
        <f t="shared" si="135"/>
        <v/>
      </c>
      <c r="AT330" s="887" t="str">
        <f t="shared" si="136"/>
        <v/>
      </c>
      <c r="AU330" s="887" t="str">
        <f t="shared" si="137"/>
        <v/>
      </c>
      <c r="AV330" s="887" t="str">
        <f t="shared" si="138"/>
        <v/>
      </c>
      <c r="AW330" s="887" t="str">
        <f t="shared" si="139"/>
        <v/>
      </c>
      <c r="AX330" s="887" t="str">
        <f t="shared" si="140"/>
        <v/>
      </c>
      <c r="AY330" s="887" t="str">
        <f t="shared" si="141"/>
        <v/>
      </c>
      <c r="AZ330" s="877"/>
      <c r="BA330" s="877"/>
      <c r="BB330" s="877"/>
      <c r="BC330" s="877"/>
      <c r="BD330" s="877"/>
      <c r="BE330" s="877"/>
      <c r="BF330" s="877"/>
      <c r="BG330" s="877"/>
      <c r="BH330" s="877"/>
    </row>
    <row r="331" spans="22:60" ht="35.25" customHeight="1" x14ac:dyDescent="0.5">
      <c r="V331" s="877"/>
      <c r="W331" s="877"/>
      <c r="X331" s="877"/>
      <c r="Y331" s="877"/>
      <c r="Z331" s="877"/>
      <c r="AA331" s="877"/>
      <c r="AB331" s="877"/>
      <c r="AC331" s="877"/>
      <c r="AD331" s="877"/>
      <c r="AE331" s="877"/>
      <c r="AF331" s="877"/>
      <c r="AG331" s="877"/>
      <c r="AH331" s="877"/>
      <c r="AI331" s="878"/>
      <c r="AJ331" s="877"/>
      <c r="AK331" s="877">
        <v>198</v>
      </c>
      <c r="AL331" s="877">
        <v>18</v>
      </c>
      <c r="AM331" s="921" t="str">
        <f t="shared" si="129"/>
        <v/>
      </c>
      <c r="AN331" s="887" t="str">
        <f t="shared" si="130"/>
        <v/>
      </c>
      <c r="AO331" s="887" t="str">
        <f t="shared" si="131"/>
        <v/>
      </c>
      <c r="AP331" s="887" t="str">
        <f t="shared" si="132"/>
        <v/>
      </c>
      <c r="AQ331" s="887" t="str">
        <f t="shared" si="133"/>
        <v/>
      </c>
      <c r="AR331" s="887" t="str">
        <f t="shared" si="134"/>
        <v/>
      </c>
      <c r="AS331" s="887" t="str">
        <f t="shared" si="135"/>
        <v/>
      </c>
      <c r="AT331" s="887" t="str">
        <f t="shared" si="136"/>
        <v/>
      </c>
      <c r="AU331" s="887" t="str">
        <f t="shared" si="137"/>
        <v/>
      </c>
      <c r="AV331" s="887" t="str">
        <f t="shared" si="138"/>
        <v/>
      </c>
      <c r="AW331" s="887" t="str">
        <f t="shared" si="139"/>
        <v/>
      </c>
      <c r="AX331" s="887" t="str">
        <f t="shared" si="140"/>
        <v/>
      </c>
      <c r="AY331" s="887" t="str">
        <f t="shared" si="141"/>
        <v/>
      </c>
      <c r="AZ331" s="877"/>
      <c r="BA331" s="877"/>
      <c r="BB331" s="877"/>
      <c r="BC331" s="877"/>
      <c r="BD331" s="877"/>
      <c r="BE331" s="877"/>
      <c r="BF331" s="877"/>
      <c r="BG331" s="877"/>
      <c r="BH331" s="877"/>
    </row>
    <row r="332" spans="22:60" ht="35.25" customHeight="1" x14ac:dyDescent="0.5">
      <c r="V332" s="877"/>
      <c r="W332" s="877"/>
      <c r="X332" s="877"/>
      <c r="Y332" s="877"/>
      <c r="Z332" s="877"/>
      <c r="AA332" s="877"/>
      <c r="AB332" s="877"/>
      <c r="AC332" s="877"/>
      <c r="AD332" s="877"/>
      <c r="AE332" s="877"/>
      <c r="AF332" s="877"/>
      <c r="AG332" s="877"/>
      <c r="AH332" s="877"/>
      <c r="AI332" s="878"/>
      <c r="AJ332" s="877"/>
      <c r="AK332" s="877">
        <v>199</v>
      </c>
      <c r="AL332" s="877">
        <v>19</v>
      </c>
      <c r="AM332" s="921" t="str">
        <f t="shared" si="129"/>
        <v/>
      </c>
      <c r="AN332" s="887" t="str">
        <f t="shared" si="130"/>
        <v/>
      </c>
      <c r="AO332" s="887" t="str">
        <f t="shared" si="131"/>
        <v/>
      </c>
      <c r="AP332" s="887" t="str">
        <f t="shared" si="132"/>
        <v/>
      </c>
      <c r="AQ332" s="887" t="str">
        <f t="shared" si="133"/>
        <v/>
      </c>
      <c r="AR332" s="887" t="str">
        <f t="shared" si="134"/>
        <v/>
      </c>
      <c r="AS332" s="887" t="str">
        <f t="shared" si="135"/>
        <v/>
      </c>
      <c r="AT332" s="887" t="str">
        <f t="shared" si="136"/>
        <v/>
      </c>
      <c r="AU332" s="887" t="str">
        <f t="shared" si="137"/>
        <v/>
      </c>
      <c r="AV332" s="887" t="str">
        <f t="shared" si="138"/>
        <v/>
      </c>
      <c r="AW332" s="887" t="str">
        <f t="shared" si="139"/>
        <v/>
      </c>
      <c r="AX332" s="887" t="str">
        <f t="shared" si="140"/>
        <v/>
      </c>
      <c r="AY332" s="887" t="str">
        <f t="shared" si="141"/>
        <v/>
      </c>
      <c r="AZ332" s="877"/>
      <c r="BA332" s="877"/>
      <c r="BB332" s="877"/>
      <c r="BC332" s="877"/>
      <c r="BD332" s="877"/>
      <c r="BE332" s="877"/>
      <c r="BF332" s="877"/>
      <c r="BG332" s="877"/>
      <c r="BH332" s="877"/>
    </row>
    <row r="333" spans="22:60" ht="35.25" customHeight="1" x14ac:dyDescent="0.5">
      <c r="V333" s="877"/>
      <c r="W333" s="877"/>
      <c r="X333" s="877"/>
      <c r="Y333" s="877"/>
      <c r="Z333" s="877"/>
      <c r="AA333" s="877"/>
      <c r="AB333" s="877"/>
      <c r="AC333" s="877"/>
      <c r="AD333" s="877"/>
      <c r="AE333" s="877"/>
      <c r="AF333" s="877"/>
      <c r="AG333" s="877"/>
      <c r="AH333" s="877"/>
      <c r="AI333" s="878"/>
      <c r="AJ333" s="877"/>
      <c r="AK333" s="877">
        <v>200</v>
      </c>
      <c r="AL333" s="877">
        <v>20</v>
      </c>
      <c r="AM333" s="921" t="str">
        <f t="shared" si="129"/>
        <v/>
      </c>
      <c r="AN333" s="887" t="str">
        <f t="shared" si="130"/>
        <v/>
      </c>
      <c r="AO333" s="887" t="str">
        <f t="shared" si="131"/>
        <v/>
      </c>
      <c r="AP333" s="887" t="str">
        <f t="shared" si="132"/>
        <v/>
      </c>
      <c r="AQ333" s="887" t="str">
        <f t="shared" si="133"/>
        <v/>
      </c>
      <c r="AR333" s="887" t="str">
        <f t="shared" si="134"/>
        <v/>
      </c>
      <c r="AS333" s="887" t="str">
        <f t="shared" si="135"/>
        <v/>
      </c>
      <c r="AT333" s="887" t="str">
        <f t="shared" si="136"/>
        <v/>
      </c>
      <c r="AU333" s="887" t="str">
        <f t="shared" si="137"/>
        <v/>
      </c>
      <c r="AV333" s="887" t="str">
        <f t="shared" si="138"/>
        <v/>
      </c>
      <c r="AW333" s="887" t="str">
        <f t="shared" si="139"/>
        <v/>
      </c>
      <c r="AX333" s="887" t="str">
        <f t="shared" si="140"/>
        <v/>
      </c>
      <c r="AY333" s="887" t="str">
        <f t="shared" si="141"/>
        <v/>
      </c>
      <c r="AZ333" s="877"/>
      <c r="BA333" s="877"/>
      <c r="BB333" s="877"/>
      <c r="BC333" s="877"/>
      <c r="BD333" s="877"/>
      <c r="BE333" s="877"/>
      <c r="BF333" s="877"/>
      <c r="BG333" s="877"/>
      <c r="BH333" s="877"/>
    </row>
    <row r="334" spans="22:60" ht="35.25" customHeight="1" x14ac:dyDescent="0.5">
      <c r="V334" s="877"/>
      <c r="W334" s="877"/>
      <c r="X334" s="877"/>
      <c r="Y334" s="877"/>
      <c r="Z334" s="877"/>
      <c r="AA334" s="877"/>
      <c r="AB334" s="877"/>
      <c r="AC334" s="877"/>
      <c r="AD334" s="877"/>
      <c r="AE334" s="877"/>
      <c r="AF334" s="877"/>
      <c r="AG334" s="877"/>
      <c r="AH334" s="877"/>
      <c r="AI334" s="878"/>
      <c r="AJ334" s="877"/>
      <c r="AK334" s="877"/>
      <c r="AL334" s="877"/>
      <c r="AM334" s="879"/>
      <c r="AN334" s="877"/>
      <c r="AO334" s="877"/>
      <c r="AP334" s="877"/>
      <c r="AQ334" s="877"/>
      <c r="AR334" s="877"/>
      <c r="AS334" s="877"/>
      <c r="AT334" s="887">
        <f>SUM(AT314:AT333)</f>
        <v>0</v>
      </c>
      <c r="AU334" s="887">
        <f>SUM(AU314:AU333)</f>
        <v>0</v>
      </c>
      <c r="AV334" s="887">
        <f>SUM(AV314:AV333)</f>
        <v>0</v>
      </c>
      <c r="AW334" s="887">
        <f>SUM(AW314:AW333)</f>
        <v>0</v>
      </c>
      <c r="AX334" s="887">
        <f>AX313+AT334-AV334</f>
        <v>3000</v>
      </c>
      <c r="AY334" s="887">
        <f>AY313+AU334-AW334</f>
        <v>3000</v>
      </c>
      <c r="AZ334" s="877"/>
      <c r="BA334" s="877"/>
      <c r="BB334" s="877"/>
      <c r="BC334" s="877"/>
      <c r="BD334" s="877"/>
      <c r="BE334" s="877"/>
      <c r="BF334" s="877"/>
      <c r="BG334" s="877"/>
      <c r="BH334" s="877"/>
    </row>
    <row r="335" spans="22:60" ht="35.25" customHeight="1" x14ac:dyDescent="0.5">
      <c r="V335" s="877"/>
      <c r="W335" s="877"/>
      <c r="X335" s="877"/>
      <c r="Y335" s="877"/>
      <c r="Z335" s="877"/>
      <c r="AA335" s="877"/>
      <c r="AB335" s="877"/>
      <c r="AC335" s="877"/>
      <c r="AD335" s="877"/>
      <c r="AE335" s="877"/>
      <c r="AF335" s="877"/>
      <c r="AG335" s="877"/>
      <c r="AH335" s="877"/>
      <c r="AI335" s="878"/>
      <c r="AJ335" s="877"/>
      <c r="AK335" s="877">
        <v>201</v>
      </c>
      <c r="AL335" s="877">
        <v>1</v>
      </c>
      <c r="AM335" s="921" t="str">
        <f t="shared" ref="AM335:AM354" si="142">IFERROR(VLOOKUP(AL335,$AH$10:$AW$111,6,0),"")</f>
        <v/>
      </c>
      <c r="AN335" s="887" t="str">
        <f t="shared" ref="AN335:AN354" si="143">IFERROR(VLOOKUP(AL335,$AH$10:$AW$111,7,0),"")</f>
        <v/>
      </c>
      <c r="AO335" s="887" t="str">
        <f t="shared" ref="AO335:AO354" si="144">IFERROR(VLOOKUP(AL335,$AH$10:$AW$111,8,0),"")</f>
        <v/>
      </c>
      <c r="AP335" s="887" t="str">
        <f t="shared" ref="AP335:AP354" si="145">IFERROR(VLOOKUP(AL335,$AH$10:$AW$111,9,0),"")</f>
        <v/>
      </c>
      <c r="AQ335" s="887" t="str">
        <f t="shared" ref="AQ335:AQ354" si="146">IFERROR(VLOOKUP(AL335,$AH$10:$AW$111,10,0),"")</f>
        <v/>
      </c>
      <c r="AR335" s="887" t="str">
        <f t="shared" ref="AR335:AR354" si="147">IFERROR(VLOOKUP(AL335,$AH$10:$AW$111,11,0),"")</f>
        <v/>
      </c>
      <c r="AS335" s="887" t="str">
        <f t="shared" ref="AS335:AS354" si="148">IFERROR(VLOOKUP(AL335,$AH$10:$AW$111,12,0),"")</f>
        <v/>
      </c>
      <c r="AT335" s="887" t="str">
        <f t="shared" ref="AT335:AT354" si="149">IFERROR(VLOOKUP(AL335,$AH$10:$AW$111,13,0),"")</f>
        <v/>
      </c>
      <c r="AU335" s="887" t="str">
        <f t="shared" ref="AU335:AU354" si="150">IFERROR(VLOOKUP(AL335,$AH$10:$AW$111,14,0),"")</f>
        <v/>
      </c>
      <c r="AV335" s="887" t="str">
        <f t="shared" ref="AV335:AV354" si="151">IFERROR(VLOOKUP(AL335,$AH$10:$AW$111,15,0),"")</f>
        <v/>
      </c>
      <c r="AW335" s="887" t="str">
        <f t="shared" ref="AW335:AW354" si="152">IFERROR(VLOOKUP(AL335,$AH$10:$AW$111,16,0),"")</f>
        <v/>
      </c>
      <c r="AX335" s="887" t="str">
        <f>IFERROR(AX333+AT335-AV335,"")</f>
        <v/>
      </c>
      <c r="AY335" s="887" t="str">
        <f>IFERROR(AY333+AU335-AW335,"")</f>
        <v/>
      </c>
      <c r="AZ335" s="877"/>
      <c r="BA335" s="877"/>
      <c r="BB335" s="877"/>
      <c r="BC335" s="877"/>
      <c r="BD335" s="877"/>
      <c r="BE335" s="877"/>
      <c r="BF335" s="877"/>
      <c r="BG335" s="877"/>
      <c r="BH335" s="877"/>
    </row>
    <row r="336" spans="22:60" ht="35.25" customHeight="1" x14ac:dyDescent="0.5">
      <c r="V336" s="877"/>
      <c r="W336" s="877"/>
      <c r="X336" s="877"/>
      <c r="Y336" s="877"/>
      <c r="Z336" s="877"/>
      <c r="AA336" s="877"/>
      <c r="AB336" s="877"/>
      <c r="AC336" s="877"/>
      <c r="AD336" s="877"/>
      <c r="AE336" s="877"/>
      <c r="AF336" s="877"/>
      <c r="AG336" s="877"/>
      <c r="AH336" s="877"/>
      <c r="AI336" s="878"/>
      <c r="AJ336" s="877"/>
      <c r="AK336" s="877">
        <v>202</v>
      </c>
      <c r="AL336" s="877">
        <v>2</v>
      </c>
      <c r="AM336" s="921" t="str">
        <f t="shared" si="142"/>
        <v/>
      </c>
      <c r="AN336" s="887" t="str">
        <f t="shared" si="143"/>
        <v/>
      </c>
      <c r="AO336" s="887" t="str">
        <f t="shared" si="144"/>
        <v/>
      </c>
      <c r="AP336" s="887" t="str">
        <f t="shared" si="145"/>
        <v/>
      </c>
      <c r="AQ336" s="887" t="str">
        <f t="shared" si="146"/>
        <v/>
      </c>
      <c r="AR336" s="887" t="str">
        <f t="shared" si="147"/>
        <v/>
      </c>
      <c r="AS336" s="887" t="str">
        <f t="shared" si="148"/>
        <v/>
      </c>
      <c r="AT336" s="887" t="str">
        <f t="shared" si="149"/>
        <v/>
      </c>
      <c r="AU336" s="887" t="str">
        <f t="shared" si="150"/>
        <v/>
      </c>
      <c r="AV336" s="887" t="str">
        <f t="shared" si="151"/>
        <v/>
      </c>
      <c r="AW336" s="887" t="str">
        <f t="shared" si="152"/>
        <v/>
      </c>
      <c r="AX336" s="887" t="str">
        <f t="shared" si="140"/>
        <v/>
      </c>
      <c r="AY336" s="887" t="str">
        <f t="shared" si="141"/>
        <v/>
      </c>
      <c r="AZ336" s="877"/>
      <c r="BA336" s="877"/>
      <c r="BB336" s="877"/>
      <c r="BC336" s="877"/>
      <c r="BD336" s="877"/>
      <c r="BE336" s="877"/>
      <c r="BF336" s="877"/>
      <c r="BG336" s="877"/>
      <c r="BH336" s="877"/>
    </row>
    <row r="337" spans="22:60" ht="35.25" customHeight="1" x14ac:dyDescent="0.5">
      <c r="V337" s="877"/>
      <c r="W337" s="877"/>
      <c r="X337" s="877"/>
      <c r="Y337" s="877"/>
      <c r="Z337" s="877"/>
      <c r="AA337" s="877"/>
      <c r="AB337" s="877"/>
      <c r="AC337" s="877"/>
      <c r="AD337" s="877"/>
      <c r="AE337" s="877"/>
      <c r="AF337" s="877"/>
      <c r="AG337" s="877"/>
      <c r="AH337" s="877"/>
      <c r="AI337" s="878"/>
      <c r="AJ337" s="877"/>
      <c r="AK337" s="877">
        <v>203</v>
      </c>
      <c r="AL337" s="877">
        <v>3</v>
      </c>
      <c r="AM337" s="921" t="str">
        <f t="shared" si="142"/>
        <v/>
      </c>
      <c r="AN337" s="887" t="str">
        <f t="shared" si="143"/>
        <v/>
      </c>
      <c r="AO337" s="887" t="str">
        <f t="shared" si="144"/>
        <v/>
      </c>
      <c r="AP337" s="887" t="str">
        <f t="shared" si="145"/>
        <v/>
      </c>
      <c r="AQ337" s="887" t="str">
        <f t="shared" si="146"/>
        <v/>
      </c>
      <c r="AR337" s="887" t="str">
        <f t="shared" si="147"/>
        <v/>
      </c>
      <c r="AS337" s="887" t="str">
        <f t="shared" si="148"/>
        <v/>
      </c>
      <c r="AT337" s="887" t="str">
        <f t="shared" si="149"/>
        <v/>
      </c>
      <c r="AU337" s="887" t="str">
        <f t="shared" si="150"/>
        <v/>
      </c>
      <c r="AV337" s="887" t="str">
        <f t="shared" si="151"/>
        <v/>
      </c>
      <c r="AW337" s="887" t="str">
        <f t="shared" si="152"/>
        <v/>
      </c>
      <c r="AX337" s="887" t="str">
        <f t="shared" si="140"/>
        <v/>
      </c>
      <c r="AY337" s="887" t="str">
        <f t="shared" si="141"/>
        <v/>
      </c>
      <c r="AZ337" s="877"/>
      <c r="BA337" s="877"/>
      <c r="BB337" s="877"/>
      <c r="BC337" s="877"/>
      <c r="BD337" s="877"/>
      <c r="BE337" s="877"/>
      <c r="BF337" s="877"/>
      <c r="BG337" s="877"/>
      <c r="BH337" s="877"/>
    </row>
    <row r="338" spans="22:60" ht="35.25" customHeight="1" x14ac:dyDescent="0.5">
      <c r="V338" s="877"/>
      <c r="W338" s="877"/>
      <c r="X338" s="877"/>
      <c r="Y338" s="877"/>
      <c r="Z338" s="877"/>
      <c r="AA338" s="877"/>
      <c r="AB338" s="877"/>
      <c r="AC338" s="877"/>
      <c r="AD338" s="877"/>
      <c r="AE338" s="877"/>
      <c r="AF338" s="877"/>
      <c r="AG338" s="877"/>
      <c r="AH338" s="877"/>
      <c r="AI338" s="878"/>
      <c r="AJ338" s="877"/>
      <c r="AK338" s="877">
        <v>204</v>
      </c>
      <c r="AL338" s="877">
        <v>4</v>
      </c>
      <c r="AM338" s="921" t="str">
        <f t="shared" si="142"/>
        <v/>
      </c>
      <c r="AN338" s="887" t="str">
        <f t="shared" si="143"/>
        <v/>
      </c>
      <c r="AO338" s="887" t="str">
        <f t="shared" si="144"/>
        <v/>
      </c>
      <c r="AP338" s="887" t="str">
        <f t="shared" si="145"/>
        <v/>
      </c>
      <c r="AQ338" s="887" t="str">
        <f t="shared" si="146"/>
        <v/>
      </c>
      <c r="AR338" s="887" t="str">
        <f t="shared" si="147"/>
        <v/>
      </c>
      <c r="AS338" s="887" t="str">
        <f t="shared" si="148"/>
        <v/>
      </c>
      <c r="AT338" s="887" t="str">
        <f t="shared" si="149"/>
        <v/>
      </c>
      <c r="AU338" s="887" t="str">
        <f t="shared" si="150"/>
        <v/>
      </c>
      <c r="AV338" s="887" t="str">
        <f t="shared" si="151"/>
        <v/>
      </c>
      <c r="AW338" s="887" t="str">
        <f t="shared" si="152"/>
        <v/>
      </c>
      <c r="AX338" s="887" t="str">
        <f t="shared" si="140"/>
        <v/>
      </c>
      <c r="AY338" s="887" t="str">
        <f t="shared" si="141"/>
        <v/>
      </c>
      <c r="AZ338" s="877"/>
      <c r="BA338" s="877"/>
      <c r="BB338" s="877"/>
      <c r="BC338" s="877"/>
      <c r="BD338" s="877"/>
      <c r="BE338" s="877"/>
      <c r="BF338" s="877"/>
      <c r="BG338" s="877"/>
      <c r="BH338" s="877"/>
    </row>
    <row r="339" spans="22:60" ht="35.25" customHeight="1" x14ac:dyDescent="0.5">
      <c r="V339" s="877"/>
      <c r="W339" s="877"/>
      <c r="X339" s="877"/>
      <c r="Y339" s="877"/>
      <c r="Z339" s="877"/>
      <c r="AA339" s="877"/>
      <c r="AB339" s="877"/>
      <c r="AC339" s="877"/>
      <c r="AD339" s="877"/>
      <c r="AE339" s="877"/>
      <c r="AF339" s="877"/>
      <c r="AG339" s="877"/>
      <c r="AH339" s="877"/>
      <c r="AI339" s="878"/>
      <c r="AJ339" s="877"/>
      <c r="AK339" s="877">
        <v>205</v>
      </c>
      <c r="AL339" s="877">
        <v>5</v>
      </c>
      <c r="AM339" s="921" t="str">
        <f t="shared" si="142"/>
        <v/>
      </c>
      <c r="AN339" s="887" t="str">
        <f t="shared" si="143"/>
        <v/>
      </c>
      <c r="AO339" s="887" t="str">
        <f t="shared" si="144"/>
        <v/>
      </c>
      <c r="AP339" s="887" t="str">
        <f t="shared" si="145"/>
        <v/>
      </c>
      <c r="AQ339" s="887" t="str">
        <f t="shared" si="146"/>
        <v/>
      </c>
      <c r="AR339" s="887" t="str">
        <f t="shared" si="147"/>
        <v/>
      </c>
      <c r="AS339" s="887" t="str">
        <f t="shared" si="148"/>
        <v/>
      </c>
      <c r="AT339" s="887" t="str">
        <f t="shared" si="149"/>
        <v/>
      </c>
      <c r="AU339" s="887" t="str">
        <f t="shared" si="150"/>
        <v/>
      </c>
      <c r="AV339" s="887" t="str">
        <f t="shared" si="151"/>
        <v/>
      </c>
      <c r="AW339" s="887" t="str">
        <f t="shared" si="152"/>
        <v/>
      </c>
      <c r="AX339" s="887" t="str">
        <f t="shared" si="140"/>
        <v/>
      </c>
      <c r="AY339" s="887" t="str">
        <f t="shared" si="141"/>
        <v/>
      </c>
      <c r="AZ339" s="877"/>
      <c r="BA339" s="877"/>
      <c r="BB339" s="877"/>
      <c r="BC339" s="877"/>
      <c r="BD339" s="877"/>
      <c r="BE339" s="877"/>
      <c r="BF339" s="877"/>
      <c r="BG339" s="877"/>
      <c r="BH339" s="877"/>
    </row>
    <row r="340" spans="22:60" ht="35.25" customHeight="1" x14ac:dyDescent="0.5">
      <c r="V340" s="877"/>
      <c r="W340" s="877"/>
      <c r="X340" s="877"/>
      <c r="Y340" s="877"/>
      <c r="Z340" s="877"/>
      <c r="AA340" s="877"/>
      <c r="AB340" s="877"/>
      <c r="AC340" s="877"/>
      <c r="AD340" s="877"/>
      <c r="AE340" s="877"/>
      <c r="AF340" s="877"/>
      <c r="AG340" s="877"/>
      <c r="AH340" s="877"/>
      <c r="AI340" s="878"/>
      <c r="AJ340" s="877"/>
      <c r="AK340" s="877">
        <v>206</v>
      </c>
      <c r="AL340" s="877">
        <v>6</v>
      </c>
      <c r="AM340" s="921" t="str">
        <f t="shared" si="142"/>
        <v/>
      </c>
      <c r="AN340" s="887" t="str">
        <f t="shared" si="143"/>
        <v/>
      </c>
      <c r="AO340" s="887" t="str">
        <f t="shared" si="144"/>
        <v/>
      </c>
      <c r="AP340" s="887" t="str">
        <f t="shared" si="145"/>
        <v/>
      </c>
      <c r="AQ340" s="887" t="str">
        <f t="shared" si="146"/>
        <v/>
      </c>
      <c r="AR340" s="887" t="str">
        <f t="shared" si="147"/>
        <v/>
      </c>
      <c r="AS340" s="887" t="str">
        <f t="shared" si="148"/>
        <v/>
      </c>
      <c r="AT340" s="887" t="str">
        <f t="shared" si="149"/>
        <v/>
      </c>
      <c r="AU340" s="887" t="str">
        <f t="shared" si="150"/>
        <v/>
      </c>
      <c r="AV340" s="887" t="str">
        <f t="shared" si="151"/>
        <v/>
      </c>
      <c r="AW340" s="887" t="str">
        <f t="shared" si="152"/>
        <v/>
      </c>
      <c r="AX340" s="887" t="str">
        <f t="shared" si="140"/>
        <v/>
      </c>
      <c r="AY340" s="887" t="str">
        <f t="shared" si="141"/>
        <v/>
      </c>
      <c r="AZ340" s="877"/>
      <c r="BA340" s="877"/>
      <c r="BB340" s="877"/>
      <c r="BC340" s="877"/>
      <c r="BD340" s="877"/>
      <c r="BE340" s="877"/>
      <c r="BF340" s="877"/>
      <c r="BG340" s="877"/>
      <c r="BH340" s="877"/>
    </row>
    <row r="341" spans="22:60" ht="35.25" customHeight="1" x14ac:dyDescent="0.5">
      <c r="V341" s="877"/>
      <c r="W341" s="877"/>
      <c r="X341" s="877"/>
      <c r="Y341" s="877"/>
      <c r="Z341" s="877"/>
      <c r="AA341" s="877"/>
      <c r="AB341" s="877"/>
      <c r="AC341" s="877"/>
      <c r="AD341" s="877"/>
      <c r="AE341" s="877"/>
      <c r="AF341" s="877"/>
      <c r="AG341" s="877"/>
      <c r="AH341" s="877"/>
      <c r="AI341" s="878"/>
      <c r="AJ341" s="877"/>
      <c r="AK341" s="877">
        <v>207</v>
      </c>
      <c r="AL341" s="877">
        <v>7</v>
      </c>
      <c r="AM341" s="921" t="str">
        <f t="shared" si="142"/>
        <v/>
      </c>
      <c r="AN341" s="887" t="str">
        <f t="shared" si="143"/>
        <v/>
      </c>
      <c r="AO341" s="887" t="str">
        <f t="shared" si="144"/>
        <v/>
      </c>
      <c r="AP341" s="887" t="str">
        <f t="shared" si="145"/>
        <v/>
      </c>
      <c r="AQ341" s="887" t="str">
        <f t="shared" si="146"/>
        <v/>
      </c>
      <c r="AR341" s="887" t="str">
        <f t="shared" si="147"/>
        <v/>
      </c>
      <c r="AS341" s="887" t="str">
        <f t="shared" si="148"/>
        <v/>
      </c>
      <c r="AT341" s="887" t="str">
        <f t="shared" si="149"/>
        <v/>
      </c>
      <c r="AU341" s="887" t="str">
        <f t="shared" si="150"/>
        <v/>
      </c>
      <c r="AV341" s="887" t="str">
        <f t="shared" si="151"/>
        <v/>
      </c>
      <c r="AW341" s="887" t="str">
        <f t="shared" si="152"/>
        <v/>
      </c>
      <c r="AX341" s="887" t="str">
        <f t="shared" si="140"/>
        <v/>
      </c>
      <c r="AY341" s="887" t="str">
        <f t="shared" si="141"/>
        <v/>
      </c>
      <c r="AZ341" s="877"/>
      <c r="BA341" s="877"/>
      <c r="BB341" s="877"/>
      <c r="BC341" s="877"/>
      <c r="BD341" s="877"/>
      <c r="BE341" s="877"/>
      <c r="BF341" s="877"/>
      <c r="BG341" s="877"/>
      <c r="BH341" s="877"/>
    </row>
    <row r="342" spans="22:60" ht="35.25" customHeight="1" x14ac:dyDescent="0.5">
      <c r="V342" s="877"/>
      <c r="W342" s="877"/>
      <c r="X342" s="877"/>
      <c r="Y342" s="877"/>
      <c r="Z342" s="877"/>
      <c r="AA342" s="877"/>
      <c r="AB342" s="877"/>
      <c r="AC342" s="877"/>
      <c r="AD342" s="877"/>
      <c r="AE342" s="877"/>
      <c r="AF342" s="877"/>
      <c r="AG342" s="877"/>
      <c r="AH342" s="877"/>
      <c r="AI342" s="878"/>
      <c r="AJ342" s="877"/>
      <c r="AK342" s="877">
        <v>208</v>
      </c>
      <c r="AL342" s="877">
        <v>8</v>
      </c>
      <c r="AM342" s="921" t="str">
        <f t="shared" si="142"/>
        <v/>
      </c>
      <c r="AN342" s="887" t="str">
        <f t="shared" si="143"/>
        <v/>
      </c>
      <c r="AO342" s="887" t="str">
        <f t="shared" si="144"/>
        <v/>
      </c>
      <c r="AP342" s="887" t="str">
        <f t="shared" si="145"/>
        <v/>
      </c>
      <c r="AQ342" s="887" t="str">
        <f t="shared" si="146"/>
        <v/>
      </c>
      <c r="AR342" s="887" t="str">
        <f t="shared" si="147"/>
        <v/>
      </c>
      <c r="AS342" s="887" t="str">
        <f t="shared" si="148"/>
        <v/>
      </c>
      <c r="AT342" s="887" t="str">
        <f t="shared" si="149"/>
        <v/>
      </c>
      <c r="AU342" s="887" t="str">
        <f t="shared" si="150"/>
        <v/>
      </c>
      <c r="AV342" s="887" t="str">
        <f t="shared" si="151"/>
        <v/>
      </c>
      <c r="AW342" s="887" t="str">
        <f t="shared" si="152"/>
        <v/>
      </c>
      <c r="AX342" s="887" t="str">
        <f t="shared" si="140"/>
        <v/>
      </c>
      <c r="AY342" s="887" t="str">
        <f t="shared" si="141"/>
        <v/>
      </c>
      <c r="AZ342" s="877"/>
      <c r="BA342" s="877"/>
      <c r="BB342" s="877"/>
      <c r="BC342" s="877"/>
      <c r="BD342" s="877"/>
      <c r="BE342" s="877"/>
      <c r="BF342" s="877"/>
      <c r="BG342" s="877"/>
      <c r="BH342" s="877"/>
    </row>
    <row r="343" spans="22:60" ht="35.25" customHeight="1" x14ac:dyDescent="0.5">
      <c r="V343" s="877"/>
      <c r="W343" s="877"/>
      <c r="X343" s="877"/>
      <c r="Y343" s="877"/>
      <c r="Z343" s="877"/>
      <c r="AA343" s="877"/>
      <c r="AB343" s="877"/>
      <c r="AC343" s="877"/>
      <c r="AD343" s="877"/>
      <c r="AE343" s="877"/>
      <c r="AF343" s="877"/>
      <c r="AG343" s="877"/>
      <c r="AH343" s="877"/>
      <c r="AI343" s="878"/>
      <c r="AJ343" s="877"/>
      <c r="AK343" s="877">
        <v>209</v>
      </c>
      <c r="AL343" s="877">
        <v>9</v>
      </c>
      <c r="AM343" s="921" t="str">
        <f t="shared" si="142"/>
        <v/>
      </c>
      <c r="AN343" s="887" t="str">
        <f t="shared" si="143"/>
        <v/>
      </c>
      <c r="AO343" s="887" t="str">
        <f t="shared" si="144"/>
        <v/>
      </c>
      <c r="AP343" s="887" t="str">
        <f t="shared" si="145"/>
        <v/>
      </c>
      <c r="AQ343" s="887" t="str">
        <f t="shared" si="146"/>
        <v/>
      </c>
      <c r="AR343" s="887" t="str">
        <f t="shared" si="147"/>
        <v/>
      </c>
      <c r="AS343" s="887" t="str">
        <f t="shared" si="148"/>
        <v/>
      </c>
      <c r="AT343" s="887" t="str">
        <f t="shared" si="149"/>
        <v/>
      </c>
      <c r="AU343" s="887" t="str">
        <f t="shared" si="150"/>
        <v/>
      </c>
      <c r="AV343" s="887" t="str">
        <f t="shared" si="151"/>
        <v/>
      </c>
      <c r="AW343" s="887" t="str">
        <f t="shared" si="152"/>
        <v/>
      </c>
      <c r="AX343" s="887" t="str">
        <f t="shared" si="140"/>
        <v/>
      </c>
      <c r="AY343" s="887" t="str">
        <f t="shared" si="141"/>
        <v/>
      </c>
      <c r="AZ343" s="877"/>
      <c r="BA343" s="877"/>
      <c r="BB343" s="877"/>
      <c r="BC343" s="877"/>
      <c r="BD343" s="877"/>
      <c r="BE343" s="877"/>
      <c r="BF343" s="877"/>
      <c r="BG343" s="877"/>
      <c r="BH343" s="877"/>
    </row>
    <row r="344" spans="22:60" ht="35.25" customHeight="1" x14ac:dyDescent="0.5">
      <c r="V344" s="877"/>
      <c r="W344" s="877"/>
      <c r="X344" s="877"/>
      <c r="Y344" s="877"/>
      <c r="Z344" s="877"/>
      <c r="AA344" s="877"/>
      <c r="AB344" s="877"/>
      <c r="AC344" s="877"/>
      <c r="AD344" s="877"/>
      <c r="AE344" s="877"/>
      <c r="AF344" s="877"/>
      <c r="AG344" s="877"/>
      <c r="AH344" s="877"/>
      <c r="AI344" s="878"/>
      <c r="AJ344" s="877"/>
      <c r="AK344" s="877">
        <v>210</v>
      </c>
      <c r="AL344" s="877">
        <v>10</v>
      </c>
      <c r="AM344" s="921" t="str">
        <f t="shared" si="142"/>
        <v/>
      </c>
      <c r="AN344" s="887" t="str">
        <f t="shared" si="143"/>
        <v/>
      </c>
      <c r="AO344" s="887" t="str">
        <f t="shared" si="144"/>
        <v/>
      </c>
      <c r="AP344" s="887" t="str">
        <f t="shared" si="145"/>
        <v/>
      </c>
      <c r="AQ344" s="887" t="str">
        <f t="shared" si="146"/>
        <v/>
      </c>
      <c r="AR344" s="887" t="str">
        <f t="shared" si="147"/>
        <v/>
      </c>
      <c r="AS344" s="887" t="str">
        <f t="shared" si="148"/>
        <v/>
      </c>
      <c r="AT344" s="887" t="str">
        <f t="shared" si="149"/>
        <v/>
      </c>
      <c r="AU344" s="887" t="str">
        <f t="shared" si="150"/>
        <v/>
      </c>
      <c r="AV344" s="887" t="str">
        <f t="shared" si="151"/>
        <v/>
      </c>
      <c r="AW344" s="887" t="str">
        <f t="shared" si="152"/>
        <v/>
      </c>
      <c r="AX344" s="887" t="str">
        <f t="shared" si="140"/>
        <v/>
      </c>
      <c r="AY344" s="887" t="str">
        <f t="shared" si="141"/>
        <v/>
      </c>
      <c r="AZ344" s="877"/>
      <c r="BA344" s="877"/>
      <c r="BB344" s="877"/>
      <c r="BC344" s="877"/>
      <c r="BD344" s="877"/>
      <c r="BE344" s="877"/>
      <c r="BF344" s="877"/>
      <c r="BG344" s="877"/>
      <c r="BH344" s="877"/>
    </row>
    <row r="345" spans="22:60" ht="35.25" customHeight="1" x14ac:dyDescent="0.5">
      <c r="V345" s="877"/>
      <c r="W345" s="877"/>
      <c r="X345" s="877"/>
      <c r="Y345" s="877"/>
      <c r="Z345" s="877"/>
      <c r="AA345" s="877"/>
      <c r="AB345" s="877"/>
      <c r="AC345" s="877"/>
      <c r="AD345" s="877"/>
      <c r="AE345" s="877"/>
      <c r="AF345" s="877"/>
      <c r="AG345" s="877"/>
      <c r="AH345" s="877"/>
      <c r="AI345" s="878"/>
      <c r="AJ345" s="877"/>
      <c r="AK345" s="877">
        <v>211</v>
      </c>
      <c r="AL345" s="877">
        <v>11</v>
      </c>
      <c r="AM345" s="921" t="str">
        <f t="shared" si="142"/>
        <v/>
      </c>
      <c r="AN345" s="887" t="str">
        <f t="shared" si="143"/>
        <v/>
      </c>
      <c r="AO345" s="887" t="str">
        <f t="shared" si="144"/>
        <v/>
      </c>
      <c r="AP345" s="887" t="str">
        <f t="shared" si="145"/>
        <v/>
      </c>
      <c r="AQ345" s="887" t="str">
        <f t="shared" si="146"/>
        <v/>
      </c>
      <c r="AR345" s="887" t="str">
        <f t="shared" si="147"/>
        <v/>
      </c>
      <c r="AS345" s="887" t="str">
        <f t="shared" si="148"/>
        <v/>
      </c>
      <c r="AT345" s="887" t="str">
        <f t="shared" si="149"/>
        <v/>
      </c>
      <c r="AU345" s="887" t="str">
        <f t="shared" si="150"/>
        <v/>
      </c>
      <c r="AV345" s="887" t="str">
        <f t="shared" si="151"/>
        <v/>
      </c>
      <c r="AW345" s="887" t="str">
        <f t="shared" si="152"/>
        <v/>
      </c>
      <c r="AX345" s="887" t="str">
        <f t="shared" si="140"/>
        <v/>
      </c>
      <c r="AY345" s="887" t="str">
        <f t="shared" si="141"/>
        <v/>
      </c>
      <c r="AZ345" s="877"/>
      <c r="BA345" s="877"/>
      <c r="BB345" s="877"/>
      <c r="BC345" s="877"/>
      <c r="BD345" s="877"/>
      <c r="BE345" s="877"/>
      <c r="BF345" s="877"/>
      <c r="BG345" s="877"/>
      <c r="BH345" s="877"/>
    </row>
    <row r="346" spans="22:60" ht="35.25" customHeight="1" x14ac:dyDescent="0.5">
      <c r="V346" s="877"/>
      <c r="W346" s="877"/>
      <c r="X346" s="877"/>
      <c r="Y346" s="877"/>
      <c r="Z346" s="877"/>
      <c r="AA346" s="877"/>
      <c r="AB346" s="877"/>
      <c r="AC346" s="877"/>
      <c r="AD346" s="877"/>
      <c r="AE346" s="877"/>
      <c r="AF346" s="877"/>
      <c r="AG346" s="877"/>
      <c r="AH346" s="877"/>
      <c r="AI346" s="878"/>
      <c r="AJ346" s="877"/>
      <c r="AK346" s="877">
        <v>212</v>
      </c>
      <c r="AL346" s="877">
        <v>12</v>
      </c>
      <c r="AM346" s="921" t="str">
        <f t="shared" si="142"/>
        <v/>
      </c>
      <c r="AN346" s="887" t="str">
        <f t="shared" si="143"/>
        <v/>
      </c>
      <c r="AO346" s="887" t="str">
        <f t="shared" si="144"/>
        <v/>
      </c>
      <c r="AP346" s="887" t="str">
        <f t="shared" si="145"/>
        <v/>
      </c>
      <c r="AQ346" s="887" t="str">
        <f t="shared" si="146"/>
        <v/>
      </c>
      <c r="AR346" s="887" t="str">
        <f t="shared" si="147"/>
        <v/>
      </c>
      <c r="AS346" s="887" t="str">
        <f t="shared" si="148"/>
        <v/>
      </c>
      <c r="AT346" s="887" t="str">
        <f t="shared" si="149"/>
        <v/>
      </c>
      <c r="AU346" s="887" t="str">
        <f t="shared" si="150"/>
        <v/>
      </c>
      <c r="AV346" s="887" t="str">
        <f t="shared" si="151"/>
        <v/>
      </c>
      <c r="AW346" s="887" t="str">
        <f t="shared" si="152"/>
        <v/>
      </c>
      <c r="AX346" s="887" t="str">
        <f t="shared" si="140"/>
        <v/>
      </c>
      <c r="AY346" s="887" t="str">
        <f t="shared" si="141"/>
        <v/>
      </c>
      <c r="AZ346" s="877"/>
      <c r="BA346" s="877"/>
      <c r="BB346" s="877"/>
      <c r="BC346" s="877"/>
      <c r="BD346" s="877"/>
      <c r="BE346" s="877"/>
      <c r="BF346" s="877"/>
      <c r="BG346" s="877"/>
      <c r="BH346" s="877"/>
    </row>
    <row r="347" spans="22:60" ht="35.25" customHeight="1" x14ac:dyDescent="0.5">
      <c r="V347" s="877"/>
      <c r="W347" s="877"/>
      <c r="X347" s="877"/>
      <c r="Y347" s="877"/>
      <c r="Z347" s="877"/>
      <c r="AA347" s="877"/>
      <c r="AB347" s="877"/>
      <c r="AC347" s="877"/>
      <c r="AD347" s="877"/>
      <c r="AE347" s="877"/>
      <c r="AF347" s="877"/>
      <c r="AG347" s="877"/>
      <c r="AH347" s="877"/>
      <c r="AI347" s="878"/>
      <c r="AJ347" s="877"/>
      <c r="AK347" s="877">
        <v>213</v>
      </c>
      <c r="AL347" s="877">
        <v>13</v>
      </c>
      <c r="AM347" s="921" t="str">
        <f t="shared" si="142"/>
        <v/>
      </c>
      <c r="AN347" s="887" t="str">
        <f t="shared" si="143"/>
        <v/>
      </c>
      <c r="AO347" s="887" t="str">
        <f t="shared" si="144"/>
        <v/>
      </c>
      <c r="AP347" s="887" t="str">
        <f t="shared" si="145"/>
        <v/>
      </c>
      <c r="AQ347" s="887" t="str">
        <f t="shared" si="146"/>
        <v/>
      </c>
      <c r="AR347" s="887" t="str">
        <f t="shared" si="147"/>
        <v/>
      </c>
      <c r="AS347" s="887" t="str">
        <f t="shared" si="148"/>
        <v/>
      </c>
      <c r="AT347" s="887" t="str">
        <f t="shared" si="149"/>
        <v/>
      </c>
      <c r="AU347" s="887" t="str">
        <f t="shared" si="150"/>
        <v/>
      </c>
      <c r="AV347" s="887" t="str">
        <f t="shared" si="151"/>
        <v/>
      </c>
      <c r="AW347" s="887" t="str">
        <f t="shared" si="152"/>
        <v/>
      </c>
      <c r="AX347" s="887" t="str">
        <f t="shared" si="140"/>
        <v/>
      </c>
      <c r="AY347" s="887" t="str">
        <f t="shared" si="141"/>
        <v/>
      </c>
      <c r="AZ347" s="877"/>
      <c r="BA347" s="877"/>
      <c r="BB347" s="877"/>
      <c r="BC347" s="877"/>
      <c r="BD347" s="877"/>
      <c r="BE347" s="877"/>
      <c r="BF347" s="877"/>
      <c r="BG347" s="877"/>
      <c r="BH347" s="877"/>
    </row>
    <row r="348" spans="22:60" ht="35.25" customHeight="1" x14ac:dyDescent="0.5">
      <c r="V348" s="877"/>
      <c r="W348" s="877"/>
      <c r="X348" s="877"/>
      <c r="Y348" s="877"/>
      <c r="Z348" s="877"/>
      <c r="AA348" s="877"/>
      <c r="AB348" s="877"/>
      <c r="AC348" s="877"/>
      <c r="AD348" s="877"/>
      <c r="AE348" s="877"/>
      <c r="AF348" s="877"/>
      <c r="AG348" s="877"/>
      <c r="AH348" s="877"/>
      <c r="AI348" s="878"/>
      <c r="AJ348" s="877"/>
      <c r="AK348" s="877">
        <v>214</v>
      </c>
      <c r="AL348" s="877">
        <v>14</v>
      </c>
      <c r="AM348" s="921" t="str">
        <f t="shared" si="142"/>
        <v/>
      </c>
      <c r="AN348" s="887" t="str">
        <f t="shared" si="143"/>
        <v/>
      </c>
      <c r="AO348" s="887" t="str">
        <f t="shared" si="144"/>
        <v/>
      </c>
      <c r="AP348" s="887" t="str">
        <f t="shared" si="145"/>
        <v/>
      </c>
      <c r="AQ348" s="887" t="str">
        <f t="shared" si="146"/>
        <v/>
      </c>
      <c r="AR348" s="887" t="str">
        <f t="shared" si="147"/>
        <v/>
      </c>
      <c r="AS348" s="887" t="str">
        <f t="shared" si="148"/>
        <v/>
      </c>
      <c r="AT348" s="887" t="str">
        <f t="shared" si="149"/>
        <v/>
      </c>
      <c r="AU348" s="887" t="str">
        <f t="shared" si="150"/>
        <v/>
      </c>
      <c r="AV348" s="887" t="str">
        <f t="shared" si="151"/>
        <v/>
      </c>
      <c r="AW348" s="887" t="str">
        <f t="shared" si="152"/>
        <v/>
      </c>
      <c r="AX348" s="887" t="str">
        <f t="shared" si="140"/>
        <v/>
      </c>
      <c r="AY348" s="887" t="str">
        <f t="shared" si="141"/>
        <v/>
      </c>
      <c r="AZ348" s="877"/>
      <c r="BA348" s="877"/>
      <c r="BB348" s="877"/>
      <c r="BC348" s="877"/>
      <c r="BD348" s="877"/>
      <c r="BE348" s="877"/>
      <c r="BF348" s="877"/>
      <c r="BG348" s="877"/>
      <c r="BH348" s="877"/>
    </row>
    <row r="349" spans="22:60" ht="35.25" customHeight="1" x14ac:dyDescent="0.5">
      <c r="V349" s="877"/>
      <c r="W349" s="877"/>
      <c r="X349" s="877"/>
      <c r="Y349" s="877"/>
      <c r="Z349" s="877"/>
      <c r="AA349" s="877"/>
      <c r="AB349" s="877"/>
      <c r="AC349" s="877"/>
      <c r="AD349" s="877"/>
      <c r="AE349" s="877"/>
      <c r="AF349" s="877"/>
      <c r="AG349" s="877"/>
      <c r="AH349" s="877"/>
      <c r="AI349" s="878"/>
      <c r="AJ349" s="877"/>
      <c r="AK349" s="877">
        <v>215</v>
      </c>
      <c r="AL349" s="877">
        <v>15</v>
      </c>
      <c r="AM349" s="921" t="str">
        <f t="shared" si="142"/>
        <v/>
      </c>
      <c r="AN349" s="887" t="str">
        <f t="shared" si="143"/>
        <v/>
      </c>
      <c r="AO349" s="887" t="str">
        <f t="shared" si="144"/>
        <v/>
      </c>
      <c r="AP349" s="887" t="str">
        <f t="shared" si="145"/>
        <v/>
      </c>
      <c r="AQ349" s="887" t="str">
        <f t="shared" si="146"/>
        <v/>
      </c>
      <c r="AR349" s="887" t="str">
        <f t="shared" si="147"/>
        <v/>
      </c>
      <c r="AS349" s="887" t="str">
        <f t="shared" si="148"/>
        <v/>
      </c>
      <c r="AT349" s="887" t="str">
        <f t="shared" si="149"/>
        <v/>
      </c>
      <c r="AU349" s="887" t="str">
        <f t="shared" si="150"/>
        <v/>
      </c>
      <c r="AV349" s="887" t="str">
        <f t="shared" si="151"/>
        <v/>
      </c>
      <c r="AW349" s="887" t="str">
        <f t="shared" si="152"/>
        <v/>
      </c>
      <c r="AX349" s="887" t="str">
        <f t="shared" si="140"/>
        <v/>
      </c>
      <c r="AY349" s="887" t="str">
        <f t="shared" si="141"/>
        <v/>
      </c>
      <c r="AZ349" s="877"/>
      <c r="BA349" s="877"/>
      <c r="BB349" s="877"/>
      <c r="BC349" s="877"/>
      <c r="BD349" s="877"/>
      <c r="BE349" s="877"/>
      <c r="BF349" s="877"/>
      <c r="BG349" s="877"/>
      <c r="BH349" s="877"/>
    </row>
    <row r="350" spans="22:60" ht="35.25" customHeight="1" x14ac:dyDescent="0.5">
      <c r="V350" s="877"/>
      <c r="W350" s="877"/>
      <c r="X350" s="877"/>
      <c r="Y350" s="877"/>
      <c r="Z350" s="877"/>
      <c r="AA350" s="877"/>
      <c r="AB350" s="877"/>
      <c r="AC350" s="877"/>
      <c r="AD350" s="877"/>
      <c r="AE350" s="877"/>
      <c r="AF350" s="877"/>
      <c r="AG350" s="877"/>
      <c r="AH350" s="877"/>
      <c r="AI350" s="878"/>
      <c r="AJ350" s="877"/>
      <c r="AK350" s="877">
        <v>216</v>
      </c>
      <c r="AL350" s="877">
        <v>16</v>
      </c>
      <c r="AM350" s="921" t="str">
        <f t="shared" si="142"/>
        <v/>
      </c>
      <c r="AN350" s="887" t="str">
        <f t="shared" si="143"/>
        <v/>
      </c>
      <c r="AO350" s="887" t="str">
        <f t="shared" si="144"/>
        <v/>
      </c>
      <c r="AP350" s="887" t="str">
        <f t="shared" si="145"/>
        <v/>
      </c>
      <c r="AQ350" s="887" t="str">
        <f t="shared" si="146"/>
        <v/>
      </c>
      <c r="AR350" s="887" t="str">
        <f t="shared" si="147"/>
        <v/>
      </c>
      <c r="AS350" s="887" t="str">
        <f t="shared" si="148"/>
        <v/>
      </c>
      <c r="AT350" s="887" t="str">
        <f t="shared" si="149"/>
        <v/>
      </c>
      <c r="AU350" s="887" t="str">
        <f t="shared" si="150"/>
        <v/>
      </c>
      <c r="AV350" s="887" t="str">
        <f t="shared" si="151"/>
        <v/>
      </c>
      <c r="AW350" s="887" t="str">
        <f t="shared" si="152"/>
        <v/>
      </c>
      <c r="AX350" s="887" t="str">
        <f t="shared" si="140"/>
        <v/>
      </c>
      <c r="AY350" s="887" t="str">
        <f t="shared" si="141"/>
        <v/>
      </c>
      <c r="AZ350" s="877"/>
      <c r="BA350" s="877"/>
      <c r="BB350" s="877"/>
      <c r="BC350" s="877"/>
      <c r="BD350" s="877"/>
      <c r="BE350" s="877"/>
      <c r="BF350" s="877"/>
      <c r="BG350" s="877"/>
      <c r="BH350" s="877"/>
    </row>
    <row r="351" spans="22:60" ht="35.25" customHeight="1" x14ac:dyDescent="0.5">
      <c r="V351" s="877"/>
      <c r="W351" s="877"/>
      <c r="X351" s="877"/>
      <c r="Y351" s="877"/>
      <c r="Z351" s="877"/>
      <c r="AA351" s="877"/>
      <c r="AB351" s="877"/>
      <c r="AC351" s="877"/>
      <c r="AD351" s="877"/>
      <c r="AE351" s="877"/>
      <c r="AF351" s="877"/>
      <c r="AG351" s="877"/>
      <c r="AH351" s="877"/>
      <c r="AI351" s="878"/>
      <c r="AJ351" s="877"/>
      <c r="AK351" s="877">
        <v>217</v>
      </c>
      <c r="AL351" s="877">
        <v>17</v>
      </c>
      <c r="AM351" s="921" t="str">
        <f t="shared" si="142"/>
        <v/>
      </c>
      <c r="AN351" s="887" t="str">
        <f t="shared" si="143"/>
        <v/>
      </c>
      <c r="AO351" s="887" t="str">
        <f t="shared" si="144"/>
        <v/>
      </c>
      <c r="AP351" s="887" t="str">
        <f t="shared" si="145"/>
        <v/>
      </c>
      <c r="AQ351" s="887" t="str">
        <f t="shared" si="146"/>
        <v/>
      </c>
      <c r="AR351" s="887" t="str">
        <f t="shared" si="147"/>
        <v/>
      </c>
      <c r="AS351" s="887" t="str">
        <f t="shared" si="148"/>
        <v/>
      </c>
      <c r="AT351" s="887" t="str">
        <f t="shared" si="149"/>
        <v/>
      </c>
      <c r="AU351" s="887" t="str">
        <f t="shared" si="150"/>
        <v/>
      </c>
      <c r="AV351" s="887" t="str">
        <f t="shared" si="151"/>
        <v/>
      </c>
      <c r="AW351" s="887" t="str">
        <f t="shared" si="152"/>
        <v/>
      </c>
      <c r="AX351" s="887" t="str">
        <f t="shared" si="140"/>
        <v/>
      </c>
      <c r="AY351" s="887" t="str">
        <f t="shared" si="141"/>
        <v/>
      </c>
      <c r="AZ351" s="877"/>
      <c r="BA351" s="877"/>
      <c r="BB351" s="877"/>
      <c r="BC351" s="877"/>
      <c r="BD351" s="877"/>
      <c r="BE351" s="877"/>
      <c r="BF351" s="877"/>
      <c r="BG351" s="877"/>
      <c r="BH351" s="877"/>
    </row>
    <row r="352" spans="22:60" ht="35.25" customHeight="1" x14ac:dyDescent="0.5">
      <c r="V352" s="877"/>
      <c r="W352" s="877"/>
      <c r="X352" s="877"/>
      <c r="Y352" s="877"/>
      <c r="Z352" s="877"/>
      <c r="AA352" s="877"/>
      <c r="AB352" s="877"/>
      <c r="AC352" s="877"/>
      <c r="AD352" s="877"/>
      <c r="AE352" s="877"/>
      <c r="AF352" s="877"/>
      <c r="AG352" s="877"/>
      <c r="AH352" s="877"/>
      <c r="AI352" s="878"/>
      <c r="AJ352" s="877"/>
      <c r="AK352" s="877">
        <v>218</v>
      </c>
      <c r="AL352" s="877">
        <v>18</v>
      </c>
      <c r="AM352" s="921" t="str">
        <f t="shared" si="142"/>
        <v/>
      </c>
      <c r="AN352" s="887" t="str">
        <f t="shared" si="143"/>
        <v/>
      </c>
      <c r="AO352" s="887" t="str">
        <f t="shared" si="144"/>
        <v/>
      </c>
      <c r="AP352" s="887" t="str">
        <f t="shared" si="145"/>
        <v/>
      </c>
      <c r="AQ352" s="887" t="str">
        <f t="shared" si="146"/>
        <v/>
      </c>
      <c r="AR352" s="887" t="str">
        <f t="shared" si="147"/>
        <v/>
      </c>
      <c r="AS352" s="887" t="str">
        <f t="shared" si="148"/>
        <v/>
      </c>
      <c r="AT352" s="887" t="str">
        <f t="shared" si="149"/>
        <v/>
      </c>
      <c r="AU352" s="887" t="str">
        <f t="shared" si="150"/>
        <v/>
      </c>
      <c r="AV352" s="887" t="str">
        <f t="shared" si="151"/>
        <v/>
      </c>
      <c r="AW352" s="887" t="str">
        <f t="shared" si="152"/>
        <v/>
      </c>
      <c r="AX352" s="887" t="str">
        <f t="shared" si="140"/>
        <v/>
      </c>
      <c r="AY352" s="887" t="str">
        <f t="shared" si="141"/>
        <v/>
      </c>
      <c r="AZ352" s="877"/>
      <c r="BA352" s="877"/>
      <c r="BB352" s="877"/>
      <c r="BC352" s="877"/>
      <c r="BD352" s="877"/>
      <c r="BE352" s="877"/>
      <c r="BF352" s="877"/>
      <c r="BG352" s="877"/>
      <c r="BH352" s="877"/>
    </row>
    <row r="353" spans="22:60" ht="35.25" customHeight="1" x14ac:dyDescent="0.5">
      <c r="V353" s="877"/>
      <c r="W353" s="877"/>
      <c r="X353" s="877"/>
      <c r="Y353" s="877"/>
      <c r="Z353" s="877"/>
      <c r="AA353" s="877"/>
      <c r="AB353" s="877"/>
      <c r="AC353" s="877"/>
      <c r="AD353" s="877"/>
      <c r="AE353" s="877"/>
      <c r="AF353" s="877"/>
      <c r="AG353" s="877"/>
      <c r="AH353" s="877"/>
      <c r="AI353" s="878"/>
      <c r="AJ353" s="877"/>
      <c r="AK353" s="877">
        <v>219</v>
      </c>
      <c r="AL353" s="877">
        <v>19</v>
      </c>
      <c r="AM353" s="921" t="str">
        <f t="shared" si="142"/>
        <v/>
      </c>
      <c r="AN353" s="887" t="str">
        <f t="shared" si="143"/>
        <v/>
      </c>
      <c r="AO353" s="887" t="str">
        <f t="shared" si="144"/>
        <v/>
      </c>
      <c r="AP353" s="887" t="str">
        <f t="shared" si="145"/>
        <v/>
      </c>
      <c r="AQ353" s="887" t="str">
        <f t="shared" si="146"/>
        <v/>
      </c>
      <c r="AR353" s="887" t="str">
        <f t="shared" si="147"/>
        <v/>
      </c>
      <c r="AS353" s="887" t="str">
        <f t="shared" si="148"/>
        <v/>
      </c>
      <c r="AT353" s="887" t="str">
        <f t="shared" si="149"/>
        <v/>
      </c>
      <c r="AU353" s="887" t="str">
        <f t="shared" si="150"/>
        <v/>
      </c>
      <c r="AV353" s="887" t="str">
        <f t="shared" si="151"/>
        <v/>
      </c>
      <c r="AW353" s="887" t="str">
        <f t="shared" si="152"/>
        <v/>
      </c>
      <c r="AX353" s="887" t="str">
        <f t="shared" si="140"/>
        <v/>
      </c>
      <c r="AY353" s="887" t="str">
        <f t="shared" si="141"/>
        <v/>
      </c>
      <c r="AZ353" s="877"/>
      <c r="BA353" s="877"/>
      <c r="BB353" s="877"/>
      <c r="BC353" s="877"/>
      <c r="BD353" s="877"/>
      <c r="BE353" s="877"/>
      <c r="BF353" s="877"/>
      <c r="BG353" s="877"/>
      <c r="BH353" s="877"/>
    </row>
    <row r="354" spans="22:60" ht="35.25" customHeight="1" x14ac:dyDescent="0.5">
      <c r="V354" s="877"/>
      <c r="W354" s="877"/>
      <c r="X354" s="877"/>
      <c r="Y354" s="877"/>
      <c r="Z354" s="877"/>
      <c r="AA354" s="877"/>
      <c r="AB354" s="877"/>
      <c r="AC354" s="877"/>
      <c r="AD354" s="877"/>
      <c r="AE354" s="877"/>
      <c r="AF354" s="877"/>
      <c r="AG354" s="877"/>
      <c r="AH354" s="877"/>
      <c r="AI354" s="878"/>
      <c r="AJ354" s="877"/>
      <c r="AK354" s="877">
        <v>220</v>
      </c>
      <c r="AL354" s="877">
        <v>20</v>
      </c>
      <c r="AM354" s="921" t="str">
        <f t="shared" si="142"/>
        <v/>
      </c>
      <c r="AN354" s="887" t="str">
        <f t="shared" si="143"/>
        <v/>
      </c>
      <c r="AO354" s="887" t="str">
        <f t="shared" si="144"/>
        <v/>
      </c>
      <c r="AP354" s="887" t="str">
        <f t="shared" si="145"/>
        <v/>
      </c>
      <c r="AQ354" s="887" t="str">
        <f t="shared" si="146"/>
        <v/>
      </c>
      <c r="AR354" s="887" t="str">
        <f t="shared" si="147"/>
        <v/>
      </c>
      <c r="AS354" s="887" t="str">
        <f t="shared" si="148"/>
        <v/>
      </c>
      <c r="AT354" s="887" t="str">
        <f t="shared" si="149"/>
        <v/>
      </c>
      <c r="AU354" s="887" t="str">
        <f t="shared" si="150"/>
        <v/>
      </c>
      <c r="AV354" s="887" t="str">
        <f t="shared" si="151"/>
        <v/>
      </c>
      <c r="AW354" s="887" t="str">
        <f t="shared" si="152"/>
        <v/>
      </c>
      <c r="AX354" s="887" t="str">
        <f t="shared" si="140"/>
        <v/>
      </c>
      <c r="AY354" s="887" t="str">
        <f t="shared" si="141"/>
        <v/>
      </c>
      <c r="AZ354" s="877"/>
      <c r="BA354" s="877"/>
      <c r="BB354" s="877"/>
      <c r="BC354" s="877"/>
      <c r="BD354" s="877"/>
      <c r="BE354" s="877"/>
      <c r="BF354" s="877"/>
      <c r="BG354" s="877"/>
      <c r="BH354" s="877"/>
    </row>
    <row r="355" spans="22:60" ht="35.25" customHeight="1" x14ac:dyDescent="0.5">
      <c r="V355" s="877"/>
      <c r="W355" s="877"/>
      <c r="X355" s="877"/>
      <c r="Y355" s="877"/>
      <c r="Z355" s="877"/>
      <c r="AA355" s="877"/>
      <c r="AB355" s="877"/>
      <c r="AC355" s="877"/>
      <c r="AD355" s="877"/>
      <c r="AE355" s="877"/>
      <c r="AF355" s="877"/>
      <c r="AG355" s="877"/>
      <c r="AH355" s="877"/>
      <c r="AI355" s="878"/>
      <c r="AJ355" s="877"/>
      <c r="AK355" s="877"/>
      <c r="AL355" s="877"/>
      <c r="AM355" s="879"/>
      <c r="AN355" s="877"/>
      <c r="AO355" s="877"/>
      <c r="AP355" s="877"/>
      <c r="AQ355" s="877"/>
      <c r="AR355" s="877"/>
      <c r="AS355" s="877"/>
      <c r="AT355" s="887">
        <f>SUM(AT335:AT354)</f>
        <v>0</v>
      </c>
      <c r="AU355" s="887">
        <f>SUM(AU335:AU354)</f>
        <v>0</v>
      </c>
      <c r="AV355" s="887">
        <f>SUM(AV335:AV354)</f>
        <v>0</v>
      </c>
      <c r="AW355" s="887">
        <f>SUM(AW335:AW354)</f>
        <v>0</v>
      </c>
      <c r="AX355" s="887">
        <f>AX334+AT355-AV355</f>
        <v>3000</v>
      </c>
      <c r="AY355" s="887">
        <f>AY334+AU355-AW355</f>
        <v>3000</v>
      </c>
      <c r="AZ355" s="877"/>
      <c r="BA355" s="877"/>
      <c r="BB355" s="877"/>
      <c r="BC355" s="877"/>
      <c r="BD355" s="877"/>
      <c r="BE355" s="877"/>
      <c r="BF355" s="877"/>
      <c r="BG355" s="877"/>
      <c r="BH355" s="877"/>
    </row>
    <row r="356" spans="22:60" ht="35.25" customHeight="1" x14ac:dyDescent="0.5">
      <c r="V356" s="877"/>
      <c r="W356" s="877"/>
      <c r="X356" s="877"/>
      <c r="Y356" s="877"/>
      <c r="Z356" s="877"/>
      <c r="AA356" s="877"/>
      <c r="AB356" s="877"/>
      <c r="AC356" s="877"/>
      <c r="AD356" s="877"/>
      <c r="AE356" s="877"/>
      <c r="AF356" s="877"/>
      <c r="AG356" s="877"/>
      <c r="AH356" s="877"/>
      <c r="AI356" s="878"/>
      <c r="AJ356" s="877"/>
      <c r="AK356" s="877">
        <v>221</v>
      </c>
      <c r="AL356" s="877">
        <v>1</v>
      </c>
      <c r="AM356" s="921" t="str">
        <f t="shared" ref="AM356:AM375" si="153">IFERROR(VLOOKUP(AL356,$AI$10:$AW$111,5,0),"")</f>
        <v/>
      </c>
      <c r="AN356" s="887" t="str">
        <f t="shared" ref="AN356:AN375" si="154">IFERROR(VLOOKUP(AL356,$AI$10:$AW$111,6,0),"")</f>
        <v/>
      </c>
      <c r="AO356" s="887" t="str">
        <f t="shared" ref="AO356:AO375" si="155">IFERROR(VLOOKUP(AL356,$AI$10:$AW$111,7,0),"")</f>
        <v/>
      </c>
      <c r="AP356" s="887" t="str">
        <f t="shared" ref="AP356:AP375" si="156">IFERROR(VLOOKUP(AL356,$AI$10:$AW$111,8,0),"")</f>
        <v/>
      </c>
      <c r="AQ356" s="887" t="str">
        <f t="shared" ref="AQ356:AQ375" si="157">IFERROR(VLOOKUP(AL356,$AI$10:$AW$111,9,0),"")</f>
        <v/>
      </c>
      <c r="AR356" s="887" t="str">
        <f t="shared" ref="AR356:AR375" si="158">IFERROR(VLOOKUP(AL356,$AI$10:$AW$111,10,0),"")</f>
        <v/>
      </c>
      <c r="AS356" s="887" t="str">
        <f t="shared" ref="AS356:AS375" si="159">IFERROR(VLOOKUP(AL356,$AI$10:$AW$111,11,0),"")</f>
        <v/>
      </c>
      <c r="AT356" s="887" t="str">
        <f t="shared" ref="AT356:AT375" si="160">IFERROR(VLOOKUP(AL356,$AI$10:$AW$111,12,0),"")</f>
        <v/>
      </c>
      <c r="AU356" s="887" t="str">
        <f t="shared" ref="AU356:AU375" si="161">IFERROR(VLOOKUP(AL356,$AI$10:$AW$111,13,0),"")</f>
        <v/>
      </c>
      <c r="AV356" s="887" t="str">
        <f t="shared" ref="AV356:AV375" si="162">IFERROR(VLOOKUP(AL356,$AI$10:$AW$111,14,0),"")</f>
        <v/>
      </c>
      <c r="AW356" s="887" t="str">
        <f t="shared" ref="AW356:AW375" si="163">IFERROR(VLOOKUP(AL356,$AI$10:$AW$111,15,0),"")</f>
        <v/>
      </c>
      <c r="AX356" s="887" t="str">
        <f>IFERROR(AX354+AT356-AV356,"")</f>
        <v/>
      </c>
      <c r="AY356" s="887" t="str">
        <f>IFERROR(AY354+AU356-AW356,"")</f>
        <v/>
      </c>
      <c r="AZ356" s="877"/>
      <c r="BA356" s="877"/>
      <c r="BB356" s="877"/>
      <c r="BC356" s="877"/>
      <c r="BD356" s="877"/>
      <c r="BE356" s="877"/>
      <c r="BF356" s="877"/>
      <c r="BG356" s="877"/>
      <c r="BH356" s="877"/>
    </row>
    <row r="357" spans="22:60" ht="35.25" customHeight="1" x14ac:dyDescent="0.5">
      <c r="V357" s="877"/>
      <c r="W357" s="877"/>
      <c r="X357" s="877"/>
      <c r="Y357" s="877"/>
      <c r="Z357" s="877"/>
      <c r="AA357" s="877"/>
      <c r="AB357" s="877"/>
      <c r="AC357" s="877"/>
      <c r="AD357" s="877"/>
      <c r="AE357" s="877"/>
      <c r="AF357" s="877"/>
      <c r="AG357" s="877"/>
      <c r="AH357" s="877"/>
      <c r="AI357" s="878"/>
      <c r="AJ357" s="877"/>
      <c r="AK357" s="877">
        <v>222</v>
      </c>
      <c r="AL357" s="877">
        <v>2</v>
      </c>
      <c r="AM357" s="921" t="str">
        <f t="shared" si="153"/>
        <v/>
      </c>
      <c r="AN357" s="887" t="str">
        <f t="shared" si="154"/>
        <v/>
      </c>
      <c r="AO357" s="887" t="str">
        <f t="shared" si="155"/>
        <v/>
      </c>
      <c r="AP357" s="887" t="str">
        <f t="shared" si="156"/>
        <v/>
      </c>
      <c r="AQ357" s="887" t="str">
        <f t="shared" si="157"/>
        <v/>
      </c>
      <c r="AR357" s="887" t="str">
        <f t="shared" si="158"/>
        <v/>
      </c>
      <c r="AS357" s="887" t="str">
        <f t="shared" si="159"/>
        <v/>
      </c>
      <c r="AT357" s="887" t="str">
        <f t="shared" si="160"/>
        <v/>
      </c>
      <c r="AU357" s="887" t="str">
        <f t="shared" si="161"/>
        <v/>
      </c>
      <c r="AV357" s="887" t="str">
        <f t="shared" si="162"/>
        <v/>
      </c>
      <c r="AW357" s="887" t="str">
        <f t="shared" si="163"/>
        <v/>
      </c>
      <c r="AX357" s="887" t="str">
        <f t="shared" si="140"/>
        <v/>
      </c>
      <c r="AY357" s="887" t="str">
        <f t="shared" si="141"/>
        <v/>
      </c>
      <c r="AZ357" s="877"/>
      <c r="BA357" s="877"/>
      <c r="BB357" s="877"/>
      <c r="BC357" s="877"/>
      <c r="BD357" s="877"/>
      <c r="BE357" s="877"/>
      <c r="BF357" s="877"/>
      <c r="BG357" s="877"/>
      <c r="BH357" s="877"/>
    </row>
    <row r="358" spans="22:60" ht="35.25" customHeight="1" x14ac:dyDescent="0.5">
      <c r="V358" s="877"/>
      <c r="W358" s="877"/>
      <c r="X358" s="877"/>
      <c r="Y358" s="877"/>
      <c r="Z358" s="877"/>
      <c r="AA358" s="877"/>
      <c r="AB358" s="877"/>
      <c r="AC358" s="877"/>
      <c r="AD358" s="877"/>
      <c r="AE358" s="877"/>
      <c r="AF358" s="877"/>
      <c r="AG358" s="877"/>
      <c r="AH358" s="877"/>
      <c r="AI358" s="878"/>
      <c r="AJ358" s="877"/>
      <c r="AK358" s="877">
        <v>223</v>
      </c>
      <c r="AL358" s="877">
        <v>3</v>
      </c>
      <c r="AM358" s="921" t="str">
        <f t="shared" si="153"/>
        <v/>
      </c>
      <c r="AN358" s="887" t="str">
        <f t="shared" si="154"/>
        <v/>
      </c>
      <c r="AO358" s="887" t="str">
        <f t="shared" si="155"/>
        <v/>
      </c>
      <c r="AP358" s="887" t="str">
        <f t="shared" si="156"/>
        <v/>
      </c>
      <c r="AQ358" s="887" t="str">
        <f t="shared" si="157"/>
        <v/>
      </c>
      <c r="AR358" s="887" t="str">
        <f t="shared" si="158"/>
        <v/>
      </c>
      <c r="AS358" s="887" t="str">
        <f t="shared" si="159"/>
        <v/>
      </c>
      <c r="AT358" s="887" t="str">
        <f t="shared" si="160"/>
        <v/>
      </c>
      <c r="AU358" s="887" t="str">
        <f t="shared" si="161"/>
        <v/>
      </c>
      <c r="AV358" s="887" t="str">
        <f t="shared" si="162"/>
        <v/>
      </c>
      <c r="AW358" s="887" t="str">
        <f t="shared" si="163"/>
        <v/>
      </c>
      <c r="AX358" s="887" t="str">
        <f t="shared" si="140"/>
        <v/>
      </c>
      <c r="AY358" s="887" t="str">
        <f t="shared" si="141"/>
        <v/>
      </c>
      <c r="AZ358" s="877"/>
      <c r="BA358" s="877"/>
      <c r="BB358" s="877"/>
      <c r="BC358" s="877"/>
      <c r="BD358" s="877"/>
      <c r="BE358" s="877"/>
      <c r="BF358" s="877"/>
      <c r="BG358" s="877"/>
      <c r="BH358" s="877"/>
    </row>
    <row r="359" spans="22:60" ht="35.25" customHeight="1" x14ac:dyDescent="0.5">
      <c r="V359" s="877"/>
      <c r="W359" s="877"/>
      <c r="X359" s="877"/>
      <c r="Y359" s="877"/>
      <c r="Z359" s="877"/>
      <c r="AA359" s="877"/>
      <c r="AB359" s="877"/>
      <c r="AC359" s="877"/>
      <c r="AD359" s="877"/>
      <c r="AE359" s="877"/>
      <c r="AF359" s="877"/>
      <c r="AG359" s="877"/>
      <c r="AH359" s="877"/>
      <c r="AI359" s="878"/>
      <c r="AJ359" s="877"/>
      <c r="AK359" s="877">
        <v>224</v>
      </c>
      <c r="AL359" s="877">
        <v>4</v>
      </c>
      <c r="AM359" s="921" t="str">
        <f t="shared" si="153"/>
        <v/>
      </c>
      <c r="AN359" s="887" t="str">
        <f t="shared" si="154"/>
        <v/>
      </c>
      <c r="AO359" s="887" t="str">
        <f t="shared" si="155"/>
        <v/>
      </c>
      <c r="AP359" s="887" t="str">
        <f t="shared" si="156"/>
        <v/>
      </c>
      <c r="AQ359" s="887" t="str">
        <f t="shared" si="157"/>
        <v/>
      </c>
      <c r="AR359" s="887" t="str">
        <f t="shared" si="158"/>
        <v/>
      </c>
      <c r="AS359" s="887" t="str">
        <f t="shared" si="159"/>
        <v/>
      </c>
      <c r="AT359" s="887" t="str">
        <f t="shared" si="160"/>
        <v/>
      </c>
      <c r="AU359" s="887" t="str">
        <f t="shared" si="161"/>
        <v/>
      </c>
      <c r="AV359" s="887" t="str">
        <f t="shared" si="162"/>
        <v/>
      </c>
      <c r="AW359" s="887" t="str">
        <f t="shared" si="163"/>
        <v/>
      </c>
      <c r="AX359" s="887" t="str">
        <f t="shared" si="140"/>
        <v/>
      </c>
      <c r="AY359" s="887" t="str">
        <f t="shared" si="141"/>
        <v/>
      </c>
      <c r="AZ359" s="877"/>
      <c r="BA359" s="877"/>
      <c r="BB359" s="877"/>
      <c r="BC359" s="877"/>
      <c r="BD359" s="877"/>
      <c r="BE359" s="877"/>
      <c r="BF359" s="877"/>
      <c r="BG359" s="877"/>
      <c r="BH359" s="877"/>
    </row>
    <row r="360" spans="22:60" ht="35.25" customHeight="1" x14ac:dyDescent="0.5">
      <c r="V360" s="877"/>
      <c r="W360" s="877"/>
      <c r="X360" s="877"/>
      <c r="Y360" s="877"/>
      <c r="Z360" s="877"/>
      <c r="AA360" s="877"/>
      <c r="AB360" s="877"/>
      <c r="AC360" s="877"/>
      <c r="AD360" s="877"/>
      <c r="AE360" s="877"/>
      <c r="AF360" s="877"/>
      <c r="AG360" s="877"/>
      <c r="AH360" s="877"/>
      <c r="AI360" s="878"/>
      <c r="AJ360" s="877"/>
      <c r="AK360" s="877">
        <v>225</v>
      </c>
      <c r="AL360" s="877">
        <v>5</v>
      </c>
      <c r="AM360" s="921" t="str">
        <f t="shared" si="153"/>
        <v/>
      </c>
      <c r="AN360" s="887" t="str">
        <f t="shared" si="154"/>
        <v/>
      </c>
      <c r="AO360" s="887" t="str">
        <f t="shared" si="155"/>
        <v/>
      </c>
      <c r="AP360" s="887" t="str">
        <f t="shared" si="156"/>
        <v/>
      </c>
      <c r="AQ360" s="887" t="str">
        <f t="shared" si="157"/>
        <v/>
      </c>
      <c r="AR360" s="887" t="str">
        <f t="shared" si="158"/>
        <v/>
      </c>
      <c r="AS360" s="887" t="str">
        <f t="shared" si="159"/>
        <v/>
      </c>
      <c r="AT360" s="887" t="str">
        <f t="shared" si="160"/>
        <v/>
      </c>
      <c r="AU360" s="887" t="str">
        <f t="shared" si="161"/>
        <v/>
      </c>
      <c r="AV360" s="887" t="str">
        <f t="shared" si="162"/>
        <v/>
      </c>
      <c r="AW360" s="887" t="str">
        <f t="shared" si="163"/>
        <v/>
      </c>
      <c r="AX360" s="887" t="str">
        <f t="shared" si="140"/>
        <v/>
      </c>
      <c r="AY360" s="887" t="str">
        <f t="shared" si="141"/>
        <v/>
      </c>
      <c r="AZ360" s="877"/>
      <c r="BA360" s="877"/>
      <c r="BB360" s="877"/>
      <c r="BC360" s="877"/>
      <c r="BD360" s="877"/>
      <c r="BE360" s="877"/>
      <c r="BF360" s="877"/>
      <c r="BG360" s="877"/>
      <c r="BH360" s="877"/>
    </row>
    <row r="361" spans="22:60" ht="35.25" customHeight="1" x14ac:dyDescent="0.5">
      <c r="V361" s="877"/>
      <c r="W361" s="877"/>
      <c r="X361" s="877"/>
      <c r="Y361" s="877"/>
      <c r="Z361" s="877"/>
      <c r="AA361" s="877"/>
      <c r="AB361" s="877"/>
      <c r="AC361" s="877"/>
      <c r="AD361" s="877"/>
      <c r="AE361" s="877"/>
      <c r="AF361" s="877"/>
      <c r="AG361" s="877"/>
      <c r="AH361" s="877"/>
      <c r="AI361" s="878"/>
      <c r="AJ361" s="877"/>
      <c r="AK361" s="877">
        <v>226</v>
      </c>
      <c r="AL361" s="877">
        <v>6</v>
      </c>
      <c r="AM361" s="921" t="str">
        <f t="shared" si="153"/>
        <v/>
      </c>
      <c r="AN361" s="887" t="str">
        <f t="shared" si="154"/>
        <v/>
      </c>
      <c r="AO361" s="887" t="str">
        <f t="shared" si="155"/>
        <v/>
      </c>
      <c r="AP361" s="887" t="str">
        <f t="shared" si="156"/>
        <v/>
      </c>
      <c r="AQ361" s="887" t="str">
        <f t="shared" si="157"/>
        <v/>
      </c>
      <c r="AR361" s="887" t="str">
        <f t="shared" si="158"/>
        <v/>
      </c>
      <c r="AS361" s="887" t="str">
        <f t="shared" si="159"/>
        <v/>
      </c>
      <c r="AT361" s="887" t="str">
        <f t="shared" si="160"/>
        <v/>
      </c>
      <c r="AU361" s="887" t="str">
        <f t="shared" si="161"/>
        <v/>
      </c>
      <c r="AV361" s="887" t="str">
        <f t="shared" si="162"/>
        <v/>
      </c>
      <c r="AW361" s="887" t="str">
        <f t="shared" si="163"/>
        <v/>
      </c>
      <c r="AX361" s="887" t="str">
        <f t="shared" si="140"/>
        <v/>
      </c>
      <c r="AY361" s="887" t="str">
        <f t="shared" si="141"/>
        <v/>
      </c>
      <c r="AZ361" s="877"/>
      <c r="BA361" s="877"/>
      <c r="BB361" s="877"/>
      <c r="BC361" s="877"/>
      <c r="BD361" s="877"/>
      <c r="BE361" s="877"/>
      <c r="BF361" s="877"/>
      <c r="BG361" s="877"/>
      <c r="BH361" s="877"/>
    </row>
    <row r="362" spans="22:60" ht="35.25" customHeight="1" x14ac:dyDescent="0.5">
      <c r="V362" s="877"/>
      <c r="W362" s="877"/>
      <c r="X362" s="877"/>
      <c r="Y362" s="877"/>
      <c r="Z362" s="877"/>
      <c r="AA362" s="877"/>
      <c r="AB362" s="877"/>
      <c r="AC362" s="877"/>
      <c r="AD362" s="877"/>
      <c r="AE362" s="877"/>
      <c r="AF362" s="877"/>
      <c r="AG362" s="877"/>
      <c r="AH362" s="877"/>
      <c r="AI362" s="878"/>
      <c r="AJ362" s="877"/>
      <c r="AK362" s="877">
        <v>227</v>
      </c>
      <c r="AL362" s="877">
        <v>7</v>
      </c>
      <c r="AM362" s="921" t="str">
        <f t="shared" si="153"/>
        <v/>
      </c>
      <c r="AN362" s="887" t="str">
        <f t="shared" si="154"/>
        <v/>
      </c>
      <c r="AO362" s="887" t="str">
        <f t="shared" si="155"/>
        <v/>
      </c>
      <c r="AP362" s="887" t="str">
        <f t="shared" si="156"/>
        <v/>
      </c>
      <c r="AQ362" s="887" t="str">
        <f t="shared" si="157"/>
        <v/>
      </c>
      <c r="AR362" s="887" t="str">
        <f t="shared" si="158"/>
        <v/>
      </c>
      <c r="AS362" s="887" t="str">
        <f t="shared" si="159"/>
        <v/>
      </c>
      <c r="AT362" s="887" t="str">
        <f t="shared" si="160"/>
        <v/>
      </c>
      <c r="AU362" s="887" t="str">
        <f t="shared" si="161"/>
        <v/>
      </c>
      <c r="AV362" s="887" t="str">
        <f t="shared" si="162"/>
        <v/>
      </c>
      <c r="AW362" s="887" t="str">
        <f t="shared" si="163"/>
        <v/>
      </c>
      <c r="AX362" s="887" t="str">
        <f t="shared" si="140"/>
        <v/>
      </c>
      <c r="AY362" s="887" t="str">
        <f t="shared" si="141"/>
        <v/>
      </c>
      <c r="AZ362" s="877"/>
      <c r="BA362" s="877"/>
      <c r="BB362" s="877"/>
      <c r="BC362" s="877"/>
      <c r="BD362" s="877"/>
      <c r="BE362" s="877"/>
      <c r="BF362" s="877"/>
      <c r="BG362" s="877"/>
      <c r="BH362" s="877"/>
    </row>
    <row r="363" spans="22:60" ht="35.25" customHeight="1" x14ac:dyDescent="0.5">
      <c r="V363" s="877"/>
      <c r="W363" s="877"/>
      <c r="X363" s="877"/>
      <c r="Y363" s="877"/>
      <c r="Z363" s="877"/>
      <c r="AA363" s="877"/>
      <c r="AB363" s="877"/>
      <c r="AC363" s="877"/>
      <c r="AD363" s="877"/>
      <c r="AE363" s="877"/>
      <c r="AF363" s="877"/>
      <c r="AG363" s="877"/>
      <c r="AH363" s="877"/>
      <c r="AI363" s="878"/>
      <c r="AJ363" s="877"/>
      <c r="AK363" s="877">
        <v>228</v>
      </c>
      <c r="AL363" s="877">
        <v>8</v>
      </c>
      <c r="AM363" s="921" t="str">
        <f t="shared" si="153"/>
        <v/>
      </c>
      <c r="AN363" s="887" t="str">
        <f t="shared" si="154"/>
        <v/>
      </c>
      <c r="AO363" s="887" t="str">
        <f t="shared" si="155"/>
        <v/>
      </c>
      <c r="AP363" s="887" t="str">
        <f t="shared" si="156"/>
        <v/>
      </c>
      <c r="AQ363" s="887" t="str">
        <f t="shared" si="157"/>
        <v/>
      </c>
      <c r="AR363" s="887" t="str">
        <f t="shared" si="158"/>
        <v/>
      </c>
      <c r="AS363" s="887" t="str">
        <f t="shared" si="159"/>
        <v/>
      </c>
      <c r="AT363" s="887" t="str">
        <f t="shared" si="160"/>
        <v/>
      </c>
      <c r="AU363" s="887" t="str">
        <f t="shared" si="161"/>
        <v/>
      </c>
      <c r="AV363" s="887" t="str">
        <f t="shared" si="162"/>
        <v/>
      </c>
      <c r="AW363" s="887" t="str">
        <f t="shared" si="163"/>
        <v/>
      </c>
      <c r="AX363" s="887" t="str">
        <f t="shared" si="140"/>
        <v/>
      </c>
      <c r="AY363" s="887" t="str">
        <f t="shared" si="141"/>
        <v/>
      </c>
      <c r="AZ363" s="877"/>
      <c r="BA363" s="877"/>
      <c r="BB363" s="877"/>
      <c r="BC363" s="877"/>
      <c r="BD363" s="877"/>
      <c r="BE363" s="877"/>
      <c r="BF363" s="877"/>
      <c r="BG363" s="877"/>
      <c r="BH363" s="877"/>
    </row>
    <row r="364" spans="22:60" ht="35.25" customHeight="1" x14ac:dyDescent="0.5">
      <c r="V364" s="877"/>
      <c r="W364" s="877"/>
      <c r="X364" s="877"/>
      <c r="Y364" s="877"/>
      <c r="Z364" s="877"/>
      <c r="AA364" s="877"/>
      <c r="AB364" s="877"/>
      <c r="AC364" s="877"/>
      <c r="AD364" s="877"/>
      <c r="AE364" s="877"/>
      <c r="AF364" s="877"/>
      <c r="AG364" s="877"/>
      <c r="AH364" s="877"/>
      <c r="AI364" s="878"/>
      <c r="AJ364" s="877"/>
      <c r="AK364" s="877">
        <v>229</v>
      </c>
      <c r="AL364" s="877">
        <v>9</v>
      </c>
      <c r="AM364" s="921" t="str">
        <f t="shared" si="153"/>
        <v/>
      </c>
      <c r="AN364" s="887" t="str">
        <f t="shared" si="154"/>
        <v/>
      </c>
      <c r="AO364" s="887" t="str">
        <f t="shared" si="155"/>
        <v/>
      </c>
      <c r="AP364" s="887" t="str">
        <f t="shared" si="156"/>
        <v/>
      </c>
      <c r="AQ364" s="887" t="str">
        <f t="shared" si="157"/>
        <v/>
      </c>
      <c r="AR364" s="887" t="str">
        <f t="shared" si="158"/>
        <v/>
      </c>
      <c r="AS364" s="887" t="str">
        <f t="shared" si="159"/>
        <v/>
      </c>
      <c r="AT364" s="887" t="str">
        <f t="shared" si="160"/>
        <v/>
      </c>
      <c r="AU364" s="887" t="str">
        <f t="shared" si="161"/>
        <v/>
      </c>
      <c r="AV364" s="887" t="str">
        <f t="shared" si="162"/>
        <v/>
      </c>
      <c r="AW364" s="887" t="str">
        <f t="shared" si="163"/>
        <v/>
      </c>
      <c r="AX364" s="887" t="str">
        <f t="shared" si="140"/>
        <v/>
      </c>
      <c r="AY364" s="887" t="str">
        <f t="shared" si="141"/>
        <v/>
      </c>
      <c r="AZ364" s="877"/>
      <c r="BA364" s="877"/>
      <c r="BB364" s="877"/>
      <c r="BC364" s="877"/>
      <c r="BD364" s="877"/>
      <c r="BE364" s="877"/>
      <c r="BF364" s="877"/>
      <c r="BG364" s="877"/>
      <c r="BH364" s="877"/>
    </row>
    <row r="365" spans="22:60" ht="35.25" customHeight="1" x14ac:dyDescent="0.5">
      <c r="V365" s="877"/>
      <c r="W365" s="877"/>
      <c r="X365" s="877"/>
      <c r="Y365" s="877"/>
      <c r="Z365" s="877"/>
      <c r="AA365" s="877"/>
      <c r="AB365" s="877"/>
      <c r="AC365" s="877"/>
      <c r="AD365" s="877"/>
      <c r="AE365" s="877"/>
      <c r="AF365" s="877"/>
      <c r="AG365" s="877"/>
      <c r="AH365" s="877"/>
      <c r="AI365" s="878"/>
      <c r="AJ365" s="877"/>
      <c r="AK365" s="877">
        <v>230</v>
      </c>
      <c r="AL365" s="877">
        <v>10</v>
      </c>
      <c r="AM365" s="921" t="str">
        <f t="shared" si="153"/>
        <v/>
      </c>
      <c r="AN365" s="887" t="str">
        <f t="shared" si="154"/>
        <v/>
      </c>
      <c r="AO365" s="887" t="str">
        <f t="shared" si="155"/>
        <v/>
      </c>
      <c r="AP365" s="887" t="str">
        <f t="shared" si="156"/>
        <v/>
      </c>
      <c r="AQ365" s="887" t="str">
        <f t="shared" si="157"/>
        <v/>
      </c>
      <c r="AR365" s="887" t="str">
        <f t="shared" si="158"/>
        <v/>
      </c>
      <c r="AS365" s="887" t="str">
        <f t="shared" si="159"/>
        <v/>
      </c>
      <c r="AT365" s="887" t="str">
        <f t="shared" si="160"/>
        <v/>
      </c>
      <c r="AU365" s="887" t="str">
        <f t="shared" si="161"/>
        <v/>
      </c>
      <c r="AV365" s="887" t="str">
        <f t="shared" si="162"/>
        <v/>
      </c>
      <c r="AW365" s="887" t="str">
        <f t="shared" si="163"/>
        <v/>
      </c>
      <c r="AX365" s="887" t="str">
        <f t="shared" si="140"/>
        <v/>
      </c>
      <c r="AY365" s="887" t="str">
        <f t="shared" si="141"/>
        <v/>
      </c>
      <c r="AZ365" s="877"/>
      <c r="BA365" s="877"/>
      <c r="BB365" s="877"/>
      <c r="BC365" s="877"/>
      <c r="BD365" s="877"/>
      <c r="BE365" s="877"/>
      <c r="BF365" s="877"/>
      <c r="BG365" s="877"/>
      <c r="BH365" s="877"/>
    </row>
    <row r="366" spans="22:60" ht="35.25" customHeight="1" x14ac:dyDescent="0.5">
      <c r="V366" s="877"/>
      <c r="W366" s="877"/>
      <c r="X366" s="877"/>
      <c r="Y366" s="877"/>
      <c r="Z366" s="877"/>
      <c r="AA366" s="877"/>
      <c r="AB366" s="877"/>
      <c r="AC366" s="877"/>
      <c r="AD366" s="877"/>
      <c r="AE366" s="877"/>
      <c r="AF366" s="877"/>
      <c r="AG366" s="877"/>
      <c r="AH366" s="877"/>
      <c r="AI366" s="878"/>
      <c r="AJ366" s="877"/>
      <c r="AK366" s="877">
        <v>231</v>
      </c>
      <c r="AL366" s="877">
        <v>11</v>
      </c>
      <c r="AM366" s="921" t="str">
        <f t="shared" si="153"/>
        <v/>
      </c>
      <c r="AN366" s="887" t="str">
        <f t="shared" si="154"/>
        <v/>
      </c>
      <c r="AO366" s="887" t="str">
        <f t="shared" si="155"/>
        <v/>
      </c>
      <c r="AP366" s="887" t="str">
        <f t="shared" si="156"/>
        <v/>
      </c>
      <c r="AQ366" s="887" t="str">
        <f t="shared" si="157"/>
        <v/>
      </c>
      <c r="AR366" s="887" t="str">
        <f t="shared" si="158"/>
        <v/>
      </c>
      <c r="AS366" s="887" t="str">
        <f t="shared" si="159"/>
        <v/>
      </c>
      <c r="AT366" s="887" t="str">
        <f t="shared" si="160"/>
        <v/>
      </c>
      <c r="AU366" s="887" t="str">
        <f t="shared" si="161"/>
        <v/>
      </c>
      <c r="AV366" s="887" t="str">
        <f t="shared" si="162"/>
        <v/>
      </c>
      <c r="AW366" s="887" t="str">
        <f t="shared" si="163"/>
        <v/>
      </c>
      <c r="AX366" s="887" t="str">
        <f t="shared" si="140"/>
        <v/>
      </c>
      <c r="AY366" s="887" t="str">
        <f t="shared" si="141"/>
        <v/>
      </c>
      <c r="AZ366" s="877"/>
      <c r="BA366" s="877"/>
      <c r="BB366" s="877"/>
      <c r="BC366" s="877"/>
      <c r="BD366" s="877"/>
      <c r="BE366" s="877"/>
      <c r="BF366" s="877"/>
      <c r="BG366" s="877"/>
      <c r="BH366" s="877"/>
    </row>
    <row r="367" spans="22:60" ht="35.25" customHeight="1" x14ac:dyDescent="0.5">
      <c r="V367" s="877"/>
      <c r="W367" s="877"/>
      <c r="X367" s="877"/>
      <c r="Y367" s="877"/>
      <c r="Z367" s="877"/>
      <c r="AA367" s="877"/>
      <c r="AB367" s="877"/>
      <c r="AC367" s="877"/>
      <c r="AD367" s="877"/>
      <c r="AE367" s="877"/>
      <c r="AF367" s="877"/>
      <c r="AG367" s="877"/>
      <c r="AH367" s="877"/>
      <c r="AI367" s="878"/>
      <c r="AJ367" s="877"/>
      <c r="AK367" s="877">
        <v>232</v>
      </c>
      <c r="AL367" s="877">
        <v>12</v>
      </c>
      <c r="AM367" s="921" t="str">
        <f t="shared" si="153"/>
        <v/>
      </c>
      <c r="AN367" s="887" t="str">
        <f t="shared" si="154"/>
        <v/>
      </c>
      <c r="AO367" s="887" t="str">
        <f t="shared" si="155"/>
        <v/>
      </c>
      <c r="AP367" s="887" t="str">
        <f t="shared" si="156"/>
        <v/>
      </c>
      <c r="AQ367" s="887" t="str">
        <f t="shared" si="157"/>
        <v/>
      </c>
      <c r="AR367" s="887" t="str">
        <f t="shared" si="158"/>
        <v/>
      </c>
      <c r="AS367" s="887" t="str">
        <f t="shared" si="159"/>
        <v/>
      </c>
      <c r="AT367" s="887" t="str">
        <f t="shared" si="160"/>
        <v/>
      </c>
      <c r="AU367" s="887" t="str">
        <f t="shared" si="161"/>
        <v/>
      </c>
      <c r="AV367" s="887" t="str">
        <f t="shared" si="162"/>
        <v/>
      </c>
      <c r="AW367" s="887" t="str">
        <f t="shared" si="163"/>
        <v/>
      </c>
      <c r="AX367" s="887" t="str">
        <f t="shared" si="140"/>
        <v/>
      </c>
      <c r="AY367" s="887" t="str">
        <f t="shared" si="141"/>
        <v/>
      </c>
      <c r="AZ367" s="877"/>
      <c r="BA367" s="877"/>
      <c r="BB367" s="877"/>
      <c r="BC367" s="877"/>
      <c r="BD367" s="877"/>
      <c r="BE367" s="877"/>
      <c r="BF367" s="877"/>
      <c r="BG367" s="877"/>
      <c r="BH367" s="877"/>
    </row>
    <row r="368" spans="22:60" ht="35.25" customHeight="1" x14ac:dyDescent="0.5">
      <c r="V368" s="877"/>
      <c r="W368" s="877"/>
      <c r="X368" s="877"/>
      <c r="Y368" s="877"/>
      <c r="Z368" s="877"/>
      <c r="AA368" s="877"/>
      <c r="AB368" s="877"/>
      <c r="AC368" s="877"/>
      <c r="AD368" s="877"/>
      <c r="AE368" s="877"/>
      <c r="AF368" s="877"/>
      <c r="AG368" s="877"/>
      <c r="AH368" s="877"/>
      <c r="AI368" s="878"/>
      <c r="AJ368" s="877"/>
      <c r="AK368" s="877">
        <v>233</v>
      </c>
      <c r="AL368" s="877">
        <v>13</v>
      </c>
      <c r="AM368" s="921" t="str">
        <f t="shared" si="153"/>
        <v/>
      </c>
      <c r="AN368" s="887" t="str">
        <f t="shared" si="154"/>
        <v/>
      </c>
      <c r="AO368" s="887" t="str">
        <f t="shared" si="155"/>
        <v/>
      </c>
      <c r="AP368" s="887" t="str">
        <f t="shared" si="156"/>
        <v/>
      </c>
      <c r="AQ368" s="887" t="str">
        <f t="shared" si="157"/>
        <v/>
      </c>
      <c r="AR368" s="887" t="str">
        <f t="shared" si="158"/>
        <v/>
      </c>
      <c r="AS368" s="887" t="str">
        <f t="shared" si="159"/>
        <v/>
      </c>
      <c r="AT368" s="887" t="str">
        <f t="shared" si="160"/>
        <v/>
      </c>
      <c r="AU368" s="887" t="str">
        <f t="shared" si="161"/>
        <v/>
      </c>
      <c r="AV368" s="887" t="str">
        <f t="shared" si="162"/>
        <v/>
      </c>
      <c r="AW368" s="887" t="str">
        <f t="shared" si="163"/>
        <v/>
      </c>
      <c r="AX368" s="887" t="str">
        <f t="shared" si="140"/>
        <v/>
      </c>
      <c r="AY368" s="887" t="str">
        <f t="shared" si="141"/>
        <v/>
      </c>
      <c r="AZ368" s="877"/>
      <c r="BA368" s="877"/>
      <c r="BB368" s="877"/>
      <c r="BC368" s="877"/>
      <c r="BD368" s="877"/>
      <c r="BE368" s="877"/>
      <c r="BF368" s="877"/>
      <c r="BG368" s="877"/>
      <c r="BH368" s="877"/>
    </row>
    <row r="369" spans="22:60" ht="35.25" customHeight="1" x14ac:dyDescent="0.5">
      <c r="V369" s="877"/>
      <c r="W369" s="877"/>
      <c r="X369" s="877"/>
      <c r="Y369" s="877"/>
      <c r="Z369" s="877"/>
      <c r="AA369" s="877"/>
      <c r="AB369" s="877"/>
      <c r="AC369" s="877"/>
      <c r="AD369" s="877"/>
      <c r="AE369" s="877"/>
      <c r="AF369" s="877"/>
      <c r="AG369" s="877"/>
      <c r="AH369" s="877"/>
      <c r="AI369" s="878"/>
      <c r="AJ369" s="877"/>
      <c r="AK369" s="877">
        <v>234</v>
      </c>
      <c r="AL369" s="877">
        <v>14</v>
      </c>
      <c r="AM369" s="921" t="str">
        <f t="shared" si="153"/>
        <v/>
      </c>
      <c r="AN369" s="887" t="str">
        <f t="shared" si="154"/>
        <v/>
      </c>
      <c r="AO369" s="887" t="str">
        <f t="shared" si="155"/>
        <v/>
      </c>
      <c r="AP369" s="887" t="str">
        <f t="shared" si="156"/>
        <v/>
      </c>
      <c r="AQ369" s="887" t="str">
        <f t="shared" si="157"/>
        <v/>
      </c>
      <c r="AR369" s="887" t="str">
        <f t="shared" si="158"/>
        <v/>
      </c>
      <c r="AS369" s="887" t="str">
        <f t="shared" si="159"/>
        <v/>
      </c>
      <c r="AT369" s="887" t="str">
        <f t="shared" si="160"/>
        <v/>
      </c>
      <c r="AU369" s="887" t="str">
        <f t="shared" si="161"/>
        <v/>
      </c>
      <c r="AV369" s="887" t="str">
        <f t="shared" si="162"/>
        <v/>
      </c>
      <c r="AW369" s="887" t="str">
        <f t="shared" si="163"/>
        <v/>
      </c>
      <c r="AX369" s="887" t="str">
        <f t="shared" si="140"/>
        <v/>
      </c>
      <c r="AY369" s="887" t="str">
        <f t="shared" si="141"/>
        <v/>
      </c>
      <c r="AZ369" s="877"/>
      <c r="BA369" s="877"/>
      <c r="BB369" s="877"/>
      <c r="BC369" s="877"/>
      <c r="BD369" s="877"/>
      <c r="BE369" s="877"/>
      <c r="BF369" s="877"/>
      <c r="BG369" s="877"/>
      <c r="BH369" s="877"/>
    </row>
    <row r="370" spans="22:60" ht="35.25" customHeight="1" x14ac:dyDescent="0.5">
      <c r="V370" s="877"/>
      <c r="W370" s="877"/>
      <c r="X370" s="877"/>
      <c r="Y370" s="877"/>
      <c r="Z370" s="877"/>
      <c r="AA370" s="877"/>
      <c r="AB370" s="877"/>
      <c r="AC370" s="877"/>
      <c r="AD370" s="877"/>
      <c r="AE370" s="877"/>
      <c r="AF370" s="877"/>
      <c r="AG370" s="877"/>
      <c r="AH370" s="877"/>
      <c r="AI370" s="878"/>
      <c r="AJ370" s="877"/>
      <c r="AK370" s="877">
        <v>235</v>
      </c>
      <c r="AL370" s="877">
        <v>15</v>
      </c>
      <c r="AM370" s="921" t="str">
        <f t="shared" si="153"/>
        <v/>
      </c>
      <c r="AN370" s="887" t="str">
        <f t="shared" si="154"/>
        <v/>
      </c>
      <c r="AO370" s="887" t="str">
        <f t="shared" si="155"/>
        <v/>
      </c>
      <c r="AP370" s="887" t="str">
        <f t="shared" si="156"/>
        <v/>
      </c>
      <c r="AQ370" s="887" t="str">
        <f t="shared" si="157"/>
        <v/>
      </c>
      <c r="AR370" s="887" t="str">
        <f t="shared" si="158"/>
        <v/>
      </c>
      <c r="AS370" s="887" t="str">
        <f t="shared" si="159"/>
        <v/>
      </c>
      <c r="AT370" s="887" t="str">
        <f t="shared" si="160"/>
        <v/>
      </c>
      <c r="AU370" s="887" t="str">
        <f t="shared" si="161"/>
        <v/>
      </c>
      <c r="AV370" s="887" t="str">
        <f t="shared" si="162"/>
        <v/>
      </c>
      <c r="AW370" s="887" t="str">
        <f t="shared" si="163"/>
        <v/>
      </c>
      <c r="AX370" s="887" t="str">
        <f t="shared" si="140"/>
        <v/>
      </c>
      <c r="AY370" s="887" t="str">
        <f t="shared" si="141"/>
        <v/>
      </c>
      <c r="AZ370" s="877"/>
      <c r="BA370" s="877"/>
      <c r="BB370" s="877"/>
      <c r="BC370" s="877"/>
      <c r="BD370" s="877"/>
      <c r="BE370" s="877"/>
      <c r="BF370" s="877"/>
      <c r="BG370" s="877"/>
      <c r="BH370" s="877"/>
    </row>
    <row r="371" spans="22:60" ht="35.25" customHeight="1" x14ac:dyDescent="0.5">
      <c r="V371" s="877"/>
      <c r="W371" s="877"/>
      <c r="X371" s="877"/>
      <c r="Y371" s="877"/>
      <c r="Z371" s="877"/>
      <c r="AA371" s="877"/>
      <c r="AB371" s="877"/>
      <c r="AC371" s="877"/>
      <c r="AD371" s="877"/>
      <c r="AE371" s="877"/>
      <c r="AF371" s="877"/>
      <c r="AG371" s="877"/>
      <c r="AH371" s="877"/>
      <c r="AI371" s="878"/>
      <c r="AJ371" s="877"/>
      <c r="AK371" s="877">
        <v>236</v>
      </c>
      <c r="AL371" s="877">
        <v>16</v>
      </c>
      <c r="AM371" s="921" t="str">
        <f t="shared" si="153"/>
        <v/>
      </c>
      <c r="AN371" s="887" t="str">
        <f t="shared" si="154"/>
        <v/>
      </c>
      <c r="AO371" s="887" t="str">
        <f t="shared" si="155"/>
        <v/>
      </c>
      <c r="AP371" s="887" t="str">
        <f t="shared" si="156"/>
        <v/>
      </c>
      <c r="AQ371" s="887" t="str">
        <f t="shared" si="157"/>
        <v/>
      </c>
      <c r="AR371" s="887" t="str">
        <f t="shared" si="158"/>
        <v/>
      </c>
      <c r="AS371" s="887" t="str">
        <f t="shared" si="159"/>
        <v/>
      </c>
      <c r="AT371" s="887" t="str">
        <f t="shared" si="160"/>
        <v/>
      </c>
      <c r="AU371" s="887" t="str">
        <f t="shared" si="161"/>
        <v/>
      </c>
      <c r="AV371" s="887" t="str">
        <f t="shared" si="162"/>
        <v/>
      </c>
      <c r="AW371" s="887" t="str">
        <f t="shared" si="163"/>
        <v/>
      </c>
      <c r="AX371" s="887" t="str">
        <f t="shared" si="140"/>
        <v/>
      </c>
      <c r="AY371" s="887" t="str">
        <f t="shared" si="141"/>
        <v/>
      </c>
      <c r="AZ371" s="877"/>
      <c r="BA371" s="877"/>
      <c r="BB371" s="877"/>
      <c r="BC371" s="877"/>
      <c r="BD371" s="877"/>
      <c r="BE371" s="877"/>
      <c r="BF371" s="877"/>
      <c r="BG371" s="877"/>
      <c r="BH371" s="877"/>
    </row>
    <row r="372" spans="22:60" ht="35.25" customHeight="1" x14ac:dyDescent="0.5">
      <c r="V372" s="877"/>
      <c r="W372" s="877"/>
      <c r="X372" s="877"/>
      <c r="Y372" s="877"/>
      <c r="Z372" s="877"/>
      <c r="AA372" s="877"/>
      <c r="AB372" s="877"/>
      <c r="AC372" s="877"/>
      <c r="AD372" s="877"/>
      <c r="AE372" s="877"/>
      <c r="AF372" s="877"/>
      <c r="AG372" s="877"/>
      <c r="AH372" s="877"/>
      <c r="AI372" s="878"/>
      <c r="AJ372" s="877"/>
      <c r="AK372" s="877">
        <v>237</v>
      </c>
      <c r="AL372" s="877">
        <v>17</v>
      </c>
      <c r="AM372" s="921" t="str">
        <f t="shared" si="153"/>
        <v/>
      </c>
      <c r="AN372" s="887" t="str">
        <f t="shared" si="154"/>
        <v/>
      </c>
      <c r="AO372" s="887" t="str">
        <f t="shared" si="155"/>
        <v/>
      </c>
      <c r="AP372" s="887" t="str">
        <f t="shared" si="156"/>
        <v/>
      </c>
      <c r="AQ372" s="887" t="str">
        <f t="shared" si="157"/>
        <v/>
      </c>
      <c r="AR372" s="887" t="str">
        <f t="shared" si="158"/>
        <v/>
      </c>
      <c r="AS372" s="887" t="str">
        <f t="shared" si="159"/>
        <v/>
      </c>
      <c r="AT372" s="887" t="str">
        <f t="shared" si="160"/>
        <v/>
      </c>
      <c r="AU372" s="887" t="str">
        <f t="shared" si="161"/>
        <v/>
      </c>
      <c r="AV372" s="887" t="str">
        <f t="shared" si="162"/>
        <v/>
      </c>
      <c r="AW372" s="887" t="str">
        <f t="shared" si="163"/>
        <v/>
      </c>
      <c r="AX372" s="887" t="str">
        <f t="shared" si="140"/>
        <v/>
      </c>
      <c r="AY372" s="887" t="str">
        <f t="shared" si="141"/>
        <v/>
      </c>
      <c r="AZ372" s="877"/>
      <c r="BA372" s="877"/>
      <c r="BB372" s="877"/>
      <c r="BC372" s="877"/>
      <c r="BD372" s="877"/>
      <c r="BE372" s="877"/>
      <c r="BF372" s="877"/>
      <c r="BG372" s="877"/>
      <c r="BH372" s="877"/>
    </row>
    <row r="373" spans="22:60" ht="35.25" customHeight="1" x14ac:dyDescent="0.5">
      <c r="V373" s="877"/>
      <c r="W373" s="877"/>
      <c r="X373" s="877"/>
      <c r="Y373" s="877"/>
      <c r="Z373" s="877"/>
      <c r="AA373" s="877"/>
      <c r="AB373" s="877"/>
      <c r="AC373" s="877"/>
      <c r="AD373" s="877"/>
      <c r="AE373" s="877"/>
      <c r="AF373" s="877"/>
      <c r="AG373" s="877"/>
      <c r="AH373" s="877"/>
      <c r="AI373" s="878"/>
      <c r="AJ373" s="877"/>
      <c r="AK373" s="877">
        <v>238</v>
      </c>
      <c r="AL373" s="877">
        <v>18</v>
      </c>
      <c r="AM373" s="921" t="str">
        <f t="shared" si="153"/>
        <v/>
      </c>
      <c r="AN373" s="887" t="str">
        <f t="shared" si="154"/>
        <v/>
      </c>
      <c r="AO373" s="887" t="str">
        <f t="shared" si="155"/>
        <v/>
      </c>
      <c r="AP373" s="887" t="str">
        <f t="shared" si="156"/>
        <v/>
      </c>
      <c r="AQ373" s="887" t="str">
        <f t="shared" si="157"/>
        <v/>
      </c>
      <c r="AR373" s="887" t="str">
        <f t="shared" si="158"/>
        <v/>
      </c>
      <c r="AS373" s="887" t="str">
        <f t="shared" si="159"/>
        <v/>
      </c>
      <c r="AT373" s="887" t="str">
        <f t="shared" si="160"/>
        <v/>
      </c>
      <c r="AU373" s="887" t="str">
        <f t="shared" si="161"/>
        <v/>
      </c>
      <c r="AV373" s="887" t="str">
        <f t="shared" si="162"/>
        <v/>
      </c>
      <c r="AW373" s="887" t="str">
        <f t="shared" si="163"/>
        <v/>
      </c>
      <c r="AX373" s="887" t="str">
        <f t="shared" si="140"/>
        <v/>
      </c>
      <c r="AY373" s="887" t="str">
        <f t="shared" si="141"/>
        <v/>
      </c>
      <c r="AZ373" s="877"/>
      <c r="BA373" s="877"/>
      <c r="BB373" s="877"/>
      <c r="BC373" s="877"/>
      <c r="BD373" s="877"/>
      <c r="BE373" s="877"/>
      <c r="BF373" s="877"/>
      <c r="BG373" s="877"/>
      <c r="BH373" s="877"/>
    </row>
    <row r="374" spans="22:60" ht="35.25" customHeight="1" x14ac:dyDescent="0.5">
      <c r="V374" s="877"/>
      <c r="W374" s="877"/>
      <c r="X374" s="877"/>
      <c r="Y374" s="877"/>
      <c r="Z374" s="877"/>
      <c r="AA374" s="877"/>
      <c r="AB374" s="877"/>
      <c r="AC374" s="877"/>
      <c r="AD374" s="877"/>
      <c r="AE374" s="877"/>
      <c r="AF374" s="877"/>
      <c r="AG374" s="877"/>
      <c r="AH374" s="877"/>
      <c r="AI374" s="878"/>
      <c r="AJ374" s="877"/>
      <c r="AK374" s="877">
        <v>239</v>
      </c>
      <c r="AL374" s="877">
        <v>19</v>
      </c>
      <c r="AM374" s="921" t="str">
        <f t="shared" si="153"/>
        <v/>
      </c>
      <c r="AN374" s="887" t="str">
        <f t="shared" si="154"/>
        <v/>
      </c>
      <c r="AO374" s="887" t="str">
        <f t="shared" si="155"/>
        <v/>
      </c>
      <c r="AP374" s="887" t="str">
        <f t="shared" si="156"/>
        <v/>
      </c>
      <c r="AQ374" s="887" t="str">
        <f t="shared" si="157"/>
        <v/>
      </c>
      <c r="AR374" s="887" t="str">
        <f t="shared" si="158"/>
        <v/>
      </c>
      <c r="AS374" s="887" t="str">
        <f t="shared" si="159"/>
        <v/>
      </c>
      <c r="AT374" s="887" t="str">
        <f t="shared" si="160"/>
        <v/>
      </c>
      <c r="AU374" s="887" t="str">
        <f t="shared" si="161"/>
        <v/>
      </c>
      <c r="AV374" s="887" t="str">
        <f t="shared" si="162"/>
        <v/>
      </c>
      <c r="AW374" s="887" t="str">
        <f t="shared" si="163"/>
        <v/>
      </c>
      <c r="AX374" s="887" t="str">
        <f t="shared" si="140"/>
        <v/>
      </c>
      <c r="AY374" s="887" t="str">
        <f t="shared" si="141"/>
        <v/>
      </c>
      <c r="AZ374" s="877"/>
      <c r="BA374" s="877"/>
      <c r="BB374" s="877"/>
      <c r="BC374" s="877"/>
      <c r="BD374" s="877"/>
      <c r="BE374" s="877"/>
      <c r="BF374" s="877"/>
      <c r="BG374" s="877"/>
      <c r="BH374" s="877"/>
    </row>
    <row r="375" spans="22:60" ht="35.25" customHeight="1" x14ac:dyDescent="0.5">
      <c r="V375" s="877"/>
      <c r="W375" s="877"/>
      <c r="X375" s="877"/>
      <c r="Y375" s="877"/>
      <c r="Z375" s="877"/>
      <c r="AA375" s="877"/>
      <c r="AB375" s="877"/>
      <c r="AC375" s="877"/>
      <c r="AD375" s="877"/>
      <c r="AE375" s="877"/>
      <c r="AF375" s="877"/>
      <c r="AG375" s="877"/>
      <c r="AH375" s="877"/>
      <c r="AI375" s="878"/>
      <c r="AJ375" s="877"/>
      <c r="AK375" s="877">
        <v>240</v>
      </c>
      <c r="AL375" s="877">
        <v>20</v>
      </c>
      <c r="AM375" s="921" t="str">
        <f t="shared" si="153"/>
        <v/>
      </c>
      <c r="AN375" s="887" t="str">
        <f t="shared" si="154"/>
        <v/>
      </c>
      <c r="AO375" s="887" t="str">
        <f t="shared" si="155"/>
        <v/>
      </c>
      <c r="AP375" s="887" t="str">
        <f t="shared" si="156"/>
        <v/>
      </c>
      <c r="AQ375" s="887" t="str">
        <f t="shared" si="157"/>
        <v/>
      </c>
      <c r="AR375" s="887" t="str">
        <f t="shared" si="158"/>
        <v/>
      </c>
      <c r="AS375" s="887" t="str">
        <f t="shared" si="159"/>
        <v/>
      </c>
      <c r="AT375" s="887" t="str">
        <f t="shared" si="160"/>
        <v/>
      </c>
      <c r="AU375" s="887" t="str">
        <f t="shared" si="161"/>
        <v/>
      </c>
      <c r="AV375" s="887" t="str">
        <f t="shared" si="162"/>
        <v/>
      </c>
      <c r="AW375" s="887" t="str">
        <f t="shared" si="163"/>
        <v/>
      </c>
      <c r="AX375" s="887" t="str">
        <f t="shared" si="140"/>
        <v/>
      </c>
      <c r="AY375" s="887" t="str">
        <f t="shared" si="141"/>
        <v/>
      </c>
      <c r="AZ375" s="877"/>
      <c r="BA375" s="877"/>
      <c r="BB375" s="877"/>
      <c r="BC375" s="877"/>
      <c r="BD375" s="877"/>
      <c r="BE375" s="877"/>
      <c r="BF375" s="877"/>
      <c r="BG375" s="877"/>
      <c r="BH375" s="877"/>
    </row>
    <row r="376" spans="22:60" ht="35.25" customHeight="1" x14ac:dyDescent="0.5">
      <c r="V376" s="877"/>
      <c r="W376" s="877"/>
      <c r="X376" s="877"/>
      <c r="Y376" s="877"/>
      <c r="Z376" s="877"/>
      <c r="AA376" s="877"/>
      <c r="AB376" s="877"/>
      <c r="AC376" s="877"/>
      <c r="AD376" s="877"/>
      <c r="AE376" s="877"/>
      <c r="AF376" s="877"/>
      <c r="AG376" s="877"/>
      <c r="AH376" s="877"/>
      <c r="AI376" s="878"/>
      <c r="AJ376" s="877"/>
      <c r="AK376" s="877" t="s">
        <v>35</v>
      </c>
      <c r="AL376" s="877"/>
      <c r="AM376" s="879"/>
      <c r="AN376" s="877"/>
      <c r="AO376" s="877"/>
      <c r="AP376" s="877"/>
      <c r="AQ376" s="877"/>
      <c r="AR376" s="877"/>
      <c r="AS376" s="877"/>
      <c r="AT376" s="887">
        <f>SUM(AT356:AT375)</f>
        <v>0</v>
      </c>
      <c r="AU376" s="887">
        <f>SUM(AU356:AU375)</f>
        <v>0</v>
      </c>
      <c r="AV376" s="887">
        <f>SUM(AV356:AV375)</f>
        <v>0</v>
      </c>
      <c r="AW376" s="887">
        <f>SUM(AW356:AW375)</f>
        <v>0</v>
      </c>
      <c r="AX376" s="887">
        <f>AX355+AT376-AV376</f>
        <v>3000</v>
      </c>
      <c r="AY376" s="887">
        <f>AY355+AU376-AW376</f>
        <v>3000</v>
      </c>
      <c r="AZ376" s="877"/>
      <c r="BA376" s="877"/>
      <c r="BB376" s="877"/>
      <c r="BC376" s="877"/>
      <c r="BD376" s="877"/>
      <c r="BE376" s="877"/>
      <c r="BF376" s="877"/>
      <c r="BG376" s="877"/>
      <c r="BH376" s="877"/>
    </row>
    <row r="377" spans="22:60" ht="35.25" customHeight="1" x14ac:dyDescent="0.5">
      <c r="V377" s="877"/>
      <c r="W377" s="877"/>
      <c r="X377" s="877"/>
      <c r="Y377" s="877"/>
      <c r="Z377" s="877"/>
      <c r="AA377" s="877"/>
      <c r="AB377" s="877"/>
      <c r="AC377" s="877"/>
      <c r="AD377" s="877"/>
      <c r="AE377" s="877"/>
      <c r="AF377" s="877"/>
      <c r="AG377" s="877"/>
      <c r="AH377" s="877"/>
      <c r="AI377" s="878"/>
      <c r="AJ377" s="877"/>
      <c r="AK377" s="877"/>
      <c r="AL377" s="877"/>
      <c r="AM377" s="879"/>
      <c r="AN377" s="877"/>
      <c r="AO377" s="877"/>
      <c r="AP377" s="877"/>
      <c r="AQ377" s="877"/>
      <c r="AR377" s="877"/>
      <c r="AS377" s="877"/>
      <c r="AT377" s="877"/>
      <c r="AU377" s="877"/>
      <c r="AV377" s="877"/>
      <c r="AW377" s="877"/>
      <c r="AX377" s="877"/>
      <c r="AY377" s="877"/>
      <c r="AZ377" s="877"/>
      <c r="BA377" s="877"/>
      <c r="BB377" s="877"/>
      <c r="BC377" s="877"/>
      <c r="BD377" s="877"/>
      <c r="BE377" s="877"/>
      <c r="BF377" s="877"/>
      <c r="BG377" s="877"/>
      <c r="BH377" s="877"/>
    </row>
    <row r="378" spans="22:60" ht="35.25" customHeight="1" x14ac:dyDescent="0.5">
      <c r="V378" s="877"/>
      <c r="W378" s="877"/>
      <c r="X378" s="877"/>
      <c r="Y378" s="877"/>
      <c r="Z378" s="877"/>
      <c r="AA378" s="877"/>
      <c r="AB378" s="877"/>
      <c r="AC378" s="877"/>
      <c r="AD378" s="877"/>
      <c r="AE378" s="877"/>
      <c r="AF378" s="877"/>
      <c r="AG378" s="877"/>
      <c r="AH378" s="877"/>
      <c r="AI378" s="878"/>
      <c r="AJ378" s="877"/>
      <c r="AK378" s="877"/>
      <c r="AL378" s="877"/>
      <c r="AM378" s="879"/>
      <c r="AN378" s="877"/>
      <c r="AO378" s="877"/>
      <c r="AP378" s="877"/>
      <c r="AQ378" s="877"/>
      <c r="AR378" s="877"/>
      <c r="AS378" s="877"/>
      <c r="AT378" s="877"/>
      <c r="AU378" s="877"/>
      <c r="AV378" s="877"/>
      <c r="AW378" s="877"/>
      <c r="AX378" s="877"/>
      <c r="AY378" s="877"/>
      <c r="AZ378" s="877"/>
      <c r="BA378" s="877"/>
      <c r="BB378" s="877"/>
      <c r="BC378" s="877"/>
      <c r="BD378" s="877"/>
      <c r="BE378" s="877"/>
      <c r="BF378" s="877"/>
      <c r="BG378" s="877"/>
      <c r="BH378" s="877"/>
    </row>
    <row r="379" spans="22:60" ht="35.25" customHeight="1" x14ac:dyDescent="0.5">
      <c r="V379" s="877"/>
      <c r="W379" s="877"/>
      <c r="X379" s="877"/>
      <c r="Y379" s="877"/>
      <c r="Z379" s="877"/>
      <c r="AA379" s="877"/>
      <c r="AB379" s="877"/>
      <c r="AC379" s="877"/>
      <c r="AD379" s="877"/>
      <c r="AE379" s="877"/>
      <c r="AF379" s="877"/>
      <c r="AG379" s="877"/>
      <c r="AH379" s="877"/>
      <c r="AI379" s="878"/>
      <c r="AJ379" s="877"/>
      <c r="AK379" s="877"/>
      <c r="AL379" s="877"/>
      <c r="AM379" s="879"/>
      <c r="AN379" s="877"/>
      <c r="AO379" s="877"/>
      <c r="AP379" s="877"/>
      <c r="AQ379" s="877"/>
      <c r="AR379" s="877"/>
      <c r="AS379" s="877"/>
      <c r="AT379" s="877"/>
      <c r="AU379" s="877"/>
      <c r="AV379" s="877"/>
      <c r="AW379" s="877"/>
      <c r="AX379" s="877"/>
      <c r="AY379" s="877"/>
      <c r="AZ379" s="877"/>
      <c r="BA379" s="877"/>
      <c r="BB379" s="877"/>
      <c r="BC379" s="877"/>
      <c r="BD379" s="877"/>
      <c r="BE379" s="877"/>
      <c r="BF379" s="877"/>
      <c r="BG379" s="877"/>
      <c r="BH379" s="877"/>
    </row>
    <row r="380" spans="22:60" ht="35.25" customHeight="1" x14ac:dyDescent="0.5">
      <c r="V380" s="877"/>
      <c r="W380" s="877"/>
      <c r="X380" s="877"/>
      <c r="Y380" s="877"/>
      <c r="Z380" s="877"/>
      <c r="AA380" s="877"/>
      <c r="AB380" s="877"/>
      <c r="AC380" s="877"/>
      <c r="AD380" s="877"/>
      <c r="AE380" s="877"/>
      <c r="AF380" s="877"/>
      <c r="AG380" s="877"/>
      <c r="AH380" s="877"/>
      <c r="AI380" s="878"/>
      <c r="AJ380" s="877"/>
      <c r="AK380" s="877"/>
      <c r="AL380" s="877"/>
      <c r="AM380" s="879"/>
      <c r="AN380" s="877"/>
      <c r="AO380" s="877"/>
      <c r="AP380" s="877"/>
      <c r="AQ380" s="877"/>
      <c r="AR380" s="877"/>
      <c r="AS380" s="877"/>
      <c r="AT380" s="877"/>
      <c r="AU380" s="877"/>
      <c r="AV380" s="877"/>
      <c r="AW380" s="877"/>
      <c r="AX380" s="877"/>
      <c r="AY380" s="877"/>
      <c r="AZ380" s="877"/>
      <c r="BA380" s="877"/>
      <c r="BB380" s="877"/>
      <c r="BC380" s="877"/>
      <c r="BD380" s="877"/>
      <c r="BE380" s="877"/>
      <c r="BF380" s="877"/>
      <c r="BG380" s="877"/>
      <c r="BH380" s="877"/>
    </row>
    <row r="381" spans="22:60" ht="35.25" customHeight="1" x14ac:dyDescent="0.5">
      <c r="V381" s="877"/>
      <c r="W381" s="877"/>
      <c r="X381" s="877"/>
      <c r="Y381" s="877"/>
      <c r="Z381" s="877"/>
      <c r="AA381" s="877"/>
      <c r="AB381" s="877"/>
      <c r="AC381" s="877"/>
      <c r="AD381" s="877"/>
      <c r="AE381" s="877"/>
      <c r="AF381" s="877"/>
      <c r="AG381" s="877"/>
      <c r="AH381" s="877"/>
      <c r="AI381" s="878"/>
      <c r="AJ381" s="877"/>
      <c r="AK381" s="877"/>
      <c r="AL381" s="877"/>
      <c r="AM381" s="879"/>
      <c r="AN381" s="877"/>
      <c r="AO381" s="877"/>
      <c r="AP381" s="877"/>
      <c r="AQ381" s="877"/>
      <c r="AR381" s="877"/>
      <c r="AS381" s="877"/>
      <c r="AT381" s="877"/>
      <c r="AU381" s="877"/>
      <c r="AV381" s="877"/>
      <c r="AW381" s="877"/>
      <c r="AX381" s="877"/>
      <c r="AY381" s="877"/>
      <c r="AZ381" s="877"/>
      <c r="BA381" s="877"/>
      <c r="BB381" s="877"/>
      <c r="BC381" s="877"/>
      <c r="BD381" s="877"/>
      <c r="BE381" s="877"/>
      <c r="BF381" s="877"/>
      <c r="BG381" s="877"/>
      <c r="BH381" s="877"/>
    </row>
    <row r="382" spans="22:60" ht="35.25" customHeight="1" x14ac:dyDescent="0.5">
      <c r="V382" s="877"/>
      <c r="W382" s="877"/>
      <c r="X382" s="877"/>
      <c r="Y382" s="877"/>
      <c r="Z382" s="877"/>
      <c r="AA382" s="877"/>
      <c r="AB382" s="877"/>
      <c r="AC382" s="877"/>
      <c r="AD382" s="877"/>
      <c r="AE382" s="877"/>
      <c r="AF382" s="877"/>
      <c r="AG382" s="877"/>
      <c r="AH382" s="877"/>
      <c r="AI382" s="878"/>
      <c r="AJ382" s="877"/>
      <c r="AK382" s="877"/>
      <c r="AL382" s="877"/>
      <c r="AM382" s="879"/>
      <c r="AN382" s="877"/>
      <c r="AO382" s="877"/>
      <c r="AP382" s="877"/>
      <c r="AQ382" s="877"/>
      <c r="AR382" s="877"/>
      <c r="AS382" s="877"/>
      <c r="AT382" s="877"/>
      <c r="AU382" s="877"/>
      <c r="AV382" s="877"/>
      <c r="AW382" s="877"/>
      <c r="AX382" s="877"/>
      <c r="AY382" s="877"/>
      <c r="AZ382" s="877"/>
      <c r="BA382" s="877"/>
      <c r="BB382" s="877"/>
      <c r="BC382" s="877"/>
      <c r="BD382" s="877"/>
      <c r="BE382" s="877"/>
      <c r="BF382" s="877"/>
      <c r="BG382" s="877"/>
      <c r="BH382" s="877"/>
    </row>
    <row r="383" spans="22:60" ht="35.25" customHeight="1" x14ac:dyDescent="0.5">
      <c r="V383" s="877"/>
      <c r="W383" s="877"/>
      <c r="X383" s="877"/>
      <c r="Y383" s="877"/>
      <c r="Z383" s="877"/>
      <c r="AA383" s="877"/>
      <c r="AB383" s="877"/>
      <c r="AC383" s="877"/>
      <c r="AD383" s="877"/>
      <c r="AE383" s="877"/>
      <c r="AF383" s="877"/>
      <c r="AG383" s="877"/>
      <c r="AH383" s="877"/>
      <c r="AI383" s="878"/>
      <c r="AJ383" s="877"/>
      <c r="AK383" s="877"/>
      <c r="AL383" s="877"/>
      <c r="AM383" s="879"/>
      <c r="AN383" s="877"/>
      <c r="AO383" s="877"/>
      <c r="AP383" s="877"/>
      <c r="AQ383" s="877"/>
      <c r="AR383" s="877"/>
      <c r="AS383" s="877"/>
      <c r="AT383" s="877"/>
      <c r="AU383" s="877"/>
      <c r="AV383" s="877"/>
      <c r="AW383" s="877"/>
      <c r="AX383" s="877"/>
      <c r="AY383" s="877"/>
      <c r="AZ383" s="877"/>
      <c r="BA383" s="877"/>
      <c r="BB383" s="877"/>
      <c r="BC383" s="877"/>
      <c r="BD383" s="877"/>
      <c r="BE383" s="877"/>
      <c r="BF383" s="877"/>
      <c r="BG383" s="877"/>
      <c r="BH383" s="877"/>
    </row>
    <row r="384" spans="22:60" ht="35.25" customHeight="1" x14ac:dyDescent="0.5">
      <c r="V384" s="877"/>
      <c r="W384" s="877"/>
      <c r="X384" s="877"/>
      <c r="Y384" s="877"/>
      <c r="Z384" s="877"/>
      <c r="AA384" s="877"/>
      <c r="AB384" s="877"/>
      <c r="AC384" s="877"/>
      <c r="AD384" s="877"/>
      <c r="AE384" s="877"/>
      <c r="AF384" s="877"/>
      <c r="AG384" s="877"/>
      <c r="AH384" s="877"/>
      <c r="AI384" s="878"/>
      <c r="AJ384" s="877"/>
      <c r="AK384" s="877"/>
      <c r="AL384" s="877"/>
      <c r="AM384" s="879"/>
      <c r="AN384" s="877"/>
      <c r="AO384" s="877"/>
      <c r="AP384" s="877"/>
      <c r="AQ384" s="877"/>
      <c r="AR384" s="877"/>
      <c r="AS384" s="877"/>
      <c r="AT384" s="877"/>
      <c r="AU384" s="877"/>
      <c r="AV384" s="877"/>
      <c r="AW384" s="877"/>
      <c r="AX384" s="877"/>
      <c r="AY384" s="877"/>
      <c r="AZ384" s="877"/>
      <c r="BA384" s="877"/>
      <c r="BB384" s="877"/>
      <c r="BC384" s="877"/>
      <c r="BD384" s="877"/>
      <c r="BE384" s="877"/>
      <c r="BF384" s="877"/>
      <c r="BG384" s="877"/>
      <c r="BH384" s="877"/>
    </row>
    <row r="385" spans="22:60" ht="35.25" customHeight="1" x14ac:dyDescent="0.5">
      <c r="V385" s="877"/>
      <c r="W385" s="877"/>
      <c r="X385" s="877"/>
      <c r="Y385" s="877"/>
      <c r="Z385" s="877"/>
      <c r="AA385" s="877"/>
      <c r="AB385" s="877"/>
      <c r="AC385" s="877"/>
      <c r="AD385" s="877"/>
      <c r="AE385" s="877"/>
      <c r="AF385" s="877"/>
      <c r="AG385" s="877"/>
      <c r="AH385" s="877"/>
      <c r="AI385" s="878"/>
      <c r="AJ385" s="877"/>
      <c r="AK385" s="877"/>
      <c r="AL385" s="877"/>
      <c r="AM385" s="879"/>
      <c r="AN385" s="877"/>
      <c r="AO385" s="877"/>
      <c r="AP385" s="877"/>
      <c r="AQ385" s="877"/>
      <c r="AR385" s="877"/>
      <c r="AS385" s="877"/>
      <c r="AT385" s="877"/>
      <c r="AU385" s="877"/>
      <c r="AV385" s="877"/>
      <c r="AW385" s="877"/>
      <c r="AX385" s="877"/>
      <c r="AY385" s="877"/>
      <c r="AZ385" s="877"/>
      <c r="BA385" s="877"/>
      <c r="BB385" s="877"/>
      <c r="BC385" s="877"/>
      <c r="BD385" s="877"/>
      <c r="BE385" s="877"/>
      <c r="BF385" s="877"/>
      <c r="BG385" s="877"/>
      <c r="BH385" s="877"/>
    </row>
    <row r="386" spans="22:60" ht="35.25" customHeight="1" x14ac:dyDescent="0.5">
      <c r="V386" s="877"/>
      <c r="W386" s="877"/>
      <c r="X386" s="877"/>
      <c r="Y386" s="877"/>
      <c r="Z386" s="877"/>
      <c r="AA386" s="877"/>
      <c r="AB386" s="877"/>
      <c r="AC386" s="877"/>
      <c r="AD386" s="877"/>
      <c r="AE386" s="877"/>
      <c r="AF386" s="877"/>
      <c r="AG386" s="877"/>
      <c r="AH386" s="877"/>
      <c r="AI386" s="878"/>
      <c r="AJ386" s="877"/>
      <c r="AK386" s="877"/>
      <c r="AL386" s="877" t="s">
        <v>42</v>
      </c>
      <c r="AM386" s="879" t="s">
        <v>44</v>
      </c>
      <c r="AN386" s="877" t="s">
        <v>94</v>
      </c>
      <c r="AO386" s="877" t="s">
        <v>46</v>
      </c>
      <c r="AP386" s="877" t="s">
        <v>34</v>
      </c>
      <c r="AQ386" s="877" t="s">
        <v>37</v>
      </c>
      <c r="AR386" s="877" t="s">
        <v>47</v>
      </c>
      <c r="AS386" s="877" t="s">
        <v>38</v>
      </c>
      <c r="AT386" s="877" t="s">
        <v>39</v>
      </c>
      <c r="AU386" s="877" t="s">
        <v>33</v>
      </c>
      <c r="AV386" s="877" t="s">
        <v>40</v>
      </c>
      <c r="AW386" s="877" t="s">
        <v>41</v>
      </c>
      <c r="AX386" s="877"/>
      <c r="AY386" s="877"/>
      <c r="AZ386" s="877"/>
      <c r="BA386" s="877"/>
      <c r="BB386" s="877"/>
      <c r="BC386" s="877"/>
      <c r="BD386" s="877"/>
      <c r="BE386" s="877"/>
      <c r="BF386" s="877"/>
      <c r="BG386" s="877"/>
      <c r="BH386" s="877"/>
    </row>
    <row r="387" spans="22:60" ht="35.25" customHeight="1" x14ac:dyDescent="0.5">
      <c r="V387" s="877"/>
      <c r="W387" s="877"/>
      <c r="X387" s="877"/>
      <c r="Y387" s="877"/>
      <c r="Z387" s="877"/>
      <c r="AA387" s="877"/>
      <c r="AB387" s="877"/>
      <c r="AC387" s="877"/>
      <c r="AD387" s="877"/>
      <c r="AE387" s="877"/>
      <c r="AF387" s="877"/>
      <c r="AG387" s="877"/>
      <c r="AH387" s="877"/>
      <c r="AI387" s="878"/>
      <c r="AJ387" s="877"/>
      <c r="AK387" s="877"/>
      <c r="AL387" s="877">
        <v>1</v>
      </c>
      <c r="AM387" s="877">
        <v>21</v>
      </c>
      <c r="AN387" s="877">
        <v>41</v>
      </c>
      <c r="AO387" s="877">
        <v>61</v>
      </c>
      <c r="AP387" s="877">
        <v>81</v>
      </c>
      <c r="AQ387" s="877">
        <v>101</v>
      </c>
      <c r="AR387" s="877">
        <v>121</v>
      </c>
      <c r="AS387" s="877">
        <v>141</v>
      </c>
      <c r="AT387" s="877">
        <v>161</v>
      </c>
      <c r="AU387" s="877">
        <v>181</v>
      </c>
      <c r="AV387" s="877">
        <v>201</v>
      </c>
      <c r="AW387" s="877">
        <v>221</v>
      </c>
      <c r="AX387" s="877"/>
      <c r="AY387" s="877"/>
      <c r="AZ387" s="877"/>
      <c r="BA387" s="877"/>
      <c r="BB387" s="877"/>
      <c r="BC387" s="877"/>
      <c r="BD387" s="877"/>
      <c r="BE387" s="877"/>
      <c r="BF387" s="877"/>
      <c r="BG387" s="877"/>
      <c r="BH387" s="877"/>
    </row>
    <row r="388" spans="22:60" ht="35.25" customHeight="1" x14ac:dyDescent="0.5">
      <c r="V388" s="877"/>
      <c r="W388" s="877"/>
      <c r="X388" s="877"/>
      <c r="Y388" s="877"/>
      <c r="Z388" s="877"/>
      <c r="AA388" s="877"/>
      <c r="AB388" s="877"/>
      <c r="AC388" s="877"/>
      <c r="AD388" s="877"/>
      <c r="AE388" s="877"/>
      <c r="AF388" s="877"/>
      <c r="AG388" s="877"/>
      <c r="AH388" s="877"/>
      <c r="AI388" s="878"/>
      <c r="AJ388" s="877"/>
      <c r="AK388" s="877"/>
      <c r="AL388" s="877">
        <v>2</v>
      </c>
      <c r="AM388" s="877">
        <v>22</v>
      </c>
      <c r="AN388" s="877">
        <v>42</v>
      </c>
      <c r="AO388" s="877">
        <v>62</v>
      </c>
      <c r="AP388" s="877">
        <v>82</v>
      </c>
      <c r="AQ388" s="877">
        <v>102</v>
      </c>
      <c r="AR388" s="877">
        <v>122</v>
      </c>
      <c r="AS388" s="877">
        <v>142</v>
      </c>
      <c r="AT388" s="877">
        <v>162</v>
      </c>
      <c r="AU388" s="877">
        <v>182</v>
      </c>
      <c r="AV388" s="877">
        <v>202</v>
      </c>
      <c r="AW388" s="877">
        <v>222</v>
      </c>
      <c r="AX388" s="877"/>
      <c r="AY388" s="877"/>
      <c r="AZ388" s="877"/>
      <c r="BA388" s="877"/>
      <c r="BB388" s="877"/>
      <c r="BC388" s="877"/>
      <c r="BD388" s="877"/>
      <c r="BE388" s="877"/>
      <c r="BF388" s="877"/>
      <c r="BG388" s="877"/>
      <c r="BH388" s="877"/>
    </row>
    <row r="389" spans="22:60" ht="35.25" customHeight="1" x14ac:dyDescent="0.5">
      <c r="V389" s="877"/>
      <c r="W389" s="877"/>
      <c r="X389" s="877"/>
      <c r="Y389" s="877"/>
      <c r="Z389" s="877"/>
      <c r="AA389" s="877"/>
      <c r="AB389" s="877"/>
      <c r="AC389" s="877"/>
      <c r="AD389" s="877"/>
      <c r="AE389" s="877"/>
      <c r="AF389" s="877"/>
      <c r="AG389" s="877"/>
      <c r="AH389" s="877"/>
      <c r="AI389" s="878"/>
      <c r="AJ389" s="877"/>
      <c r="AK389" s="877"/>
      <c r="AL389" s="877">
        <v>3</v>
      </c>
      <c r="AM389" s="877">
        <v>23</v>
      </c>
      <c r="AN389" s="877">
        <v>43</v>
      </c>
      <c r="AO389" s="877">
        <v>63</v>
      </c>
      <c r="AP389" s="877">
        <v>83</v>
      </c>
      <c r="AQ389" s="877">
        <v>103</v>
      </c>
      <c r="AR389" s="877">
        <v>123</v>
      </c>
      <c r="AS389" s="877">
        <v>143</v>
      </c>
      <c r="AT389" s="877">
        <v>163</v>
      </c>
      <c r="AU389" s="877">
        <v>183</v>
      </c>
      <c r="AV389" s="877">
        <v>203</v>
      </c>
      <c r="AW389" s="877">
        <v>223</v>
      </c>
      <c r="AX389" s="877"/>
      <c r="AY389" s="877"/>
      <c r="AZ389" s="877"/>
      <c r="BA389" s="877"/>
      <c r="BB389" s="877"/>
      <c r="BC389" s="877"/>
      <c r="BD389" s="877"/>
      <c r="BE389" s="877"/>
      <c r="BF389" s="877"/>
      <c r="BG389" s="877"/>
      <c r="BH389" s="877"/>
    </row>
    <row r="390" spans="22:60" ht="35.25" customHeight="1" x14ac:dyDescent="0.5">
      <c r="V390" s="877"/>
      <c r="W390" s="877"/>
      <c r="X390" s="877"/>
      <c r="Y390" s="877"/>
      <c r="Z390" s="877"/>
      <c r="AA390" s="877"/>
      <c r="AB390" s="877"/>
      <c r="AC390" s="877"/>
      <c r="AD390" s="877"/>
      <c r="AE390" s="877"/>
      <c r="AF390" s="877"/>
      <c r="AG390" s="877"/>
      <c r="AH390" s="877"/>
      <c r="AI390" s="878"/>
      <c r="AJ390" s="877"/>
      <c r="AK390" s="877"/>
      <c r="AL390" s="877">
        <v>4</v>
      </c>
      <c r="AM390" s="877">
        <v>24</v>
      </c>
      <c r="AN390" s="877">
        <v>44</v>
      </c>
      <c r="AO390" s="877">
        <v>64</v>
      </c>
      <c r="AP390" s="877">
        <v>84</v>
      </c>
      <c r="AQ390" s="877">
        <v>104</v>
      </c>
      <c r="AR390" s="877">
        <v>124</v>
      </c>
      <c r="AS390" s="877">
        <v>144</v>
      </c>
      <c r="AT390" s="877">
        <v>164</v>
      </c>
      <c r="AU390" s="877">
        <v>184</v>
      </c>
      <c r="AV390" s="877">
        <v>204</v>
      </c>
      <c r="AW390" s="877">
        <v>224</v>
      </c>
      <c r="AX390" s="877"/>
      <c r="AY390" s="877"/>
      <c r="AZ390" s="877"/>
      <c r="BA390" s="877"/>
      <c r="BB390" s="877"/>
      <c r="BC390" s="877"/>
      <c r="BD390" s="877"/>
      <c r="BE390" s="877"/>
      <c r="BF390" s="877"/>
      <c r="BG390" s="877"/>
      <c r="BH390" s="877"/>
    </row>
    <row r="391" spans="22:60" ht="35.25" customHeight="1" x14ac:dyDescent="0.5">
      <c r="V391" s="877"/>
      <c r="W391" s="877"/>
      <c r="X391" s="877"/>
      <c r="Y391" s="877"/>
      <c r="Z391" s="877"/>
      <c r="AA391" s="877"/>
      <c r="AB391" s="877"/>
      <c r="AC391" s="877"/>
      <c r="AD391" s="877"/>
      <c r="AE391" s="877"/>
      <c r="AF391" s="877"/>
      <c r="AG391" s="877"/>
      <c r="AH391" s="877"/>
      <c r="AI391" s="878"/>
      <c r="AJ391" s="877"/>
      <c r="AK391" s="877"/>
      <c r="AL391" s="877">
        <v>5</v>
      </c>
      <c r="AM391" s="877">
        <v>25</v>
      </c>
      <c r="AN391" s="877">
        <v>45</v>
      </c>
      <c r="AO391" s="877">
        <v>65</v>
      </c>
      <c r="AP391" s="877">
        <v>85</v>
      </c>
      <c r="AQ391" s="877">
        <v>105</v>
      </c>
      <c r="AR391" s="877">
        <v>125</v>
      </c>
      <c r="AS391" s="877">
        <v>145</v>
      </c>
      <c r="AT391" s="877">
        <v>165</v>
      </c>
      <c r="AU391" s="877">
        <v>185</v>
      </c>
      <c r="AV391" s="877">
        <v>205</v>
      </c>
      <c r="AW391" s="877">
        <v>225</v>
      </c>
      <c r="AX391" s="877"/>
      <c r="AY391" s="877"/>
      <c r="AZ391" s="877"/>
      <c r="BA391" s="877"/>
      <c r="BB391" s="877"/>
      <c r="BC391" s="877"/>
      <c r="BD391" s="877"/>
      <c r="BE391" s="877"/>
      <c r="BF391" s="877"/>
      <c r="BG391" s="877"/>
      <c r="BH391" s="877"/>
    </row>
    <row r="392" spans="22:60" ht="35.25" customHeight="1" x14ac:dyDescent="0.5">
      <c r="V392" s="877"/>
      <c r="W392" s="877"/>
      <c r="X392" s="877"/>
      <c r="Y392" s="877"/>
      <c r="Z392" s="877"/>
      <c r="AA392" s="877"/>
      <c r="AB392" s="877"/>
      <c r="AC392" s="877"/>
      <c r="AD392" s="877"/>
      <c r="AE392" s="877"/>
      <c r="AF392" s="877"/>
      <c r="AG392" s="877"/>
      <c r="AH392" s="877"/>
      <c r="AI392" s="878"/>
      <c r="AJ392" s="877"/>
      <c r="AK392" s="877"/>
      <c r="AL392" s="877">
        <v>6</v>
      </c>
      <c r="AM392" s="877">
        <v>26</v>
      </c>
      <c r="AN392" s="877">
        <v>46</v>
      </c>
      <c r="AO392" s="877">
        <v>66</v>
      </c>
      <c r="AP392" s="877">
        <v>86</v>
      </c>
      <c r="AQ392" s="877">
        <v>106</v>
      </c>
      <c r="AR392" s="877">
        <v>126</v>
      </c>
      <c r="AS392" s="877">
        <v>146</v>
      </c>
      <c r="AT392" s="877">
        <v>166</v>
      </c>
      <c r="AU392" s="877">
        <v>186</v>
      </c>
      <c r="AV392" s="877">
        <v>206</v>
      </c>
      <c r="AW392" s="877">
        <v>226</v>
      </c>
      <c r="AX392" s="877"/>
      <c r="AY392" s="877"/>
      <c r="AZ392" s="877"/>
      <c r="BA392" s="877"/>
      <c r="BB392" s="877"/>
      <c r="BC392" s="877"/>
      <c r="BD392" s="877"/>
      <c r="BE392" s="877"/>
      <c r="BF392" s="877"/>
      <c r="BG392" s="877"/>
      <c r="BH392" s="877"/>
    </row>
    <row r="393" spans="22:60" ht="35.25" customHeight="1" x14ac:dyDescent="0.5">
      <c r="V393" s="877"/>
      <c r="W393" s="877"/>
      <c r="X393" s="877"/>
      <c r="Y393" s="877"/>
      <c r="Z393" s="877"/>
      <c r="AA393" s="877"/>
      <c r="AB393" s="877"/>
      <c r="AC393" s="877"/>
      <c r="AD393" s="877"/>
      <c r="AE393" s="877"/>
      <c r="AF393" s="877"/>
      <c r="AG393" s="877"/>
      <c r="AH393" s="877"/>
      <c r="AI393" s="878"/>
      <c r="AJ393" s="877"/>
      <c r="AK393" s="877"/>
      <c r="AL393" s="877">
        <v>7</v>
      </c>
      <c r="AM393" s="877">
        <v>27</v>
      </c>
      <c r="AN393" s="877">
        <v>47</v>
      </c>
      <c r="AO393" s="877">
        <v>67</v>
      </c>
      <c r="AP393" s="877">
        <v>87</v>
      </c>
      <c r="AQ393" s="877">
        <v>107</v>
      </c>
      <c r="AR393" s="877">
        <v>127</v>
      </c>
      <c r="AS393" s="877">
        <v>147</v>
      </c>
      <c r="AT393" s="877">
        <v>167</v>
      </c>
      <c r="AU393" s="877">
        <v>187</v>
      </c>
      <c r="AV393" s="877">
        <v>207</v>
      </c>
      <c r="AW393" s="877">
        <v>227</v>
      </c>
      <c r="AX393" s="877"/>
      <c r="AY393" s="877"/>
      <c r="AZ393" s="877"/>
      <c r="BA393" s="877"/>
      <c r="BB393" s="877"/>
      <c r="BC393" s="877"/>
      <c r="BD393" s="877"/>
      <c r="BE393" s="877"/>
      <c r="BF393" s="877"/>
      <c r="BG393" s="877"/>
      <c r="BH393" s="877"/>
    </row>
    <row r="394" spans="22:60" ht="35.25" customHeight="1" x14ac:dyDescent="0.5">
      <c r="V394" s="877"/>
      <c r="W394" s="877"/>
      <c r="X394" s="877"/>
      <c r="Y394" s="877"/>
      <c r="Z394" s="877"/>
      <c r="AA394" s="877"/>
      <c r="AB394" s="877"/>
      <c r="AC394" s="877"/>
      <c r="AD394" s="877"/>
      <c r="AE394" s="877"/>
      <c r="AF394" s="877"/>
      <c r="AG394" s="877"/>
      <c r="AH394" s="877"/>
      <c r="AI394" s="878"/>
      <c r="AJ394" s="877"/>
      <c r="AK394" s="877"/>
      <c r="AL394" s="877">
        <v>8</v>
      </c>
      <c r="AM394" s="877">
        <v>28</v>
      </c>
      <c r="AN394" s="877">
        <v>48</v>
      </c>
      <c r="AO394" s="877">
        <v>68</v>
      </c>
      <c r="AP394" s="877">
        <v>88</v>
      </c>
      <c r="AQ394" s="877">
        <v>108</v>
      </c>
      <c r="AR394" s="877">
        <v>128</v>
      </c>
      <c r="AS394" s="877">
        <v>148</v>
      </c>
      <c r="AT394" s="877">
        <v>168</v>
      </c>
      <c r="AU394" s="877">
        <v>188</v>
      </c>
      <c r="AV394" s="877">
        <v>208</v>
      </c>
      <c r="AW394" s="877">
        <v>228</v>
      </c>
      <c r="AX394" s="877"/>
      <c r="AY394" s="877"/>
      <c r="AZ394" s="877"/>
      <c r="BA394" s="877"/>
      <c r="BB394" s="877"/>
      <c r="BC394" s="877"/>
      <c r="BD394" s="877"/>
      <c r="BE394" s="877"/>
      <c r="BF394" s="877"/>
      <c r="BG394" s="877"/>
      <c r="BH394" s="877"/>
    </row>
    <row r="395" spans="22:60" ht="35.25" customHeight="1" x14ac:dyDescent="0.5">
      <c r="V395" s="877"/>
      <c r="W395" s="877"/>
      <c r="X395" s="877"/>
      <c r="Y395" s="877"/>
      <c r="Z395" s="877"/>
      <c r="AA395" s="877"/>
      <c r="AB395" s="877"/>
      <c r="AC395" s="877"/>
      <c r="AD395" s="877"/>
      <c r="AE395" s="877"/>
      <c r="AF395" s="877"/>
      <c r="AG395" s="877"/>
      <c r="AH395" s="877"/>
      <c r="AI395" s="878"/>
      <c r="AJ395" s="877"/>
      <c r="AK395" s="877"/>
      <c r="AL395" s="877">
        <v>9</v>
      </c>
      <c r="AM395" s="877">
        <v>29</v>
      </c>
      <c r="AN395" s="877">
        <v>49</v>
      </c>
      <c r="AO395" s="877">
        <v>69</v>
      </c>
      <c r="AP395" s="877">
        <v>89</v>
      </c>
      <c r="AQ395" s="877">
        <v>109</v>
      </c>
      <c r="AR395" s="877">
        <v>129</v>
      </c>
      <c r="AS395" s="877">
        <v>149</v>
      </c>
      <c r="AT395" s="877">
        <v>169</v>
      </c>
      <c r="AU395" s="877">
        <v>189</v>
      </c>
      <c r="AV395" s="877">
        <v>209</v>
      </c>
      <c r="AW395" s="877">
        <v>229</v>
      </c>
      <c r="AX395" s="877"/>
      <c r="AY395" s="877"/>
      <c r="AZ395" s="877"/>
      <c r="BA395" s="877"/>
      <c r="BB395" s="877"/>
      <c r="BC395" s="877"/>
      <c r="BD395" s="877"/>
      <c r="BE395" s="877"/>
      <c r="BF395" s="877"/>
      <c r="BG395" s="877"/>
      <c r="BH395" s="877"/>
    </row>
    <row r="396" spans="22:60" ht="35.25" customHeight="1" x14ac:dyDescent="0.5">
      <c r="V396" s="877"/>
      <c r="W396" s="877"/>
      <c r="X396" s="877"/>
      <c r="Y396" s="877"/>
      <c r="Z396" s="877"/>
      <c r="AA396" s="877"/>
      <c r="AB396" s="877"/>
      <c r="AC396" s="877"/>
      <c r="AD396" s="877"/>
      <c r="AE396" s="877"/>
      <c r="AF396" s="877"/>
      <c r="AG396" s="877"/>
      <c r="AH396" s="877"/>
      <c r="AI396" s="878"/>
      <c r="AJ396" s="877"/>
      <c r="AK396" s="877"/>
      <c r="AL396" s="877">
        <v>10</v>
      </c>
      <c r="AM396" s="877">
        <v>30</v>
      </c>
      <c r="AN396" s="877">
        <v>50</v>
      </c>
      <c r="AO396" s="877">
        <v>70</v>
      </c>
      <c r="AP396" s="877">
        <v>90</v>
      </c>
      <c r="AQ396" s="877">
        <v>110</v>
      </c>
      <c r="AR396" s="877">
        <v>130</v>
      </c>
      <c r="AS396" s="877">
        <v>150</v>
      </c>
      <c r="AT396" s="877">
        <v>170</v>
      </c>
      <c r="AU396" s="877">
        <v>190</v>
      </c>
      <c r="AV396" s="877">
        <v>210</v>
      </c>
      <c r="AW396" s="877">
        <v>230</v>
      </c>
      <c r="AX396" s="877"/>
      <c r="AY396" s="877"/>
      <c r="AZ396" s="877"/>
      <c r="BA396" s="877"/>
      <c r="BB396" s="877"/>
      <c r="BC396" s="877"/>
      <c r="BD396" s="877"/>
      <c r="BE396" s="877"/>
      <c r="BF396" s="877"/>
      <c r="BG396" s="877"/>
      <c r="BH396" s="877"/>
    </row>
    <row r="397" spans="22:60" ht="35.25" customHeight="1" x14ac:dyDescent="0.5">
      <c r="V397" s="877"/>
      <c r="W397" s="877"/>
      <c r="X397" s="877"/>
      <c r="Y397" s="877"/>
      <c r="Z397" s="877"/>
      <c r="AA397" s="877"/>
      <c r="AB397" s="877"/>
      <c r="AC397" s="877"/>
      <c r="AD397" s="877"/>
      <c r="AE397" s="877"/>
      <c r="AF397" s="877"/>
      <c r="AG397" s="877"/>
      <c r="AH397" s="877"/>
      <c r="AI397" s="878"/>
      <c r="AJ397" s="877"/>
      <c r="AK397" s="877"/>
      <c r="AL397" s="877">
        <v>11</v>
      </c>
      <c r="AM397" s="877">
        <v>31</v>
      </c>
      <c r="AN397" s="877">
        <v>51</v>
      </c>
      <c r="AO397" s="877">
        <v>71</v>
      </c>
      <c r="AP397" s="877">
        <v>91</v>
      </c>
      <c r="AQ397" s="877">
        <v>111</v>
      </c>
      <c r="AR397" s="877">
        <v>131</v>
      </c>
      <c r="AS397" s="877">
        <v>151</v>
      </c>
      <c r="AT397" s="877">
        <v>171</v>
      </c>
      <c r="AU397" s="877">
        <v>191</v>
      </c>
      <c r="AV397" s="877">
        <v>211</v>
      </c>
      <c r="AW397" s="877">
        <v>231</v>
      </c>
      <c r="AX397" s="877"/>
      <c r="AY397" s="877"/>
      <c r="AZ397" s="877"/>
      <c r="BA397" s="877"/>
      <c r="BB397" s="877"/>
      <c r="BC397" s="877"/>
      <c r="BD397" s="877"/>
      <c r="BE397" s="877"/>
      <c r="BF397" s="877"/>
      <c r="BG397" s="877"/>
      <c r="BH397" s="877"/>
    </row>
    <row r="398" spans="22:60" ht="35.25" customHeight="1" x14ac:dyDescent="0.5">
      <c r="V398" s="877"/>
      <c r="W398" s="877"/>
      <c r="X398" s="877"/>
      <c r="Y398" s="877"/>
      <c r="Z398" s="877"/>
      <c r="AA398" s="877"/>
      <c r="AB398" s="877"/>
      <c r="AC398" s="877"/>
      <c r="AD398" s="877"/>
      <c r="AE398" s="877"/>
      <c r="AF398" s="877"/>
      <c r="AG398" s="877"/>
      <c r="AH398" s="877"/>
      <c r="AI398" s="878"/>
      <c r="AJ398" s="877"/>
      <c r="AK398" s="877"/>
      <c r="AL398" s="877">
        <v>12</v>
      </c>
      <c r="AM398" s="877">
        <v>32</v>
      </c>
      <c r="AN398" s="877">
        <v>52</v>
      </c>
      <c r="AO398" s="877">
        <v>72</v>
      </c>
      <c r="AP398" s="877">
        <v>92</v>
      </c>
      <c r="AQ398" s="877">
        <v>112</v>
      </c>
      <c r="AR398" s="877">
        <v>132</v>
      </c>
      <c r="AS398" s="877">
        <v>152</v>
      </c>
      <c r="AT398" s="877">
        <v>172</v>
      </c>
      <c r="AU398" s="877">
        <v>192</v>
      </c>
      <c r="AV398" s="877">
        <v>212</v>
      </c>
      <c r="AW398" s="877">
        <v>232</v>
      </c>
      <c r="AX398" s="877"/>
      <c r="AY398" s="877"/>
      <c r="AZ398" s="877"/>
      <c r="BA398" s="877"/>
      <c r="BB398" s="877"/>
      <c r="BC398" s="877"/>
      <c r="BD398" s="877"/>
      <c r="BE398" s="877"/>
      <c r="BF398" s="877"/>
      <c r="BG398" s="877"/>
      <c r="BH398" s="877"/>
    </row>
    <row r="399" spans="22:60" ht="35.25" customHeight="1" x14ac:dyDescent="0.5">
      <c r="V399" s="877"/>
      <c r="W399" s="877"/>
      <c r="X399" s="877"/>
      <c r="Y399" s="877"/>
      <c r="Z399" s="877"/>
      <c r="AA399" s="877"/>
      <c r="AB399" s="877"/>
      <c r="AC399" s="877"/>
      <c r="AD399" s="877"/>
      <c r="AE399" s="877"/>
      <c r="AF399" s="877"/>
      <c r="AG399" s="877"/>
      <c r="AH399" s="877"/>
      <c r="AI399" s="878"/>
      <c r="AJ399" s="877"/>
      <c r="AK399" s="877"/>
      <c r="AL399" s="877">
        <v>13</v>
      </c>
      <c r="AM399" s="877">
        <v>33</v>
      </c>
      <c r="AN399" s="877">
        <v>53</v>
      </c>
      <c r="AO399" s="877">
        <v>73</v>
      </c>
      <c r="AP399" s="877">
        <v>93</v>
      </c>
      <c r="AQ399" s="877">
        <v>113</v>
      </c>
      <c r="AR399" s="877">
        <v>133</v>
      </c>
      <c r="AS399" s="877">
        <v>153</v>
      </c>
      <c r="AT399" s="877">
        <v>173</v>
      </c>
      <c r="AU399" s="877">
        <v>193</v>
      </c>
      <c r="AV399" s="877">
        <v>213</v>
      </c>
      <c r="AW399" s="877">
        <v>233</v>
      </c>
      <c r="AX399" s="877"/>
      <c r="AY399" s="877"/>
      <c r="AZ399" s="877"/>
      <c r="BA399" s="877"/>
      <c r="BB399" s="877"/>
      <c r="BC399" s="877"/>
      <c r="BD399" s="877"/>
      <c r="BE399" s="877"/>
      <c r="BF399" s="877"/>
      <c r="BG399" s="877"/>
      <c r="BH399" s="877"/>
    </row>
    <row r="400" spans="22:60" ht="35.25" customHeight="1" x14ac:dyDescent="0.5">
      <c r="V400" s="877"/>
      <c r="W400" s="877"/>
      <c r="X400" s="877"/>
      <c r="Y400" s="877"/>
      <c r="Z400" s="877"/>
      <c r="AA400" s="877"/>
      <c r="AB400" s="877"/>
      <c r="AC400" s="877"/>
      <c r="AD400" s="877"/>
      <c r="AE400" s="877"/>
      <c r="AF400" s="877"/>
      <c r="AG400" s="877"/>
      <c r="AH400" s="877"/>
      <c r="AI400" s="878"/>
      <c r="AJ400" s="877"/>
      <c r="AK400" s="877"/>
      <c r="AL400" s="877">
        <v>14</v>
      </c>
      <c r="AM400" s="877">
        <v>34</v>
      </c>
      <c r="AN400" s="877">
        <v>54</v>
      </c>
      <c r="AO400" s="877">
        <v>74</v>
      </c>
      <c r="AP400" s="877">
        <v>94</v>
      </c>
      <c r="AQ400" s="877">
        <v>114</v>
      </c>
      <c r="AR400" s="877">
        <v>134</v>
      </c>
      <c r="AS400" s="877">
        <v>154</v>
      </c>
      <c r="AT400" s="877">
        <v>174</v>
      </c>
      <c r="AU400" s="877">
        <v>194</v>
      </c>
      <c r="AV400" s="877">
        <v>214</v>
      </c>
      <c r="AW400" s="877">
        <v>234</v>
      </c>
      <c r="AX400" s="877"/>
      <c r="AY400" s="877"/>
      <c r="AZ400" s="877"/>
      <c r="BA400" s="877"/>
      <c r="BB400" s="877"/>
      <c r="BC400" s="877"/>
      <c r="BD400" s="877"/>
      <c r="BE400" s="877"/>
      <c r="BF400" s="877"/>
      <c r="BG400" s="877"/>
      <c r="BH400" s="877"/>
    </row>
    <row r="401" spans="22:60" ht="35.25" customHeight="1" x14ac:dyDescent="0.5">
      <c r="V401" s="877"/>
      <c r="W401" s="877"/>
      <c r="X401" s="877"/>
      <c r="Y401" s="877"/>
      <c r="Z401" s="877"/>
      <c r="AA401" s="877"/>
      <c r="AB401" s="877"/>
      <c r="AC401" s="877"/>
      <c r="AD401" s="877"/>
      <c r="AE401" s="877"/>
      <c r="AF401" s="877"/>
      <c r="AG401" s="877"/>
      <c r="AH401" s="877"/>
      <c r="AI401" s="878"/>
      <c r="AJ401" s="877"/>
      <c r="AK401" s="877"/>
      <c r="AL401" s="877">
        <v>15</v>
      </c>
      <c r="AM401" s="877">
        <v>35</v>
      </c>
      <c r="AN401" s="877">
        <v>55</v>
      </c>
      <c r="AO401" s="877">
        <v>75</v>
      </c>
      <c r="AP401" s="877">
        <v>95</v>
      </c>
      <c r="AQ401" s="877">
        <v>115</v>
      </c>
      <c r="AR401" s="877">
        <v>135</v>
      </c>
      <c r="AS401" s="877">
        <v>155</v>
      </c>
      <c r="AT401" s="877">
        <v>175</v>
      </c>
      <c r="AU401" s="877">
        <v>195</v>
      </c>
      <c r="AV401" s="877">
        <v>215</v>
      </c>
      <c r="AW401" s="877">
        <v>235</v>
      </c>
      <c r="AX401" s="877"/>
      <c r="AY401" s="877"/>
      <c r="AZ401" s="877"/>
      <c r="BA401" s="877"/>
      <c r="BB401" s="877"/>
      <c r="BC401" s="877"/>
      <c r="BD401" s="877"/>
      <c r="BE401" s="877"/>
      <c r="BF401" s="877"/>
      <c r="BG401" s="877"/>
      <c r="BH401" s="877"/>
    </row>
    <row r="402" spans="22:60" ht="35.25" customHeight="1" x14ac:dyDescent="0.5">
      <c r="V402" s="877"/>
      <c r="W402" s="877"/>
      <c r="X402" s="877"/>
      <c r="Y402" s="877"/>
      <c r="Z402" s="877"/>
      <c r="AA402" s="877"/>
      <c r="AB402" s="877"/>
      <c r="AC402" s="877"/>
      <c r="AD402" s="877"/>
      <c r="AE402" s="877"/>
      <c r="AF402" s="877"/>
      <c r="AG402" s="877"/>
      <c r="AH402" s="877"/>
      <c r="AI402" s="878"/>
      <c r="AJ402" s="877"/>
      <c r="AK402" s="877"/>
      <c r="AL402" s="877">
        <v>16</v>
      </c>
      <c r="AM402" s="877">
        <v>36</v>
      </c>
      <c r="AN402" s="877">
        <v>56</v>
      </c>
      <c r="AO402" s="877">
        <v>76</v>
      </c>
      <c r="AP402" s="877">
        <v>96</v>
      </c>
      <c r="AQ402" s="877">
        <v>116</v>
      </c>
      <c r="AR402" s="877">
        <v>136</v>
      </c>
      <c r="AS402" s="877">
        <v>156</v>
      </c>
      <c r="AT402" s="877">
        <v>176</v>
      </c>
      <c r="AU402" s="877">
        <v>196</v>
      </c>
      <c r="AV402" s="877">
        <v>216</v>
      </c>
      <c r="AW402" s="877">
        <v>236</v>
      </c>
      <c r="AX402" s="877"/>
      <c r="AY402" s="877"/>
      <c r="AZ402" s="877"/>
      <c r="BA402" s="877"/>
      <c r="BB402" s="877"/>
      <c r="BC402" s="877"/>
      <c r="BD402" s="877"/>
      <c r="BE402" s="877"/>
      <c r="BF402" s="877"/>
      <c r="BG402" s="877"/>
      <c r="BH402" s="877"/>
    </row>
    <row r="403" spans="22:60" ht="35.25" customHeight="1" x14ac:dyDescent="0.5">
      <c r="V403" s="877"/>
      <c r="W403" s="877"/>
      <c r="X403" s="877"/>
      <c r="Y403" s="877"/>
      <c r="Z403" s="877"/>
      <c r="AA403" s="877"/>
      <c r="AB403" s="877"/>
      <c r="AC403" s="877"/>
      <c r="AD403" s="877"/>
      <c r="AE403" s="877"/>
      <c r="AF403" s="877"/>
      <c r="AG403" s="877"/>
      <c r="AH403" s="877"/>
      <c r="AI403" s="878"/>
      <c r="AJ403" s="877"/>
      <c r="AK403" s="877"/>
      <c r="AL403" s="877">
        <v>17</v>
      </c>
      <c r="AM403" s="877">
        <v>37</v>
      </c>
      <c r="AN403" s="877">
        <v>57</v>
      </c>
      <c r="AO403" s="877">
        <v>77</v>
      </c>
      <c r="AP403" s="877">
        <v>97</v>
      </c>
      <c r="AQ403" s="877">
        <v>117</v>
      </c>
      <c r="AR403" s="877">
        <v>137</v>
      </c>
      <c r="AS403" s="877">
        <v>157</v>
      </c>
      <c r="AT403" s="877">
        <v>177</v>
      </c>
      <c r="AU403" s="877">
        <v>197</v>
      </c>
      <c r="AV403" s="877">
        <v>217</v>
      </c>
      <c r="AW403" s="877">
        <v>237</v>
      </c>
      <c r="AX403" s="877"/>
      <c r="AY403" s="877"/>
      <c r="AZ403" s="877"/>
      <c r="BA403" s="877"/>
      <c r="BB403" s="877"/>
      <c r="BC403" s="877"/>
      <c r="BD403" s="877"/>
      <c r="BE403" s="877"/>
      <c r="BF403" s="877"/>
      <c r="BG403" s="877"/>
      <c r="BH403" s="877"/>
    </row>
    <row r="404" spans="22:60" ht="35.25" customHeight="1" x14ac:dyDescent="0.5">
      <c r="V404" s="877"/>
      <c r="W404" s="877"/>
      <c r="X404" s="877"/>
      <c r="Y404" s="877"/>
      <c r="Z404" s="877"/>
      <c r="AA404" s="877"/>
      <c r="AB404" s="877"/>
      <c r="AC404" s="877"/>
      <c r="AD404" s="877"/>
      <c r="AE404" s="877"/>
      <c r="AF404" s="877"/>
      <c r="AG404" s="877"/>
      <c r="AH404" s="877"/>
      <c r="AI404" s="878"/>
      <c r="AJ404" s="877"/>
      <c r="AK404" s="877"/>
      <c r="AL404" s="877">
        <v>18</v>
      </c>
      <c r="AM404" s="877">
        <v>38</v>
      </c>
      <c r="AN404" s="877">
        <v>58</v>
      </c>
      <c r="AO404" s="877">
        <v>78</v>
      </c>
      <c r="AP404" s="877">
        <v>98</v>
      </c>
      <c r="AQ404" s="877">
        <v>118</v>
      </c>
      <c r="AR404" s="877">
        <v>138</v>
      </c>
      <c r="AS404" s="877">
        <v>158</v>
      </c>
      <c r="AT404" s="877">
        <v>178</v>
      </c>
      <c r="AU404" s="877">
        <v>198</v>
      </c>
      <c r="AV404" s="877">
        <v>218</v>
      </c>
      <c r="AW404" s="877">
        <v>238</v>
      </c>
      <c r="AX404" s="877"/>
      <c r="AY404" s="877"/>
      <c r="AZ404" s="877"/>
      <c r="BA404" s="877"/>
      <c r="BB404" s="877"/>
      <c r="BC404" s="877"/>
      <c r="BD404" s="877"/>
      <c r="BE404" s="877"/>
      <c r="BF404" s="877"/>
      <c r="BG404" s="877"/>
      <c r="BH404" s="877"/>
    </row>
    <row r="405" spans="22:60" ht="35.25" customHeight="1" x14ac:dyDescent="0.5">
      <c r="V405" s="877"/>
      <c r="W405" s="877"/>
      <c r="X405" s="877"/>
      <c r="Y405" s="877"/>
      <c r="Z405" s="877"/>
      <c r="AA405" s="877"/>
      <c r="AB405" s="877"/>
      <c r="AC405" s="877"/>
      <c r="AD405" s="877"/>
      <c r="AE405" s="877"/>
      <c r="AF405" s="877"/>
      <c r="AG405" s="877"/>
      <c r="AH405" s="877"/>
      <c r="AI405" s="878"/>
      <c r="AJ405" s="877"/>
      <c r="AK405" s="877"/>
      <c r="AL405" s="877">
        <v>19</v>
      </c>
      <c r="AM405" s="877">
        <v>39</v>
      </c>
      <c r="AN405" s="877">
        <v>59</v>
      </c>
      <c r="AO405" s="877">
        <v>79</v>
      </c>
      <c r="AP405" s="877">
        <v>99</v>
      </c>
      <c r="AQ405" s="877">
        <v>119</v>
      </c>
      <c r="AR405" s="877">
        <v>139</v>
      </c>
      <c r="AS405" s="877">
        <v>159</v>
      </c>
      <c r="AT405" s="877">
        <v>179</v>
      </c>
      <c r="AU405" s="877">
        <v>199</v>
      </c>
      <c r="AV405" s="877">
        <v>219</v>
      </c>
      <c r="AW405" s="877">
        <v>239</v>
      </c>
      <c r="AX405" s="877"/>
      <c r="AY405" s="877"/>
      <c r="AZ405" s="877"/>
      <c r="BA405" s="877"/>
      <c r="BB405" s="877"/>
      <c r="BC405" s="877"/>
      <c r="BD405" s="877"/>
      <c r="BE405" s="877"/>
      <c r="BF405" s="877"/>
      <c r="BG405" s="877"/>
      <c r="BH405" s="877"/>
    </row>
    <row r="406" spans="22:60" ht="35.25" customHeight="1" x14ac:dyDescent="0.5">
      <c r="V406" s="877"/>
      <c r="W406" s="877"/>
      <c r="X406" s="877"/>
      <c r="Y406" s="877"/>
      <c r="Z406" s="877"/>
      <c r="AA406" s="877"/>
      <c r="AB406" s="877"/>
      <c r="AC406" s="877"/>
      <c r="AD406" s="877"/>
      <c r="AE406" s="877"/>
      <c r="AF406" s="877"/>
      <c r="AG406" s="877"/>
      <c r="AH406" s="877"/>
      <c r="AI406" s="878"/>
      <c r="AJ406" s="877"/>
      <c r="AK406" s="877"/>
      <c r="AL406" s="877">
        <v>20</v>
      </c>
      <c r="AM406" s="877">
        <v>40</v>
      </c>
      <c r="AN406" s="877">
        <v>60</v>
      </c>
      <c r="AO406" s="877">
        <v>80</v>
      </c>
      <c r="AP406" s="877">
        <v>100</v>
      </c>
      <c r="AQ406" s="877">
        <v>120</v>
      </c>
      <c r="AR406" s="877">
        <v>140</v>
      </c>
      <c r="AS406" s="877">
        <v>160</v>
      </c>
      <c r="AT406" s="877">
        <v>180</v>
      </c>
      <c r="AU406" s="877">
        <v>200</v>
      </c>
      <c r="AV406" s="877">
        <v>220</v>
      </c>
      <c r="AW406" s="877">
        <v>240</v>
      </c>
      <c r="AX406" s="877"/>
      <c r="AY406" s="877"/>
      <c r="AZ406" s="877"/>
      <c r="BA406" s="877"/>
      <c r="BB406" s="877"/>
      <c r="BC406" s="877"/>
      <c r="BD406" s="877"/>
      <c r="BE406" s="877"/>
      <c r="BF406" s="877"/>
      <c r="BG406" s="877"/>
      <c r="BH406" s="877"/>
    </row>
    <row r="407" spans="22:60" ht="35.25" customHeight="1" x14ac:dyDescent="0.5">
      <c r="V407" s="877"/>
      <c r="W407" s="877"/>
      <c r="X407" s="877"/>
      <c r="Y407" s="877"/>
      <c r="Z407" s="877"/>
      <c r="AA407" s="877"/>
      <c r="AB407" s="877"/>
      <c r="AC407" s="877"/>
      <c r="AD407" s="877"/>
      <c r="AE407" s="877"/>
      <c r="AF407" s="877"/>
      <c r="AG407" s="877"/>
      <c r="AH407" s="877"/>
      <c r="AI407" s="878"/>
      <c r="AJ407" s="877"/>
      <c r="AK407" s="877"/>
      <c r="AL407" s="877"/>
      <c r="AM407" s="879"/>
      <c r="AN407" s="877"/>
      <c r="AO407" s="877"/>
      <c r="AP407" s="877"/>
      <c r="AQ407" s="877"/>
      <c r="AR407" s="877"/>
      <c r="AS407" s="877"/>
      <c r="AT407" s="877"/>
      <c r="AU407" s="877"/>
      <c r="AV407" s="877"/>
      <c r="AW407" s="877"/>
      <c r="AX407" s="877"/>
      <c r="AY407" s="877"/>
      <c r="AZ407" s="877"/>
      <c r="BA407" s="877"/>
      <c r="BB407" s="877"/>
      <c r="BC407" s="877"/>
      <c r="BD407" s="877"/>
      <c r="BE407" s="877"/>
      <c r="BF407" s="877"/>
      <c r="BG407" s="877"/>
      <c r="BH407" s="877"/>
    </row>
    <row r="408" spans="22:60" ht="35.25" customHeight="1" x14ac:dyDescent="0.5">
      <c r="V408" s="877"/>
      <c r="W408" s="877"/>
      <c r="X408" s="877"/>
      <c r="Y408" s="877"/>
      <c r="Z408" s="877"/>
      <c r="AA408" s="877"/>
      <c r="AB408" s="877"/>
      <c r="AC408" s="877"/>
      <c r="AD408" s="877"/>
      <c r="AE408" s="877"/>
      <c r="AF408" s="877"/>
      <c r="AG408" s="877"/>
      <c r="AH408" s="877"/>
      <c r="AI408" s="878"/>
      <c r="AJ408" s="877"/>
      <c r="AK408" s="877"/>
      <c r="AL408" s="877"/>
      <c r="AM408" s="879"/>
      <c r="AN408" s="877"/>
      <c r="AO408" s="877"/>
      <c r="AP408" s="877"/>
      <c r="AQ408" s="877"/>
      <c r="AR408" s="877"/>
      <c r="AS408" s="877"/>
      <c r="AT408" s="877"/>
      <c r="AU408" s="877"/>
      <c r="AV408" s="877"/>
      <c r="AW408" s="877"/>
      <c r="AX408" s="877"/>
      <c r="AY408" s="877"/>
      <c r="AZ408" s="877"/>
      <c r="BA408" s="877"/>
      <c r="BB408" s="877"/>
      <c r="BC408" s="877"/>
      <c r="BD408" s="877"/>
      <c r="BE408" s="877"/>
      <c r="BF408" s="877"/>
      <c r="BG408" s="877"/>
      <c r="BH408" s="877"/>
    </row>
    <row r="409" spans="22:60" ht="35.25" customHeight="1" x14ac:dyDescent="0.5">
      <c r="V409" s="877"/>
      <c r="W409" s="877"/>
      <c r="X409" s="877"/>
      <c r="Y409" s="877"/>
      <c r="Z409" s="877"/>
      <c r="AA409" s="877"/>
      <c r="AB409" s="877"/>
      <c r="AC409" s="877"/>
      <c r="AD409" s="877"/>
      <c r="AE409" s="877"/>
      <c r="AF409" s="877"/>
      <c r="AG409" s="877"/>
      <c r="AH409" s="877"/>
      <c r="AI409" s="878"/>
      <c r="AJ409" s="877"/>
      <c r="AK409" s="877"/>
      <c r="AL409" s="877"/>
      <c r="AM409" s="879"/>
      <c r="AN409" s="877"/>
      <c r="AO409" s="877"/>
      <c r="AP409" s="877"/>
      <c r="AQ409" s="877"/>
      <c r="AR409" s="877"/>
      <c r="AS409" s="877"/>
      <c r="AT409" s="877"/>
      <c r="AU409" s="877"/>
      <c r="AV409" s="877"/>
      <c r="AW409" s="877"/>
      <c r="AX409" s="877"/>
      <c r="AY409" s="877"/>
      <c r="AZ409" s="877"/>
      <c r="BA409" s="877"/>
      <c r="BB409" s="877"/>
      <c r="BC409" s="877"/>
      <c r="BD409" s="877"/>
      <c r="BE409" s="877"/>
      <c r="BF409" s="877"/>
      <c r="BG409" s="877"/>
      <c r="BH409" s="877"/>
    </row>
  </sheetData>
  <sheetProtection algorithmName="SHA-512" hashValue="uSdhiCYeb2i458TI07fw+aRauKVW6vWLRFw4tPrn1w26LRSGxJJ8g8BGGeJ45oZmgFvmpfMEvfe8V01iBKfXkg==" saltValue="qYHvcsySLbdbghQvEh7Wjg==" spinCount="100000" sheet="1" objects="1" scenarios="1" selectLockedCells="1"/>
  <protectedRanges>
    <protectedRange sqref="D4:E4" name="Range1"/>
  </protectedRanges>
  <mergeCells count="12">
    <mergeCell ref="C3:S3"/>
    <mergeCell ref="H5:I5"/>
    <mergeCell ref="C6:J6"/>
    <mergeCell ref="L6:S6"/>
    <mergeCell ref="BC157:BD157"/>
    <mergeCell ref="N33:O33"/>
    <mergeCell ref="L33:M33"/>
    <mergeCell ref="AQ7:AS7"/>
    <mergeCell ref="AV7:AW7"/>
    <mergeCell ref="AN7:AP7"/>
    <mergeCell ref="F7:H7"/>
    <mergeCell ref="O7:Q7"/>
  </mergeCells>
  <dataValidations count="1">
    <dataValidation type="list" allowBlank="1" showInputMessage="1" showErrorMessage="1" sqref="D4">
      <formula1>month</formula1>
    </dataValidation>
  </dataValidations>
  <printOptions horizontalCentered="1"/>
  <pageMargins left="0.31496062992125984" right="0.31496062992125984" top="0.52" bottom="0.31496062992125984" header="0.31496062992125984" footer="0.31496062992125984"/>
  <pageSetup paperSize="9" scale="47" orientation="landscape" r:id="rId1"/>
  <rowBreaks count="1" manualBreakCount="1">
    <brk id="3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HOME!$E$2:$F$2</xm:f>
          </x14:formula1>
          <xm:sqref>E4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00FF"/>
  </sheetPr>
  <dimension ref="B1:H118"/>
  <sheetViews>
    <sheetView showRowColHeaders="0" workbookViewId="0">
      <selection activeCell="D5" sqref="D5:J5"/>
    </sheetView>
  </sheetViews>
  <sheetFormatPr defaultRowHeight="28.5" customHeight="1" x14ac:dyDescent="0.25"/>
  <cols>
    <col min="1" max="1" width="9.140625" style="965"/>
    <col min="2" max="2" width="33.7109375" style="965" customWidth="1"/>
    <col min="3" max="3" width="15.42578125" style="965" customWidth="1"/>
    <col min="4" max="4" width="52" style="965" customWidth="1"/>
    <col min="5" max="5" width="16.7109375" style="965" customWidth="1"/>
    <col min="6" max="6" width="23.7109375" style="965" customWidth="1"/>
    <col min="7" max="7" width="43" style="965" customWidth="1"/>
    <col min="8" max="16384" width="9.140625" style="965"/>
  </cols>
  <sheetData>
    <row r="1" spans="2:8" ht="28.5" customHeight="1" thickBot="1" x14ac:dyDescent="0.3">
      <c r="B1" s="1505" t="s">
        <v>299</v>
      </c>
      <c r="C1" s="1506"/>
      <c r="D1" s="1507"/>
    </row>
    <row r="2" spans="2:8" ht="28.5" customHeight="1" thickBot="1" x14ac:dyDescent="0.3"/>
    <row r="3" spans="2:8" ht="28.5" customHeight="1" x14ac:dyDescent="0.25">
      <c r="B3" s="1511" t="s">
        <v>5</v>
      </c>
      <c r="C3" s="1512"/>
      <c r="D3" s="973" t="s">
        <v>761</v>
      </c>
      <c r="F3" s="1508" t="s">
        <v>300</v>
      </c>
    </row>
    <row r="4" spans="2:8" ht="28.5" customHeight="1" x14ac:dyDescent="0.25">
      <c r="B4" s="1513" t="s">
        <v>6</v>
      </c>
      <c r="C4" s="1514"/>
      <c r="D4" s="974" t="s">
        <v>762</v>
      </c>
      <c r="F4" s="1509"/>
    </row>
    <row r="5" spans="2:8" ht="28.5" customHeight="1" x14ac:dyDescent="0.45">
      <c r="B5" s="1515" t="s">
        <v>1</v>
      </c>
      <c r="C5" s="1516"/>
      <c r="D5" s="975" t="s">
        <v>763</v>
      </c>
      <c r="F5" s="1509"/>
    </row>
    <row r="6" spans="2:8" ht="28.5" customHeight="1" x14ac:dyDescent="0.25">
      <c r="B6" s="1513" t="s">
        <v>7</v>
      </c>
      <c r="C6" s="1514"/>
      <c r="D6" s="974" t="s">
        <v>763</v>
      </c>
      <c r="F6" s="1509"/>
    </row>
    <row r="7" spans="2:8" ht="28.5" customHeight="1" thickBot="1" x14ac:dyDescent="0.3">
      <c r="B7" s="1513" t="s">
        <v>8</v>
      </c>
      <c r="C7" s="1514"/>
      <c r="D7" s="974" t="s">
        <v>764</v>
      </c>
      <c r="F7" s="1510"/>
    </row>
    <row r="8" spans="2:8" ht="28.5" customHeight="1" x14ac:dyDescent="0.25">
      <c r="B8" s="1513" t="s">
        <v>9</v>
      </c>
      <c r="C8" s="1514"/>
      <c r="D8" s="974" t="s">
        <v>765</v>
      </c>
    </row>
    <row r="9" spans="2:8" ht="28.5" customHeight="1" x14ac:dyDescent="0.25">
      <c r="B9" s="1513" t="s">
        <v>10</v>
      </c>
      <c r="C9" s="1514"/>
      <c r="D9" s="974" t="s">
        <v>766</v>
      </c>
      <c r="F9" s="988" t="s">
        <v>415</v>
      </c>
      <c r="G9" s="987"/>
    </row>
    <row r="10" spans="2:8" ht="28.5" customHeight="1" x14ac:dyDescent="0.25">
      <c r="B10" s="1513" t="s">
        <v>11</v>
      </c>
      <c r="C10" s="1514"/>
      <c r="D10" s="974">
        <v>27190220701</v>
      </c>
      <c r="F10" s="983" t="s">
        <v>714</v>
      </c>
      <c r="G10" s="984"/>
    </row>
    <row r="11" spans="2:8" ht="28.5" customHeight="1" x14ac:dyDescent="0.25">
      <c r="B11" s="1513" t="s">
        <v>12</v>
      </c>
      <c r="C11" s="1514"/>
      <c r="D11" s="974" t="s">
        <v>767</v>
      </c>
      <c r="F11" s="985" t="s">
        <v>712</v>
      </c>
      <c r="G11" s="986"/>
      <c r="H11" s="966"/>
    </row>
    <row r="12" spans="2:8" ht="28.5" customHeight="1" x14ac:dyDescent="0.25">
      <c r="B12" s="1517" t="s">
        <v>406</v>
      </c>
      <c r="C12" s="1518"/>
      <c r="D12" s="974" t="s">
        <v>408</v>
      </c>
      <c r="E12" s="967"/>
      <c r="F12" s="989" t="s">
        <v>713</v>
      </c>
      <c r="G12" s="987"/>
    </row>
    <row r="13" spans="2:8" ht="28.5" customHeight="1" x14ac:dyDescent="0.25">
      <c r="B13" s="1513" t="s">
        <v>13</v>
      </c>
      <c r="C13" s="1514"/>
      <c r="D13" s="976">
        <v>38504</v>
      </c>
    </row>
    <row r="14" spans="2:8" ht="28.5" customHeight="1" x14ac:dyDescent="0.25">
      <c r="B14" s="1513" t="s">
        <v>14</v>
      </c>
      <c r="C14" s="1514"/>
      <c r="D14" s="974" t="s">
        <v>768</v>
      </c>
    </row>
    <row r="15" spans="2:8" ht="28.5" customHeight="1" x14ac:dyDescent="0.25">
      <c r="B15" s="1513" t="s">
        <v>15</v>
      </c>
      <c r="C15" s="1514"/>
      <c r="D15" s="974">
        <v>9766121162</v>
      </c>
    </row>
    <row r="16" spans="2:8" ht="28.5" customHeight="1" thickBot="1" x14ac:dyDescent="0.3">
      <c r="B16" s="1513" t="s">
        <v>16</v>
      </c>
      <c r="C16" s="1514"/>
      <c r="D16" s="977" t="s">
        <v>769</v>
      </c>
    </row>
    <row r="17" spans="2:7" ht="28.5" customHeight="1" x14ac:dyDescent="0.25">
      <c r="B17" s="990" t="s">
        <v>267</v>
      </c>
      <c r="C17" s="991" t="s">
        <v>31</v>
      </c>
      <c r="D17" s="974" t="s">
        <v>768</v>
      </c>
      <c r="E17" s="1503" t="s">
        <v>254</v>
      </c>
      <c r="F17" s="1504"/>
      <c r="G17" s="974"/>
    </row>
    <row r="18" spans="2:7" ht="28.5" customHeight="1" x14ac:dyDescent="0.25">
      <c r="B18" s="990" t="s">
        <v>268</v>
      </c>
      <c r="C18" s="991" t="s">
        <v>30</v>
      </c>
      <c r="D18" s="974" t="s">
        <v>770</v>
      </c>
      <c r="E18" s="1499" t="s">
        <v>251</v>
      </c>
      <c r="F18" s="1500"/>
      <c r="G18" s="1281"/>
    </row>
    <row r="19" spans="2:7" ht="28.5" customHeight="1" x14ac:dyDescent="0.25">
      <c r="B19" s="990" t="s">
        <v>268</v>
      </c>
      <c r="C19" s="991" t="s">
        <v>269</v>
      </c>
      <c r="D19" s="974" t="s">
        <v>770</v>
      </c>
      <c r="E19" s="1499" t="s">
        <v>760</v>
      </c>
      <c r="F19" s="1500"/>
      <c r="G19" s="1280"/>
    </row>
    <row r="20" spans="2:7" ht="28.5" customHeight="1" x14ac:dyDescent="0.45">
      <c r="B20" s="1515" t="s">
        <v>0</v>
      </c>
      <c r="C20" s="1516"/>
      <c r="D20" s="974" t="s">
        <v>771</v>
      </c>
      <c r="E20" s="1499" t="s">
        <v>252</v>
      </c>
      <c r="F20" s="1500"/>
      <c r="G20" s="1282"/>
    </row>
    <row r="21" spans="2:7" ht="28.5" customHeight="1" x14ac:dyDescent="0.25">
      <c r="B21" s="1513" t="s">
        <v>250</v>
      </c>
      <c r="C21" s="1514"/>
      <c r="D21" s="974" t="s">
        <v>772</v>
      </c>
      <c r="E21" s="1499" t="s">
        <v>754</v>
      </c>
      <c r="F21" s="1500"/>
      <c r="G21" s="974"/>
    </row>
    <row r="22" spans="2:7" ht="28.5" customHeight="1" x14ac:dyDescent="0.25">
      <c r="B22" s="1513" t="s">
        <v>251</v>
      </c>
      <c r="C22" s="1514"/>
      <c r="D22" s="1273">
        <v>60398377374</v>
      </c>
      <c r="E22" s="1499" t="s">
        <v>251</v>
      </c>
      <c r="F22" s="1500"/>
      <c r="G22" s="1281"/>
    </row>
    <row r="23" spans="2:7" ht="28.5" customHeight="1" x14ac:dyDescent="0.25">
      <c r="B23" s="1513" t="s">
        <v>760</v>
      </c>
      <c r="C23" s="1514"/>
      <c r="D23" s="1280" t="s">
        <v>773</v>
      </c>
      <c r="E23" s="1499" t="s">
        <v>760</v>
      </c>
      <c r="F23" s="1500"/>
      <c r="G23" s="1280"/>
    </row>
    <row r="24" spans="2:7" ht="28.5" customHeight="1" x14ac:dyDescent="0.25">
      <c r="B24" s="1513" t="s">
        <v>252</v>
      </c>
      <c r="C24" s="1514"/>
      <c r="D24" s="1282" t="s">
        <v>774</v>
      </c>
      <c r="E24" s="1499" t="s">
        <v>252</v>
      </c>
      <c r="F24" s="1500"/>
      <c r="G24" s="1282"/>
    </row>
    <row r="25" spans="2:7" ht="28.5" customHeight="1" x14ac:dyDescent="0.25">
      <c r="B25" s="1513" t="s">
        <v>253</v>
      </c>
      <c r="C25" s="1514"/>
      <c r="D25" s="974" t="s">
        <v>770</v>
      </c>
      <c r="E25" s="1499" t="s">
        <v>755</v>
      </c>
      <c r="F25" s="1500"/>
      <c r="G25" s="974"/>
    </row>
    <row r="26" spans="2:7" ht="28.5" customHeight="1" x14ac:dyDescent="0.25">
      <c r="B26" s="1513" t="s">
        <v>251</v>
      </c>
      <c r="C26" s="1514"/>
      <c r="D26" s="1281" t="s">
        <v>770</v>
      </c>
      <c r="E26" s="1499" t="s">
        <v>251</v>
      </c>
      <c r="F26" s="1500"/>
      <c r="G26" s="1281"/>
    </row>
    <row r="27" spans="2:7" ht="28.5" customHeight="1" x14ac:dyDescent="0.25">
      <c r="B27" s="1513" t="s">
        <v>760</v>
      </c>
      <c r="C27" s="1514"/>
      <c r="D27" s="1280" t="s">
        <v>770</v>
      </c>
      <c r="E27" s="1499" t="s">
        <v>760</v>
      </c>
      <c r="F27" s="1500"/>
      <c r="G27" s="1280"/>
    </row>
    <row r="28" spans="2:7" ht="28.5" customHeight="1" x14ac:dyDescent="0.25">
      <c r="B28" s="1513" t="s">
        <v>252</v>
      </c>
      <c r="C28" s="1514"/>
      <c r="D28" s="1282" t="s">
        <v>770</v>
      </c>
      <c r="E28" s="1499" t="s">
        <v>252</v>
      </c>
      <c r="F28" s="1500"/>
      <c r="G28" s="1282"/>
    </row>
    <row r="29" spans="2:7" ht="28.5" customHeight="1" x14ac:dyDescent="0.25">
      <c r="B29" s="1517" t="s">
        <v>272</v>
      </c>
      <c r="C29" s="1518"/>
      <c r="D29" s="1283">
        <v>1</v>
      </c>
      <c r="E29" s="1499" t="s">
        <v>756</v>
      </c>
      <c r="F29" s="1500"/>
      <c r="G29" s="974"/>
    </row>
    <row r="30" spans="2:7" ht="28.5" customHeight="1" x14ac:dyDescent="0.25">
      <c r="B30" s="1513" t="s">
        <v>2</v>
      </c>
      <c r="C30" s="1514"/>
      <c r="D30" s="974" t="s">
        <v>784</v>
      </c>
      <c r="E30" s="1499" t="s">
        <v>251</v>
      </c>
      <c r="F30" s="1500"/>
      <c r="G30" s="1281"/>
    </row>
    <row r="31" spans="2:7" ht="28.5" customHeight="1" x14ac:dyDescent="0.25">
      <c r="B31" s="1513" t="s">
        <v>3</v>
      </c>
      <c r="C31" s="1514"/>
      <c r="D31" s="974" t="s">
        <v>775</v>
      </c>
      <c r="E31" s="1499" t="s">
        <v>760</v>
      </c>
      <c r="F31" s="1500"/>
      <c r="G31" s="1280"/>
    </row>
    <row r="32" spans="2:7" ht="28.5" customHeight="1" thickBot="1" x14ac:dyDescent="0.5">
      <c r="B32" s="1513" t="s">
        <v>4</v>
      </c>
      <c r="C32" s="1514"/>
      <c r="D32" s="975" t="s">
        <v>776</v>
      </c>
      <c r="E32" s="1501" t="s">
        <v>252</v>
      </c>
      <c r="F32" s="1502"/>
      <c r="G32" s="1282"/>
    </row>
    <row r="33" spans="2:6" ht="41.25" customHeight="1" x14ac:dyDescent="0.25">
      <c r="B33" s="1529" t="s">
        <v>431</v>
      </c>
      <c r="C33" s="1530"/>
      <c r="D33" s="978" t="s">
        <v>354</v>
      </c>
      <c r="E33" s="1524"/>
      <c r="F33" s="1525" t="s">
        <v>711</v>
      </c>
    </row>
    <row r="34" spans="2:6" ht="43.5" customHeight="1" thickBot="1" x14ac:dyDescent="0.3">
      <c r="B34" s="1527" t="s">
        <v>432</v>
      </c>
      <c r="C34" s="1528"/>
      <c r="D34" s="979" t="s">
        <v>352</v>
      </c>
      <c r="E34" s="1524"/>
      <c r="F34" s="1526"/>
    </row>
    <row r="35" spans="2:6" ht="28.5" customHeight="1" x14ac:dyDescent="0.25">
      <c r="B35" s="1294" t="s">
        <v>426</v>
      </c>
      <c r="C35" s="992" t="s">
        <v>427</v>
      </c>
      <c r="D35" s="980" t="s">
        <v>56</v>
      </c>
      <c r="E35" s="1522"/>
      <c r="F35" s="1519" t="s">
        <v>710</v>
      </c>
    </row>
    <row r="36" spans="2:6" ht="28.5" customHeight="1" x14ac:dyDescent="0.25">
      <c r="B36" s="1286" t="s">
        <v>426</v>
      </c>
      <c r="C36" s="993" t="s">
        <v>428</v>
      </c>
      <c r="D36" s="981" t="s">
        <v>57</v>
      </c>
      <c r="E36" s="1522"/>
      <c r="F36" s="1520"/>
    </row>
    <row r="37" spans="2:6" ht="28.5" customHeight="1" x14ac:dyDescent="0.25">
      <c r="B37" s="1286" t="s">
        <v>426</v>
      </c>
      <c r="C37" s="993" t="s">
        <v>429</v>
      </c>
      <c r="D37" s="978" t="s">
        <v>783</v>
      </c>
      <c r="E37" s="1522"/>
      <c r="F37" s="1520"/>
    </row>
    <row r="38" spans="2:6" ht="28.5" customHeight="1" thickBot="1" x14ac:dyDescent="0.3">
      <c r="B38" s="1295" t="s">
        <v>426</v>
      </c>
      <c r="C38" s="994" t="s">
        <v>430</v>
      </c>
      <c r="D38" s="982" t="s">
        <v>59</v>
      </c>
      <c r="E38" s="1523"/>
      <c r="F38" s="1521"/>
    </row>
    <row r="103" spans="2:5" ht="27.75" customHeight="1" x14ac:dyDescent="0.25"/>
    <row r="104" spans="2:5" ht="28.5" hidden="1" customHeight="1" x14ac:dyDescent="0.25">
      <c r="B104" s="968"/>
      <c r="C104" s="968"/>
      <c r="D104" s="968"/>
      <c r="E104" s="969" t="s">
        <v>349</v>
      </c>
    </row>
    <row r="105" spans="2:5" ht="28.5" hidden="1" customHeight="1" x14ac:dyDescent="0.25">
      <c r="B105" s="970" t="s">
        <v>33</v>
      </c>
      <c r="C105" s="968"/>
      <c r="D105" s="968"/>
      <c r="E105" s="969" t="s">
        <v>350</v>
      </c>
    </row>
    <row r="106" spans="2:5" ht="28.5" hidden="1" customHeight="1" x14ac:dyDescent="0.25">
      <c r="B106" s="971" t="s">
        <v>40</v>
      </c>
      <c r="C106" s="968"/>
      <c r="D106" s="972" t="s">
        <v>407</v>
      </c>
      <c r="E106" s="969" t="s">
        <v>351</v>
      </c>
    </row>
    <row r="107" spans="2:5" ht="28.5" hidden="1" customHeight="1" x14ac:dyDescent="0.25">
      <c r="B107" s="971" t="s">
        <v>41</v>
      </c>
      <c r="C107" s="968"/>
      <c r="D107" s="972" t="s">
        <v>408</v>
      </c>
      <c r="E107" s="969" t="s">
        <v>352</v>
      </c>
    </row>
    <row r="108" spans="2:5" ht="28.5" hidden="1" customHeight="1" x14ac:dyDescent="0.25">
      <c r="B108" s="971" t="s">
        <v>42</v>
      </c>
      <c r="C108" s="968"/>
      <c r="D108" s="972" t="s">
        <v>409</v>
      </c>
      <c r="E108" s="969" t="s">
        <v>353</v>
      </c>
    </row>
    <row r="109" spans="2:5" ht="28.5" hidden="1" customHeight="1" x14ac:dyDescent="0.25">
      <c r="B109" s="971" t="s">
        <v>44</v>
      </c>
      <c r="C109" s="968"/>
      <c r="D109" s="972" t="s">
        <v>386</v>
      </c>
      <c r="E109" s="969" t="s">
        <v>354</v>
      </c>
    </row>
    <row r="110" spans="2:5" ht="0.75" hidden="1" customHeight="1" x14ac:dyDescent="0.25">
      <c r="B110" s="971" t="s">
        <v>94</v>
      </c>
      <c r="C110" s="968"/>
      <c r="D110" s="972" t="s">
        <v>410</v>
      </c>
      <c r="E110" s="968"/>
    </row>
    <row r="111" spans="2:5" ht="28.5" hidden="1" customHeight="1" x14ac:dyDescent="0.25">
      <c r="B111" s="971" t="s">
        <v>46</v>
      </c>
      <c r="C111" s="968"/>
      <c r="D111" s="972" t="s">
        <v>411</v>
      </c>
      <c r="E111" s="968"/>
    </row>
    <row r="112" spans="2:5" ht="28.5" hidden="1" customHeight="1" x14ac:dyDescent="0.25">
      <c r="B112" s="971" t="s">
        <v>34</v>
      </c>
      <c r="C112" s="968"/>
      <c r="D112" s="972" t="s">
        <v>333</v>
      </c>
      <c r="E112" s="968"/>
    </row>
    <row r="113" spans="2:5" ht="28.5" hidden="1" customHeight="1" x14ac:dyDescent="0.25">
      <c r="B113" s="971" t="s">
        <v>37</v>
      </c>
      <c r="C113" s="968"/>
      <c r="D113" s="968"/>
      <c r="E113" s="968"/>
    </row>
    <row r="114" spans="2:5" ht="28.5" hidden="1" customHeight="1" x14ac:dyDescent="0.25">
      <c r="B114" s="971" t="s">
        <v>47</v>
      </c>
      <c r="C114" s="968"/>
      <c r="D114" s="968"/>
      <c r="E114" s="968"/>
    </row>
    <row r="115" spans="2:5" ht="28.5" hidden="1" customHeight="1" x14ac:dyDescent="0.25">
      <c r="B115" s="971" t="s">
        <v>38</v>
      </c>
      <c r="C115" s="968"/>
      <c r="D115" s="968"/>
      <c r="E115" s="968"/>
    </row>
    <row r="116" spans="2:5" ht="28.5" hidden="1" customHeight="1" x14ac:dyDescent="0.25">
      <c r="B116" s="971" t="s">
        <v>39</v>
      </c>
      <c r="C116" s="968"/>
      <c r="D116" s="968"/>
      <c r="E116" s="968"/>
    </row>
    <row r="117" spans="2:5" ht="28.5" hidden="1" customHeight="1" x14ac:dyDescent="0.25"/>
    <row r="118" spans="2:5" ht="28.5" hidden="1" customHeight="1" x14ac:dyDescent="0.25"/>
  </sheetData>
  <sheetProtection algorithmName="SHA-512" hashValue="qeUDHf7G1Gi3cq5Ycb+dgdt2sM6/nJlE9uJyMfPD6Sc6GZe3ZHb4G0cv9ZlHI8OmhyZ5Dqa1yJgHQhkXz143tg==" saltValue="OCpNj4wTzJP9R8bWkBVo2w==" spinCount="100000" sheet="1" objects="1" scenarios="1" selectLockedCells="1"/>
  <protectedRanges>
    <protectedRange sqref="D3:D38 G17:G32" name="Range1"/>
  </protectedRanges>
  <mergeCells count="51">
    <mergeCell ref="F35:F38"/>
    <mergeCell ref="E35:E38"/>
    <mergeCell ref="E33:E34"/>
    <mergeCell ref="F33:F34"/>
    <mergeCell ref="B34:C34"/>
    <mergeCell ref="B33:C33"/>
    <mergeCell ref="B23:C23"/>
    <mergeCell ref="B24:C24"/>
    <mergeCell ref="B31:C31"/>
    <mergeCell ref="B32:C32"/>
    <mergeCell ref="B30:C30"/>
    <mergeCell ref="B25:C25"/>
    <mergeCell ref="B26:C26"/>
    <mergeCell ref="B27:C27"/>
    <mergeCell ref="B28:C28"/>
    <mergeCell ref="B29:C29"/>
    <mergeCell ref="B21:C21"/>
    <mergeCell ref="B22:C22"/>
    <mergeCell ref="B11:C11"/>
    <mergeCell ref="B16:C16"/>
    <mergeCell ref="B13:C13"/>
    <mergeCell ref="B14:C14"/>
    <mergeCell ref="B15:C15"/>
    <mergeCell ref="B8:C8"/>
    <mergeCell ref="B5:C5"/>
    <mergeCell ref="B9:C9"/>
    <mergeCell ref="B10:C10"/>
    <mergeCell ref="B20:C20"/>
    <mergeCell ref="B12:C12"/>
    <mergeCell ref="B1:D1"/>
    <mergeCell ref="F3:F7"/>
    <mergeCell ref="B3:C3"/>
    <mergeCell ref="B4:C4"/>
    <mergeCell ref="B6:C6"/>
    <mergeCell ref="B7:C7"/>
    <mergeCell ref="E31:F31"/>
    <mergeCell ref="E32:F32"/>
    <mergeCell ref="E17:F17"/>
    <mergeCell ref="E18:F18"/>
    <mergeCell ref="E19:F19"/>
    <mergeCell ref="E20:F20"/>
    <mergeCell ref="E21:F21"/>
    <mergeCell ref="E22:F22"/>
    <mergeCell ref="E23:F23"/>
    <mergeCell ref="E24:F24"/>
    <mergeCell ref="E30:F30"/>
    <mergeCell ref="E29:F29"/>
    <mergeCell ref="E25:F25"/>
    <mergeCell ref="E26:F26"/>
    <mergeCell ref="E27:F27"/>
    <mergeCell ref="E28:F28"/>
  </mergeCells>
  <dataValidations count="2">
    <dataValidation type="list" allowBlank="1" showInputMessage="1" showErrorMessage="1" sqref="D33:D34">
      <formula1>$E$104:$E$109</formula1>
    </dataValidation>
    <dataValidation type="list" allowBlank="1" showInputMessage="1" showErrorMessage="1" sqref="D12">
      <formula1>$D$106:$D$113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00FF"/>
  </sheetPr>
  <dimension ref="A1:CD156"/>
  <sheetViews>
    <sheetView showZeros="0" topLeftCell="B1" zoomScaleNormal="100" workbookViewId="0">
      <selection activeCell="D5" sqref="D5:J5"/>
    </sheetView>
  </sheetViews>
  <sheetFormatPr defaultRowHeight="25.5" customHeight="1" x14ac:dyDescent="0.3"/>
  <cols>
    <col min="1" max="1" width="5.5703125" style="15" hidden="1" customWidth="1"/>
    <col min="2" max="2" width="9.140625" style="15"/>
    <col min="3" max="3" width="10" style="367" customWidth="1"/>
    <col min="4" max="4" width="13.28515625" style="368" customWidth="1"/>
    <col min="5" max="5" width="10.42578125" style="15" customWidth="1"/>
    <col min="6" max="13" width="9.140625" style="15"/>
    <col min="14" max="14" width="10.7109375" style="15" customWidth="1"/>
    <col min="15" max="15" width="10.140625" style="15" customWidth="1"/>
    <col min="16" max="16" width="10.85546875" style="15" customWidth="1"/>
    <col min="17" max="17" width="10.7109375" style="15" customWidth="1"/>
    <col min="18" max="18" width="11.140625" style="15" customWidth="1"/>
    <col min="19" max="22" width="9.140625" style="15"/>
    <col min="23" max="23" width="12.42578125" style="15" customWidth="1"/>
    <col min="24" max="24" width="11.42578125" style="15" customWidth="1"/>
    <col min="25" max="25" width="11.85546875" style="15" customWidth="1"/>
    <col min="26" max="26" width="12" style="15" customWidth="1"/>
    <col min="27" max="45" width="9.140625" style="15"/>
    <col min="46" max="46" width="9.140625" style="15" hidden="1" customWidth="1"/>
    <col min="47" max="47" width="4.85546875" style="15" hidden="1" customWidth="1"/>
    <col min="48" max="48" width="7.140625" style="15" hidden="1" customWidth="1"/>
    <col min="49" max="49" width="11.5703125" style="15" hidden="1" customWidth="1"/>
    <col min="50" max="50" width="13.42578125" style="15" hidden="1" customWidth="1"/>
    <col min="51" max="52" width="9.140625" style="15" hidden="1" customWidth="1"/>
    <col min="53" max="53" width="9.7109375" style="15" hidden="1" customWidth="1"/>
    <col min="54" max="57" width="9.140625" style="15" hidden="1" customWidth="1"/>
    <col min="58" max="59" width="9.42578125" style="15" hidden="1" customWidth="1"/>
    <col min="60" max="60" width="1.140625" style="15" hidden="1" customWidth="1"/>
    <col min="61" max="61" width="9.42578125" style="15" hidden="1" customWidth="1"/>
    <col min="62" max="62" width="7.7109375" style="15" hidden="1" customWidth="1"/>
    <col min="63" max="63" width="10.5703125" style="15" hidden="1" customWidth="1"/>
    <col min="64" max="64" width="9.7109375" style="15" hidden="1" customWidth="1"/>
    <col min="65" max="65" width="10.5703125" style="15" hidden="1" customWidth="1"/>
    <col min="66" max="66" width="2.85546875" style="15" hidden="1" customWidth="1"/>
    <col min="67" max="70" width="9.42578125" style="15" hidden="1" customWidth="1"/>
    <col min="71" max="71" width="1.140625" style="15" hidden="1" customWidth="1"/>
    <col min="72" max="72" width="16.5703125" style="15" hidden="1" customWidth="1"/>
    <col min="73" max="73" width="9.140625" style="15" hidden="1" customWidth="1"/>
    <col min="74" max="74" width="8" style="15" hidden="1" customWidth="1"/>
    <col min="75" max="76" width="9.140625" style="15" hidden="1" customWidth="1"/>
    <col min="77" max="77" width="2.140625" style="15" hidden="1" customWidth="1"/>
    <col min="78" max="79" width="9.140625" style="15" hidden="1" customWidth="1"/>
    <col min="80" max="80" width="5.28515625" style="15" hidden="1" customWidth="1"/>
    <col min="81" max="81" width="2.42578125" style="15" hidden="1" customWidth="1"/>
    <col min="82" max="82" width="2.5703125" style="15" hidden="1" customWidth="1"/>
    <col min="83" max="84" width="9.140625" style="15" customWidth="1"/>
    <col min="85" max="85" width="11.42578125" style="15" customWidth="1"/>
    <col min="86" max="16384" width="9.140625" style="15"/>
  </cols>
  <sheetData>
    <row r="1" spans="2:82" ht="25.5" customHeight="1" thickBot="1" x14ac:dyDescent="0.35"/>
    <row r="2" spans="2:82" ht="25.5" customHeight="1" thickBot="1" x14ac:dyDescent="0.55000000000000004">
      <c r="D2" s="369" t="s">
        <v>334</v>
      </c>
      <c r="E2" s="1531" t="str">
        <f>'शाळा माहिती'!D4</f>
        <v>जि.प.प्रा.शा.बोरजाई वस्ती</v>
      </c>
      <c r="F2" s="1532"/>
      <c r="G2" s="1532"/>
      <c r="H2" s="1532"/>
      <c r="I2" s="1532"/>
      <c r="J2" s="1532"/>
      <c r="K2" s="1532"/>
      <c r="L2" s="1532"/>
      <c r="M2" s="370"/>
      <c r="N2" s="1533" t="s">
        <v>312</v>
      </c>
      <c r="O2" s="1534"/>
      <c r="P2" s="167">
        <f>HOME!E2</f>
        <v>2022</v>
      </c>
      <c r="Q2" s="168">
        <f>HOME!F2</f>
        <v>2023</v>
      </c>
    </row>
    <row r="3" spans="2:82" ht="25.5" customHeight="1" x14ac:dyDescent="0.45">
      <c r="B3" s="1535" t="s">
        <v>332</v>
      </c>
      <c r="C3" s="1535"/>
      <c r="AV3" s="191"/>
      <c r="AW3" s="191"/>
      <c r="AX3" s="191"/>
      <c r="AY3" s="191"/>
      <c r="AZ3" s="191"/>
      <c r="BA3" s="191"/>
      <c r="BB3" s="191"/>
      <c r="BC3" s="191" t="s">
        <v>243</v>
      </c>
      <c r="BD3" s="1173" t="s">
        <v>31</v>
      </c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</row>
    <row r="4" spans="2:82" ht="25.5" customHeight="1" x14ac:dyDescent="0.5">
      <c r="B4" s="1538" t="s">
        <v>90</v>
      </c>
      <c r="C4" s="1538"/>
      <c r="D4" s="1538"/>
      <c r="E4" s="1538"/>
      <c r="F4" s="1538"/>
      <c r="G4" s="1538"/>
      <c r="H4" s="1538"/>
      <c r="I4" s="1538"/>
      <c r="J4" s="1538" t="s">
        <v>90</v>
      </c>
      <c r="K4" s="1538"/>
      <c r="L4" s="1538"/>
      <c r="M4" s="1538"/>
      <c r="N4" s="1538"/>
      <c r="O4" s="1538"/>
      <c r="P4" s="1538"/>
      <c r="Q4" s="1538"/>
      <c r="R4" s="12"/>
      <c r="S4" s="12"/>
      <c r="T4" s="12"/>
      <c r="U4" s="13"/>
      <c r="V4" s="13"/>
      <c r="W4" s="1547" t="s">
        <v>88</v>
      </c>
      <c r="X4" s="1547"/>
      <c r="Y4" s="1547" t="s">
        <v>89</v>
      </c>
      <c r="Z4" s="1547"/>
      <c r="AA4" s="1"/>
      <c r="AB4" s="1"/>
      <c r="AC4" s="1"/>
      <c r="AD4" s="1"/>
      <c r="AE4" s="1"/>
      <c r="AF4" s="1"/>
      <c r="AV4" s="191"/>
      <c r="AW4" s="336" t="s">
        <v>106</v>
      </c>
      <c r="AX4" s="1174" t="s">
        <v>87</v>
      </c>
      <c r="AY4" s="40" t="s">
        <v>42</v>
      </c>
      <c r="AZ4" s="40" t="s">
        <v>44</v>
      </c>
      <c r="BA4" s="40" t="s">
        <v>94</v>
      </c>
      <c r="BB4" s="40" t="s">
        <v>46</v>
      </c>
      <c r="BC4" s="40" t="s">
        <v>34</v>
      </c>
      <c r="BD4" s="40" t="s">
        <v>37</v>
      </c>
      <c r="BE4" s="40" t="s">
        <v>47</v>
      </c>
      <c r="BF4" s="40" t="s">
        <v>38</v>
      </c>
      <c r="BG4" s="40" t="s">
        <v>39</v>
      </c>
      <c r="BH4" s="40" t="s">
        <v>33</v>
      </c>
      <c r="BI4" s="40" t="s">
        <v>40</v>
      </c>
      <c r="BJ4" s="40" t="s">
        <v>41</v>
      </c>
      <c r="BK4" s="40" t="s">
        <v>29</v>
      </c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</row>
    <row r="5" spans="2:82" ht="35.25" customHeight="1" x14ac:dyDescent="0.4">
      <c r="B5" s="1536" t="s">
        <v>86</v>
      </c>
      <c r="C5" s="1536" t="s">
        <v>106</v>
      </c>
      <c r="D5" s="26" t="s">
        <v>84</v>
      </c>
      <c r="E5" s="372" t="s">
        <v>97</v>
      </c>
      <c r="F5" s="372" t="s">
        <v>74</v>
      </c>
      <c r="G5" s="372" t="s">
        <v>75</v>
      </c>
      <c r="H5" s="372" t="s">
        <v>63</v>
      </c>
      <c r="I5" s="372" t="s">
        <v>64</v>
      </c>
      <c r="J5" s="372" t="s">
        <v>236</v>
      </c>
      <c r="K5" s="372" t="s">
        <v>66</v>
      </c>
      <c r="L5" s="372" t="s">
        <v>67</v>
      </c>
      <c r="M5" s="372" t="s">
        <v>444</v>
      </c>
      <c r="N5" s="372" t="s">
        <v>68</v>
      </c>
      <c r="O5" s="372" t="s">
        <v>69</v>
      </c>
      <c r="P5" s="372" t="s">
        <v>70</v>
      </c>
      <c r="Q5" s="373" t="s">
        <v>71</v>
      </c>
      <c r="R5" s="374" t="s">
        <v>77</v>
      </c>
      <c r="S5" s="374" t="s">
        <v>72</v>
      </c>
      <c r="T5" s="372" t="s">
        <v>73</v>
      </c>
      <c r="U5" s="374" t="s">
        <v>313</v>
      </c>
      <c r="V5" s="372"/>
      <c r="W5" s="18" t="s">
        <v>17</v>
      </c>
      <c r="X5" s="18" t="s">
        <v>85</v>
      </c>
      <c r="Y5" s="18" t="s">
        <v>17</v>
      </c>
      <c r="Z5" s="18" t="s">
        <v>85</v>
      </c>
      <c r="AA5" s="1"/>
      <c r="AB5" s="1"/>
      <c r="AC5" s="1"/>
      <c r="AD5" s="1"/>
      <c r="AE5" s="1"/>
      <c r="AF5" s="1"/>
      <c r="AV5" s="191"/>
      <c r="AW5" s="1175" t="s">
        <v>84</v>
      </c>
      <c r="AX5" s="38" t="s">
        <v>31</v>
      </c>
      <c r="AY5" s="38" t="s">
        <v>31</v>
      </c>
      <c r="AZ5" s="38" t="s">
        <v>31</v>
      </c>
      <c r="BA5" s="38" t="s">
        <v>31</v>
      </c>
      <c r="BB5" s="38" t="s">
        <v>31</v>
      </c>
      <c r="BC5" s="38" t="s">
        <v>31</v>
      </c>
      <c r="BD5" s="38" t="s">
        <v>31</v>
      </c>
      <c r="BE5" s="38" t="s">
        <v>31</v>
      </c>
      <c r="BF5" s="38" t="s">
        <v>31</v>
      </c>
      <c r="BG5" s="38" t="s">
        <v>31</v>
      </c>
      <c r="BH5" s="38" t="s">
        <v>31</v>
      </c>
      <c r="BI5" s="38" t="s">
        <v>31</v>
      </c>
      <c r="BJ5" s="38" t="s">
        <v>31</v>
      </c>
      <c r="BK5" s="38" t="s">
        <v>31</v>
      </c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</row>
    <row r="6" spans="2:82" ht="20.25" customHeight="1" x14ac:dyDescent="0.4">
      <c r="B6" s="1537"/>
      <c r="C6" s="1537"/>
      <c r="D6" s="32" t="s">
        <v>284</v>
      </c>
      <c r="E6" s="375" t="s">
        <v>81</v>
      </c>
      <c r="F6" s="375" t="s">
        <v>81</v>
      </c>
      <c r="G6" s="375" t="s">
        <v>81</v>
      </c>
      <c r="H6" s="375" t="s">
        <v>81</v>
      </c>
      <c r="I6" s="375" t="s">
        <v>81</v>
      </c>
      <c r="J6" s="375" t="s">
        <v>81</v>
      </c>
      <c r="K6" s="375" t="s">
        <v>81</v>
      </c>
      <c r="L6" s="375" t="s">
        <v>81</v>
      </c>
      <c r="M6" s="375" t="s">
        <v>81</v>
      </c>
      <c r="N6" s="375" t="s">
        <v>81</v>
      </c>
      <c r="O6" s="375" t="s">
        <v>81</v>
      </c>
      <c r="P6" s="375" t="s">
        <v>81</v>
      </c>
      <c r="Q6" s="375" t="s">
        <v>81</v>
      </c>
      <c r="R6" s="375" t="s">
        <v>81</v>
      </c>
      <c r="S6" s="375" t="s">
        <v>215</v>
      </c>
      <c r="T6" s="375" t="s">
        <v>81</v>
      </c>
      <c r="U6" s="375" t="s">
        <v>81</v>
      </c>
      <c r="V6" s="375" t="s">
        <v>81</v>
      </c>
      <c r="W6" s="2">
        <v>19</v>
      </c>
      <c r="X6" s="2">
        <v>20</v>
      </c>
      <c r="Y6" s="2">
        <v>21</v>
      </c>
      <c r="Z6" s="2">
        <v>22</v>
      </c>
      <c r="AA6" s="1"/>
      <c r="AB6" s="1"/>
      <c r="AC6" s="1"/>
      <c r="AD6" s="1"/>
      <c r="AE6" s="1"/>
      <c r="AF6" s="1"/>
      <c r="AV6" s="191"/>
      <c r="AW6" s="192" t="s">
        <v>97</v>
      </c>
      <c r="AX6" s="1176">
        <f>E7</f>
        <v>30.2</v>
      </c>
      <c r="AY6" s="1176">
        <f>BA31</f>
        <v>50</v>
      </c>
      <c r="AZ6" s="1176">
        <f>BA34</f>
        <v>100</v>
      </c>
      <c r="BA6" s="1176">
        <f>BA37</f>
        <v>0</v>
      </c>
      <c r="BB6" s="1176">
        <f>BA40</f>
        <v>0</v>
      </c>
      <c r="BC6" s="1176">
        <f>BA43</f>
        <v>100</v>
      </c>
      <c r="BD6" s="1176">
        <f>BA46</f>
        <v>0</v>
      </c>
      <c r="BE6" s="1176">
        <f>BA49</f>
        <v>0</v>
      </c>
      <c r="BF6" s="1176">
        <f>BA52</f>
        <v>50</v>
      </c>
      <c r="BG6" s="1176">
        <f>BA55</f>
        <v>30</v>
      </c>
      <c r="BH6" s="1176">
        <f>BA58</f>
        <v>0</v>
      </c>
      <c r="BI6" s="1176">
        <f>BA61</f>
        <v>0</v>
      </c>
      <c r="BJ6" s="1176">
        <f>BA64</f>
        <v>0</v>
      </c>
      <c r="BK6" s="1176">
        <f t="shared" ref="BK6:BK24" si="0">SUM(AY6:BJ6)</f>
        <v>330</v>
      </c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</row>
    <row r="7" spans="2:82" ht="25.5" customHeight="1" x14ac:dyDescent="0.45">
      <c r="B7" s="1540" t="s">
        <v>87</v>
      </c>
      <c r="C7" s="1541"/>
      <c r="D7" s="19" t="s">
        <v>31</v>
      </c>
      <c r="E7" s="383">
        <v>30.2</v>
      </c>
      <c r="F7" s="383">
        <v>1.68</v>
      </c>
      <c r="G7" s="383"/>
      <c r="H7" s="383"/>
      <c r="I7" s="383"/>
      <c r="J7" s="383">
        <v>0</v>
      </c>
      <c r="K7" s="383"/>
      <c r="L7" s="383">
        <v>3.24</v>
      </c>
      <c r="M7" s="383">
        <v>2.12</v>
      </c>
      <c r="N7" s="383">
        <v>0.1406</v>
      </c>
      <c r="O7" s="383">
        <v>0.20100000000000001</v>
      </c>
      <c r="P7" s="383">
        <v>0.1406</v>
      </c>
      <c r="Q7" s="383"/>
      <c r="R7" s="383"/>
      <c r="S7" s="383">
        <v>1.01</v>
      </c>
      <c r="T7" s="383">
        <v>2</v>
      </c>
      <c r="U7" s="383">
        <v>0.3624</v>
      </c>
      <c r="V7" s="383"/>
      <c r="W7" s="997"/>
      <c r="X7" s="96"/>
      <c r="Y7" s="997"/>
      <c r="Z7" s="96"/>
      <c r="AA7" s="1"/>
      <c r="AB7" s="1"/>
      <c r="AC7" s="1"/>
      <c r="AD7" s="1"/>
      <c r="AE7" s="1"/>
      <c r="AF7" s="1"/>
      <c r="AV7" s="191"/>
      <c r="AW7" s="192" t="s">
        <v>74</v>
      </c>
      <c r="AX7" s="1176">
        <f>F7</f>
        <v>1.68</v>
      </c>
      <c r="AY7" s="1176">
        <f>BB31</f>
        <v>5</v>
      </c>
      <c r="AZ7" s="1176">
        <f>BB34</f>
        <v>5</v>
      </c>
      <c r="BA7" s="1176">
        <f>BB37</f>
        <v>0</v>
      </c>
      <c r="BB7" s="1176">
        <f>BB40</f>
        <v>0</v>
      </c>
      <c r="BC7" s="1176">
        <f>BB43</f>
        <v>7</v>
      </c>
      <c r="BD7" s="1176">
        <f>BB46</f>
        <v>0</v>
      </c>
      <c r="BE7" s="1176">
        <f>BB49</f>
        <v>0</v>
      </c>
      <c r="BF7" s="1176">
        <f>BB52</f>
        <v>5</v>
      </c>
      <c r="BG7" s="1176">
        <f>BB55</f>
        <v>2</v>
      </c>
      <c r="BH7" s="1176">
        <f>BB58</f>
        <v>0</v>
      </c>
      <c r="BI7" s="1176">
        <f>BB61</f>
        <v>0</v>
      </c>
      <c r="BJ7" s="1176">
        <f>BB64</f>
        <v>0</v>
      </c>
      <c r="BK7" s="1176">
        <f t="shared" si="0"/>
        <v>24</v>
      </c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  <c r="CC7" s="191"/>
      <c r="CD7" s="191"/>
    </row>
    <row r="8" spans="2:82" ht="25.5" customHeight="1" x14ac:dyDescent="0.45">
      <c r="B8" s="16">
        <v>1</v>
      </c>
      <c r="C8" s="17" t="s">
        <v>42</v>
      </c>
      <c r="D8" s="20" t="s">
        <v>31</v>
      </c>
      <c r="E8" s="383">
        <v>50</v>
      </c>
      <c r="F8" s="383">
        <v>5</v>
      </c>
      <c r="G8" s="383">
        <v>0</v>
      </c>
      <c r="H8" s="383"/>
      <c r="I8" s="383"/>
      <c r="J8" s="383">
        <v>0</v>
      </c>
      <c r="K8" s="383"/>
      <c r="L8" s="383">
        <v>10</v>
      </c>
      <c r="M8" s="383">
        <v>5</v>
      </c>
      <c r="N8" s="383">
        <v>0.3</v>
      </c>
      <c r="O8" s="383">
        <v>0.5</v>
      </c>
      <c r="P8" s="383">
        <v>0.4</v>
      </c>
      <c r="Q8" s="383"/>
      <c r="R8" s="383"/>
      <c r="S8" s="383">
        <v>2</v>
      </c>
      <c r="T8" s="383">
        <v>2</v>
      </c>
      <c r="U8" s="383">
        <v>1</v>
      </c>
      <c r="V8" s="383"/>
      <c r="W8" s="997">
        <v>44658</v>
      </c>
      <c r="X8" s="96"/>
      <c r="Y8" s="997">
        <v>44658</v>
      </c>
      <c r="Z8" s="96"/>
      <c r="AA8" s="1"/>
      <c r="AB8" s="1"/>
      <c r="AC8" s="1"/>
      <c r="AD8" s="1"/>
      <c r="AE8" s="1"/>
      <c r="AF8" s="1"/>
      <c r="AV8" s="191"/>
      <c r="AW8" s="192" t="s">
        <v>75</v>
      </c>
      <c r="AX8" s="1176">
        <f>G7</f>
        <v>0</v>
      </c>
      <c r="AY8" s="1176">
        <f>BC31</f>
        <v>0</v>
      </c>
      <c r="AZ8" s="1176">
        <f>BC34</f>
        <v>0</v>
      </c>
      <c r="BA8" s="1176">
        <f>BC37</f>
        <v>0</v>
      </c>
      <c r="BB8" s="1176">
        <f>BC40</f>
        <v>0</v>
      </c>
      <c r="BC8" s="1176">
        <f>BC43</f>
        <v>0</v>
      </c>
      <c r="BD8" s="1176">
        <f>BC46</f>
        <v>0</v>
      </c>
      <c r="BE8" s="1176">
        <f>BC49</f>
        <v>0</v>
      </c>
      <c r="BF8" s="1176">
        <f>BC52</f>
        <v>0</v>
      </c>
      <c r="BG8" s="1176">
        <f>BC55</f>
        <v>0</v>
      </c>
      <c r="BH8" s="1176">
        <f>BC58</f>
        <v>0</v>
      </c>
      <c r="BI8" s="1176">
        <f>BC61</f>
        <v>0</v>
      </c>
      <c r="BJ8" s="1176">
        <f>BC64</f>
        <v>0</v>
      </c>
      <c r="BK8" s="1176">
        <f t="shared" si="0"/>
        <v>0</v>
      </c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</row>
    <row r="9" spans="2:82" ht="25.5" customHeight="1" x14ac:dyDescent="0.45">
      <c r="B9" s="16">
        <v>2</v>
      </c>
      <c r="C9" s="17" t="s">
        <v>44</v>
      </c>
      <c r="D9" s="20" t="s">
        <v>31</v>
      </c>
      <c r="E9" s="383">
        <v>100</v>
      </c>
      <c r="F9" s="383">
        <v>5</v>
      </c>
      <c r="G9" s="383">
        <v>0</v>
      </c>
      <c r="H9" s="383">
        <v>0</v>
      </c>
      <c r="I9" s="383">
        <v>0</v>
      </c>
      <c r="J9" s="383">
        <v>0</v>
      </c>
      <c r="K9" s="383">
        <v>0</v>
      </c>
      <c r="L9" s="383">
        <v>5</v>
      </c>
      <c r="M9" s="383">
        <v>5</v>
      </c>
      <c r="N9" s="383">
        <v>0.3</v>
      </c>
      <c r="O9" s="383">
        <v>0.5</v>
      </c>
      <c r="P9" s="383">
        <v>0.4</v>
      </c>
      <c r="Q9" s="383"/>
      <c r="R9" s="383"/>
      <c r="S9" s="383">
        <v>2</v>
      </c>
      <c r="T9" s="383">
        <v>2</v>
      </c>
      <c r="U9" s="383">
        <v>1</v>
      </c>
      <c r="V9" s="383"/>
      <c r="W9" s="997">
        <v>44707</v>
      </c>
      <c r="X9" s="96"/>
      <c r="Y9" s="997">
        <v>44707</v>
      </c>
      <c r="Z9" s="96"/>
      <c r="AA9" s="1"/>
      <c r="AB9" s="1"/>
      <c r="AC9" s="1"/>
      <c r="AD9" s="1"/>
      <c r="AE9" s="1"/>
      <c r="AF9" s="1"/>
      <c r="AV9" s="191"/>
      <c r="AW9" s="192" t="s">
        <v>63</v>
      </c>
      <c r="AX9" s="1176">
        <f>H7</f>
        <v>0</v>
      </c>
      <c r="AY9" s="1176">
        <f>BD31</f>
        <v>0</v>
      </c>
      <c r="AZ9" s="1176">
        <f>BD34</f>
        <v>0</v>
      </c>
      <c r="BA9" s="1176">
        <f>BD37</f>
        <v>0</v>
      </c>
      <c r="BB9" s="1176">
        <f>BD40</f>
        <v>0</v>
      </c>
      <c r="BC9" s="1176">
        <f>BD43</f>
        <v>0</v>
      </c>
      <c r="BD9" s="1176">
        <f>BD46</f>
        <v>0</v>
      </c>
      <c r="BE9" s="1176">
        <f>BD49</f>
        <v>0</v>
      </c>
      <c r="BF9" s="1176">
        <f>BD52</f>
        <v>0</v>
      </c>
      <c r="BG9" s="1176">
        <f>BD55</f>
        <v>0</v>
      </c>
      <c r="BH9" s="1176">
        <f>BD58</f>
        <v>0</v>
      </c>
      <c r="BI9" s="1176">
        <f>BD61</f>
        <v>0</v>
      </c>
      <c r="BJ9" s="1176">
        <f>BD64</f>
        <v>0</v>
      </c>
      <c r="BK9" s="1176">
        <f t="shared" si="0"/>
        <v>0</v>
      </c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</row>
    <row r="10" spans="2:82" ht="25.5" customHeight="1" x14ac:dyDescent="0.45">
      <c r="B10" s="16">
        <v>3</v>
      </c>
      <c r="C10" s="17" t="s">
        <v>94</v>
      </c>
      <c r="D10" s="20" t="s">
        <v>31</v>
      </c>
      <c r="E10" s="383"/>
      <c r="F10" s="383"/>
      <c r="G10" s="383"/>
      <c r="H10" s="383"/>
      <c r="I10" s="383"/>
      <c r="J10" s="383">
        <v>0</v>
      </c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997"/>
      <c r="X10" s="96"/>
      <c r="Y10" s="997"/>
      <c r="Z10" s="96"/>
      <c r="AA10" s="1"/>
      <c r="AB10" s="1"/>
      <c r="AC10" s="1"/>
      <c r="AD10" s="1"/>
      <c r="AE10" s="1"/>
      <c r="AF10" s="1"/>
      <c r="AV10" s="191"/>
      <c r="AW10" s="192" t="s">
        <v>64</v>
      </c>
      <c r="AX10" s="1176">
        <f>I7</f>
        <v>0</v>
      </c>
      <c r="AY10" s="1176">
        <f>BE31</f>
        <v>0</v>
      </c>
      <c r="AZ10" s="1176">
        <f>BE34</f>
        <v>0</v>
      </c>
      <c r="BA10" s="1176">
        <f>BE37</f>
        <v>0</v>
      </c>
      <c r="BB10" s="1176">
        <f>BE40</f>
        <v>0</v>
      </c>
      <c r="BC10" s="1176">
        <f>BE43</f>
        <v>0</v>
      </c>
      <c r="BD10" s="1176">
        <f>BE46</f>
        <v>0</v>
      </c>
      <c r="BE10" s="1176">
        <f>BE49</f>
        <v>0</v>
      </c>
      <c r="BF10" s="1176">
        <f>BE52</f>
        <v>0</v>
      </c>
      <c r="BG10" s="1176">
        <f>BE55</f>
        <v>0</v>
      </c>
      <c r="BH10" s="1176">
        <f>BE58</f>
        <v>0</v>
      </c>
      <c r="BI10" s="1176">
        <f>BE61</f>
        <v>0</v>
      </c>
      <c r="BJ10" s="1176">
        <f>BE64</f>
        <v>0</v>
      </c>
      <c r="BK10" s="1176">
        <f t="shared" si="0"/>
        <v>0</v>
      </c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</row>
    <row r="11" spans="2:82" ht="25.5" customHeight="1" x14ac:dyDescent="0.45">
      <c r="B11" s="16">
        <v>4</v>
      </c>
      <c r="C11" s="17" t="s">
        <v>46</v>
      </c>
      <c r="D11" s="20" t="s">
        <v>31</v>
      </c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>
        <v>2</v>
      </c>
      <c r="T11" s="383"/>
      <c r="U11" s="383"/>
      <c r="V11" s="383"/>
      <c r="W11" s="997"/>
      <c r="X11" s="96"/>
      <c r="Y11" s="997"/>
      <c r="Z11" s="96"/>
      <c r="AA11" s="1"/>
      <c r="AB11" s="1"/>
      <c r="AC11" s="1"/>
      <c r="AD11" s="1"/>
      <c r="AE11" s="1"/>
      <c r="AF11" s="1"/>
      <c r="AV11" s="191"/>
      <c r="AW11" s="192" t="s">
        <v>236</v>
      </c>
      <c r="AX11" s="1176">
        <f>J7</f>
        <v>0</v>
      </c>
      <c r="AY11" s="1176">
        <f>BF31</f>
        <v>0</v>
      </c>
      <c r="AZ11" s="1176">
        <f>BF34</f>
        <v>0</v>
      </c>
      <c r="BA11" s="1176">
        <f>BF37</f>
        <v>0</v>
      </c>
      <c r="BB11" s="1176">
        <f>BF40</f>
        <v>0</v>
      </c>
      <c r="BC11" s="1176">
        <f>BG43</f>
        <v>0</v>
      </c>
      <c r="BD11" s="1176">
        <f>BF46</f>
        <v>0</v>
      </c>
      <c r="BE11" s="1176">
        <f>BF49</f>
        <v>0</v>
      </c>
      <c r="BF11" s="1176">
        <f>BF52</f>
        <v>0</v>
      </c>
      <c r="BG11" s="1176">
        <f>BF55</f>
        <v>0</v>
      </c>
      <c r="BH11" s="1176">
        <f>BF58</f>
        <v>0</v>
      </c>
      <c r="BI11" s="1176">
        <f>BF61</f>
        <v>0</v>
      </c>
      <c r="BJ11" s="1176">
        <f>BF64</f>
        <v>0</v>
      </c>
      <c r="BK11" s="1176">
        <f t="shared" si="0"/>
        <v>0</v>
      </c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</row>
    <row r="12" spans="2:82" ht="25.5" customHeight="1" x14ac:dyDescent="0.45">
      <c r="B12" s="16">
        <v>5</v>
      </c>
      <c r="C12" s="17" t="s">
        <v>34</v>
      </c>
      <c r="D12" s="20" t="s">
        <v>31</v>
      </c>
      <c r="E12" s="383">
        <v>100</v>
      </c>
      <c r="F12" s="383">
        <v>5</v>
      </c>
      <c r="G12" s="383"/>
      <c r="H12" s="383"/>
      <c r="I12" s="383"/>
      <c r="J12" s="383"/>
      <c r="K12" s="383"/>
      <c r="L12" s="383">
        <v>5</v>
      </c>
      <c r="M12" s="383">
        <v>5</v>
      </c>
      <c r="N12" s="383">
        <v>0.3</v>
      </c>
      <c r="O12" s="383">
        <v>0.5</v>
      </c>
      <c r="P12" s="383">
        <v>0.4</v>
      </c>
      <c r="Q12" s="383"/>
      <c r="R12" s="383">
        <v>0</v>
      </c>
      <c r="S12" s="383">
        <v>2.5</v>
      </c>
      <c r="T12" s="383">
        <v>2</v>
      </c>
      <c r="U12" s="383">
        <v>1</v>
      </c>
      <c r="V12" s="383"/>
      <c r="W12" s="997">
        <v>44785</v>
      </c>
      <c r="X12" s="96"/>
      <c r="Y12" s="997">
        <v>44785</v>
      </c>
      <c r="Z12" s="96"/>
      <c r="AA12" s="1"/>
      <c r="AB12" s="1"/>
      <c r="AC12" s="1"/>
      <c r="AD12" s="1"/>
      <c r="AE12" s="1"/>
      <c r="AF12" s="1"/>
      <c r="AV12" s="191"/>
      <c r="AW12" s="192" t="s">
        <v>66</v>
      </c>
      <c r="AX12" s="1176">
        <f>K7</f>
        <v>0</v>
      </c>
      <c r="AY12" s="1176">
        <f>BG31</f>
        <v>0</v>
      </c>
      <c r="AZ12" s="1176">
        <f>BG34</f>
        <v>0</v>
      </c>
      <c r="BA12" s="1176">
        <f>BG37</f>
        <v>0</v>
      </c>
      <c r="BB12" s="1176">
        <f>BG40</f>
        <v>0</v>
      </c>
      <c r="BC12" s="1176">
        <f>BG43</f>
        <v>0</v>
      </c>
      <c r="BD12" s="1176">
        <f>BG46</f>
        <v>0</v>
      </c>
      <c r="BE12" s="1176">
        <f>BG49</f>
        <v>0</v>
      </c>
      <c r="BF12" s="1176">
        <f>BG52</f>
        <v>0</v>
      </c>
      <c r="BG12" s="1176">
        <f>BG55</f>
        <v>0</v>
      </c>
      <c r="BH12" s="1176">
        <f>BG58</f>
        <v>0</v>
      </c>
      <c r="BI12" s="1176">
        <f>BG61</f>
        <v>0</v>
      </c>
      <c r="BJ12" s="1176">
        <f>BG64</f>
        <v>0</v>
      </c>
      <c r="BK12" s="1176">
        <f t="shared" si="0"/>
        <v>0</v>
      </c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</row>
    <row r="13" spans="2:82" ht="25.5" customHeight="1" x14ac:dyDescent="0.45">
      <c r="B13" s="16">
        <v>6</v>
      </c>
      <c r="C13" s="17" t="s">
        <v>37</v>
      </c>
      <c r="D13" s="20" t="s">
        <v>31</v>
      </c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>
        <v>0.5</v>
      </c>
      <c r="T13" s="383"/>
      <c r="U13" s="383"/>
      <c r="V13" s="383"/>
      <c r="W13" s="997"/>
      <c r="X13" s="96"/>
      <c r="Y13" s="997">
        <v>44821</v>
      </c>
      <c r="Z13" s="96"/>
      <c r="AA13" s="1"/>
      <c r="AB13" s="1"/>
      <c r="AC13" s="1"/>
      <c r="AD13" s="1"/>
      <c r="AE13" s="1"/>
      <c r="AF13" s="1"/>
      <c r="AV13" s="191"/>
      <c r="AW13" s="192" t="s">
        <v>67</v>
      </c>
      <c r="AX13" s="1176">
        <f>L7</f>
        <v>3.24</v>
      </c>
      <c r="AY13" s="1176">
        <f>BH31</f>
        <v>10</v>
      </c>
      <c r="AZ13" s="1176">
        <f>BH34</f>
        <v>5</v>
      </c>
      <c r="BA13" s="1176">
        <f>BH37</f>
        <v>0</v>
      </c>
      <c r="BB13" s="1176">
        <f>BH40</f>
        <v>0</v>
      </c>
      <c r="BC13" s="1176">
        <f>BH43</f>
        <v>7</v>
      </c>
      <c r="BD13" s="1176">
        <f>BH46</f>
        <v>0</v>
      </c>
      <c r="BE13" s="1176">
        <f>BH49</f>
        <v>0</v>
      </c>
      <c r="BF13" s="1176">
        <f>BH52</f>
        <v>5</v>
      </c>
      <c r="BG13" s="1176">
        <f>BH55</f>
        <v>0</v>
      </c>
      <c r="BH13" s="1176">
        <f>BH58</f>
        <v>0</v>
      </c>
      <c r="BI13" s="1176">
        <f>BH61</f>
        <v>0</v>
      </c>
      <c r="BJ13" s="1176">
        <f>BH64</f>
        <v>0</v>
      </c>
      <c r="BK13" s="1176">
        <f t="shared" si="0"/>
        <v>27</v>
      </c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</row>
    <row r="14" spans="2:82" ht="25.5" customHeight="1" x14ac:dyDescent="0.45">
      <c r="B14" s="16">
        <v>7</v>
      </c>
      <c r="C14" s="17" t="s">
        <v>47</v>
      </c>
      <c r="D14" s="20" t="s">
        <v>31</v>
      </c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>
        <v>1.5</v>
      </c>
      <c r="T14" s="383"/>
      <c r="U14" s="383"/>
      <c r="V14" s="383"/>
      <c r="W14" s="997"/>
      <c r="X14" s="96"/>
      <c r="Y14" s="997">
        <v>44835</v>
      </c>
      <c r="Z14" s="96"/>
      <c r="AA14" s="1"/>
      <c r="AB14" s="1"/>
      <c r="AC14" s="1"/>
      <c r="AD14" s="1"/>
      <c r="AE14" s="1"/>
      <c r="AF14" s="1"/>
      <c r="AV14" s="191"/>
      <c r="AW14" s="192" t="s">
        <v>76</v>
      </c>
      <c r="AX14" s="1176">
        <f>M7</f>
        <v>2.12</v>
      </c>
      <c r="AY14" s="1176">
        <f>BI31</f>
        <v>5</v>
      </c>
      <c r="AZ14" s="1176">
        <f>BI34</f>
        <v>5</v>
      </c>
      <c r="BA14" s="1176">
        <f>BI37</f>
        <v>0</v>
      </c>
      <c r="BB14" s="1176">
        <f>BI40</f>
        <v>0</v>
      </c>
      <c r="BC14" s="1176">
        <f>BI43</f>
        <v>7</v>
      </c>
      <c r="BD14" s="1176">
        <f>BI46</f>
        <v>0</v>
      </c>
      <c r="BE14" s="1176">
        <f>BI49</f>
        <v>0</v>
      </c>
      <c r="BF14" s="1176">
        <f>BI52</f>
        <v>5</v>
      </c>
      <c r="BG14" s="1176">
        <f>BI55</f>
        <v>0</v>
      </c>
      <c r="BH14" s="1176">
        <f>BI58</f>
        <v>0</v>
      </c>
      <c r="BI14" s="1176">
        <f>BI61</f>
        <v>0</v>
      </c>
      <c r="BJ14" s="1176">
        <f>BI64</f>
        <v>0</v>
      </c>
      <c r="BK14" s="1176">
        <f t="shared" si="0"/>
        <v>22</v>
      </c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</row>
    <row r="15" spans="2:82" ht="25.5" customHeight="1" x14ac:dyDescent="0.45">
      <c r="B15" s="16">
        <v>8</v>
      </c>
      <c r="C15" s="17" t="s">
        <v>38</v>
      </c>
      <c r="D15" s="20" t="s">
        <v>31</v>
      </c>
      <c r="E15" s="383">
        <v>50</v>
      </c>
      <c r="F15" s="383">
        <v>5</v>
      </c>
      <c r="G15" s="383">
        <v>0</v>
      </c>
      <c r="H15" s="383">
        <v>0</v>
      </c>
      <c r="I15" s="383">
        <v>0</v>
      </c>
      <c r="J15" s="383">
        <v>0</v>
      </c>
      <c r="K15" s="383">
        <v>0</v>
      </c>
      <c r="L15" s="383">
        <v>5</v>
      </c>
      <c r="M15" s="383">
        <v>5</v>
      </c>
      <c r="N15" s="383">
        <v>0.4</v>
      </c>
      <c r="O15" s="383">
        <v>0.3</v>
      </c>
      <c r="P15" s="383">
        <v>0.3</v>
      </c>
      <c r="Q15" s="383"/>
      <c r="R15" s="383"/>
      <c r="S15" s="383">
        <v>2.5</v>
      </c>
      <c r="T15" s="383">
        <v>2</v>
      </c>
      <c r="U15" s="383">
        <v>1</v>
      </c>
      <c r="V15" s="383"/>
      <c r="W15" s="997">
        <v>44882</v>
      </c>
      <c r="X15" s="96" t="s">
        <v>786</v>
      </c>
      <c r="Y15" s="997">
        <v>44882</v>
      </c>
      <c r="Z15" s="96" t="s">
        <v>786</v>
      </c>
      <c r="AA15" s="1"/>
      <c r="AB15" s="1"/>
      <c r="AC15" s="1"/>
      <c r="AD15" s="1"/>
      <c r="AE15" s="1"/>
      <c r="AF15" s="1"/>
      <c r="AV15" s="191"/>
      <c r="AW15" s="192" t="s">
        <v>68</v>
      </c>
      <c r="AX15" s="1176">
        <f>N7</f>
        <v>0.1406</v>
      </c>
      <c r="AY15" s="1177">
        <f>BJ31</f>
        <v>0.3</v>
      </c>
      <c r="AZ15" s="1177">
        <f>BJ34</f>
        <v>0.3</v>
      </c>
      <c r="BA15" s="1177">
        <f>BJ37</f>
        <v>0</v>
      </c>
      <c r="BB15" s="1177">
        <f>BJ40</f>
        <v>0</v>
      </c>
      <c r="BC15" s="1177">
        <f>BJ43</f>
        <v>0.3</v>
      </c>
      <c r="BD15" s="1177">
        <f>BJ46</f>
        <v>0</v>
      </c>
      <c r="BE15" s="1177">
        <f>BJ49</f>
        <v>0</v>
      </c>
      <c r="BF15" s="1177">
        <f>BJ52</f>
        <v>0.4</v>
      </c>
      <c r="BG15" s="1177">
        <f>BJ55</f>
        <v>0</v>
      </c>
      <c r="BH15" s="1177">
        <f>BJ58</f>
        <v>0</v>
      </c>
      <c r="BI15" s="1177">
        <f>BJ61</f>
        <v>0</v>
      </c>
      <c r="BJ15" s="1177">
        <f>BJ64</f>
        <v>0</v>
      </c>
      <c r="BK15" s="1176">
        <f t="shared" si="0"/>
        <v>1.2999999999999998</v>
      </c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</row>
    <row r="16" spans="2:82" ht="25.5" customHeight="1" x14ac:dyDescent="0.45">
      <c r="B16" s="16">
        <v>9</v>
      </c>
      <c r="C16" s="17" t="s">
        <v>39</v>
      </c>
      <c r="D16" s="20" t="s">
        <v>31</v>
      </c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997"/>
      <c r="X16" s="96"/>
      <c r="Y16" s="997"/>
      <c r="Z16" s="96"/>
      <c r="AA16" s="1"/>
      <c r="AB16" s="1"/>
      <c r="AC16" s="1"/>
      <c r="AD16" s="1"/>
      <c r="AE16" s="1"/>
      <c r="AF16" s="1"/>
      <c r="AV16" s="191"/>
      <c r="AW16" s="192" t="s">
        <v>69</v>
      </c>
      <c r="AX16" s="1176">
        <f>O7</f>
        <v>0.20100000000000001</v>
      </c>
      <c r="AY16" s="1177">
        <f>BK31</f>
        <v>0.5</v>
      </c>
      <c r="AZ16" s="1177">
        <f>BK34</f>
        <v>0.5</v>
      </c>
      <c r="BA16" s="1177">
        <f>BK37</f>
        <v>0</v>
      </c>
      <c r="BB16" s="1177">
        <f>BK40</f>
        <v>0</v>
      </c>
      <c r="BC16" s="1177">
        <f>BK43</f>
        <v>0.5</v>
      </c>
      <c r="BD16" s="1177">
        <f>BK46</f>
        <v>0</v>
      </c>
      <c r="BE16" s="1177">
        <f>BK49</f>
        <v>0</v>
      </c>
      <c r="BF16" s="1177">
        <f>BK52</f>
        <v>0.3</v>
      </c>
      <c r="BG16" s="1177">
        <f>BK55</f>
        <v>0</v>
      </c>
      <c r="BH16" s="1177">
        <f>BK58</f>
        <v>0</v>
      </c>
      <c r="BI16" s="1177">
        <f>BK61</f>
        <v>0</v>
      </c>
      <c r="BJ16" s="1177">
        <f>BK64</f>
        <v>0</v>
      </c>
      <c r="BK16" s="1176">
        <f t="shared" si="0"/>
        <v>1.8</v>
      </c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</row>
    <row r="17" spans="2:82" ht="25.5" customHeight="1" x14ac:dyDescent="0.45">
      <c r="B17" s="16">
        <v>10</v>
      </c>
      <c r="C17" s="17" t="s">
        <v>33</v>
      </c>
      <c r="D17" s="20" t="s">
        <v>31</v>
      </c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997"/>
      <c r="X17" s="96"/>
      <c r="Y17" s="997"/>
      <c r="Z17" s="96"/>
      <c r="AA17" s="1"/>
      <c r="AB17" s="1"/>
      <c r="AC17" s="1"/>
      <c r="AD17" s="1"/>
      <c r="AE17" s="1"/>
      <c r="AF17" s="1"/>
      <c r="AV17" s="191"/>
      <c r="AW17" s="192" t="s">
        <v>70</v>
      </c>
      <c r="AX17" s="1176">
        <f>P7</f>
        <v>0.1406</v>
      </c>
      <c r="AY17" s="1177">
        <f>BL31</f>
        <v>0.4</v>
      </c>
      <c r="AZ17" s="1177">
        <f>BL34</f>
        <v>0.4</v>
      </c>
      <c r="BA17" s="1177">
        <f>BL37</f>
        <v>0</v>
      </c>
      <c r="BB17" s="1177">
        <f>BL40</f>
        <v>0</v>
      </c>
      <c r="BC17" s="1177">
        <f>BL43</f>
        <v>0.4</v>
      </c>
      <c r="BD17" s="1177">
        <f>BL46</f>
        <v>0</v>
      </c>
      <c r="BE17" s="1177">
        <f>BL49</f>
        <v>0</v>
      </c>
      <c r="BF17" s="1177">
        <f>BL52</f>
        <v>0.3</v>
      </c>
      <c r="BG17" s="1177">
        <f>BL55</f>
        <v>0</v>
      </c>
      <c r="BH17" s="1177">
        <f>BL58</f>
        <v>0</v>
      </c>
      <c r="BI17" s="1177">
        <f>BL61</f>
        <v>0</v>
      </c>
      <c r="BJ17" s="1177">
        <f>BL64</f>
        <v>0</v>
      </c>
      <c r="BK17" s="1176">
        <f t="shared" si="0"/>
        <v>1.5000000000000002</v>
      </c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</row>
    <row r="18" spans="2:82" ht="25.5" customHeight="1" x14ac:dyDescent="0.45">
      <c r="B18" s="16">
        <v>11</v>
      </c>
      <c r="C18" s="17" t="s">
        <v>40</v>
      </c>
      <c r="D18" s="20" t="s">
        <v>31</v>
      </c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997"/>
      <c r="X18" s="96"/>
      <c r="Y18" s="997"/>
      <c r="Z18" s="96"/>
      <c r="AA18" s="1"/>
      <c r="AB18" s="1"/>
      <c r="AC18" s="1"/>
      <c r="AD18" s="1"/>
      <c r="AE18" s="1"/>
      <c r="AF18" s="1"/>
      <c r="AV18" s="191"/>
      <c r="AW18" s="1178" t="s">
        <v>71</v>
      </c>
      <c r="AX18" s="1176">
        <f>Q7</f>
        <v>0</v>
      </c>
      <c r="AY18" s="1177">
        <f>BM31</f>
        <v>0</v>
      </c>
      <c r="AZ18" s="1177">
        <f>BM34</f>
        <v>0</v>
      </c>
      <c r="BA18" s="1177">
        <f>BM37</f>
        <v>0</v>
      </c>
      <c r="BB18" s="1177">
        <f>BM40</f>
        <v>0</v>
      </c>
      <c r="BC18" s="1177">
        <f>BM43</f>
        <v>0</v>
      </c>
      <c r="BD18" s="1177">
        <f>BM46</f>
        <v>0</v>
      </c>
      <c r="BE18" s="1177">
        <f>BM49</f>
        <v>0</v>
      </c>
      <c r="BF18" s="1177">
        <f>BM52</f>
        <v>0</v>
      </c>
      <c r="BG18" s="1177">
        <f>BM55</f>
        <v>0</v>
      </c>
      <c r="BH18" s="1177">
        <f>BM58</f>
        <v>0</v>
      </c>
      <c r="BI18" s="1177">
        <f>BM61</f>
        <v>0</v>
      </c>
      <c r="BJ18" s="1177">
        <f>BM64</f>
        <v>0</v>
      </c>
      <c r="BK18" s="1176">
        <f t="shared" si="0"/>
        <v>0</v>
      </c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</row>
    <row r="19" spans="2:82" ht="25.5" customHeight="1" x14ac:dyDescent="0.45">
      <c r="B19" s="16">
        <v>12</v>
      </c>
      <c r="C19" s="17" t="s">
        <v>41</v>
      </c>
      <c r="D19" s="20" t="s">
        <v>31</v>
      </c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997"/>
      <c r="X19" s="96"/>
      <c r="Y19" s="997"/>
      <c r="Z19" s="96"/>
      <c r="AA19" s="1"/>
      <c r="AB19" s="1"/>
      <c r="AC19" s="1"/>
      <c r="AD19" s="1"/>
      <c r="AE19" s="1"/>
      <c r="AF19" s="1"/>
      <c r="AV19" s="191"/>
      <c r="AW19" s="1179" t="s">
        <v>77</v>
      </c>
      <c r="AX19" s="1176">
        <f>R7</f>
        <v>0</v>
      </c>
      <c r="AY19" s="1177">
        <f>BN31</f>
        <v>0</v>
      </c>
      <c r="AZ19" s="1177">
        <f>BN34</f>
        <v>0</v>
      </c>
      <c r="BA19" s="1177">
        <f>BN37</f>
        <v>0</v>
      </c>
      <c r="BB19" s="1177">
        <f>BN40</f>
        <v>0</v>
      </c>
      <c r="BC19" s="1177">
        <f>BN43</f>
        <v>0</v>
      </c>
      <c r="BD19" s="1177">
        <f>BN46</f>
        <v>0</v>
      </c>
      <c r="BE19" s="1177">
        <f>BN49</f>
        <v>0</v>
      </c>
      <c r="BF19" s="1177">
        <f>BN52</f>
        <v>0</v>
      </c>
      <c r="BG19" s="1177">
        <f>BN55</f>
        <v>0</v>
      </c>
      <c r="BH19" s="1177">
        <f>BN58</f>
        <v>0</v>
      </c>
      <c r="BI19" s="1177">
        <f>BN61</f>
        <v>0</v>
      </c>
      <c r="BJ19" s="1177">
        <f>BN64</f>
        <v>0</v>
      </c>
      <c r="BK19" s="1176">
        <f t="shared" si="0"/>
        <v>0</v>
      </c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</row>
    <row r="20" spans="2:82" ht="25.5" customHeight="1" x14ac:dyDescent="0.45">
      <c r="B20" s="357"/>
      <c r="C20" s="357" t="s">
        <v>29</v>
      </c>
      <c r="D20" s="20" t="s">
        <v>31</v>
      </c>
      <c r="E20" s="384">
        <f t="shared" ref="E20:V20" si="1">SUM(E7:E19)</f>
        <v>330.2</v>
      </c>
      <c r="F20" s="384">
        <f t="shared" si="1"/>
        <v>21.68</v>
      </c>
      <c r="G20" s="384">
        <f t="shared" si="1"/>
        <v>0</v>
      </c>
      <c r="H20" s="384">
        <f t="shared" si="1"/>
        <v>0</v>
      </c>
      <c r="I20" s="384">
        <f t="shared" si="1"/>
        <v>0</v>
      </c>
      <c r="J20" s="384">
        <f t="shared" si="1"/>
        <v>0</v>
      </c>
      <c r="K20" s="384">
        <f t="shared" si="1"/>
        <v>0</v>
      </c>
      <c r="L20" s="384">
        <f t="shared" si="1"/>
        <v>28.240000000000002</v>
      </c>
      <c r="M20" s="384">
        <f t="shared" si="1"/>
        <v>22.12</v>
      </c>
      <c r="N20" s="384">
        <f t="shared" si="1"/>
        <v>1.4405999999999999</v>
      </c>
      <c r="O20" s="384">
        <f t="shared" si="1"/>
        <v>2.0009999999999999</v>
      </c>
      <c r="P20" s="384">
        <f t="shared" si="1"/>
        <v>1.6406000000000001</v>
      </c>
      <c r="Q20" s="384">
        <f t="shared" si="1"/>
        <v>0</v>
      </c>
      <c r="R20" s="384">
        <f t="shared" si="1"/>
        <v>0</v>
      </c>
      <c r="S20" s="384">
        <f t="shared" si="1"/>
        <v>14.01</v>
      </c>
      <c r="T20" s="384">
        <f t="shared" si="1"/>
        <v>10</v>
      </c>
      <c r="U20" s="384">
        <f t="shared" si="1"/>
        <v>4.3624000000000001</v>
      </c>
      <c r="V20" s="384">
        <f t="shared" si="1"/>
        <v>0</v>
      </c>
      <c r="W20" s="385"/>
      <c r="X20" s="386"/>
      <c r="Y20" s="385"/>
      <c r="Z20" s="386"/>
      <c r="AA20" s="1"/>
      <c r="AB20" s="1"/>
      <c r="AC20" s="1"/>
      <c r="AD20" s="1"/>
      <c r="AE20" s="1"/>
      <c r="AF20" s="1"/>
      <c r="AV20" s="191"/>
      <c r="AW20" s="1179" t="s">
        <v>72</v>
      </c>
      <c r="AX20" s="1176">
        <f>S7</f>
        <v>1.01</v>
      </c>
      <c r="AY20" s="1176">
        <f>BO31</f>
        <v>4</v>
      </c>
      <c r="AZ20" s="1176">
        <f>BO34</f>
        <v>4</v>
      </c>
      <c r="BA20" s="1176">
        <f>BO37</f>
        <v>0</v>
      </c>
      <c r="BB20" s="1176">
        <f>BO40</f>
        <v>4</v>
      </c>
      <c r="BC20" s="1176">
        <f>BO43</f>
        <v>5</v>
      </c>
      <c r="BD20" s="1176">
        <f>BO46</f>
        <v>1</v>
      </c>
      <c r="BE20" s="1176">
        <f>BO49</f>
        <v>3</v>
      </c>
      <c r="BF20" s="1176">
        <f>BO52</f>
        <v>5</v>
      </c>
      <c r="BG20" s="1176">
        <f>BO55</f>
        <v>3</v>
      </c>
      <c r="BH20" s="1176">
        <f>BO58</f>
        <v>0</v>
      </c>
      <c r="BI20" s="1176">
        <f>BO61</f>
        <v>0</v>
      </c>
      <c r="BJ20" s="1176">
        <f>BO64</f>
        <v>0</v>
      </c>
      <c r="BK20" s="1176">
        <f t="shared" si="0"/>
        <v>29</v>
      </c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</row>
    <row r="21" spans="2:82" ht="25.5" customHeight="1" x14ac:dyDescent="0.4">
      <c r="B21" s="1"/>
      <c r="C21" s="3"/>
      <c r="D21" s="2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V21" s="191"/>
      <c r="AW21" s="192" t="s">
        <v>73</v>
      </c>
      <c r="AX21" s="1176">
        <f>T7</f>
        <v>2</v>
      </c>
      <c r="AY21" s="1176">
        <f>BP31</f>
        <v>2</v>
      </c>
      <c r="AZ21" s="1176">
        <f>BP34</f>
        <v>2</v>
      </c>
      <c r="BA21" s="1176">
        <f>BP37</f>
        <v>0</v>
      </c>
      <c r="BB21" s="1176">
        <f>BP40</f>
        <v>0</v>
      </c>
      <c r="BC21" s="1176">
        <f>BP43</f>
        <v>2</v>
      </c>
      <c r="BD21" s="1176">
        <f>BP46</f>
        <v>0</v>
      </c>
      <c r="BE21" s="1176">
        <f>BP49</f>
        <v>0</v>
      </c>
      <c r="BF21" s="1176">
        <f>BP52</f>
        <v>2</v>
      </c>
      <c r="BG21" s="1176">
        <f>BP55</f>
        <v>0</v>
      </c>
      <c r="BH21" s="1176">
        <f>BP58</f>
        <v>0</v>
      </c>
      <c r="BI21" s="1176">
        <f>BP61</f>
        <v>0</v>
      </c>
      <c r="BJ21" s="1176">
        <f>BP64</f>
        <v>0</v>
      </c>
      <c r="BK21" s="1176">
        <f t="shared" si="0"/>
        <v>8</v>
      </c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</row>
    <row r="22" spans="2:82" ht="25.5" customHeight="1" x14ac:dyDescent="0.45">
      <c r="B22" s="1535" t="s">
        <v>332</v>
      </c>
      <c r="C22" s="1535"/>
      <c r="AV22" s="191"/>
      <c r="AW22" s="192"/>
      <c r="AX22" s="1176">
        <f>U7</f>
        <v>0.3624</v>
      </c>
      <c r="AY22" s="1176">
        <f>BQ31</f>
        <v>1</v>
      </c>
      <c r="AZ22" s="1176">
        <f>BQ34</f>
        <v>1</v>
      </c>
      <c r="BA22" s="1176">
        <f>BQ37</f>
        <v>0</v>
      </c>
      <c r="BB22" s="1176">
        <f>BQ40</f>
        <v>0</v>
      </c>
      <c r="BC22" s="1176">
        <f>BQ43</f>
        <v>1</v>
      </c>
      <c r="BD22" s="1176">
        <f>BQ46</f>
        <v>0</v>
      </c>
      <c r="BE22" s="1176">
        <f>BQ49</f>
        <v>0</v>
      </c>
      <c r="BF22" s="1176">
        <f>BQ52</f>
        <v>1</v>
      </c>
      <c r="BG22" s="1176">
        <f>BQ55</f>
        <v>0.5</v>
      </c>
      <c r="BH22" s="1176">
        <f>BQ58</f>
        <v>0</v>
      </c>
      <c r="BI22" s="1176">
        <f>BQ61</f>
        <v>0</v>
      </c>
      <c r="BJ22" s="1176">
        <f>BQ64</f>
        <v>0</v>
      </c>
      <c r="BK22" s="1176">
        <f t="shared" si="0"/>
        <v>4.5</v>
      </c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</row>
    <row r="23" spans="2:82" ht="25.5" customHeight="1" x14ac:dyDescent="0.4">
      <c r="B23" s="6"/>
      <c r="C23" s="1539" t="s">
        <v>91</v>
      </c>
      <c r="D23" s="1539"/>
      <c r="E23" s="1539"/>
      <c r="F23" s="1539"/>
      <c r="G23" s="1539"/>
      <c r="H23" s="1539"/>
      <c r="I23" s="1539"/>
      <c r="J23" s="1539"/>
      <c r="K23" s="1539"/>
      <c r="L23" s="1539"/>
      <c r="M23" s="1539"/>
      <c r="N23" s="1539"/>
      <c r="O23" s="1539"/>
      <c r="P23" s="1539"/>
      <c r="Q23" s="1539"/>
      <c r="R23" s="1539"/>
      <c r="S23" s="1539"/>
      <c r="T23" s="1539"/>
      <c r="U23" s="14"/>
      <c r="V23" s="14"/>
      <c r="W23" s="1545" t="s">
        <v>88</v>
      </c>
      <c r="X23" s="1545"/>
      <c r="Y23" s="1545" t="s">
        <v>89</v>
      </c>
      <c r="Z23" s="1545"/>
      <c r="AV23" s="191"/>
      <c r="AW23" s="192"/>
      <c r="AX23" s="1176">
        <f>V7</f>
        <v>0</v>
      </c>
      <c r="AY23" s="1176">
        <f>BR31</f>
        <v>0</v>
      </c>
      <c r="AZ23" s="1176">
        <f>BR34</f>
        <v>0</v>
      </c>
      <c r="BA23" s="1176">
        <f>BR37</f>
        <v>0</v>
      </c>
      <c r="BB23" s="1176">
        <f>BR40</f>
        <v>0</v>
      </c>
      <c r="BC23" s="1176">
        <f>BR43</f>
        <v>0</v>
      </c>
      <c r="BD23" s="1176">
        <f>BR46</f>
        <v>0</v>
      </c>
      <c r="BE23" s="1176">
        <f>BR49</f>
        <v>0</v>
      </c>
      <c r="BF23" s="1176">
        <f>BR52</f>
        <v>0</v>
      </c>
      <c r="BG23" s="1176">
        <f>BR55</f>
        <v>0</v>
      </c>
      <c r="BH23" s="1176">
        <f>BR58</f>
        <v>0</v>
      </c>
      <c r="BI23" s="1176">
        <f>BR61</f>
        <v>0</v>
      </c>
      <c r="BJ23" s="1176">
        <f>BR64</f>
        <v>0</v>
      </c>
      <c r="BK23" s="1176">
        <f t="shared" si="0"/>
        <v>0</v>
      </c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</row>
    <row r="24" spans="2:82" ht="41.25" customHeight="1" x14ac:dyDescent="0.3">
      <c r="B24" s="1536" t="s">
        <v>86</v>
      </c>
      <c r="C24" s="1536" t="s">
        <v>106</v>
      </c>
      <c r="D24" s="358" t="s">
        <v>84</v>
      </c>
      <c r="E24" s="372" t="s">
        <v>97</v>
      </c>
      <c r="F24" s="372" t="s">
        <v>74</v>
      </c>
      <c r="G24" s="372" t="s">
        <v>75</v>
      </c>
      <c r="H24" s="372" t="s">
        <v>63</v>
      </c>
      <c r="I24" s="372" t="s">
        <v>64</v>
      </c>
      <c r="J24" s="372" t="s">
        <v>65</v>
      </c>
      <c r="K24" s="372" t="s">
        <v>66</v>
      </c>
      <c r="L24" s="372" t="s">
        <v>67</v>
      </c>
      <c r="M24" s="372" t="s">
        <v>76</v>
      </c>
      <c r="N24" s="372" t="s">
        <v>68</v>
      </c>
      <c r="O24" s="372" t="s">
        <v>69</v>
      </c>
      <c r="P24" s="372" t="s">
        <v>70</v>
      </c>
      <c r="Q24" s="373" t="s">
        <v>71</v>
      </c>
      <c r="R24" s="374" t="s">
        <v>77</v>
      </c>
      <c r="S24" s="374" t="s">
        <v>72</v>
      </c>
      <c r="T24" s="372" t="s">
        <v>73</v>
      </c>
      <c r="U24" s="374" t="s">
        <v>313</v>
      </c>
      <c r="V24" s="372"/>
      <c r="W24" s="18" t="s">
        <v>17</v>
      </c>
      <c r="X24" s="18" t="s">
        <v>85</v>
      </c>
      <c r="Y24" s="18" t="s">
        <v>17</v>
      </c>
      <c r="Z24" s="18" t="s">
        <v>85</v>
      </c>
      <c r="AV24" s="191"/>
      <c r="AW24" s="191"/>
      <c r="AX24" s="303">
        <f>SUM(AX6:AX23)</f>
        <v>41.094599999999993</v>
      </c>
      <c r="AY24" s="303">
        <f t="shared" ref="AY24:BJ24" si="2">SUM(AY6:AY23)</f>
        <v>78.2</v>
      </c>
      <c r="AZ24" s="303">
        <f t="shared" si="2"/>
        <v>123.2</v>
      </c>
      <c r="BA24" s="303">
        <f t="shared" si="2"/>
        <v>0</v>
      </c>
      <c r="BB24" s="303">
        <f t="shared" si="2"/>
        <v>4</v>
      </c>
      <c r="BC24" s="303">
        <f t="shared" si="2"/>
        <v>130.19999999999999</v>
      </c>
      <c r="BD24" s="303">
        <f t="shared" si="2"/>
        <v>1</v>
      </c>
      <c r="BE24" s="303">
        <f t="shared" si="2"/>
        <v>3</v>
      </c>
      <c r="BF24" s="303">
        <f t="shared" si="2"/>
        <v>74</v>
      </c>
      <c r="BG24" s="303">
        <f t="shared" si="2"/>
        <v>35.5</v>
      </c>
      <c r="BH24" s="303">
        <f t="shared" si="2"/>
        <v>0</v>
      </c>
      <c r="BI24" s="303">
        <f t="shared" si="2"/>
        <v>0</v>
      </c>
      <c r="BJ24" s="303">
        <f t="shared" si="2"/>
        <v>0</v>
      </c>
      <c r="BK24" s="303">
        <f t="shared" si="0"/>
        <v>449.1</v>
      </c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</row>
    <row r="25" spans="2:82" ht="15.75" customHeight="1" x14ac:dyDescent="0.4">
      <c r="B25" s="1537"/>
      <c r="C25" s="1537"/>
      <c r="D25" s="32" t="s">
        <v>284</v>
      </c>
      <c r="E25" s="375" t="s">
        <v>81</v>
      </c>
      <c r="F25" s="375" t="s">
        <v>81</v>
      </c>
      <c r="G25" s="375" t="s">
        <v>81</v>
      </c>
      <c r="H25" s="375" t="s">
        <v>81</v>
      </c>
      <c r="I25" s="375" t="s">
        <v>81</v>
      </c>
      <c r="J25" s="375" t="s">
        <v>81</v>
      </c>
      <c r="K25" s="375" t="s">
        <v>81</v>
      </c>
      <c r="L25" s="375" t="s">
        <v>81</v>
      </c>
      <c r="M25" s="375" t="s">
        <v>81</v>
      </c>
      <c r="N25" s="375" t="s">
        <v>81</v>
      </c>
      <c r="O25" s="375" t="s">
        <v>81</v>
      </c>
      <c r="P25" s="375" t="s">
        <v>81</v>
      </c>
      <c r="Q25" s="375" t="s">
        <v>81</v>
      </c>
      <c r="R25" s="375" t="s">
        <v>81</v>
      </c>
      <c r="S25" s="375" t="s">
        <v>215</v>
      </c>
      <c r="T25" s="375" t="s">
        <v>81</v>
      </c>
      <c r="U25" s="375" t="s">
        <v>81</v>
      </c>
      <c r="V25" s="375" t="s">
        <v>81</v>
      </c>
      <c r="W25" s="2">
        <v>19</v>
      </c>
      <c r="X25" s="2">
        <v>20</v>
      </c>
      <c r="Y25" s="2">
        <v>21</v>
      </c>
      <c r="Z25" s="2">
        <v>22</v>
      </c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</row>
    <row r="26" spans="2:82" ht="29.25" customHeight="1" x14ac:dyDescent="0.45">
      <c r="B26" s="16">
        <v>1</v>
      </c>
      <c r="C26" s="17" t="s">
        <v>42</v>
      </c>
      <c r="D26" s="20" t="s">
        <v>31</v>
      </c>
      <c r="E26" s="383"/>
      <c r="F26" s="383">
        <v>0</v>
      </c>
      <c r="G26" s="383">
        <v>0</v>
      </c>
      <c r="H26" s="383">
        <v>0</v>
      </c>
      <c r="I26" s="383">
        <v>0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  <c r="O26" s="383">
        <v>0</v>
      </c>
      <c r="P26" s="383">
        <v>0</v>
      </c>
      <c r="Q26" s="383">
        <v>0</v>
      </c>
      <c r="R26" s="383">
        <v>0</v>
      </c>
      <c r="S26" s="383">
        <v>2</v>
      </c>
      <c r="T26" s="383">
        <v>0</v>
      </c>
      <c r="U26" s="383">
        <v>0</v>
      </c>
      <c r="V26" s="383">
        <v>0</v>
      </c>
      <c r="W26" s="997"/>
      <c r="X26" s="96"/>
      <c r="Y26" s="997"/>
      <c r="Z26" s="96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</row>
    <row r="27" spans="2:82" ht="28.5" customHeight="1" x14ac:dyDescent="0.45">
      <c r="B27" s="16">
        <v>2</v>
      </c>
      <c r="C27" s="17" t="s">
        <v>44</v>
      </c>
      <c r="D27" s="20" t="s">
        <v>31</v>
      </c>
      <c r="E27" s="383">
        <v>0</v>
      </c>
      <c r="F27" s="383">
        <v>0</v>
      </c>
      <c r="G27" s="383">
        <v>0</v>
      </c>
      <c r="H27" s="383">
        <v>0</v>
      </c>
      <c r="I27" s="383">
        <v>0</v>
      </c>
      <c r="J27" s="383">
        <v>0</v>
      </c>
      <c r="K27" s="383">
        <v>0</v>
      </c>
      <c r="L27" s="383">
        <v>0</v>
      </c>
      <c r="M27" s="383">
        <v>0</v>
      </c>
      <c r="N27" s="383">
        <v>0</v>
      </c>
      <c r="O27" s="383">
        <v>0</v>
      </c>
      <c r="P27" s="383">
        <v>0</v>
      </c>
      <c r="Q27" s="383">
        <v>0</v>
      </c>
      <c r="R27" s="383">
        <v>0</v>
      </c>
      <c r="S27" s="383">
        <v>2</v>
      </c>
      <c r="T27" s="383">
        <v>0</v>
      </c>
      <c r="U27" s="383">
        <v>0</v>
      </c>
      <c r="V27" s="383">
        <v>0</v>
      </c>
      <c r="W27" s="997"/>
      <c r="X27" s="96"/>
      <c r="Y27" s="997"/>
      <c r="Z27" s="96"/>
      <c r="AV27" s="191"/>
      <c r="AW27" s="191"/>
      <c r="AX27" s="191"/>
      <c r="AY27" s="1543" t="s">
        <v>106</v>
      </c>
      <c r="AZ27" s="1544" t="s">
        <v>84</v>
      </c>
      <c r="BA27" s="192" t="s">
        <v>97</v>
      </c>
      <c r="BB27" s="192" t="s">
        <v>74</v>
      </c>
      <c r="BC27" s="192" t="s">
        <v>75</v>
      </c>
      <c r="BD27" s="192" t="s">
        <v>63</v>
      </c>
      <c r="BE27" s="192" t="s">
        <v>64</v>
      </c>
      <c r="BF27" s="192" t="s">
        <v>236</v>
      </c>
      <c r="BG27" s="192" t="s">
        <v>66</v>
      </c>
      <c r="BH27" s="192" t="s">
        <v>67</v>
      </c>
      <c r="BI27" s="192" t="s">
        <v>76</v>
      </c>
      <c r="BJ27" s="192" t="s">
        <v>68</v>
      </c>
      <c r="BK27" s="192" t="s">
        <v>69</v>
      </c>
      <c r="BL27" s="192" t="s">
        <v>70</v>
      </c>
      <c r="BM27" s="1178" t="s">
        <v>71</v>
      </c>
      <c r="BN27" s="1179" t="s">
        <v>77</v>
      </c>
      <c r="BO27" s="1179" t="s">
        <v>72</v>
      </c>
      <c r="BP27" s="192" t="s">
        <v>73</v>
      </c>
      <c r="BQ27" s="192"/>
      <c r="BR27" s="192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</row>
    <row r="28" spans="2:82" ht="25.5" customHeight="1" x14ac:dyDescent="0.45">
      <c r="B28" s="16">
        <v>3</v>
      </c>
      <c r="C28" s="17" t="s">
        <v>45</v>
      </c>
      <c r="D28" s="20" t="s">
        <v>31</v>
      </c>
      <c r="E28" s="383">
        <v>0</v>
      </c>
      <c r="F28" s="383">
        <v>0</v>
      </c>
      <c r="G28" s="383">
        <v>0</v>
      </c>
      <c r="H28" s="383">
        <v>0</v>
      </c>
      <c r="I28" s="383">
        <v>0</v>
      </c>
      <c r="J28" s="383">
        <v>0</v>
      </c>
      <c r="K28" s="383">
        <v>0</v>
      </c>
      <c r="L28" s="383">
        <v>0</v>
      </c>
      <c r="M28" s="383">
        <v>0</v>
      </c>
      <c r="N28" s="383">
        <v>0</v>
      </c>
      <c r="O28" s="383">
        <v>0</v>
      </c>
      <c r="P28" s="383">
        <v>0</v>
      </c>
      <c r="Q28" s="383">
        <v>0</v>
      </c>
      <c r="R28" s="383">
        <v>0</v>
      </c>
      <c r="S28" s="383"/>
      <c r="T28" s="383">
        <v>0</v>
      </c>
      <c r="U28" s="383">
        <v>0</v>
      </c>
      <c r="V28" s="383">
        <v>0</v>
      </c>
      <c r="W28" s="997"/>
      <c r="X28" s="96"/>
      <c r="Y28" s="997"/>
      <c r="Z28" s="96"/>
      <c r="AV28" s="191"/>
      <c r="AW28" s="191"/>
      <c r="AX28" s="191"/>
      <c r="AY28" s="1543"/>
      <c r="AZ28" s="1544"/>
      <c r="BA28" s="192" t="s">
        <v>81</v>
      </c>
      <c r="BB28" s="192" t="s">
        <v>81</v>
      </c>
      <c r="BC28" s="192" t="s">
        <v>81</v>
      </c>
      <c r="BD28" s="192" t="s">
        <v>81</v>
      </c>
      <c r="BE28" s="192" t="s">
        <v>81</v>
      </c>
      <c r="BF28" s="192" t="s">
        <v>81</v>
      </c>
      <c r="BG28" s="192" t="s">
        <v>81</v>
      </c>
      <c r="BH28" s="192" t="s">
        <v>81</v>
      </c>
      <c r="BI28" s="192" t="s">
        <v>81</v>
      </c>
      <c r="BJ28" s="192" t="s">
        <v>81</v>
      </c>
      <c r="BK28" s="192" t="s">
        <v>81</v>
      </c>
      <c r="BL28" s="192" t="s">
        <v>81</v>
      </c>
      <c r="BM28" s="192" t="s">
        <v>81</v>
      </c>
      <c r="BN28" s="192" t="s">
        <v>81</v>
      </c>
      <c r="BO28" s="192" t="s">
        <v>215</v>
      </c>
      <c r="BP28" s="192" t="s">
        <v>81</v>
      </c>
      <c r="BQ28" s="192" t="s">
        <v>81</v>
      </c>
      <c r="BR28" s="192" t="s">
        <v>81</v>
      </c>
      <c r="BS28" s="191" t="s">
        <v>244</v>
      </c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</row>
    <row r="29" spans="2:82" ht="25.5" customHeight="1" x14ac:dyDescent="0.45">
      <c r="B29" s="16">
        <v>4</v>
      </c>
      <c r="C29" s="17" t="s">
        <v>46</v>
      </c>
      <c r="D29" s="20" t="s">
        <v>31</v>
      </c>
      <c r="E29" s="383">
        <v>0</v>
      </c>
      <c r="F29" s="383">
        <v>0</v>
      </c>
      <c r="G29" s="383">
        <v>0</v>
      </c>
      <c r="H29" s="383">
        <v>0</v>
      </c>
      <c r="I29" s="383">
        <v>0</v>
      </c>
      <c r="J29" s="383">
        <v>0</v>
      </c>
      <c r="K29" s="383">
        <v>0</v>
      </c>
      <c r="L29" s="383">
        <v>0</v>
      </c>
      <c r="M29" s="383">
        <v>0</v>
      </c>
      <c r="N29" s="383">
        <v>0</v>
      </c>
      <c r="O29" s="383">
        <v>0</v>
      </c>
      <c r="P29" s="383">
        <v>0</v>
      </c>
      <c r="Q29" s="383">
        <v>0</v>
      </c>
      <c r="R29" s="383">
        <v>0</v>
      </c>
      <c r="S29" s="383">
        <v>2</v>
      </c>
      <c r="T29" s="383">
        <v>0</v>
      </c>
      <c r="U29" s="383">
        <v>0</v>
      </c>
      <c r="V29" s="383">
        <v>0</v>
      </c>
      <c r="W29" s="997"/>
      <c r="X29" s="96"/>
      <c r="Y29" s="997"/>
      <c r="Z29" s="96" t="s">
        <v>782</v>
      </c>
      <c r="AV29" s="191"/>
      <c r="AW29" s="191" t="s">
        <v>241</v>
      </c>
      <c r="AX29" s="191"/>
      <c r="AY29" s="40">
        <v>1</v>
      </c>
      <c r="AZ29" s="38" t="s">
        <v>31</v>
      </c>
      <c r="BA29" s="1176">
        <f t="shared" ref="BA29:BR29" si="3">E8</f>
        <v>50</v>
      </c>
      <c r="BB29" s="1176">
        <f t="shared" si="3"/>
        <v>5</v>
      </c>
      <c r="BC29" s="1176">
        <f t="shared" si="3"/>
        <v>0</v>
      </c>
      <c r="BD29" s="1176">
        <f t="shared" si="3"/>
        <v>0</v>
      </c>
      <c r="BE29" s="1176">
        <f t="shared" si="3"/>
        <v>0</v>
      </c>
      <c r="BF29" s="1176">
        <f t="shared" si="3"/>
        <v>0</v>
      </c>
      <c r="BG29" s="1176">
        <f t="shared" si="3"/>
        <v>0</v>
      </c>
      <c r="BH29" s="1176">
        <f t="shared" si="3"/>
        <v>10</v>
      </c>
      <c r="BI29" s="1176">
        <f t="shared" si="3"/>
        <v>5</v>
      </c>
      <c r="BJ29" s="1176">
        <f t="shared" si="3"/>
        <v>0.3</v>
      </c>
      <c r="BK29" s="1176">
        <f t="shared" si="3"/>
        <v>0.5</v>
      </c>
      <c r="BL29" s="1176">
        <f t="shared" si="3"/>
        <v>0.4</v>
      </c>
      <c r="BM29" s="1176">
        <f t="shared" si="3"/>
        <v>0</v>
      </c>
      <c r="BN29" s="1176">
        <f t="shared" si="3"/>
        <v>0</v>
      </c>
      <c r="BO29" s="1176">
        <f>S8</f>
        <v>2</v>
      </c>
      <c r="BP29" s="1176">
        <f t="shared" si="3"/>
        <v>2</v>
      </c>
      <c r="BQ29" s="1176">
        <f t="shared" si="3"/>
        <v>1</v>
      </c>
      <c r="BR29" s="1176">
        <f t="shared" si="3"/>
        <v>0</v>
      </c>
      <c r="BS29" s="303">
        <f t="shared" ref="BS29:BS39" si="4">SUM(BA29:BR29)</f>
        <v>76.2</v>
      </c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</row>
    <row r="30" spans="2:82" ht="25.5" customHeight="1" x14ac:dyDescent="0.45">
      <c r="B30" s="16">
        <v>5</v>
      </c>
      <c r="C30" s="17" t="s">
        <v>34</v>
      </c>
      <c r="D30" s="20" t="s">
        <v>31</v>
      </c>
      <c r="E30" s="383">
        <v>0</v>
      </c>
      <c r="F30" s="383">
        <v>2</v>
      </c>
      <c r="G30" s="383">
        <v>0</v>
      </c>
      <c r="H30" s="383">
        <v>0</v>
      </c>
      <c r="I30" s="383">
        <v>0</v>
      </c>
      <c r="J30" s="383">
        <v>0</v>
      </c>
      <c r="K30" s="383">
        <v>0</v>
      </c>
      <c r="L30" s="383">
        <v>2</v>
      </c>
      <c r="M30" s="383">
        <v>2</v>
      </c>
      <c r="N30" s="383">
        <v>0</v>
      </c>
      <c r="O30" s="383">
        <v>0</v>
      </c>
      <c r="P30" s="383">
        <v>0</v>
      </c>
      <c r="Q30" s="383">
        <v>0</v>
      </c>
      <c r="R30" s="383">
        <v>0</v>
      </c>
      <c r="S30" s="383">
        <v>2.5</v>
      </c>
      <c r="T30" s="383">
        <v>0</v>
      </c>
      <c r="U30" s="383">
        <v>0</v>
      </c>
      <c r="V30" s="383">
        <v>0</v>
      </c>
      <c r="W30" s="997"/>
      <c r="X30" s="96"/>
      <c r="Y30" s="997"/>
      <c r="Z30" s="96"/>
      <c r="AV30" s="191"/>
      <c r="AW30" s="191" t="s">
        <v>242</v>
      </c>
      <c r="AX30" s="191"/>
      <c r="AY30" s="40">
        <v>2</v>
      </c>
      <c r="AZ30" s="38" t="s">
        <v>31</v>
      </c>
      <c r="BA30" s="1176">
        <f t="shared" ref="BA30:BR30" si="5">E26</f>
        <v>0</v>
      </c>
      <c r="BB30" s="1176">
        <f t="shared" si="5"/>
        <v>0</v>
      </c>
      <c r="BC30" s="1176">
        <f t="shared" si="5"/>
        <v>0</v>
      </c>
      <c r="BD30" s="1176">
        <f t="shared" si="5"/>
        <v>0</v>
      </c>
      <c r="BE30" s="1176">
        <f t="shared" si="5"/>
        <v>0</v>
      </c>
      <c r="BF30" s="1176">
        <f t="shared" si="5"/>
        <v>0</v>
      </c>
      <c r="BG30" s="1176">
        <f t="shared" si="5"/>
        <v>0</v>
      </c>
      <c r="BH30" s="1176">
        <f t="shared" si="5"/>
        <v>0</v>
      </c>
      <c r="BI30" s="1176">
        <f t="shared" si="5"/>
        <v>0</v>
      </c>
      <c r="BJ30" s="1176">
        <f t="shared" si="5"/>
        <v>0</v>
      </c>
      <c r="BK30" s="1176">
        <f t="shared" si="5"/>
        <v>0</v>
      </c>
      <c r="BL30" s="1176">
        <f t="shared" si="5"/>
        <v>0</v>
      </c>
      <c r="BM30" s="1176">
        <f t="shared" si="5"/>
        <v>0</v>
      </c>
      <c r="BN30" s="1176">
        <f t="shared" si="5"/>
        <v>0</v>
      </c>
      <c r="BO30" s="1176">
        <f>S26</f>
        <v>2</v>
      </c>
      <c r="BP30" s="1176">
        <f t="shared" si="5"/>
        <v>0</v>
      </c>
      <c r="BQ30" s="1176">
        <f t="shared" si="5"/>
        <v>0</v>
      </c>
      <c r="BR30" s="1176">
        <f t="shared" si="5"/>
        <v>0</v>
      </c>
      <c r="BS30" s="303">
        <f t="shared" si="4"/>
        <v>2</v>
      </c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</row>
    <row r="31" spans="2:82" ht="25.5" customHeight="1" x14ac:dyDescent="0.45">
      <c r="B31" s="16">
        <v>6</v>
      </c>
      <c r="C31" s="17" t="s">
        <v>37</v>
      </c>
      <c r="D31" s="20" t="s">
        <v>31</v>
      </c>
      <c r="E31" s="383">
        <v>0</v>
      </c>
      <c r="F31" s="383">
        <v>0</v>
      </c>
      <c r="G31" s="383">
        <v>0</v>
      </c>
      <c r="H31" s="383">
        <v>0</v>
      </c>
      <c r="I31" s="383">
        <v>0</v>
      </c>
      <c r="J31" s="383">
        <v>0</v>
      </c>
      <c r="K31" s="383">
        <v>0</v>
      </c>
      <c r="L31" s="383">
        <v>0</v>
      </c>
      <c r="M31" s="383">
        <v>0</v>
      </c>
      <c r="N31" s="383">
        <v>0</v>
      </c>
      <c r="O31" s="383">
        <v>0</v>
      </c>
      <c r="P31" s="383">
        <v>0</v>
      </c>
      <c r="Q31" s="383">
        <v>0</v>
      </c>
      <c r="R31" s="383">
        <v>0</v>
      </c>
      <c r="S31" s="383">
        <v>0.5</v>
      </c>
      <c r="T31" s="383">
        <v>0</v>
      </c>
      <c r="U31" s="383">
        <v>0</v>
      </c>
      <c r="V31" s="383">
        <v>0</v>
      </c>
      <c r="W31" s="997"/>
      <c r="X31" s="96"/>
      <c r="Y31" s="997"/>
      <c r="Z31" s="96"/>
      <c r="AV31" s="191"/>
      <c r="AW31" s="191" t="s">
        <v>35</v>
      </c>
      <c r="AX31" s="191"/>
      <c r="AY31" s="40" t="s">
        <v>42</v>
      </c>
      <c r="AZ31" s="191"/>
      <c r="BA31" s="1176">
        <f>SUM(BA29:BA30)</f>
        <v>50</v>
      </c>
      <c r="BB31" s="1176">
        <f t="shared" ref="BB31:BR31" si="6">SUM(BB29:BB30)</f>
        <v>5</v>
      </c>
      <c r="BC31" s="1176">
        <f t="shared" si="6"/>
        <v>0</v>
      </c>
      <c r="BD31" s="1176">
        <f t="shared" si="6"/>
        <v>0</v>
      </c>
      <c r="BE31" s="1176">
        <f t="shared" si="6"/>
        <v>0</v>
      </c>
      <c r="BF31" s="1176">
        <f t="shared" si="6"/>
        <v>0</v>
      </c>
      <c r="BG31" s="1176">
        <f t="shared" si="6"/>
        <v>0</v>
      </c>
      <c r="BH31" s="1176">
        <f t="shared" si="6"/>
        <v>10</v>
      </c>
      <c r="BI31" s="1176">
        <f t="shared" si="6"/>
        <v>5</v>
      </c>
      <c r="BJ31" s="1176">
        <f t="shared" si="6"/>
        <v>0.3</v>
      </c>
      <c r="BK31" s="1176">
        <f t="shared" si="6"/>
        <v>0.5</v>
      </c>
      <c r="BL31" s="1176">
        <f t="shared" si="6"/>
        <v>0.4</v>
      </c>
      <c r="BM31" s="1176">
        <f t="shared" si="6"/>
        <v>0</v>
      </c>
      <c r="BN31" s="1176">
        <f t="shared" si="6"/>
        <v>0</v>
      </c>
      <c r="BO31" s="1176">
        <f t="shared" si="6"/>
        <v>4</v>
      </c>
      <c r="BP31" s="1176">
        <f t="shared" si="6"/>
        <v>2</v>
      </c>
      <c r="BQ31" s="1176">
        <f t="shared" si="6"/>
        <v>1</v>
      </c>
      <c r="BR31" s="1176">
        <f t="shared" si="6"/>
        <v>0</v>
      </c>
      <c r="BS31" s="303">
        <f t="shared" si="4"/>
        <v>78.2</v>
      </c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</row>
    <row r="32" spans="2:82" ht="25.5" customHeight="1" x14ac:dyDescent="0.45">
      <c r="B32" s="16">
        <v>7</v>
      </c>
      <c r="C32" s="17" t="s">
        <v>47</v>
      </c>
      <c r="D32" s="20" t="s">
        <v>31</v>
      </c>
      <c r="E32" s="383">
        <v>0</v>
      </c>
      <c r="F32" s="383">
        <v>0</v>
      </c>
      <c r="G32" s="383">
        <v>0</v>
      </c>
      <c r="H32" s="383">
        <v>0</v>
      </c>
      <c r="I32" s="383">
        <v>0</v>
      </c>
      <c r="J32" s="383">
        <v>0</v>
      </c>
      <c r="K32" s="383">
        <v>0</v>
      </c>
      <c r="L32" s="383">
        <v>0</v>
      </c>
      <c r="M32" s="383">
        <v>0</v>
      </c>
      <c r="N32" s="383">
        <v>0</v>
      </c>
      <c r="O32" s="383">
        <v>0</v>
      </c>
      <c r="P32" s="383">
        <v>0</v>
      </c>
      <c r="Q32" s="383">
        <v>0</v>
      </c>
      <c r="R32" s="383">
        <v>0</v>
      </c>
      <c r="S32" s="383">
        <v>1.5</v>
      </c>
      <c r="T32" s="383">
        <v>0</v>
      </c>
      <c r="U32" s="383">
        <v>0</v>
      </c>
      <c r="V32" s="383">
        <v>0</v>
      </c>
      <c r="W32" s="997"/>
      <c r="X32" s="96"/>
      <c r="Y32" s="997"/>
      <c r="Z32" s="96"/>
      <c r="AV32" s="191"/>
      <c r="AW32" s="191" t="s">
        <v>241</v>
      </c>
      <c r="AX32" s="191"/>
      <c r="AY32" s="40">
        <v>1</v>
      </c>
      <c r="AZ32" s="38" t="s">
        <v>31</v>
      </c>
      <c r="BA32" s="1176">
        <f t="shared" ref="BA32:BR32" si="7">E9</f>
        <v>100</v>
      </c>
      <c r="BB32" s="1176">
        <f t="shared" si="7"/>
        <v>5</v>
      </c>
      <c r="BC32" s="1176">
        <f t="shared" si="7"/>
        <v>0</v>
      </c>
      <c r="BD32" s="1176">
        <f t="shared" si="7"/>
        <v>0</v>
      </c>
      <c r="BE32" s="1176">
        <f t="shared" si="7"/>
        <v>0</v>
      </c>
      <c r="BF32" s="1176">
        <f t="shared" si="7"/>
        <v>0</v>
      </c>
      <c r="BG32" s="1176">
        <f t="shared" si="7"/>
        <v>0</v>
      </c>
      <c r="BH32" s="1176">
        <f t="shared" si="7"/>
        <v>5</v>
      </c>
      <c r="BI32" s="1176">
        <f t="shared" si="7"/>
        <v>5</v>
      </c>
      <c r="BJ32" s="1176">
        <f t="shared" si="7"/>
        <v>0.3</v>
      </c>
      <c r="BK32" s="1176">
        <f t="shared" si="7"/>
        <v>0.5</v>
      </c>
      <c r="BL32" s="1176">
        <f t="shared" si="7"/>
        <v>0.4</v>
      </c>
      <c r="BM32" s="1176">
        <f t="shared" si="7"/>
        <v>0</v>
      </c>
      <c r="BN32" s="1176">
        <f t="shared" si="7"/>
        <v>0</v>
      </c>
      <c r="BO32" s="1176">
        <f>S9</f>
        <v>2</v>
      </c>
      <c r="BP32" s="1176">
        <f t="shared" si="7"/>
        <v>2</v>
      </c>
      <c r="BQ32" s="1176">
        <f t="shared" si="7"/>
        <v>1</v>
      </c>
      <c r="BR32" s="1176">
        <f t="shared" si="7"/>
        <v>0</v>
      </c>
      <c r="BS32" s="303">
        <f t="shared" si="4"/>
        <v>121.2</v>
      </c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</row>
    <row r="33" spans="2:82" ht="25.5" customHeight="1" x14ac:dyDescent="0.45">
      <c r="B33" s="16">
        <v>8</v>
      </c>
      <c r="C33" s="17" t="s">
        <v>38</v>
      </c>
      <c r="D33" s="20" t="s">
        <v>31</v>
      </c>
      <c r="E33" s="383">
        <v>0</v>
      </c>
      <c r="F33" s="383">
        <v>0</v>
      </c>
      <c r="G33" s="383">
        <v>0</v>
      </c>
      <c r="H33" s="383">
        <v>0</v>
      </c>
      <c r="I33" s="383">
        <v>0</v>
      </c>
      <c r="J33" s="383">
        <v>0</v>
      </c>
      <c r="K33" s="383">
        <v>0</v>
      </c>
      <c r="L33" s="383">
        <v>0</v>
      </c>
      <c r="M33" s="383">
        <v>0</v>
      </c>
      <c r="N33" s="383">
        <v>0</v>
      </c>
      <c r="O33" s="383">
        <v>0</v>
      </c>
      <c r="P33" s="383">
        <v>0</v>
      </c>
      <c r="Q33" s="383">
        <v>0</v>
      </c>
      <c r="R33" s="383">
        <v>0</v>
      </c>
      <c r="S33" s="383">
        <v>2.5</v>
      </c>
      <c r="T33" s="383">
        <v>0</v>
      </c>
      <c r="U33" s="383">
        <v>0</v>
      </c>
      <c r="V33" s="383">
        <v>0</v>
      </c>
      <c r="W33" s="997"/>
      <c r="X33" s="96"/>
      <c r="Y33" s="997"/>
      <c r="Z33" s="96"/>
      <c r="AV33" s="191"/>
      <c r="AW33" s="191" t="s">
        <v>242</v>
      </c>
      <c r="AX33" s="191"/>
      <c r="AY33" s="40">
        <v>2</v>
      </c>
      <c r="AZ33" s="38" t="s">
        <v>31</v>
      </c>
      <c r="BA33" s="1176">
        <f t="shared" ref="BA33:BR33" si="8">E27</f>
        <v>0</v>
      </c>
      <c r="BB33" s="1176">
        <f t="shared" si="8"/>
        <v>0</v>
      </c>
      <c r="BC33" s="1176">
        <f t="shared" si="8"/>
        <v>0</v>
      </c>
      <c r="BD33" s="1176">
        <f t="shared" si="8"/>
        <v>0</v>
      </c>
      <c r="BE33" s="1176">
        <f t="shared" si="8"/>
        <v>0</v>
      </c>
      <c r="BF33" s="1176">
        <f t="shared" si="8"/>
        <v>0</v>
      </c>
      <c r="BG33" s="1176">
        <f t="shared" si="8"/>
        <v>0</v>
      </c>
      <c r="BH33" s="1176">
        <f t="shared" si="8"/>
        <v>0</v>
      </c>
      <c r="BI33" s="1176">
        <f t="shared" si="8"/>
        <v>0</v>
      </c>
      <c r="BJ33" s="1176">
        <f t="shared" si="8"/>
        <v>0</v>
      </c>
      <c r="BK33" s="1176">
        <f t="shared" si="8"/>
        <v>0</v>
      </c>
      <c r="BL33" s="1176">
        <f t="shared" si="8"/>
        <v>0</v>
      </c>
      <c r="BM33" s="1176">
        <f t="shared" si="8"/>
        <v>0</v>
      </c>
      <c r="BN33" s="1176">
        <f t="shared" si="8"/>
        <v>0</v>
      </c>
      <c r="BO33" s="1176">
        <f>S27</f>
        <v>2</v>
      </c>
      <c r="BP33" s="1176">
        <f t="shared" si="8"/>
        <v>0</v>
      </c>
      <c r="BQ33" s="1176">
        <f t="shared" si="8"/>
        <v>0</v>
      </c>
      <c r="BR33" s="1176">
        <f t="shared" si="8"/>
        <v>0</v>
      </c>
      <c r="BS33" s="303">
        <f t="shared" si="4"/>
        <v>2</v>
      </c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</row>
    <row r="34" spans="2:82" ht="25.5" customHeight="1" x14ac:dyDescent="0.45">
      <c r="B34" s="16">
        <v>9</v>
      </c>
      <c r="C34" s="17" t="s">
        <v>39</v>
      </c>
      <c r="D34" s="20" t="s">
        <v>31</v>
      </c>
      <c r="E34" s="383">
        <v>30</v>
      </c>
      <c r="F34" s="383">
        <v>2</v>
      </c>
      <c r="G34" s="383">
        <v>0</v>
      </c>
      <c r="H34" s="383">
        <v>0</v>
      </c>
      <c r="I34" s="383">
        <v>0</v>
      </c>
      <c r="J34" s="383">
        <v>0</v>
      </c>
      <c r="K34" s="383">
        <v>0</v>
      </c>
      <c r="L34" s="383">
        <v>0</v>
      </c>
      <c r="M34" s="383">
        <v>0</v>
      </c>
      <c r="N34" s="383">
        <v>0</v>
      </c>
      <c r="O34" s="383">
        <v>0</v>
      </c>
      <c r="P34" s="383">
        <v>0</v>
      </c>
      <c r="Q34" s="383">
        <v>0</v>
      </c>
      <c r="R34" s="383">
        <v>0</v>
      </c>
      <c r="S34" s="383">
        <v>3</v>
      </c>
      <c r="T34" s="383">
        <v>0</v>
      </c>
      <c r="U34" s="383">
        <v>0.5</v>
      </c>
      <c r="V34" s="383">
        <v>0</v>
      </c>
      <c r="W34" s="997">
        <v>44915</v>
      </c>
      <c r="X34" s="96" t="s">
        <v>785</v>
      </c>
      <c r="Y34" s="997">
        <v>44915</v>
      </c>
      <c r="Z34" s="96" t="s">
        <v>785</v>
      </c>
      <c r="AV34" s="191"/>
      <c r="AW34" s="191" t="s">
        <v>35</v>
      </c>
      <c r="AX34" s="191"/>
      <c r="AY34" s="40" t="s">
        <v>44</v>
      </c>
      <c r="AZ34" s="191"/>
      <c r="BA34" s="1176">
        <f>SUM(BA32:BA33)</f>
        <v>100</v>
      </c>
      <c r="BB34" s="1176">
        <f t="shared" ref="BB34:BR34" si="9">SUM(BB32:BB33)</f>
        <v>5</v>
      </c>
      <c r="BC34" s="1176">
        <f t="shared" si="9"/>
        <v>0</v>
      </c>
      <c r="BD34" s="1176">
        <f t="shared" si="9"/>
        <v>0</v>
      </c>
      <c r="BE34" s="1176">
        <f t="shared" si="9"/>
        <v>0</v>
      </c>
      <c r="BF34" s="1176">
        <f t="shared" si="9"/>
        <v>0</v>
      </c>
      <c r="BG34" s="1176">
        <f t="shared" si="9"/>
        <v>0</v>
      </c>
      <c r="BH34" s="1176">
        <f t="shared" si="9"/>
        <v>5</v>
      </c>
      <c r="BI34" s="1176">
        <f t="shared" si="9"/>
        <v>5</v>
      </c>
      <c r="BJ34" s="1176">
        <f t="shared" si="9"/>
        <v>0.3</v>
      </c>
      <c r="BK34" s="1176">
        <f t="shared" si="9"/>
        <v>0.5</v>
      </c>
      <c r="BL34" s="1176">
        <f t="shared" si="9"/>
        <v>0.4</v>
      </c>
      <c r="BM34" s="1176">
        <f t="shared" si="9"/>
        <v>0</v>
      </c>
      <c r="BN34" s="1176">
        <f t="shared" si="9"/>
        <v>0</v>
      </c>
      <c r="BO34" s="1176">
        <f t="shared" si="9"/>
        <v>4</v>
      </c>
      <c r="BP34" s="1176">
        <f t="shared" si="9"/>
        <v>2</v>
      </c>
      <c r="BQ34" s="1176">
        <f t="shared" si="9"/>
        <v>1</v>
      </c>
      <c r="BR34" s="1176">
        <f t="shared" si="9"/>
        <v>0</v>
      </c>
      <c r="BS34" s="303">
        <f t="shared" si="4"/>
        <v>123.2</v>
      </c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</row>
    <row r="35" spans="2:82" ht="25.5" customHeight="1" x14ac:dyDescent="0.45">
      <c r="B35" s="16">
        <v>10</v>
      </c>
      <c r="C35" s="17" t="s">
        <v>33</v>
      </c>
      <c r="D35" s="20" t="s">
        <v>31</v>
      </c>
      <c r="E35" s="383">
        <v>0</v>
      </c>
      <c r="F35" s="383">
        <v>0</v>
      </c>
      <c r="G35" s="383">
        <v>0</v>
      </c>
      <c r="H35" s="383">
        <v>0</v>
      </c>
      <c r="I35" s="383">
        <v>0</v>
      </c>
      <c r="J35" s="383">
        <v>0</v>
      </c>
      <c r="K35" s="383">
        <v>0</v>
      </c>
      <c r="L35" s="383">
        <v>0</v>
      </c>
      <c r="M35" s="383">
        <v>0</v>
      </c>
      <c r="N35" s="383">
        <v>0</v>
      </c>
      <c r="O35" s="383">
        <v>0</v>
      </c>
      <c r="P35" s="383">
        <v>0</v>
      </c>
      <c r="Q35" s="383">
        <v>0</v>
      </c>
      <c r="R35" s="383">
        <v>0</v>
      </c>
      <c r="S35" s="383">
        <v>0</v>
      </c>
      <c r="T35" s="383">
        <v>0</v>
      </c>
      <c r="U35" s="383">
        <v>0</v>
      </c>
      <c r="V35" s="383">
        <v>0</v>
      </c>
      <c r="W35" s="997"/>
      <c r="X35" s="96"/>
      <c r="Y35" s="997"/>
      <c r="Z35" s="96"/>
      <c r="AV35" s="191"/>
      <c r="AW35" s="191" t="s">
        <v>241</v>
      </c>
      <c r="AX35" s="191"/>
      <c r="AY35" s="40">
        <v>1</v>
      </c>
      <c r="AZ35" s="38" t="s">
        <v>31</v>
      </c>
      <c r="BA35" s="1176">
        <f t="shared" ref="BA35:BR35" si="10">E10</f>
        <v>0</v>
      </c>
      <c r="BB35" s="1176">
        <f t="shared" si="10"/>
        <v>0</v>
      </c>
      <c r="BC35" s="1176">
        <f t="shared" si="10"/>
        <v>0</v>
      </c>
      <c r="BD35" s="1176">
        <f t="shared" si="10"/>
        <v>0</v>
      </c>
      <c r="BE35" s="1176">
        <f t="shared" si="10"/>
        <v>0</v>
      </c>
      <c r="BF35" s="1176">
        <f t="shared" si="10"/>
        <v>0</v>
      </c>
      <c r="BG35" s="1176">
        <f t="shared" si="10"/>
        <v>0</v>
      </c>
      <c r="BH35" s="1176">
        <f t="shared" si="10"/>
        <v>0</v>
      </c>
      <c r="BI35" s="1176">
        <f t="shared" si="10"/>
        <v>0</v>
      </c>
      <c r="BJ35" s="1176">
        <f t="shared" si="10"/>
        <v>0</v>
      </c>
      <c r="BK35" s="1176">
        <f t="shared" si="10"/>
        <v>0</v>
      </c>
      <c r="BL35" s="1176">
        <f t="shared" si="10"/>
        <v>0</v>
      </c>
      <c r="BM35" s="1176">
        <f t="shared" si="10"/>
        <v>0</v>
      </c>
      <c r="BN35" s="1176">
        <f t="shared" si="10"/>
        <v>0</v>
      </c>
      <c r="BO35" s="1176">
        <f>S10</f>
        <v>0</v>
      </c>
      <c r="BP35" s="1176">
        <f t="shared" si="10"/>
        <v>0</v>
      </c>
      <c r="BQ35" s="1176">
        <f t="shared" si="10"/>
        <v>0</v>
      </c>
      <c r="BR35" s="1176">
        <f t="shared" si="10"/>
        <v>0</v>
      </c>
      <c r="BS35" s="303">
        <f t="shared" si="4"/>
        <v>0</v>
      </c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</row>
    <row r="36" spans="2:82" ht="25.5" customHeight="1" x14ac:dyDescent="0.45">
      <c r="B36" s="16">
        <v>11</v>
      </c>
      <c r="C36" s="17" t="s">
        <v>40</v>
      </c>
      <c r="D36" s="20" t="s">
        <v>31</v>
      </c>
      <c r="E36" s="383"/>
      <c r="F36" s="383">
        <v>0</v>
      </c>
      <c r="G36" s="383">
        <v>0</v>
      </c>
      <c r="H36" s="383">
        <v>0</v>
      </c>
      <c r="I36" s="383">
        <v>0</v>
      </c>
      <c r="J36" s="383">
        <v>0</v>
      </c>
      <c r="K36" s="383">
        <v>0</v>
      </c>
      <c r="L36" s="383">
        <v>0</v>
      </c>
      <c r="M36" s="383">
        <v>0</v>
      </c>
      <c r="N36" s="383">
        <v>0</v>
      </c>
      <c r="O36" s="383">
        <v>0</v>
      </c>
      <c r="P36" s="383">
        <v>0</v>
      </c>
      <c r="Q36" s="383">
        <v>0</v>
      </c>
      <c r="R36" s="383">
        <v>0</v>
      </c>
      <c r="S36" s="383">
        <v>0</v>
      </c>
      <c r="T36" s="383">
        <v>0</v>
      </c>
      <c r="U36" s="383">
        <v>0</v>
      </c>
      <c r="V36" s="383">
        <v>0</v>
      </c>
      <c r="W36" s="997"/>
      <c r="X36" s="96"/>
      <c r="Y36" s="997"/>
      <c r="Z36" s="96"/>
      <c r="AV36" s="191"/>
      <c r="AW36" s="191" t="s">
        <v>242</v>
      </c>
      <c r="AX36" s="191"/>
      <c r="AY36" s="40">
        <v>2</v>
      </c>
      <c r="AZ36" s="38" t="s">
        <v>31</v>
      </c>
      <c r="BA36" s="1176">
        <f t="shared" ref="BA36:BR36" si="11">E28</f>
        <v>0</v>
      </c>
      <c r="BB36" s="1176">
        <f t="shared" si="11"/>
        <v>0</v>
      </c>
      <c r="BC36" s="1176">
        <f t="shared" si="11"/>
        <v>0</v>
      </c>
      <c r="BD36" s="1176">
        <f t="shared" si="11"/>
        <v>0</v>
      </c>
      <c r="BE36" s="1176">
        <f t="shared" si="11"/>
        <v>0</v>
      </c>
      <c r="BF36" s="1176">
        <f t="shared" si="11"/>
        <v>0</v>
      </c>
      <c r="BG36" s="1176">
        <f t="shared" si="11"/>
        <v>0</v>
      </c>
      <c r="BH36" s="1176">
        <f t="shared" si="11"/>
        <v>0</v>
      </c>
      <c r="BI36" s="1176">
        <f t="shared" si="11"/>
        <v>0</v>
      </c>
      <c r="BJ36" s="1176">
        <f t="shared" si="11"/>
        <v>0</v>
      </c>
      <c r="BK36" s="1176">
        <f t="shared" si="11"/>
        <v>0</v>
      </c>
      <c r="BL36" s="1176">
        <f t="shared" si="11"/>
        <v>0</v>
      </c>
      <c r="BM36" s="1176">
        <f t="shared" si="11"/>
        <v>0</v>
      </c>
      <c r="BN36" s="1176">
        <f t="shared" si="11"/>
        <v>0</v>
      </c>
      <c r="BO36" s="1176">
        <f>S28</f>
        <v>0</v>
      </c>
      <c r="BP36" s="1176">
        <f t="shared" si="11"/>
        <v>0</v>
      </c>
      <c r="BQ36" s="1176">
        <f t="shared" si="11"/>
        <v>0</v>
      </c>
      <c r="BR36" s="1176">
        <f t="shared" si="11"/>
        <v>0</v>
      </c>
      <c r="BS36" s="303">
        <f t="shared" si="4"/>
        <v>0</v>
      </c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</row>
    <row r="37" spans="2:82" ht="25.5" customHeight="1" x14ac:dyDescent="0.45">
      <c r="B37" s="16">
        <v>12</v>
      </c>
      <c r="C37" s="17" t="s">
        <v>41</v>
      </c>
      <c r="D37" s="20" t="s">
        <v>31</v>
      </c>
      <c r="E37" s="383">
        <v>0</v>
      </c>
      <c r="F37" s="383">
        <v>0</v>
      </c>
      <c r="G37" s="383">
        <v>0</v>
      </c>
      <c r="H37" s="383">
        <v>0</v>
      </c>
      <c r="I37" s="383">
        <v>0</v>
      </c>
      <c r="J37" s="383">
        <v>0</v>
      </c>
      <c r="K37" s="383">
        <v>0</v>
      </c>
      <c r="L37" s="383">
        <v>0</v>
      </c>
      <c r="M37" s="383">
        <v>0</v>
      </c>
      <c r="N37" s="383">
        <v>0</v>
      </c>
      <c r="O37" s="383">
        <v>0</v>
      </c>
      <c r="P37" s="383">
        <v>0</v>
      </c>
      <c r="Q37" s="383">
        <v>0</v>
      </c>
      <c r="R37" s="383">
        <v>0</v>
      </c>
      <c r="S37" s="383">
        <v>0</v>
      </c>
      <c r="T37" s="383">
        <v>0</v>
      </c>
      <c r="U37" s="383">
        <v>0</v>
      </c>
      <c r="V37" s="383">
        <v>0</v>
      </c>
      <c r="W37" s="997"/>
      <c r="X37" s="96"/>
      <c r="Y37" s="997"/>
      <c r="Z37" s="96"/>
      <c r="AV37" s="191"/>
      <c r="AW37" s="191" t="s">
        <v>35</v>
      </c>
      <c r="AX37" s="191"/>
      <c r="AY37" s="40" t="s">
        <v>94</v>
      </c>
      <c r="AZ37" s="191"/>
      <c r="BA37" s="1176">
        <f>SUM(BA35:BA36)</f>
        <v>0</v>
      </c>
      <c r="BB37" s="1176">
        <f t="shared" ref="BB37:BR37" si="12">SUM(BB35:BB36)</f>
        <v>0</v>
      </c>
      <c r="BC37" s="1176">
        <f t="shared" si="12"/>
        <v>0</v>
      </c>
      <c r="BD37" s="1176">
        <f t="shared" si="12"/>
        <v>0</v>
      </c>
      <c r="BE37" s="1176">
        <f t="shared" si="12"/>
        <v>0</v>
      </c>
      <c r="BF37" s="1176">
        <f t="shared" si="12"/>
        <v>0</v>
      </c>
      <c r="BG37" s="1176">
        <f t="shared" si="12"/>
        <v>0</v>
      </c>
      <c r="BH37" s="1176">
        <f t="shared" si="12"/>
        <v>0</v>
      </c>
      <c r="BI37" s="1176">
        <f t="shared" si="12"/>
        <v>0</v>
      </c>
      <c r="BJ37" s="1176">
        <f t="shared" si="12"/>
        <v>0</v>
      </c>
      <c r="BK37" s="1176">
        <f t="shared" si="12"/>
        <v>0</v>
      </c>
      <c r="BL37" s="1176">
        <f t="shared" si="12"/>
        <v>0</v>
      </c>
      <c r="BM37" s="1176">
        <f t="shared" si="12"/>
        <v>0</v>
      </c>
      <c r="BN37" s="1176">
        <f t="shared" si="12"/>
        <v>0</v>
      </c>
      <c r="BO37" s="1176">
        <f t="shared" si="12"/>
        <v>0</v>
      </c>
      <c r="BP37" s="1176">
        <f t="shared" si="12"/>
        <v>0</v>
      </c>
      <c r="BQ37" s="1176">
        <f t="shared" si="12"/>
        <v>0</v>
      </c>
      <c r="BR37" s="1176">
        <f t="shared" si="12"/>
        <v>0</v>
      </c>
      <c r="BS37" s="303">
        <f t="shared" si="4"/>
        <v>0</v>
      </c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</row>
    <row r="38" spans="2:82" ht="25.5" customHeight="1" x14ac:dyDescent="0.45">
      <c r="B38" s="357"/>
      <c r="C38" s="357" t="s">
        <v>29</v>
      </c>
      <c r="D38" s="20" t="s">
        <v>31</v>
      </c>
      <c r="E38" s="384">
        <f t="shared" ref="E38:V38" si="13">SUM(E26:E37)</f>
        <v>30</v>
      </c>
      <c r="F38" s="384">
        <f t="shared" si="13"/>
        <v>4</v>
      </c>
      <c r="G38" s="384">
        <f t="shared" si="13"/>
        <v>0</v>
      </c>
      <c r="H38" s="384">
        <f t="shared" si="13"/>
        <v>0</v>
      </c>
      <c r="I38" s="384">
        <f t="shared" si="13"/>
        <v>0</v>
      </c>
      <c r="J38" s="384">
        <f t="shared" si="13"/>
        <v>0</v>
      </c>
      <c r="K38" s="384">
        <f t="shared" si="13"/>
        <v>0</v>
      </c>
      <c r="L38" s="384">
        <f t="shared" si="13"/>
        <v>2</v>
      </c>
      <c r="M38" s="384">
        <f t="shared" si="13"/>
        <v>2</v>
      </c>
      <c r="N38" s="384">
        <f t="shared" si="13"/>
        <v>0</v>
      </c>
      <c r="O38" s="384">
        <f t="shared" si="13"/>
        <v>0</v>
      </c>
      <c r="P38" s="384">
        <f t="shared" si="13"/>
        <v>0</v>
      </c>
      <c r="Q38" s="384">
        <f t="shared" si="13"/>
        <v>0</v>
      </c>
      <c r="R38" s="384">
        <f t="shared" si="13"/>
        <v>0</v>
      </c>
      <c r="S38" s="384">
        <f>SUM(S26:S37)</f>
        <v>16</v>
      </c>
      <c r="T38" s="384">
        <f t="shared" si="13"/>
        <v>0</v>
      </c>
      <c r="U38" s="384">
        <f t="shared" si="13"/>
        <v>0.5</v>
      </c>
      <c r="V38" s="384">
        <f t="shared" si="13"/>
        <v>0</v>
      </c>
      <c r="W38" s="382"/>
      <c r="X38" s="382"/>
      <c r="Y38" s="382"/>
      <c r="Z38" s="382"/>
      <c r="AV38" s="191"/>
      <c r="AW38" s="191" t="s">
        <v>241</v>
      </c>
      <c r="AX38" s="191"/>
      <c r="AY38" s="40">
        <v>1</v>
      </c>
      <c r="AZ38" s="38" t="s">
        <v>31</v>
      </c>
      <c r="BA38" s="1176">
        <f t="shared" ref="BA38:BR38" si="14">E11</f>
        <v>0</v>
      </c>
      <c r="BB38" s="1176">
        <f t="shared" si="14"/>
        <v>0</v>
      </c>
      <c r="BC38" s="1176">
        <f t="shared" si="14"/>
        <v>0</v>
      </c>
      <c r="BD38" s="1176">
        <f t="shared" si="14"/>
        <v>0</v>
      </c>
      <c r="BE38" s="1176">
        <f t="shared" si="14"/>
        <v>0</v>
      </c>
      <c r="BF38" s="1176">
        <f t="shared" si="14"/>
        <v>0</v>
      </c>
      <c r="BG38" s="1176">
        <f t="shared" si="14"/>
        <v>0</v>
      </c>
      <c r="BH38" s="1176">
        <f t="shared" si="14"/>
        <v>0</v>
      </c>
      <c r="BI38" s="1176">
        <f t="shared" si="14"/>
        <v>0</v>
      </c>
      <c r="BJ38" s="1176">
        <f t="shared" si="14"/>
        <v>0</v>
      </c>
      <c r="BK38" s="1176">
        <f t="shared" si="14"/>
        <v>0</v>
      </c>
      <c r="BL38" s="1176">
        <f t="shared" si="14"/>
        <v>0</v>
      </c>
      <c r="BM38" s="1176">
        <f t="shared" si="14"/>
        <v>0</v>
      </c>
      <c r="BN38" s="1176">
        <f t="shared" si="14"/>
        <v>0</v>
      </c>
      <c r="BO38" s="1176">
        <f>S11</f>
        <v>2</v>
      </c>
      <c r="BP38" s="1176">
        <f t="shared" si="14"/>
        <v>0</v>
      </c>
      <c r="BQ38" s="1176">
        <f t="shared" si="14"/>
        <v>0</v>
      </c>
      <c r="BR38" s="1176">
        <f t="shared" si="14"/>
        <v>0</v>
      </c>
      <c r="BS38" s="303">
        <f t="shared" si="4"/>
        <v>2</v>
      </c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</row>
    <row r="39" spans="2:82" ht="25.5" customHeight="1" x14ac:dyDescent="0.45">
      <c r="C39" s="15"/>
      <c r="D39" s="15"/>
      <c r="AV39" s="191"/>
      <c r="AW39" s="191" t="s">
        <v>242</v>
      </c>
      <c r="AX39" s="191"/>
      <c r="AY39" s="40">
        <v>2</v>
      </c>
      <c r="AZ39" s="38" t="s">
        <v>31</v>
      </c>
      <c r="BA39" s="1176">
        <f t="shared" ref="BA39:BR39" si="15">E29</f>
        <v>0</v>
      </c>
      <c r="BB39" s="1176">
        <f t="shared" si="15"/>
        <v>0</v>
      </c>
      <c r="BC39" s="1176">
        <f t="shared" si="15"/>
        <v>0</v>
      </c>
      <c r="BD39" s="1176">
        <f t="shared" si="15"/>
        <v>0</v>
      </c>
      <c r="BE39" s="1176">
        <f t="shared" si="15"/>
        <v>0</v>
      </c>
      <c r="BF39" s="1176">
        <f t="shared" si="15"/>
        <v>0</v>
      </c>
      <c r="BG39" s="1176">
        <f t="shared" si="15"/>
        <v>0</v>
      </c>
      <c r="BH39" s="1176">
        <f t="shared" si="15"/>
        <v>0</v>
      </c>
      <c r="BI39" s="1176">
        <f t="shared" si="15"/>
        <v>0</v>
      </c>
      <c r="BJ39" s="1176">
        <f t="shared" si="15"/>
        <v>0</v>
      </c>
      <c r="BK39" s="1176">
        <f t="shared" si="15"/>
        <v>0</v>
      </c>
      <c r="BL39" s="1176">
        <f t="shared" si="15"/>
        <v>0</v>
      </c>
      <c r="BM39" s="1176">
        <f t="shared" si="15"/>
        <v>0</v>
      </c>
      <c r="BN39" s="1176">
        <f t="shared" si="15"/>
        <v>0</v>
      </c>
      <c r="BO39" s="1176">
        <f>S29</f>
        <v>2</v>
      </c>
      <c r="BP39" s="1176">
        <f t="shared" si="15"/>
        <v>0</v>
      </c>
      <c r="BQ39" s="1176">
        <f t="shared" si="15"/>
        <v>0</v>
      </c>
      <c r="BR39" s="1176">
        <f t="shared" si="15"/>
        <v>0</v>
      </c>
      <c r="BS39" s="303">
        <f t="shared" si="4"/>
        <v>2</v>
      </c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</row>
    <row r="40" spans="2:82" ht="25.5" customHeight="1" x14ac:dyDescent="0.45">
      <c r="B40" s="1535" t="s">
        <v>332</v>
      </c>
      <c r="C40" s="1535"/>
      <c r="D40" s="15"/>
      <c r="AV40" s="191"/>
      <c r="AW40" s="191" t="s">
        <v>35</v>
      </c>
      <c r="AX40" s="191"/>
      <c r="AY40" s="40" t="s">
        <v>46</v>
      </c>
      <c r="AZ40" s="191"/>
      <c r="BA40" s="1176">
        <f t="shared" ref="BA40:BR40" si="16">SUM(BA38:BA39)</f>
        <v>0</v>
      </c>
      <c r="BB40" s="1176">
        <f t="shared" si="16"/>
        <v>0</v>
      </c>
      <c r="BC40" s="1176">
        <f t="shared" si="16"/>
        <v>0</v>
      </c>
      <c r="BD40" s="1176">
        <f t="shared" si="16"/>
        <v>0</v>
      </c>
      <c r="BE40" s="1176">
        <f t="shared" si="16"/>
        <v>0</v>
      </c>
      <c r="BF40" s="1176">
        <f t="shared" si="16"/>
        <v>0</v>
      </c>
      <c r="BG40" s="1176">
        <f t="shared" si="16"/>
        <v>0</v>
      </c>
      <c r="BH40" s="1176">
        <f t="shared" si="16"/>
        <v>0</v>
      </c>
      <c r="BI40" s="1176">
        <f t="shared" si="16"/>
        <v>0</v>
      </c>
      <c r="BJ40" s="1176">
        <f t="shared" si="16"/>
        <v>0</v>
      </c>
      <c r="BK40" s="1176">
        <f t="shared" si="16"/>
        <v>0</v>
      </c>
      <c r="BL40" s="1176">
        <f t="shared" si="16"/>
        <v>0</v>
      </c>
      <c r="BM40" s="1176">
        <f t="shared" si="16"/>
        <v>0</v>
      </c>
      <c r="BN40" s="1176">
        <f t="shared" si="16"/>
        <v>0</v>
      </c>
      <c r="BO40" s="1176">
        <f t="shared" si="16"/>
        <v>4</v>
      </c>
      <c r="BP40" s="1176">
        <f t="shared" si="16"/>
        <v>0</v>
      </c>
      <c r="BQ40" s="1176">
        <f t="shared" si="16"/>
        <v>0</v>
      </c>
      <c r="BR40" s="1176">
        <f t="shared" si="16"/>
        <v>0</v>
      </c>
      <c r="BS40" s="1180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</row>
    <row r="41" spans="2:82" ht="25.5" customHeight="1" x14ac:dyDescent="0.5">
      <c r="B41" s="1548" t="s">
        <v>329</v>
      </c>
      <c r="C41" s="1548"/>
      <c r="D41" s="1548"/>
      <c r="E41" s="1548"/>
      <c r="F41" s="1548"/>
      <c r="G41" s="1548"/>
      <c r="H41" s="1548"/>
      <c r="I41" s="1548"/>
      <c r="J41" s="1548" t="s">
        <v>329</v>
      </c>
      <c r="K41" s="1548"/>
      <c r="L41" s="1548"/>
      <c r="M41" s="1548"/>
      <c r="N41" s="1548"/>
      <c r="O41" s="1548"/>
      <c r="P41" s="1548"/>
      <c r="Q41" s="1548"/>
      <c r="R41" s="42"/>
      <c r="S41" s="42"/>
      <c r="T41" s="42"/>
      <c r="U41" s="43"/>
      <c r="V41" s="43"/>
      <c r="W41" s="1546" t="s">
        <v>88</v>
      </c>
      <c r="X41" s="1546"/>
      <c r="Y41" s="1546" t="s">
        <v>89</v>
      </c>
      <c r="Z41" s="1546"/>
      <c r="AV41" s="191"/>
      <c r="AW41" s="191" t="s">
        <v>241</v>
      </c>
      <c r="AX41" s="191"/>
      <c r="AY41" s="40">
        <v>1</v>
      </c>
      <c r="AZ41" s="38" t="s">
        <v>31</v>
      </c>
      <c r="BA41" s="1176">
        <f t="shared" ref="BA41:BR41" si="17">E12</f>
        <v>100</v>
      </c>
      <c r="BB41" s="1176">
        <f t="shared" si="17"/>
        <v>5</v>
      </c>
      <c r="BC41" s="1176">
        <f t="shared" si="17"/>
        <v>0</v>
      </c>
      <c r="BD41" s="1176">
        <f t="shared" si="17"/>
        <v>0</v>
      </c>
      <c r="BE41" s="1176">
        <f t="shared" si="17"/>
        <v>0</v>
      </c>
      <c r="BF41" s="1176">
        <f t="shared" si="17"/>
        <v>0</v>
      </c>
      <c r="BG41" s="1176">
        <f t="shared" si="17"/>
        <v>0</v>
      </c>
      <c r="BH41" s="1176">
        <f t="shared" si="17"/>
        <v>5</v>
      </c>
      <c r="BI41" s="1176">
        <f t="shared" si="17"/>
        <v>5</v>
      </c>
      <c r="BJ41" s="1176">
        <f t="shared" si="17"/>
        <v>0.3</v>
      </c>
      <c r="BK41" s="1176">
        <f t="shared" si="17"/>
        <v>0.5</v>
      </c>
      <c r="BL41" s="1176">
        <f t="shared" si="17"/>
        <v>0.4</v>
      </c>
      <c r="BM41" s="1176">
        <f t="shared" si="17"/>
        <v>0</v>
      </c>
      <c r="BN41" s="1176">
        <f t="shared" si="17"/>
        <v>0</v>
      </c>
      <c r="BO41" s="1176">
        <f>S12</f>
        <v>2.5</v>
      </c>
      <c r="BP41" s="1176">
        <f t="shared" si="17"/>
        <v>2</v>
      </c>
      <c r="BQ41" s="1176">
        <f t="shared" si="17"/>
        <v>1</v>
      </c>
      <c r="BR41" s="1176">
        <f t="shared" si="17"/>
        <v>0</v>
      </c>
      <c r="BS41" s="1180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</row>
    <row r="42" spans="2:82" ht="42" customHeight="1" x14ac:dyDescent="0.45">
      <c r="B42" s="1536" t="s">
        <v>86</v>
      </c>
      <c r="C42" s="1536" t="s">
        <v>106</v>
      </c>
      <c r="D42" s="26" t="s">
        <v>84</v>
      </c>
      <c r="E42" s="372" t="s">
        <v>97</v>
      </c>
      <c r="F42" s="372" t="s">
        <v>74</v>
      </c>
      <c r="G42" s="372" t="s">
        <v>75</v>
      </c>
      <c r="H42" s="372" t="s">
        <v>63</v>
      </c>
      <c r="I42" s="372" t="s">
        <v>64</v>
      </c>
      <c r="J42" s="372" t="s">
        <v>236</v>
      </c>
      <c r="K42" s="372" t="s">
        <v>66</v>
      </c>
      <c r="L42" s="372" t="s">
        <v>67</v>
      </c>
      <c r="M42" s="372" t="s">
        <v>76</v>
      </c>
      <c r="N42" s="372" t="s">
        <v>68</v>
      </c>
      <c r="O42" s="372" t="s">
        <v>69</v>
      </c>
      <c r="P42" s="372" t="s">
        <v>70</v>
      </c>
      <c r="Q42" s="373" t="s">
        <v>71</v>
      </c>
      <c r="R42" s="374" t="s">
        <v>77</v>
      </c>
      <c r="S42" s="374" t="s">
        <v>72</v>
      </c>
      <c r="T42" s="372" t="s">
        <v>73</v>
      </c>
      <c r="U42" s="374" t="s">
        <v>313</v>
      </c>
      <c r="V42" s="372"/>
      <c r="W42" s="18" t="s">
        <v>17</v>
      </c>
      <c r="X42" s="18" t="s">
        <v>85</v>
      </c>
      <c r="Y42" s="18" t="s">
        <v>17</v>
      </c>
      <c r="Z42" s="18" t="s">
        <v>85</v>
      </c>
      <c r="AV42" s="191"/>
      <c r="AW42" s="191" t="s">
        <v>242</v>
      </c>
      <c r="AX42" s="191"/>
      <c r="AY42" s="40">
        <v>2</v>
      </c>
      <c r="AZ42" s="38" t="s">
        <v>31</v>
      </c>
      <c r="BA42" s="1176">
        <f t="shared" ref="BA42:BR42" si="18">E30</f>
        <v>0</v>
      </c>
      <c r="BB42" s="1176">
        <f t="shared" si="18"/>
        <v>2</v>
      </c>
      <c r="BC42" s="1176">
        <f t="shared" si="18"/>
        <v>0</v>
      </c>
      <c r="BD42" s="1176">
        <f t="shared" si="18"/>
        <v>0</v>
      </c>
      <c r="BE42" s="1176">
        <f t="shared" si="18"/>
        <v>0</v>
      </c>
      <c r="BF42" s="1176">
        <f t="shared" si="18"/>
        <v>0</v>
      </c>
      <c r="BG42" s="1176">
        <f t="shared" si="18"/>
        <v>0</v>
      </c>
      <c r="BH42" s="1176">
        <f t="shared" si="18"/>
        <v>2</v>
      </c>
      <c r="BI42" s="1176">
        <f t="shared" si="18"/>
        <v>2</v>
      </c>
      <c r="BJ42" s="1176">
        <f t="shared" si="18"/>
        <v>0</v>
      </c>
      <c r="BK42" s="1176">
        <f t="shared" si="18"/>
        <v>0</v>
      </c>
      <c r="BL42" s="1176">
        <f t="shared" si="18"/>
        <v>0</v>
      </c>
      <c r="BM42" s="1176">
        <f t="shared" si="18"/>
        <v>0</v>
      </c>
      <c r="BN42" s="1176">
        <f t="shared" si="18"/>
        <v>0</v>
      </c>
      <c r="BO42" s="1176">
        <f>S30</f>
        <v>2.5</v>
      </c>
      <c r="BP42" s="1176">
        <f t="shared" si="18"/>
        <v>0</v>
      </c>
      <c r="BQ42" s="1176">
        <f t="shared" si="18"/>
        <v>0</v>
      </c>
      <c r="BR42" s="1176">
        <f t="shared" si="18"/>
        <v>0</v>
      </c>
      <c r="BS42" s="1180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</row>
    <row r="43" spans="2:82" ht="21" customHeight="1" x14ac:dyDescent="0.45">
      <c r="B43" s="1537"/>
      <c r="C43" s="1537"/>
      <c r="D43" s="32" t="s">
        <v>284</v>
      </c>
      <c r="E43" s="375" t="s">
        <v>81</v>
      </c>
      <c r="F43" s="375" t="s">
        <v>81</v>
      </c>
      <c r="G43" s="375" t="s">
        <v>81</v>
      </c>
      <c r="H43" s="375" t="s">
        <v>81</v>
      </c>
      <c r="I43" s="375" t="s">
        <v>81</v>
      </c>
      <c r="J43" s="375" t="s">
        <v>81</v>
      </c>
      <c r="K43" s="375" t="s">
        <v>81</v>
      </c>
      <c r="L43" s="375" t="s">
        <v>81</v>
      </c>
      <c r="M43" s="375" t="s">
        <v>81</v>
      </c>
      <c r="N43" s="375" t="s">
        <v>81</v>
      </c>
      <c r="O43" s="375" t="s">
        <v>81</v>
      </c>
      <c r="P43" s="375" t="s">
        <v>81</v>
      </c>
      <c r="Q43" s="375" t="s">
        <v>81</v>
      </c>
      <c r="R43" s="375" t="s">
        <v>81</v>
      </c>
      <c r="S43" s="375" t="s">
        <v>215</v>
      </c>
      <c r="T43" s="375" t="s">
        <v>81</v>
      </c>
      <c r="U43" s="375" t="s">
        <v>81</v>
      </c>
      <c r="V43" s="375" t="s">
        <v>81</v>
      </c>
      <c r="W43" s="2">
        <v>19</v>
      </c>
      <c r="X43" s="2">
        <v>20</v>
      </c>
      <c r="Y43" s="2">
        <v>21</v>
      </c>
      <c r="Z43" s="2">
        <v>22</v>
      </c>
      <c r="AV43" s="191"/>
      <c r="AW43" s="191" t="s">
        <v>35</v>
      </c>
      <c r="AX43" s="191"/>
      <c r="AY43" s="40" t="s">
        <v>34</v>
      </c>
      <c r="AZ43" s="191"/>
      <c r="BA43" s="1176">
        <f>SUM(BA41:BA42)</f>
        <v>100</v>
      </c>
      <c r="BB43" s="1176">
        <f t="shared" ref="BB43:BR43" si="19">SUM(BB41:BB42)</f>
        <v>7</v>
      </c>
      <c r="BC43" s="1176">
        <f t="shared" si="19"/>
        <v>0</v>
      </c>
      <c r="BD43" s="1176">
        <f t="shared" si="19"/>
        <v>0</v>
      </c>
      <c r="BE43" s="1176">
        <f t="shared" si="19"/>
        <v>0</v>
      </c>
      <c r="BF43" s="1176">
        <f t="shared" si="19"/>
        <v>0</v>
      </c>
      <c r="BG43" s="1176">
        <f t="shared" si="19"/>
        <v>0</v>
      </c>
      <c r="BH43" s="1176">
        <f t="shared" si="19"/>
        <v>7</v>
      </c>
      <c r="BI43" s="1176">
        <f t="shared" si="19"/>
        <v>7</v>
      </c>
      <c r="BJ43" s="1176">
        <f t="shared" si="19"/>
        <v>0.3</v>
      </c>
      <c r="BK43" s="1176">
        <f t="shared" si="19"/>
        <v>0.5</v>
      </c>
      <c r="BL43" s="1176">
        <f t="shared" si="19"/>
        <v>0.4</v>
      </c>
      <c r="BM43" s="1176">
        <f t="shared" si="19"/>
        <v>0</v>
      </c>
      <c r="BN43" s="1176">
        <f t="shared" si="19"/>
        <v>0</v>
      </c>
      <c r="BO43" s="1176">
        <f t="shared" si="19"/>
        <v>5</v>
      </c>
      <c r="BP43" s="1176">
        <f t="shared" si="19"/>
        <v>2</v>
      </c>
      <c r="BQ43" s="1176">
        <f t="shared" si="19"/>
        <v>1</v>
      </c>
      <c r="BR43" s="1176">
        <f t="shared" si="19"/>
        <v>0</v>
      </c>
      <c r="BS43" s="1180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</row>
    <row r="44" spans="2:82" ht="25.5" customHeight="1" x14ac:dyDescent="0.45">
      <c r="B44" s="16">
        <v>1</v>
      </c>
      <c r="C44" s="17" t="s">
        <v>42</v>
      </c>
      <c r="D44" s="20" t="s">
        <v>31</v>
      </c>
      <c r="E44" s="383">
        <v>29.6</v>
      </c>
      <c r="F44" s="383">
        <v>3.16</v>
      </c>
      <c r="G44" s="383"/>
      <c r="H44" s="383"/>
      <c r="I44" s="383"/>
      <c r="J44" s="383"/>
      <c r="K44" s="383"/>
      <c r="L44" s="383">
        <v>10.16</v>
      </c>
      <c r="M44" s="383">
        <v>3.6</v>
      </c>
      <c r="N44" s="383">
        <v>0.28799999999999998</v>
      </c>
      <c r="O44" s="383">
        <v>0.44800000000000001</v>
      </c>
      <c r="P44" s="383">
        <v>0.38800000000000001</v>
      </c>
      <c r="Q44" s="383"/>
      <c r="R44" s="383"/>
      <c r="S44" s="383">
        <v>0.48</v>
      </c>
      <c r="T44" s="383">
        <v>1.5920000000000001</v>
      </c>
      <c r="U44" s="383">
        <v>0.75519999999999998</v>
      </c>
      <c r="V44" s="383"/>
      <c r="W44" s="997"/>
      <c r="X44" s="96"/>
      <c r="Y44" s="997"/>
      <c r="Z44" s="96"/>
      <c r="AV44" s="191"/>
      <c r="AW44" s="191" t="s">
        <v>241</v>
      </c>
      <c r="AX44" s="191"/>
      <c r="AY44" s="40">
        <v>1</v>
      </c>
      <c r="AZ44" s="38" t="s">
        <v>31</v>
      </c>
      <c r="BA44" s="1176">
        <f t="shared" ref="BA44:BR44" si="20">E13</f>
        <v>0</v>
      </c>
      <c r="BB44" s="1176">
        <f t="shared" si="20"/>
        <v>0</v>
      </c>
      <c r="BC44" s="1176">
        <f t="shared" si="20"/>
        <v>0</v>
      </c>
      <c r="BD44" s="1176">
        <f t="shared" si="20"/>
        <v>0</v>
      </c>
      <c r="BE44" s="1176">
        <f t="shared" si="20"/>
        <v>0</v>
      </c>
      <c r="BF44" s="1176">
        <f t="shared" si="20"/>
        <v>0</v>
      </c>
      <c r="BG44" s="1176">
        <f t="shared" si="20"/>
        <v>0</v>
      </c>
      <c r="BH44" s="1176">
        <f t="shared" si="20"/>
        <v>0</v>
      </c>
      <c r="BI44" s="1176">
        <f t="shared" si="20"/>
        <v>0</v>
      </c>
      <c r="BJ44" s="1176">
        <f t="shared" si="20"/>
        <v>0</v>
      </c>
      <c r="BK44" s="1176">
        <f t="shared" si="20"/>
        <v>0</v>
      </c>
      <c r="BL44" s="1176">
        <f t="shared" si="20"/>
        <v>0</v>
      </c>
      <c r="BM44" s="1176">
        <f t="shared" si="20"/>
        <v>0</v>
      </c>
      <c r="BN44" s="1176">
        <f t="shared" si="20"/>
        <v>0</v>
      </c>
      <c r="BO44" s="1176">
        <f>S13</f>
        <v>0.5</v>
      </c>
      <c r="BP44" s="1176">
        <f t="shared" si="20"/>
        <v>0</v>
      </c>
      <c r="BQ44" s="1176">
        <f t="shared" si="20"/>
        <v>0</v>
      </c>
      <c r="BR44" s="1176">
        <f t="shared" si="20"/>
        <v>0</v>
      </c>
      <c r="BS44" s="1180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</row>
    <row r="45" spans="2:82" ht="25.5" customHeight="1" x14ac:dyDescent="0.45">
      <c r="B45" s="16">
        <v>2</v>
      </c>
      <c r="C45" s="17" t="s">
        <v>44</v>
      </c>
      <c r="D45" s="20" t="s">
        <v>31</v>
      </c>
      <c r="E45" s="383"/>
      <c r="F45" s="383">
        <v>0</v>
      </c>
      <c r="G45" s="383">
        <v>0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0</v>
      </c>
      <c r="P45" s="383">
        <v>0</v>
      </c>
      <c r="Q45" s="383">
        <v>0</v>
      </c>
      <c r="R45" s="383">
        <v>0</v>
      </c>
      <c r="S45" s="383">
        <v>0</v>
      </c>
      <c r="T45" s="383">
        <v>0</v>
      </c>
      <c r="U45" s="383">
        <v>0</v>
      </c>
      <c r="V45" s="383">
        <v>0</v>
      </c>
      <c r="W45" s="997"/>
      <c r="X45" s="96"/>
      <c r="Y45" s="997"/>
      <c r="Z45" s="96"/>
      <c r="AV45" s="191"/>
      <c r="AW45" s="191" t="s">
        <v>242</v>
      </c>
      <c r="AX45" s="191"/>
      <c r="AY45" s="40">
        <v>2</v>
      </c>
      <c r="AZ45" s="38" t="s">
        <v>31</v>
      </c>
      <c r="BA45" s="1176">
        <f t="shared" ref="BA45:BR45" si="21">E31</f>
        <v>0</v>
      </c>
      <c r="BB45" s="1176">
        <f t="shared" si="21"/>
        <v>0</v>
      </c>
      <c r="BC45" s="1176">
        <f t="shared" si="21"/>
        <v>0</v>
      </c>
      <c r="BD45" s="1176">
        <f t="shared" si="21"/>
        <v>0</v>
      </c>
      <c r="BE45" s="1176">
        <f t="shared" si="21"/>
        <v>0</v>
      </c>
      <c r="BF45" s="1176">
        <f t="shared" si="21"/>
        <v>0</v>
      </c>
      <c r="BG45" s="1176">
        <f t="shared" si="21"/>
        <v>0</v>
      </c>
      <c r="BH45" s="1176">
        <f t="shared" si="21"/>
        <v>0</v>
      </c>
      <c r="BI45" s="1176">
        <f t="shared" si="21"/>
        <v>0</v>
      </c>
      <c r="BJ45" s="1176">
        <f t="shared" si="21"/>
        <v>0</v>
      </c>
      <c r="BK45" s="1176">
        <f t="shared" si="21"/>
        <v>0</v>
      </c>
      <c r="BL45" s="1176">
        <f t="shared" si="21"/>
        <v>0</v>
      </c>
      <c r="BM45" s="1176">
        <f t="shared" si="21"/>
        <v>0</v>
      </c>
      <c r="BN45" s="1176">
        <f t="shared" si="21"/>
        <v>0</v>
      </c>
      <c r="BO45" s="1176">
        <f>S31</f>
        <v>0.5</v>
      </c>
      <c r="BP45" s="1176">
        <f t="shared" si="21"/>
        <v>0</v>
      </c>
      <c r="BQ45" s="1176">
        <f t="shared" si="21"/>
        <v>0</v>
      </c>
      <c r="BR45" s="1176">
        <f t="shared" si="21"/>
        <v>0</v>
      </c>
      <c r="BS45" s="1180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</row>
    <row r="46" spans="2:82" ht="25.5" customHeight="1" x14ac:dyDescent="0.45">
      <c r="B46" s="16">
        <v>3</v>
      </c>
      <c r="C46" s="17" t="s">
        <v>94</v>
      </c>
      <c r="D46" s="20" t="s">
        <v>31</v>
      </c>
      <c r="E46" s="383">
        <v>0</v>
      </c>
      <c r="F46" s="383">
        <v>0</v>
      </c>
      <c r="G46" s="383">
        <v>0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0</v>
      </c>
      <c r="P46" s="383">
        <v>0</v>
      </c>
      <c r="Q46" s="383">
        <v>0</v>
      </c>
      <c r="R46" s="383">
        <v>0</v>
      </c>
      <c r="S46" s="383">
        <v>0</v>
      </c>
      <c r="T46" s="383">
        <v>0</v>
      </c>
      <c r="U46" s="383">
        <v>0</v>
      </c>
      <c r="V46" s="383">
        <v>0</v>
      </c>
      <c r="W46" s="997"/>
      <c r="X46" s="96"/>
      <c r="Y46" s="997"/>
      <c r="Z46" s="96"/>
      <c r="AV46" s="191"/>
      <c r="AW46" s="191" t="s">
        <v>35</v>
      </c>
      <c r="AX46" s="191"/>
      <c r="AY46" s="40" t="s">
        <v>37</v>
      </c>
      <c r="AZ46" s="191"/>
      <c r="BA46" s="1176">
        <f>SUM(BA44:BA45)</f>
        <v>0</v>
      </c>
      <c r="BB46" s="1176">
        <f t="shared" ref="BB46:BR46" si="22">SUM(BB44:BB45)</f>
        <v>0</v>
      </c>
      <c r="BC46" s="1176">
        <f t="shared" si="22"/>
        <v>0</v>
      </c>
      <c r="BD46" s="1176">
        <f t="shared" si="22"/>
        <v>0</v>
      </c>
      <c r="BE46" s="1176">
        <f t="shared" si="22"/>
        <v>0</v>
      </c>
      <c r="BF46" s="1176">
        <f t="shared" si="22"/>
        <v>0</v>
      </c>
      <c r="BG46" s="1176">
        <f t="shared" si="22"/>
        <v>0</v>
      </c>
      <c r="BH46" s="1176">
        <f t="shared" si="22"/>
        <v>0</v>
      </c>
      <c r="BI46" s="1176">
        <f t="shared" si="22"/>
        <v>0</v>
      </c>
      <c r="BJ46" s="1176">
        <f t="shared" si="22"/>
        <v>0</v>
      </c>
      <c r="BK46" s="1176">
        <f t="shared" si="22"/>
        <v>0</v>
      </c>
      <c r="BL46" s="1176">
        <f t="shared" si="22"/>
        <v>0</v>
      </c>
      <c r="BM46" s="1176">
        <f t="shared" si="22"/>
        <v>0</v>
      </c>
      <c r="BN46" s="1176">
        <f t="shared" si="22"/>
        <v>0</v>
      </c>
      <c r="BO46" s="1176">
        <f t="shared" si="22"/>
        <v>1</v>
      </c>
      <c r="BP46" s="1176">
        <f t="shared" si="22"/>
        <v>0</v>
      </c>
      <c r="BQ46" s="1176">
        <f t="shared" si="22"/>
        <v>0</v>
      </c>
      <c r="BR46" s="1176">
        <f t="shared" si="22"/>
        <v>0</v>
      </c>
      <c r="BS46" s="1180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</row>
    <row r="47" spans="2:82" ht="25.5" customHeight="1" x14ac:dyDescent="0.45">
      <c r="B47" s="16">
        <v>4</v>
      </c>
      <c r="C47" s="17" t="s">
        <v>46</v>
      </c>
      <c r="D47" s="20" t="s">
        <v>31</v>
      </c>
      <c r="E47" s="383">
        <v>0</v>
      </c>
      <c r="F47" s="383">
        <v>0</v>
      </c>
      <c r="G47" s="383">
        <v>0</v>
      </c>
      <c r="H47" s="383">
        <v>0</v>
      </c>
      <c r="I47" s="383">
        <v>0</v>
      </c>
      <c r="J47" s="383">
        <v>0</v>
      </c>
      <c r="K47" s="383">
        <v>0</v>
      </c>
      <c r="L47" s="383">
        <v>0</v>
      </c>
      <c r="M47" s="383">
        <v>0</v>
      </c>
      <c r="N47" s="383">
        <v>0</v>
      </c>
      <c r="O47" s="383">
        <v>0</v>
      </c>
      <c r="P47" s="383">
        <v>0</v>
      </c>
      <c r="Q47" s="383">
        <v>0</v>
      </c>
      <c r="R47" s="383">
        <v>0</v>
      </c>
      <c r="S47" s="383">
        <v>0</v>
      </c>
      <c r="T47" s="383">
        <v>0</v>
      </c>
      <c r="U47" s="383">
        <v>0</v>
      </c>
      <c r="V47" s="383">
        <v>0</v>
      </c>
      <c r="W47" s="997"/>
      <c r="X47" s="96"/>
      <c r="Y47" s="997"/>
      <c r="Z47" s="96"/>
      <c r="AV47" s="191"/>
      <c r="AW47" s="191" t="s">
        <v>241</v>
      </c>
      <c r="AX47" s="191"/>
      <c r="AY47" s="40">
        <v>1</v>
      </c>
      <c r="AZ47" s="38" t="s">
        <v>31</v>
      </c>
      <c r="BA47" s="1176">
        <f t="shared" ref="BA47:BR47" si="23">E14</f>
        <v>0</v>
      </c>
      <c r="BB47" s="1176">
        <f t="shared" si="23"/>
        <v>0</v>
      </c>
      <c r="BC47" s="1176">
        <f t="shared" si="23"/>
        <v>0</v>
      </c>
      <c r="BD47" s="1176">
        <f t="shared" si="23"/>
        <v>0</v>
      </c>
      <c r="BE47" s="1176">
        <f t="shared" si="23"/>
        <v>0</v>
      </c>
      <c r="BF47" s="1176">
        <f t="shared" si="23"/>
        <v>0</v>
      </c>
      <c r="BG47" s="1176">
        <f t="shared" si="23"/>
        <v>0</v>
      </c>
      <c r="BH47" s="1176">
        <f t="shared" si="23"/>
        <v>0</v>
      </c>
      <c r="BI47" s="1176">
        <f t="shared" si="23"/>
        <v>0</v>
      </c>
      <c r="BJ47" s="1176">
        <f t="shared" si="23"/>
        <v>0</v>
      </c>
      <c r="BK47" s="1176">
        <f t="shared" si="23"/>
        <v>0</v>
      </c>
      <c r="BL47" s="1176">
        <f t="shared" si="23"/>
        <v>0</v>
      </c>
      <c r="BM47" s="1176">
        <f t="shared" si="23"/>
        <v>0</v>
      </c>
      <c r="BN47" s="1176">
        <f t="shared" si="23"/>
        <v>0</v>
      </c>
      <c r="BO47" s="1176">
        <f>S14</f>
        <v>1.5</v>
      </c>
      <c r="BP47" s="1176">
        <f t="shared" si="23"/>
        <v>0</v>
      </c>
      <c r="BQ47" s="1176">
        <f t="shared" si="23"/>
        <v>0</v>
      </c>
      <c r="BR47" s="1176">
        <f t="shared" si="23"/>
        <v>0</v>
      </c>
      <c r="BS47" s="1180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</row>
    <row r="48" spans="2:82" ht="25.5" customHeight="1" x14ac:dyDescent="0.45">
      <c r="B48" s="16">
        <v>5</v>
      </c>
      <c r="C48" s="17" t="s">
        <v>34</v>
      </c>
      <c r="D48" s="20" t="s">
        <v>31</v>
      </c>
      <c r="E48" s="383">
        <v>0</v>
      </c>
      <c r="F48" s="383">
        <v>0</v>
      </c>
      <c r="G48" s="383">
        <v>0</v>
      </c>
      <c r="H48" s="383">
        <v>0</v>
      </c>
      <c r="I48" s="383">
        <v>0</v>
      </c>
      <c r="J48" s="383">
        <v>0</v>
      </c>
      <c r="K48" s="383">
        <v>0</v>
      </c>
      <c r="L48" s="383">
        <v>0</v>
      </c>
      <c r="M48" s="383">
        <v>0</v>
      </c>
      <c r="N48" s="383">
        <v>0</v>
      </c>
      <c r="O48" s="383">
        <v>0</v>
      </c>
      <c r="P48" s="383">
        <v>0</v>
      </c>
      <c r="Q48" s="383">
        <v>0</v>
      </c>
      <c r="R48" s="383">
        <v>0</v>
      </c>
      <c r="S48" s="383">
        <v>0</v>
      </c>
      <c r="T48" s="383">
        <v>0</v>
      </c>
      <c r="U48" s="383">
        <v>0</v>
      </c>
      <c r="V48" s="383">
        <v>0</v>
      </c>
      <c r="W48" s="997"/>
      <c r="X48" s="96"/>
      <c r="Y48" s="997"/>
      <c r="Z48" s="96"/>
      <c r="AV48" s="191"/>
      <c r="AW48" s="191" t="s">
        <v>242</v>
      </c>
      <c r="AX48" s="191"/>
      <c r="AY48" s="40">
        <v>2</v>
      </c>
      <c r="AZ48" s="38" t="s">
        <v>31</v>
      </c>
      <c r="BA48" s="1176">
        <f t="shared" ref="BA48:BR48" si="24">E32</f>
        <v>0</v>
      </c>
      <c r="BB48" s="1176">
        <f t="shared" si="24"/>
        <v>0</v>
      </c>
      <c r="BC48" s="1176">
        <f t="shared" si="24"/>
        <v>0</v>
      </c>
      <c r="BD48" s="1176">
        <f t="shared" si="24"/>
        <v>0</v>
      </c>
      <c r="BE48" s="1176">
        <f t="shared" si="24"/>
        <v>0</v>
      </c>
      <c r="BF48" s="1176">
        <f t="shared" si="24"/>
        <v>0</v>
      </c>
      <c r="BG48" s="1176">
        <f t="shared" si="24"/>
        <v>0</v>
      </c>
      <c r="BH48" s="1176">
        <f t="shared" si="24"/>
        <v>0</v>
      </c>
      <c r="BI48" s="1176">
        <f t="shared" si="24"/>
        <v>0</v>
      </c>
      <c r="BJ48" s="1176">
        <f t="shared" si="24"/>
        <v>0</v>
      </c>
      <c r="BK48" s="1176">
        <f t="shared" si="24"/>
        <v>0</v>
      </c>
      <c r="BL48" s="1176">
        <f t="shared" si="24"/>
        <v>0</v>
      </c>
      <c r="BM48" s="1176">
        <f t="shared" si="24"/>
        <v>0</v>
      </c>
      <c r="BN48" s="1176">
        <f t="shared" si="24"/>
        <v>0</v>
      </c>
      <c r="BO48" s="1176">
        <f>S32</f>
        <v>1.5</v>
      </c>
      <c r="BP48" s="1176">
        <f t="shared" si="24"/>
        <v>0</v>
      </c>
      <c r="BQ48" s="1176">
        <f t="shared" si="24"/>
        <v>0</v>
      </c>
      <c r="BR48" s="1176">
        <f t="shared" si="24"/>
        <v>0</v>
      </c>
      <c r="BS48" s="1180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</row>
    <row r="49" spans="2:82" ht="25.5" customHeight="1" x14ac:dyDescent="0.45">
      <c r="B49" s="16">
        <v>6</v>
      </c>
      <c r="C49" s="17" t="s">
        <v>37</v>
      </c>
      <c r="D49" s="20" t="s">
        <v>31</v>
      </c>
      <c r="E49" s="383">
        <v>0</v>
      </c>
      <c r="F49" s="383">
        <v>0</v>
      </c>
      <c r="G49" s="383">
        <v>0</v>
      </c>
      <c r="H49" s="383">
        <v>0</v>
      </c>
      <c r="I49" s="383">
        <v>0</v>
      </c>
      <c r="J49" s="383">
        <v>0</v>
      </c>
      <c r="K49" s="383">
        <v>0</v>
      </c>
      <c r="L49" s="383">
        <v>0</v>
      </c>
      <c r="M49" s="383">
        <v>0</v>
      </c>
      <c r="N49" s="383">
        <v>0</v>
      </c>
      <c r="O49" s="383">
        <v>0</v>
      </c>
      <c r="P49" s="383">
        <v>0</v>
      </c>
      <c r="Q49" s="383">
        <v>0</v>
      </c>
      <c r="R49" s="383">
        <v>0</v>
      </c>
      <c r="S49" s="383">
        <v>0</v>
      </c>
      <c r="T49" s="383">
        <v>0</v>
      </c>
      <c r="U49" s="383">
        <v>0</v>
      </c>
      <c r="V49" s="383">
        <v>0</v>
      </c>
      <c r="W49" s="997"/>
      <c r="X49" s="96"/>
      <c r="Y49" s="997"/>
      <c r="Z49" s="96"/>
      <c r="AV49" s="191"/>
      <c r="AW49" s="191" t="s">
        <v>35</v>
      </c>
      <c r="AX49" s="191"/>
      <c r="AY49" s="40" t="s">
        <v>47</v>
      </c>
      <c r="AZ49" s="191"/>
      <c r="BA49" s="1176">
        <f>SUM(BA47:BA48)</f>
        <v>0</v>
      </c>
      <c r="BB49" s="1176">
        <f t="shared" ref="BB49:BR49" si="25">SUM(BB47:BB48)</f>
        <v>0</v>
      </c>
      <c r="BC49" s="1176">
        <f t="shared" si="25"/>
        <v>0</v>
      </c>
      <c r="BD49" s="1176">
        <f t="shared" si="25"/>
        <v>0</v>
      </c>
      <c r="BE49" s="1176">
        <f t="shared" si="25"/>
        <v>0</v>
      </c>
      <c r="BF49" s="1176">
        <f t="shared" si="25"/>
        <v>0</v>
      </c>
      <c r="BG49" s="1176">
        <f t="shared" si="25"/>
        <v>0</v>
      </c>
      <c r="BH49" s="1176">
        <f t="shared" si="25"/>
        <v>0</v>
      </c>
      <c r="BI49" s="1176">
        <f t="shared" si="25"/>
        <v>0</v>
      </c>
      <c r="BJ49" s="1176">
        <f t="shared" si="25"/>
        <v>0</v>
      </c>
      <c r="BK49" s="1176">
        <f t="shared" si="25"/>
        <v>0</v>
      </c>
      <c r="BL49" s="1176">
        <f t="shared" si="25"/>
        <v>0</v>
      </c>
      <c r="BM49" s="1176">
        <f t="shared" si="25"/>
        <v>0</v>
      </c>
      <c r="BN49" s="1176">
        <f t="shared" si="25"/>
        <v>0</v>
      </c>
      <c r="BO49" s="1176">
        <f t="shared" si="25"/>
        <v>3</v>
      </c>
      <c r="BP49" s="1176">
        <f t="shared" si="25"/>
        <v>0</v>
      </c>
      <c r="BQ49" s="1176">
        <f t="shared" si="25"/>
        <v>0</v>
      </c>
      <c r="BR49" s="1176">
        <f t="shared" si="25"/>
        <v>0</v>
      </c>
      <c r="BS49" s="1180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</row>
    <row r="50" spans="2:82" ht="25.5" customHeight="1" x14ac:dyDescent="0.45">
      <c r="B50" s="16">
        <v>7</v>
      </c>
      <c r="C50" s="17" t="s">
        <v>47</v>
      </c>
      <c r="D50" s="20" t="s">
        <v>31</v>
      </c>
      <c r="E50" s="383">
        <v>0</v>
      </c>
      <c r="F50" s="383">
        <v>0</v>
      </c>
      <c r="G50" s="383">
        <v>0</v>
      </c>
      <c r="H50" s="383">
        <v>0</v>
      </c>
      <c r="I50" s="383">
        <v>0</v>
      </c>
      <c r="J50" s="383">
        <v>0</v>
      </c>
      <c r="K50" s="383">
        <v>0</v>
      </c>
      <c r="L50" s="383">
        <v>0</v>
      </c>
      <c r="M50" s="383">
        <v>0</v>
      </c>
      <c r="N50" s="383">
        <v>0</v>
      </c>
      <c r="O50" s="383">
        <v>0</v>
      </c>
      <c r="P50" s="383">
        <v>0</v>
      </c>
      <c r="Q50" s="383">
        <v>0</v>
      </c>
      <c r="R50" s="383">
        <v>0</v>
      </c>
      <c r="S50" s="383">
        <v>0</v>
      </c>
      <c r="T50" s="383">
        <v>0</v>
      </c>
      <c r="U50" s="383">
        <v>0</v>
      </c>
      <c r="V50" s="383">
        <v>0</v>
      </c>
      <c r="W50" s="997"/>
      <c r="X50" s="96"/>
      <c r="Y50" s="997"/>
      <c r="Z50" s="96"/>
      <c r="AV50" s="191"/>
      <c r="AW50" s="191" t="s">
        <v>241</v>
      </c>
      <c r="AX50" s="191"/>
      <c r="AY50" s="40">
        <v>1</v>
      </c>
      <c r="AZ50" s="38" t="s">
        <v>31</v>
      </c>
      <c r="BA50" s="1176">
        <f t="shared" ref="BA50:BR50" si="26">E15</f>
        <v>50</v>
      </c>
      <c r="BB50" s="1176">
        <f t="shared" si="26"/>
        <v>5</v>
      </c>
      <c r="BC50" s="1176">
        <f t="shared" si="26"/>
        <v>0</v>
      </c>
      <c r="BD50" s="1176">
        <f t="shared" si="26"/>
        <v>0</v>
      </c>
      <c r="BE50" s="1176">
        <f t="shared" si="26"/>
        <v>0</v>
      </c>
      <c r="BF50" s="1176">
        <f t="shared" si="26"/>
        <v>0</v>
      </c>
      <c r="BG50" s="1176">
        <f t="shared" si="26"/>
        <v>0</v>
      </c>
      <c r="BH50" s="1176">
        <f t="shared" si="26"/>
        <v>5</v>
      </c>
      <c r="BI50" s="1176">
        <f t="shared" si="26"/>
        <v>5</v>
      </c>
      <c r="BJ50" s="1176">
        <f t="shared" si="26"/>
        <v>0.4</v>
      </c>
      <c r="BK50" s="1176">
        <f t="shared" si="26"/>
        <v>0.3</v>
      </c>
      <c r="BL50" s="1176">
        <f t="shared" si="26"/>
        <v>0.3</v>
      </c>
      <c r="BM50" s="1176">
        <f t="shared" si="26"/>
        <v>0</v>
      </c>
      <c r="BN50" s="1176">
        <f t="shared" si="26"/>
        <v>0</v>
      </c>
      <c r="BO50" s="1176">
        <f>S15</f>
        <v>2.5</v>
      </c>
      <c r="BP50" s="1176">
        <f t="shared" si="26"/>
        <v>2</v>
      </c>
      <c r="BQ50" s="1176">
        <f t="shared" si="26"/>
        <v>1</v>
      </c>
      <c r="BR50" s="1176">
        <f t="shared" si="26"/>
        <v>0</v>
      </c>
      <c r="BS50" s="1180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</row>
    <row r="51" spans="2:82" ht="25.5" customHeight="1" x14ac:dyDescent="0.45">
      <c r="B51" s="16">
        <v>8</v>
      </c>
      <c r="C51" s="17" t="s">
        <v>38</v>
      </c>
      <c r="D51" s="20" t="s">
        <v>31</v>
      </c>
      <c r="E51" s="383">
        <v>0</v>
      </c>
      <c r="F51" s="383">
        <v>0</v>
      </c>
      <c r="G51" s="383">
        <v>0</v>
      </c>
      <c r="H51" s="383">
        <v>0</v>
      </c>
      <c r="I51" s="383">
        <v>0</v>
      </c>
      <c r="J51" s="383">
        <v>0</v>
      </c>
      <c r="K51" s="383">
        <v>0</v>
      </c>
      <c r="L51" s="383">
        <v>0</v>
      </c>
      <c r="M51" s="383">
        <v>0</v>
      </c>
      <c r="N51" s="383">
        <v>0</v>
      </c>
      <c r="O51" s="383">
        <v>0</v>
      </c>
      <c r="P51" s="383">
        <v>0</v>
      </c>
      <c r="Q51" s="383">
        <v>0</v>
      </c>
      <c r="R51" s="383">
        <v>0</v>
      </c>
      <c r="S51" s="383">
        <v>0</v>
      </c>
      <c r="T51" s="383">
        <v>0</v>
      </c>
      <c r="U51" s="383">
        <v>0</v>
      </c>
      <c r="V51" s="383">
        <v>0</v>
      </c>
      <c r="W51" s="997"/>
      <c r="X51" s="96"/>
      <c r="Y51" s="997"/>
      <c r="Z51" s="96"/>
      <c r="AV51" s="191"/>
      <c r="AW51" s="191" t="s">
        <v>242</v>
      </c>
      <c r="AX51" s="191"/>
      <c r="AY51" s="40">
        <v>2</v>
      </c>
      <c r="AZ51" s="38" t="s">
        <v>31</v>
      </c>
      <c r="BA51" s="1176">
        <f t="shared" ref="BA51:BR51" si="27">E33</f>
        <v>0</v>
      </c>
      <c r="BB51" s="1176">
        <f t="shared" si="27"/>
        <v>0</v>
      </c>
      <c r="BC51" s="1176">
        <f t="shared" si="27"/>
        <v>0</v>
      </c>
      <c r="BD51" s="1176">
        <f t="shared" si="27"/>
        <v>0</v>
      </c>
      <c r="BE51" s="1176">
        <f t="shared" si="27"/>
        <v>0</v>
      </c>
      <c r="BF51" s="1176">
        <f t="shared" si="27"/>
        <v>0</v>
      </c>
      <c r="BG51" s="1176">
        <f t="shared" si="27"/>
        <v>0</v>
      </c>
      <c r="BH51" s="1176">
        <f t="shared" si="27"/>
        <v>0</v>
      </c>
      <c r="BI51" s="1176">
        <f t="shared" si="27"/>
        <v>0</v>
      </c>
      <c r="BJ51" s="1176">
        <f t="shared" si="27"/>
        <v>0</v>
      </c>
      <c r="BK51" s="1176">
        <f t="shared" si="27"/>
        <v>0</v>
      </c>
      <c r="BL51" s="1176">
        <f t="shared" si="27"/>
        <v>0</v>
      </c>
      <c r="BM51" s="1176">
        <f t="shared" si="27"/>
        <v>0</v>
      </c>
      <c r="BN51" s="1176">
        <f t="shared" si="27"/>
        <v>0</v>
      </c>
      <c r="BO51" s="1176">
        <f>S33</f>
        <v>2.5</v>
      </c>
      <c r="BP51" s="1176">
        <f t="shared" si="27"/>
        <v>0</v>
      </c>
      <c r="BQ51" s="1176">
        <f t="shared" si="27"/>
        <v>0</v>
      </c>
      <c r="BR51" s="1176">
        <f t="shared" si="27"/>
        <v>0</v>
      </c>
      <c r="BS51" s="1180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</row>
    <row r="52" spans="2:82" ht="25.5" customHeight="1" x14ac:dyDescent="0.45">
      <c r="B52" s="16">
        <v>9</v>
      </c>
      <c r="C52" s="17" t="s">
        <v>39</v>
      </c>
      <c r="D52" s="20" t="s">
        <v>31</v>
      </c>
      <c r="E52" s="383">
        <v>0</v>
      </c>
      <c r="F52" s="383">
        <v>0</v>
      </c>
      <c r="G52" s="383">
        <v>0</v>
      </c>
      <c r="H52" s="383">
        <v>0</v>
      </c>
      <c r="I52" s="383">
        <v>0</v>
      </c>
      <c r="J52" s="383">
        <v>0</v>
      </c>
      <c r="K52" s="383">
        <v>0</v>
      </c>
      <c r="L52" s="383">
        <v>0</v>
      </c>
      <c r="M52" s="383">
        <v>0</v>
      </c>
      <c r="N52" s="383">
        <v>0</v>
      </c>
      <c r="O52" s="383">
        <v>0</v>
      </c>
      <c r="P52" s="383">
        <v>0</v>
      </c>
      <c r="Q52" s="383">
        <v>0</v>
      </c>
      <c r="R52" s="383">
        <v>0</v>
      </c>
      <c r="S52" s="383">
        <v>0</v>
      </c>
      <c r="T52" s="383">
        <v>0</v>
      </c>
      <c r="U52" s="383">
        <v>0</v>
      </c>
      <c r="V52" s="383">
        <v>0</v>
      </c>
      <c r="W52" s="997"/>
      <c r="X52" s="96"/>
      <c r="Y52" s="997"/>
      <c r="Z52" s="96"/>
      <c r="AV52" s="191"/>
      <c r="AW52" s="191" t="s">
        <v>35</v>
      </c>
      <c r="AX52" s="191"/>
      <c r="AY52" s="40" t="s">
        <v>38</v>
      </c>
      <c r="AZ52" s="191"/>
      <c r="BA52" s="1176">
        <f>SUM(BA50:BA51)</f>
        <v>50</v>
      </c>
      <c r="BB52" s="1176">
        <f t="shared" ref="BB52:BR52" si="28">SUM(BB50:BB51)</f>
        <v>5</v>
      </c>
      <c r="BC52" s="1176">
        <f t="shared" si="28"/>
        <v>0</v>
      </c>
      <c r="BD52" s="1176">
        <f t="shared" si="28"/>
        <v>0</v>
      </c>
      <c r="BE52" s="1176">
        <f t="shared" si="28"/>
        <v>0</v>
      </c>
      <c r="BF52" s="1176">
        <f t="shared" si="28"/>
        <v>0</v>
      </c>
      <c r="BG52" s="1176">
        <f t="shared" si="28"/>
        <v>0</v>
      </c>
      <c r="BH52" s="1176">
        <f t="shared" si="28"/>
        <v>5</v>
      </c>
      <c r="BI52" s="1176">
        <f t="shared" si="28"/>
        <v>5</v>
      </c>
      <c r="BJ52" s="1176">
        <f t="shared" si="28"/>
        <v>0.4</v>
      </c>
      <c r="BK52" s="1176">
        <f t="shared" si="28"/>
        <v>0.3</v>
      </c>
      <c r="BL52" s="1176">
        <f t="shared" si="28"/>
        <v>0.3</v>
      </c>
      <c r="BM52" s="1176">
        <f t="shared" si="28"/>
        <v>0</v>
      </c>
      <c r="BN52" s="1176">
        <f t="shared" si="28"/>
        <v>0</v>
      </c>
      <c r="BO52" s="1176">
        <f t="shared" si="28"/>
        <v>5</v>
      </c>
      <c r="BP52" s="1176">
        <f t="shared" si="28"/>
        <v>2</v>
      </c>
      <c r="BQ52" s="1176">
        <f t="shared" si="28"/>
        <v>1</v>
      </c>
      <c r="BR52" s="1176">
        <f t="shared" si="28"/>
        <v>0</v>
      </c>
      <c r="BS52" s="1180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</row>
    <row r="53" spans="2:82" ht="25.5" customHeight="1" x14ac:dyDescent="0.45">
      <c r="B53" s="16">
        <v>10</v>
      </c>
      <c r="C53" s="17" t="s">
        <v>33</v>
      </c>
      <c r="D53" s="20" t="s">
        <v>31</v>
      </c>
      <c r="E53" s="383">
        <v>0</v>
      </c>
      <c r="F53" s="383">
        <v>0</v>
      </c>
      <c r="G53" s="383">
        <v>0</v>
      </c>
      <c r="H53" s="383">
        <v>0</v>
      </c>
      <c r="I53" s="383">
        <v>0</v>
      </c>
      <c r="J53" s="383">
        <v>0</v>
      </c>
      <c r="K53" s="383">
        <v>0</v>
      </c>
      <c r="L53" s="383">
        <v>0</v>
      </c>
      <c r="M53" s="383">
        <v>0</v>
      </c>
      <c r="N53" s="383">
        <v>0</v>
      </c>
      <c r="O53" s="383">
        <v>0</v>
      </c>
      <c r="P53" s="383">
        <v>0</v>
      </c>
      <c r="Q53" s="383">
        <v>0</v>
      </c>
      <c r="R53" s="383">
        <v>0</v>
      </c>
      <c r="S53" s="383">
        <v>0</v>
      </c>
      <c r="T53" s="383">
        <v>0</v>
      </c>
      <c r="U53" s="383">
        <v>0</v>
      </c>
      <c r="V53" s="383">
        <v>0</v>
      </c>
      <c r="W53" s="997"/>
      <c r="X53" s="96"/>
      <c r="Y53" s="997"/>
      <c r="Z53" s="96"/>
      <c r="AV53" s="191"/>
      <c r="AW53" s="191" t="s">
        <v>241</v>
      </c>
      <c r="AX53" s="191"/>
      <c r="AY53" s="40">
        <v>1</v>
      </c>
      <c r="AZ53" s="38" t="s">
        <v>31</v>
      </c>
      <c r="BA53" s="1176">
        <f t="shared" ref="BA53:BR53" si="29">E16</f>
        <v>0</v>
      </c>
      <c r="BB53" s="1176">
        <f t="shared" si="29"/>
        <v>0</v>
      </c>
      <c r="BC53" s="1176">
        <f t="shared" si="29"/>
        <v>0</v>
      </c>
      <c r="BD53" s="1176">
        <f t="shared" si="29"/>
        <v>0</v>
      </c>
      <c r="BE53" s="1176">
        <f t="shared" si="29"/>
        <v>0</v>
      </c>
      <c r="BF53" s="1176">
        <f t="shared" si="29"/>
        <v>0</v>
      </c>
      <c r="BG53" s="1176">
        <f t="shared" si="29"/>
        <v>0</v>
      </c>
      <c r="BH53" s="1176">
        <f t="shared" si="29"/>
        <v>0</v>
      </c>
      <c r="BI53" s="1176">
        <f t="shared" si="29"/>
        <v>0</v>
      </c>
      <c r="BJ53" s="1176">
        <f t="shared" si="29"/>
        <v>0</v>
      </c>
      <c r="BK53" s="1176">
        <f t="shared" si="29"/>
        <v>0</v>
      </c>
      <c r="BL53" s="1176">
        <f t="shared" si="29"/>
        <v>0</v>
      </c>
      <c r="BM53" s="1176">
        <f t="shared" si="29"/>
        <v>0</v>
      </c>
      <c r="BN53" s="1176">
        <f t="shared" si="29"/>
        <v>0</v>
      </c>
      <c r="BO53" s="1176">
        <f t="shared" si="29"/>
        <v>0</v>
      </c>
      <c r="BP53" s="1176">
        <f t="shared" si="29"/>
        <v>0</v>
      </c>
      <c r="BQ53" s="1176">
        <f t="shared" si="29"/>
        <v>0</v>
      </c>
      <c r="BR53" s="1176">
        <f t="shared" si="29"/>
        <v>0</v>
      </c>
      <c r="BS53" s="1180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</row>
    <row r="54" spans="2:82" ht="25.5" customHeight="1" x14ac:dyDescent="0.45">
      <c r="B54" s="16">
        <v>11</v>
      </c>
      <c r="C54" s="17" t="s">
        <v>40</v>
      </c>
      <c r="D54" s="20" t="s">
        <v>31</v>
      </c>
      <c r="E54" s="383">
        <v>0</v>
      </c>
      <c r="F54" s="383">
        <v>0</v>
      </c>
      <c r="G54" s="383">
        <v>0</v>
      </c>
      <c r="H54" s="383">
        <v>0</v>
      </c>
      <c r="I54" s="383">
        <v>0</v>
      </c>
      <c r="J54" s="383">
        <v>0</v>
      </c>
      <c r="K54" s="383">
        <v>0</v>
      </c>
      <c r="L54" s="383">
        <v>0</v>
      </c>
      <c r="M54" s="383">
        <v>0</v>
      </c>
      <c r="N54" s="383">
        <v>0</v>
      </c>
      <c r="O54" s="383">
        <v>0</v>
      </c>
      <c r="P54" s="383">
        <v>0</v>
      </c>
      <c r="Q54" s="383">
        <v>0</v>
      </c>
      <c r="R54" s="383">
        <v>0</v>
      </c>
      <c r="S54" s="383">
        <v>0</v>
      </c>
      <c r="T54" s="383">
        <v>0</v>
      </c>
      <c r="U54" s="383">
        <v>0</v>
      </c>
      <c r="V54" s="383">
        <v>0</v>
      </c>
      <c r="W54" s="997"/>
      <c r="X54" s="96"/>
      <c r="Y54" s="997"/>
      <c r="Z54" s="96"/>
      <c r="AV54" s="191"/>
      <c r="AW54" s="191" t="s">
        <v>242</v>
      </c>
      <c r="AX54" s="191"/>
      <c r="AY54" s="40">
        <v>2</v>
      </c>
      <c r="AZ54" s="38" t="s">
        <v>31</v>
      </c>
      <c r="BA54" s="1176">
        <f t="shared" ref="BA54:BR54" si="30">E34</f>
        <v>30</v>
      </c>
      <c r="BB54" s="1176">
        <f t="shared" si="30"/>
        <v>2</v>
      </c>
      <c r="BC54" s="1176">
        <f t="shared" si="30"/>
        <v>0</v>
      </c>
      <c r="BD54" s="1176">
        <f t="shared" si="30"/>
        <v>0</v>
      </c>
      <c r="BE54" s="1176">
        <f t="shared" si="30"/>
        <v>0</v>
      </c>
      <c r="BF54" s="1176">
        <f t="shared" si="30"/>
        <v>0</v>
      </c>
      <c r="BG54" s="1176">
        <f t="shared" si="30"/>
        <v>0</v>
      </c>
      <c r="BH54" s="1176">
        <f t="shared" si="30"/>
        <v>0</v>
      </c>
      <c r="BI54" s="1176">
        <f t="shared" si="30"/>
        <v>0</v>
      </c>
      <c r="BJ54" s="1176">
        <f t="shared" si="30"/>
        <v>0</v>
      </c>
      <c r="BK54" s="1176">
        <f t="shared" si="30"/>
        <v>0</v>
      </c>
      <c r="BL54" s="1176">
        <f t="shared" si="30"/>
        <v>0</v>
      </c>
      <c r="BM54" s="1176">
        <f t="shared" si="30"/>
        <v>0</v>
      </c>
      <c r="BN54" s="1176">
        <f t="shared" si="30"/>
        <v>0</v>
      </c>
      <c r="BO54" s="1176">
        <f t="shared" si="30"/>
        <v>3</v>
      </c>
      <c r="BP54" s="1176">
        <f t="shared" si="30"/>
        <v>0</v>
      </c>
      <c r="BQ54" s="1176">
        <f t="shared" si="30"/>
        <v>0.5</v>
      </c>
      <c r="BR54" s="1176">
        <f t="shared" si="30"/>
        <v>0</v>
      </c>
      <c r="BS54" s="1180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</row>
    <row r="55" spans="2:82" ht="25.5" customHeight="1" x14ac:dyDescent="0.45">
      <c r="B55" s="16">
        <v>12</v>
      </c>
      <c r="C55" s="17" t="s">
        <v>41</v>
      </c>
      <c r="D55" s="20" t="s">
        <v>31</v>
      </c>
      <c r="E55" s="383">
        <v>0</v>
      </c>
      <c r="F55" s="383">
        <v>0</v>
      </c>
      <c r="G55" s="383">
        <v>0</v>
      </c>
      <c r="H55" s="383">
        <v>0</v>
      </c>
      <c r="I55" s="383">
        <v>0</v>
      </c>
      <c r="J55" s="383">
        <v>0</v>
      </c>
      <c r="K55" s="383">
        <v>0</v>
      </c>
      <c r="L55" s="383">
        <v>0</v>
      </c>
      <c r="M55" s="383">
        <v>0</v>
      </c>
      <c r="N55" s="383">
        <v>0</v>
      </c>
      <c r="O55" s="383">
        <v>0</v>
      </c>
      <c r="P55" s="383">
        <v>0</v>
      </c>
      <c r="Q55" s="383">
        <v>0</v>
      </c>
      <c r="R55" s="383">
        <v>0</v>
      </c>
      <c r="S55" s="383">
        <v>0</v>
      </c>
      <c r="T55" s="383">
        <v>0</v>
      </c>
      <c r="U55" s="383">
        <v>0</v>
      </c>
      <c r="V55" s="383">
        <v>0</v>
      </c>
      <c r="W55" s="997"/>
      <c r="X55" s="96"/>
      <c r="Y55" s="997"/>
      <c r="Z55" s="96"/>
      <c r="AV55" s="191"/>
      <c r="AW55" s="191" t="s">
        <v>35</v>
      </c>
      <c r="AX55" s="191"/>
      <c r="AY55" s="40" t="s">
        <v>39</v>
      </c>
      <c r="AZ55" s="191"/>
      <c r="BA55" s="1176">
        <f>SUM(BA53:BA54)</f>
        <v>30</v>
      </c>
      <c r="BB55" s="1176">
        <f t="shared" ref="BB55:BR55" si="31">SUM(BB53:BB54)</f>
        <v>2</v>
      </c>
      <c r="BC55" s="1176">
        <f t="shared" si="31"/>
        <v>0</v>
      </c>
      <c r="BD55" s="1176">
        <f t="shared" si="31"/>
        <v>0</v>
      </c>
      <c r="BE55" s="1176">
        <f t="shared" si="31"/>
        <v>0</v>
      </c>
      <c r="BF55" s="1176">
        <f t="shared" si="31"/>
        <v>0</v>
      </c>
      <c r="BG55" s="1176">
        <f t="shared" si="31"/>
        <v>0</v>
      </c>
      <c r="BH55" s="1176">
        <f t="shared" si="31"/>
        <v>0</v>
      </c>
      <c r="BI55" s="1176">
        <f t="shared" si="31"/>
        <v>0</v>
      </c>
      <c r="BJ55" s="1176">
        <f t="shared" si="31"/>
        <v>0</v>
      </c>
      <c r="BK55" s="1176">
        <f t="shared" si="31"/>
        <v>0</v>
      </c>
      <c r="BL55" s="1176">
        <f t="shared" si="31"/>
        <v>0</v>
      </c>
      <c r="BM55" s="1176">
        <f t="shared" si="31"/>
        <v>0</v>
      </c>
      <c r="BN55" s="1176">
        <f t="shared" si="31"/>
        <v>0</v>
      </c>
      <c r="BO55" s="1176">
        <f t="shared" si="31"/>
        <v>3</v>
      </c>
      <c r="BP55" s="1176">
        <f t="shared" si="31"/>
        <v>0</v>
      </c>
      <c r="BQ55" s="1176">
        <f t="shared" si="31"/>
        <v>0.5</v>
      </c>
      <c r="BR55" s="1176">
        <f t="shared" si="31"/>
        <v>0</v>
      </c>
      <c r="BS55" s="1180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</row>
    <row r="56" spans="2:82" ht="25.5" customHeight="1" x14ac:dyDescent="0.45">
      <c r="B56" s="357"/>
      <c r="C56" s="357" t="s">
        <v>29</v>
      </c>
      <c r="D56" s="20" t="s">
        <v>31</v>
      </c>
      <c r="E56" s="384">
        <f t="shared" ref="E56:V56" si="32">SUM(E44:E55)</f>
        <v>29.6</v>
      </c>
      <c r="F56" s="384">
        <f t="shared" si="32"/>
        <v>3.16</v>
      </c>
      <c r="G56" s="384">
        <f t="shared" si="32"/>
        <v>0</v>
      </c>
      <c r="H56" s="384">
        <f t="shared" si="32"/>
        <v>0</v>
      </c>
      <c r="I56" s="384">
        <f t="shared" si="32"/>
        <v>0</v>
      </c>
      <c r="J56" s="384">
        <f t="shared" si="32"/>
        <v>0</v>
      </c>
      <c r="K56" s="384">
        <f t="shared" si="32"/>
        <v>0</v>
      </c>
      <c r="L56" s="384">
        <f t="shared" si="32"/>
        <v>10.16</v>
      </c>
      <c r="M56" s="384">
        <f t="shared" si="32"/>
        <v>3.6</v>
      </c>
      <c r="N56" s="384">
        <f t="shared" si="32"/>
        <v>0.28799999999999998</v>
      </c>
      <c r="O56" s="384">
        <f t="shared" si="32"/>
        <v>0.44800000000000001</v>
      </c>
      <c r="P56" s="384">
        <f t="shared" si="32"/>
        <v>0.38800000000000001</v>
      </c>
      <c r="Q56" s="384">
        <f t="shared" si="32"/>
        <v>0</v>
      </c>
      <c r="R56" s="384">
        <f t="shared" si="32"/>
        <v>0</v>
      </c>
      <c r="S56" s="384">
        <f t="shared" si="32"/>
        <v>0.48</v>
      </c>
      <c r="T56" s="384">
        <f t="shared" si="32"/>
        <v>1.5920000000000001</v>
      </c>
      <c r="U56" s="384">
        <f t="shared" si="32"/>
        <v>0.75519999999999998</v>
      </c>
      <c r="V56" s="384">
        <f t="shared" si="32"/>
        <v>0</v>
      </c>
      <c r="W56" s="382"/>
      <c r="X56" s="382"/>
      <c r="Y56" s="382"/>
      <c r="Z56" s="382"/>
      <c r="AV56" s="191"/>
      <c r="AW56" s="191" t="s">
        <v>241</v>
      </c>
      <c r="AX56" s="191"/>
      <c r="AY56" s="40">
        <v>1</v>
      </c>
      <c r="AZ56" s="38" t="s">
        <v>31</v>
      </c>
      <c r="BA56" s="1176">
        <f t="shared" ref="BA56:BR56" si="33">E17</f>
        <v>0</v>
      </c>
      <c r="BB56" s="1176">
        <f t="shared" si="33"/>
        <v>0</v>
      </c>
      <c r="BC56" s="1176">
        <f t="shared" si="33"/>
        <v>0</v>
      </c>
      <c r="BD56" s="1176">
        <f t="shared" si="33"/>
        <v>0</v>
      </c>
      <c r="BE56" s="1176">
        <f t="shared" si="33"/>
        <v>0</v>
      </c>
      <c r="BF56" s="1176">
        <f t="shared" si="33"/>
        <v>0</v>
      </c>
      <c r="BG56" s="1176">
        <f t="shared" si="33"/>
        <v>0</v>
      </c>
      <c r="BH56" s="1176">
        <f t="shared" si="33"/>
        <v>0</v>
      </c>
      <c r="BI56" s="1176">
        <f t="shared" si="33"/>
        <v>0</v>
      </c>
      <c r="BJ56" s="1176">
        <f t="shared" si="33"/>
        <v>0</v>
      </c>
      <c r="BK56" s="1176">
        <f t="shared" si="33"/>
        <v>0</v>
      </c>
      <c r="BL56" s="1176">
        <f t="shared" si="33"/>
        <v>0</v>
      </c>
      <c r="BM56" s="1176">
        <f t="shared" si="33"/>
        <v>0</v>
      </c>
      <c r="BN56" s="1176">
        <f t="shared" si="33"/>
        <v>0</v>
      </c>
      <c r="BO56" s="1176">
        <f t="shared" si="33"/>
        <v>0</v>
      </c>
      <c r="BP56" s="1176">
        <f t="shared" si="33"/>
        <v>0</v>
      </c>
      <c r="BQ56" s="1176">
        <f t="shared" si="33"/>
        <v>0</v>
      </c>
      <c r="BR56" s="1176">
        <f t="shared" si="33"/>
        <v>0</v>
      </c>
      <c r="BS56" s="1180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</row>
    <row r="57" spans="2:82" ht="25.5" customHeight="1" x14ac:dyDescent="0.45">
      <c r="B57" s="41"/>
      <c r="C57" s="40"/>
      <c r="D57" s="3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8"/>
      <c r="U57" s="378"/>
      <c r="V57" s="378"/>
      <c r="W57" s="379"/>
      <c r="X57" s="380"/>
      <c r="Y57" s="379"/>
      <c r="Z57" s="380"/>
      <c r="AV57" s="191"/>
      <c r="AW57" s="191" t="s">
        <v>242</v>
      </c>
      <c r="AX57" s="191"/>
      <c r="AY57" s="40">
        <v>2</v>
      </c>
      <c r="AZ57" s="38" t="s">
        <v>31</v>
      </c>
      <c r="BA57" s="1176">
        <f t="shared" ref="BA57:BR57" si="34">E35</f>
        <v>0</v>
      </c>
      <c r="BB57" s="1176">
        <f t="shared" si="34"/>
        <v>0</v>
      </c>
      <c r="BC57" s="1176">
        <f t="shared" si="34"/>
        <v>0</v>
      </c>
      <c r="BD57" s="1176">
        <f t="shared" si="34"/>
        <v>0</v>
      </c>
      <c r="BE57" s="1176">
        <f t="shared" si="34"/>
        <v>0</v>
      </c>
      <c r="BF57" s="1176">
        <f t="shared" si="34"/>
        <v>0</v>
      </c>
      <c r="BG57" s="1176">
        <f t="shared" si="34"/>
        <v>0</v>
      </c>
      <c r="BH57" s="1176">
        <f t="shared" si="34"/>
        <v>0</v>
      </c>
      <c r="BI57" s="1176">
        <f t="shared" si="34"/>
        <v>0</v>
      </c>
      <c r="BJ57" s="1176">
        <f t="shared" si="34"/>
        <v>0</v>
      </c>
      <c r="BK57" s="1176">
        <f t="shared" si="34"/>
        <v>0</v>
      </c>
      <c r="BL57" s="1176">
        <f t="shared" si="34"/>
        <v>0</v>
      </c>
      <c r="BM57" s="1176">
        <f t="shared" si="34"/>
        <v>0</v>
      </c>
      <c r="BN57" s="1176">
        <f t="shared" si="34"/>
        <v>0</v>
      </c>
      <c r="BO57" s="1176">
        <f t="shared" si="34"/>
        <v>0</v>
      </c>
      <c r="BP57" s="1176">
        <f t="shared" si="34"/>
        <v>0</v>
      </c>
      <c r="BQ57" s="1176">
        <f t="shared" si="34"/>
        <v>0</v>
      </c>
      <c r="BR57" s="1176">
        <f t="shared" si="34"/>
        <v>0</v>
      </c>
      <c r="BS57" s="303">
        <f>SUM(BA40:BR40)</f>
        <v>4</v>
      </c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</row>
    <row r="58" spans="2:82" ht="25.5" customHeight="1" x14ac:dyDescent="0.45">
      <c r="B58" s="1542" t="s">
        <v>333</v>
      </c>
      <c r="C58" s="1542"/>
      <c r="D58" s="37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79"/>
      <c r="X58" s="380"/>
      <c r="Y58" s="379"/>
      <c r="Z58" s="380"/>
      <c r="AV58" s="191"/>
      <c r="AW58" s="191" t="s">
        <v>35</v>
      </c>
      <c r="AX58" s="191"/>
      <c r="AY58" s="40" t="s">
        <v>33</v>
      </c>
      <c r="AZ58" s="191"/>
      <c r="BA58" s="1176">
        <f>SUM(BA56:BA57)</f>
        <v>0</v>
      </c>
      <c r="BB58" s="1176">
        <f t="shared" ref="BB58:BR58" si="35">SUM(BB56:BB57)</f>
        <v>0</v>
      </c>
      <c r="BC58" s="1176">
        <f t="shared" si="35"/>
        <v>0</v>
      </c>
      <c r="BD58" s="1176">
        <f t="shared" si="35"/>
        <v>0</v>
      </c>
      <c r="BE58" s="1176">
        <f t="shared" si="35"/>
        <v>0</v>
      </c>
      <c r="BF58" s="1176">
        <f t="shared" si="35"/>
        <v>0</v>
      </c>
      <c r="BG58" s="1176">
        <f t="shared" si="35"/>
        <v>0</v>
      </c>
      <c r="BH58" s="1176">
        <f t="shared" si="35"/>
        <v>0</v>
      </c>
      <c r="BI58" s="1176">
        <f t="shared" si="35"/>
        <v>0</v>
      </c>
      <c r="BJ58" s="1176">
        <f t="shared" si="35"/>
        <v>0</v>
      </c>
      <c r="BK58" s="1176">
        <f t="shared" si="35"/>
        <v>0</v>
      </c>
      <c r="BL58" s="1176">
        <f t="shared" si="35"/>
        <v>0</v>
      </c>
      <c r="BM58" s="1176">
        <f t="shared" si="35"/>
        <v>0</v>
      </c>
      <c r="BN58" s="1176">
        <f t="shared" si="35"/>
        <v>0</v>
      </c>
      <c r="BO58" s="1176">
        <f t="shared" si="35"/>
        <v>0</v>
      </c>
      <c r="BP58" s="1176">
        <f t="shared" si="35"/>
        <v>0</v>
      </c>
      <c r="BQ58" s="1176">
        <f t="shared" si="35"/>
        <v>0</v>
      </c>
      <c r="BR58" s="1176">
        <f t="shared" si="35"/>
        <v>0</v>
      </c>
      <c r="BS58" s="1180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</row>
    <row r="59" spans="2:82" ht="25.5" customHeight="1" x14ac:dyDescent="0.5">
      <c r="B59" s="1538" t="s">
        <v>90</v>
      </c>
      <c r="C59" s="1538"/>
      <c r="D59" s="1538"/>
      <c r="E59" s="1538"/>
      <c r="F59" s="1538"/>
      <c r="G59" s="1538"/>
      <c r="H59" s="1538"/>
      <c r="I59" s="1538"/>
      <c r="J59" s="1538" t="s">
        <v>90</v>
      </c>
      <c r="K59" s="1538"/>
      <c r="L59" s="1538"/>
      <c r="M59" s="1538"/>
      <c r="N59" s="1538"/>
      <c r="O59" s="1538"/>
      <c r="P59" s="1538"/>
      <c r="Q59" s="1538"/>
      <c r="R59" s="12"/>
      <c r="S59" s="12"/>
      <c r="T59" s="12"/>
      <c r="U59" s="13"/>
      <c r="V59" s="13"/>
      <c r="W59" s="1547" t="s">
        <v>88</v>
      </c>
      <c r="X59" s="1547"/>
      <c r="Y59" s="1547" t="s">
        <v>89</v>
      </c>
      <c r="Z59" s="1547"/>
      <c r="AV59" s="191"/>
      <c r="AW59" s="191" t="s">
        <v>241</v>
      </c>
      <c r="AX59" s="191"/>
      <c r="AY59" s="40">
        <v>1</v>
      </c>
      <c r="AZ59" s="38" t="s">
        <v>31</v>
      </c>
      <c r="BA59" s="1176">
        <f t="shared" ref="BA59:BR59" si="36">E18</f>
        <v>0</v>
      </c>
      <c r="BB59" s="1176">
        <f t="shared" si="36"/>
        <v>0</v>
      </c>
      <c r="BC59" s="1176">
        <f t="shared" si="36"/>
        <v>0</v>
      </c>
      <c r="BD59" s="1176">
        <f t="shared" si="36"/>
        <v>0</v>
      </c>
      <c r="BE59" s="1176">
        <f t="shared" si="36"/>
        <v>0</v>
      </c>
      <c r="BF59" s="1176">
        <f t="shared" si="36"/>
        <v>0</v>
      </c>
      <c r="BG59" s="1176">
        <f t="shared" si="36"/>
        <v>0</v>
      </c>
      <c r="BH59" s="1176">
        <f t="shared" si="36"/>
        <v>0</v>
      </c>
      <c r="BI59" s="1176">
        <f t="shared" si="36"/>
        <v>0</v>
      </c>
      <c r="BJ59" s="1176">
        <f t="shared" si="36"/>
        <v>0</v>
      </c>
      <c r="BK59" s="1176">
        <f t="shared" si="36"/>
        <v>0</v>
      </c>
      <c r="BL59" s="1176">
        <f t="shared" si="36"/>
        <v>0</v>
      </c>
      <c r="BM59" s="1176">
        <f t="shared" si="36"/>
        <v>0</v>
      </c>
      <c r="BN59" s="1176">
        <f t="shared" si="36"/>
        <v>0</v>
      </c>
      <c r="BO59" s="1176">
        <f t="shared" si="36"/>
        <v>0</v>
      </c>
      <c r="BP59" s="1176">
        <f t="shared" si="36"/>
        <v>0</v>
      </c>
      <c r="BQ59" s="1176">
        <f t="shared" si="36"/>
        <v>0</v>
      </c>
      <c r="BR59" s="1176">
        <f t="shared" si="36"/>
        <v>0</v>
      </c>
      <c r="BS59" s="1180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</row>
    <row r="60" spans="2:82" ht="42" customHeight="1" x14ac:dyDescent="0.45">
      <c r="B60" s="1536" t="s">
        <v>86</v>
      </c>
      <c r="C60" s="1536" t="s">
        <v>106</v>
      </c>
      <c r="D60" s="26" t="s">
        <v>84</v>
      </c>
      <c r="E60" s="372" t="s">
        <v>97</v>
      </c>
      <c r="F60" s="372" t="s">
        <v>74</v>
      </c>
      <c r="G60" s="372" t="s">
        <v>75</v>
      </c>
      <c r="H60" s="372" t="s">
        <v>63</v>
      </c>
      <c r="I60" s="372" t="s">
        <v>64</v>
      </c>
      <c r="J60" s="372" t="s">
        <v>236</v>
      </c>
      <c r="K60" s="372" t="s">
        <v>66</v>
      </c>
      <c r="L60" s="372" t="s">
        <v>67</v>
      </c>
      <c r="M60" s="372" t="s">
        <v>76</v>
      </c>
      <c r="N60" s="372" t="s">
        <v>68</v>
      </c>
      <c r="O60" s="372" t="s">
        <v>69</v>
      </c>
      <c r="P60" s="372" t="s">
        <v>70</v>
      </c>
      <c r="Q60" s="373" t="s">
        <v>71</v>
      </c>
      <c r="R60" s="374" t="s">
        <v>77</v>
      </c>
      <c r="S60" s="374" t="s">
        <v>72</v>
      </c>
      <c r="T60" s="372" t="s">
        <v>73</v>
      </c>
      <c r="U60" s="374" t="s">
        <v>313</v>
      </c>
      <c r="V60" s="372"/>
      <c r="W60" s="18" t="s">
        <v>17</v>
      </c>
      <c r="X60" s="18" t="s">
        <v>85</v>
      </c>
      <c r="Y60" s="18" t="s">
        <v>17</v>
      </c>
      <c r="Z60" s="18" t="s">
        <v>85</v>
      </c>
      <c r="AV60" s="191"/>
      <c r="AW60" s="191" t="s">
        <v>242</v>
      </c>
      <c r="AX60" s="191"/>
      <c r="AY60" s="40">
        <v>2</v>
      </c>
      <c r="AZ60" s="38" t="s">
        <v>31</v>
      </c>
      <c r="BA60" s="1176">
        <f t="shared" ref="BA60:BR60" si="37">E36</f>
        <v>0</v>
      </c>
      <c r="BB60" s="1176">
        <f t="shared" si="37"/>
        <v>0</v>
      </c>
      <c r="BC60" s="1176">
        <f t="shared" si="37"/>
        <v>0</v>
      </c>
      <c r="BD60" s="1176">
        <f t="shared" si="37"/>
        <v>0</v>
      </c>
      <c r="BE60" s="1176">
        <f t="shared" si="37"/>
        <v>0</v>
      </c>
      <c r="BF60" s="1176">
        <f t="shared" si="37"/>
        <v>0</v>
      </c>
      <c r="BG60" s="1176">
        <f t="shared" si="37"/>
        <v>0</v>
      </c>
      <c r="BH60" s="1176">
        <f t="shared" si="37"/>
        <v>0</v>
      </c>
      <c r="BI60" s="1176">
        <f t="shared" si="37"/>
        <v>0</v>
      </c>
      <c r="BJ60" s="1176">
        <f t="shared" si="37"/>
        <v>0</v>
      </c>
      <c r="BK60" s="1176">
        <f t="shared" si="37"/>
        <v>0</v>
      </c>
      <c r="BL60" s="1176">
        <f t="shared" si="37"/>
        <v>0</v>
      </c>
      <c r="BM60" s="1176">
        <f t="shared" si="37"/>
        <v>0</v>
      </c>
      <c r="BN60" s="1176">
        <f t="shared" si="37"/>
        <v>0</v>
      </c>
      <c r="BO60" s="1176">
        <f t="shared" si="37"/>
        <v>0</v>
      </c>
      <c r="BP60" s="1176">
        <f t="shared" si="37"/>
        <v>0</v>
      </c>
      <c r="BQ60" s="1176">
        <f t="shared" si="37"/>
        <v>0</v>
      </c>
      <c r="BR60" s="1176">
        <f t="shared" si="37"/>
        <v>0</v>
      </c>
      <c r="BS60" s="303">
        <f t="shared" ref="BS60:BS86" si="38">SUM(BA41:BR41)</f>
        <v>121.7</v>
      </c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</row>
    <row r="61" spans="2:82" ht="24.75" customHeight="1" x14ac:dyDescent="0.45">
      <c r="B61" s="1537"/>
      <c r="C61" s="1537"/>
      <c r="D61" s="32" t="s">
        <v>284</v>
      </c>
      <c r="E61" s="375" t="s">
        <v>81</v>
      </c>
      <c r="F61" s="375" t="s">
        <v>81</v>
      </c>
      <c r="G61" s="375" t="s">
        <v>81</v>
      </c>
      <c r="H61" s="375" t="s">
        <v>81</v>
      </c>
      <c r="I61" s="375" t="s">
        <v>81</v>
      </c>
      <c r="J61" s="375" t="s">
        <v>81</v>
      </c>
      <c r="K61" s="375" t="s">
        <v>81</v>
      </c>
      <c r="L61" s="375" t="s">
        <v>81</v>
      </c>
      <c r="M61" s="375" t="s">
        <v>81</v>
      </c>
      <c r="N61" s="375" t="s">
        <v>81</v>
      </c>
      <c r="O61" s="375" t="s">
        <v>81</v>
      </c>
      <c r="P61" s="375" t="s">
        <v>81</v>
      </c>
      <c r="Q61" s="375" t="s">
        <v>81</v>
      </c>
      <c r="R61" s="375" t="s">
        <v>81</v>
      </c>
      <c r="S61" s="375" t="s">
        <v>215</v>
      </c>
      <c r="T61" s="375" t="s">
        <v>81</v>
      </c>
      <c r="U61" s="375" t="s">
        <v>81</v>
      </c>
      <c r="V61" s="375" t="s">
        <v>81</v>
      </c>
      <c r="W61" s="2">
        <v>19</v>
      </c>
      <c r="X61" s="2">
        <v>20</v>
      </c>
      <c r="Y61" s="2">
        <v>21</v>
      </c>
      <c r="Z61" s="2">
        <v>22</v>
      </c>
      <c r="AV61" s="191"/>
      <c r="AW61" s="191" t="s">
        <v>35</v>
      </c>
      <c r="AX61" s="191"/>
      <c r="AY61" s="40" t="s">
        <v>40</v>
      </c>
      <c r="AZ61" s="191"/>
      <c r="BA61" s="1176">
        <f>SUM(BA59:BA60)</f>
        <v>0</v>
      </c>
      <c r="BB61" s="1176">
        <f t="shared" ref="BB61:BR61" si="39">SUM(BB59:BB60)</f>
        <v>0</v>
      </c>
      <c r="BC61" s="1176">
        <f t="shared" si="39"/>
        <v>0</v>
      </c>
      <c r="BD61" s="1176">
        <f t="shared" si="39"/>
        <v>0</v>
      </c>
      <c r="BE61" s="1176">
        <f t="shared" si="39"/>
        <v>0</v>
      </c>
      <c r="BF61" s="1176">
        <f t="shared" si="39"/>
        <v>0</v>
      </c>
      <c r="BG61" s="1176">
        <f t="shared" si="39"/>
        <v>0</v>
      </c>
      <c r="BH61" s="1176">
        <f t="shared" si="39"/>
        <v>0</v>
      </c>
      <c r="BI61" s="1176">
        <f t="shared" si="39"/>
        <v>0</v>
      </c>
      <c r="BJ61" s="1176">
        <f t="shared" si="39"/>
        <v>0</v>
      </c>
      <c r="BK61" s="1176">
        <f t="shared" si="39"/>
        <v>0</v>
      </c>
      <c r="BL61" s="1176">
        <f t="shared" si="39"/>
        <v>0</v>
      </c>
      <c r="BM61" s="1176">
        <f t="shared" si="39"/>
        <v>0</v>
      </c>
      <c r="BN61" s="1176">
        <f t="shared" si="39"/>
        <v>0</v>
      </c>
      <c r="BO61" s="1176">
        <f t="shared" si="39"/>
        <v>0</v>
      </c>
      <c r="BP61" s="1176">
        <f t="shared" si="39"/>
        <v>0</v>
      </c>
      <c r="BQ61" s="1176">
        <f t="shared" si="39"/>
        <v>0</v>
      </c>
      <c r="BR61" s="1176">
        <f t="shared" si="39"/>
        <v>0</v>
      </c>
      <c r="BS61" s="303">
        <f t="shared" si="38"/>
        <v>8.5</v>
      </c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</row>
    <row r="62" spans="2:82" ht="25.5" customHeight="1" x14ac:dyDescent="0.45">
      <c r="B62" s="1540" t="s">
        <v>87</v>
      </c>
      <c r="C62" s="1541"/>
      <c r="D62" s="19" t="s">
        <v>30</v>
      </c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997"/>
      <c r="X62" s="96"/>
      <c r="Y62" s="997"/>
      <c r="Z62" s="96"/>
      <c r="AV62" s="191"/>
      <c r="AW62" s="191" t="s">
        <v>241</v>
      </c>
      <c r="AX62" s="191"/>
      <c r="AY62" s="40">
        <v>1</v>
      </c>
      <c r="AZ62" s="38" t="s">
        <v>31</v>
      </c>
      <c r="BA62" s="1176">
        <f t="shared" ref="BA62:BR62" si="40">E19</f>
        <v>0</v>
      </c>
      <c r="BB62" s="1176">
        <f t="shared" si="40"/>
        <v>0</v>
      </c>
      <c r="BC62" s="1176">
        <f t="shared" si="40"/>
        <v>0</v>
      </c>
      <c r="BD62" s="1176">
        <f t="shared" si="40"/>
        <v>0</v>
      </c>
      <c r="BE62" s="1176">
        <f t="shared" si="40"/>
        <v>0</v>
      </c>
      <c r="BF62" s="1176">
        <f t="shared" si="40"/>
        <v>0</v>
      </c>
      <c r="BG62" s="1176">
        <f t="shared" si="40"/>
        <v>0</v>
      </c>
      <c r="BH62" s="1176">
        <f t="shared" si="40"/>
        <v>0</v>
      </c>
      <c r="BI62" s="1176">
        <f t="shared" si="40"/>
        <v>0</v>
      </c>
      <c r="BJ62" s="1176">
        <f t="shared" si="40"/>
        <v>0</v>
      </c>
      <c r="BK62" s="1176">
        <f t="shared" si="40"/>
        <v>0</v>
      </c>
      <c r="BL62" s="1176">
        <f t="shared" si="40"/>
        <v>0</v>
      </c>
      <c r="BM62" s="1176">
        <f t="shared" si="40"/>
        <v>0</v>
      </c>
      <c r="BN62" s="1176">
        <f t="shared" si="40"/>
        <v>0</v>
      </c>
      <c r="BO62" s="1176">
        <f t="shared" si="40"/>
        <v>0</v>
      </c>
      <c r="BP62" s="1176">
        <f t="shared" si="40"/>
        <v>0</v>
      </c>
      <c r="BQ62" s="1176">
        <f t="shared" si="40"/>
        <v>0</v>
      </c>
      <c r="BR62" s="1176">
        <f t="shared" si="40"/>
        <v>0</v>
      </c>
      <c r="BS62" s="303">
        <f t="shared" si="38"/>
        <v>130.19999999999999</v>
      </c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</row>
    <row r="63" spans="2:82" ht="25.5" customHeight="1" x14ac:dyDescent="0.45">
      <c r="B63" s="16">
        <v>1</v>
      </c>
      <c r="C63" s="17" t="s">
        <v>42</v>
      </c>
      <c r="D63" s="39" t="s">
        <v>30</v>
      </c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997"/>
      <c r="X63" s="96"/>
      <c r="Y63" s="997"/>
      <c r="Z63" s="96"/>
      <c r="AV63" s="191"/>
      <c r="AW63" s="191" t="s">
        <v>242</v>
      </c>
      <c r="AX63" s="191"/>
      <c r="AY63" s="40">
        <v>2</v>
      </c>
      <c r="AZ63" s="38" t="s">
        <v>31</v>
      </c>
      <c r="BA63" s="1176">
        <f t="shared" ref="BA63:BR63" si="41">E37</f>
        <v>0</v>
      </c>
      <c r="BB63" s="1176">
        <f t="shared" si="41"/>
        <v>0</v>
      </c>
      <c r="BC63" s="1176">
        <f t="shared" si="41"/>
        <v>0</v>
      </c>
      <c r="BD63" s="1176">
        <f t="shared" si="41"/>
        <v>0</v>
      </c>
      <c r="BE63" s="1176">
        <f t="shared" si="41"/>
        <v>0</v>
      </c>
      <c r="BF63" s="1176">
        <f t="shared" si="41"/>
        <v>0</v>
      </c>
      <c r="BG63" s="1176">
        <f t="shared" si="41"/>
        <v>0</v>
      </c>
      <c r="BH63" s="1176">
        <f t="shared" si="41"/>
        <v>0</v>
      </c>
      <c r="BI63" s="1176">
        <f t="shared" si="41"/>
        <v>0</v>
      </c>
      <c r="BJ63" s="1176">
        <f t="shared" si="41"/>
        <v>0</v>
      </c>
      <c r="BK63" s="1176">
        <f t="shared" si="41"/>
        <v>0</v>
      </c>
      <c r="BL63" s="1176">
        <f t="shared" si="41"/>
        <v>0</v>
      </c>
      <c r="BM63" s="1176">
        <f t="shared" si="41"/>
        <v>0</v>
      </c>
      <c r="BN63" s="1176">
        <f t="shared" si="41"/>
        <v>0</v>
      </c>
      <c r="BO63" s="1176">
        <f t="shared" si="41"/>
        <v>0</v>
      </c>
      <c r="BP63" s="1176">
        <f t="shared" si="41"/>
        <v>0</v>
      </c>
      <c r="BQ63" s="1176">
        <f t="shared" si="41"/>
        <v>0</v>
      </c>
      <c r="BR63" s="1176">
        <f t="shared" si="41"/>
        <v>0</v>
      </c>
      <c r="BS63" s="303">
        <f t="shared" si="38"/>
        <v>0.5</v>
      </c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</row>
    <row r="64" spans="2:82" ht="25.5" customHeight="1" x14ac:dyDescent="0.45">
      <c r="B64" s="16">
        <v>2</v>
      </c>
      <c r="C64" s="17" t="s">
        <v>44</v>
      </c>
      <c r="D64" s="33" t="s">
        <v>30</v>
      </c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997"/>
      <c r="X64" s="96"/>
      <c r="Y64" s="997"/>
      <c r="Z64" s="96"/>
      <c r="AV64" s="191"/>
      <c r="AW64" s="191" t="s">
        <v>35</v>
      </c>
      <c r="AX64" s="191"/>
      <c r="AY64" s="40" t="s">
        <v>41</v>
      </c>
      <c r="AZ64" s="191"/>
      <c r="BA64" s="1176">
        <f t="shared" ref="BA64:BR64" si="42">SUM(BA62:BA63)</f>
        <v>0</v>
      </c>
      <c r="BB64" s="1176">
        <f t="shared" si="42"/>
        <v>0</v>
      </c>
      <c r="BC64" s="1176">
        <f t="shared" si="42"/>
        <v>0</v>
      </c>
      <c r="BD64" s="1176">
        <f t="shared" si="42"/>
        <v>0</v>
      </c>
      <c r="BE64" s="1176">
        <f t="shared" si="42"/>
        <v>0</v>
      </c>
      <c r="BF64" s="1176">
        <f t="shared" si="42"/>
        <v>0</v>
      </c>
      <c r="BG64" s="1176">
        <f t="shared" si="42"/>
        <v>0</v>
      </c>
      <c r="BH64" s="1176">
        <f t="shared" si="42"/>
        <v>0</v>
      </c>
      <c r="BI64" s="1176">
        <f t="shared" si="42"/>
        <v>0</v>
      </c>
      <c r="BJ64" s="1177">
        <f t="shared" si="42"/>
        <v>0</v>
      </c>
      <c r="BK64" s="1177">
        <f t="shared" si="42"/>
        <v>0</v>
      </c>
      <c r="BL64" s="1177">
        <f t="shared" si="42"/>
        <v>0</v>
      </c>
      <c r="BM64" s="1177">
        <f t="shared" si="42"/>
        <v>0</v>
      </c>
      <c r="BN64" s="1177">
        <f t="shared" si="42"/>
        <v>0</v>
      </c>
      <c r="BO64" s="1176">
        <f t="shared" si="42"/>
        <v>0</v>
      </c>
      <c r="BP64" s="1176">
        <f t="shared" si="42"/>
        <v>0</v>
      </c>
      <c r="BQ64" s="1176">
        <f t="shared" si="42"/>
        <v>0</v>
      </c>
      <c r="BR64" s="1176">
        <f t="shared" si="42"/>
        <v>0</v>
      </c>
      <c r="BS64" s="303">
        <f t="shared" si="38"/>
        <v>0.5</v>
      </c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</row>
    <row r="65" spans="2:82" ht="25.5" customHeight="1" x14ac:dyDescent="0.45">
      <c r="B65" s="16">
        <v>3</v>
      </c>
      <c r="C65" s="17" t="s">
        <v>94</v>
      </c>
      <c r="D65" s="33" t="s">
        <v>30</v>
      </c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997"/>
      <c r="X65" s="96"/>
      <c r="Y65" s="997"/>
      <c r="Z65" s="96"/>
      <c r="AV65" s="191"/>
      <c r="AW65" s="191" t="s">
        <v>241</v>
      </c>
      <c r="AX65" s="191"/>
      <c r="AY65" s="192" t="s">
        <v>238</v>
      </c>
      <c r="AZ65" s="191"/>
      <c r="BA65" s="1176">
        <f t="shared" ref="BA65:BR65" si="43">BA29+BA32+BA35+BA38+BA41+BA44+BA47+BA50+BA53+BA56+BA59+BA62</f>
        <v>300</v>
      </c>
      <c r="BB65" s="1176">
        <f t="shared" si="43"/>
        <v>20</v>
      </c>
      <c r="BC65" s="1176">
        <f t="shared" si="43"/>
        <v>0</v>
      </c>
      <c r="BD65" s="1176">
        <f t="shared" si="43"/>
        <v>0</v>
      </c>
      <c r="BE65" s="1176">
        <f t="shared" si="43"/>
        <v>0</v>
      </c>
      <c r="BF65" s="1176">
        <f t="shared" si="43"/>
        <v>0</v>
      </c>
      <c r="BG65" s="1176">
        <f t="shared" si="43"/>
        <v>0</v>
      </c>
      <c r="BH65" s="1176">
        <f t="shared" si="43"/>
        <v>25</v>
      </c>
      <c r="BI65" s="1176">
        <f t="shared" si="43"/>
        <v>20</v>
      </c>
      <c r="BJ65" s="1176">
        <f t="shared" si="43"/>
        <v>1.2999999999999998</v>
      </c>
      <c r="BK65" s="1176">
        <f t="shared" si="43"/>
        <v>1.8</v>
      </c>
      <c r="BL65" s="1176">
        <f t="shared" si="43"/>
        <v>1.5000000000000002</v>
      </c>
      <c r="BM65" s="1176">
        <f t="shared" si="43"/>
        <v>0</v>
      </c>
      <c r="BN65" s="1176">
        <f t="shared" si="43"/>
        <v>0</v>
      </c>
      <c r="BO65" s="1176">
        <f t="shared" si="43"/>
        <v>13</v>
      </c>
      <c r="BP65" s="1176">
        <f t="shared" si="43"/>
        <v>8</v>
      </c>
      <c r="BQ65" s="1176">
        <f t="shared" si="43"/>
        <v>4</v>
      </c>
      <c r="BR65" s="1176">
        <f t="shared" si="43"/>
        <v>0</v>
      </c>
      <c r="BS65" s="303">
        <f t="shared" si="38"/>
        <v>1</v>
      </c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</row>
    <row r="66" spans="2:82" ht="25.5" customHeight="1" x14ac:dyDescent="0.45">
      <c r="B66" s="16">
        <v>4</v>
      </c>
      <c r="C66" s="17" t="s">
        <v>46</v>
      </c>
      <c r="D66" s="33" t="s">
        <v>30</v>
      </c>
      <c r="E66" s="383"/>
      <c r="F66" s="383"/>
      <c r="G66" s="383"/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997"/>
      <c r="X66" s="96"/>
      <c r="Y66" s="997"/>
      <c r="Z66" s="96"/>
      <c r="AV66" s="191"/>
      <c r="AW66" s="191" t="s">
        <v>242</v>
      </c>
      <c r="AX66" s="191"/>
      <c r="AY66" s="192" t="s">
        <v>239</v>
      </c>
      <c r="AZ66" s="191"/>
      <c r="BA66" s="1176">
        <f t="shared" ref="BA66:BR66" si="44">BA30+BA33+BA36+BA39+BA42+BA45+BA48+BA51+BA54+BA57+BA60+BA63</f>
        <v>30</v>
      </c>
      <c r="BB66" s="1176">
        <f t="shared" si="44"/>
        <v>4</v>
      </c>
      <c r="BC66" s="1176">
        <f t="shared" si="44"/>
        <v>0</v>
      </c>
      <c r="BD66" s="1176">
        <f t="shared" si="44"/>
        <v>0</v>
      </c>
      <c r="BE66" s="1176">
        <f t="shared" si="44"/>
        <v>0</v>
      </c>
      <c r="BF66" s="1176">
        <f t="shared" si="44"/>
        <v>0</v>
      </c>
      <c r="BG66" s="1176">
        <f t="shared" si="44"/>
        <v>0</v>
      </c>
      <c r="BH66" s="1176">
        <f t="shared" si="44"/>
        <v>2</v>
      </c>
      <c r="BI66" s="1176">
        <f t="shared" si="44"/>
        <v>2</v>
      </c>
      <c r="BJ66" s="1176">
        <f t="shared" si="44"/>
        <v>0</v>
      </c>
      <c r="BK66" s="1176">
        <f t="shared" si="44"/>
        <v>0</v>
      </c>
      <c r="BL66" s="1176">
        <f t="shared" si="44"/>
        <v>0</v>
      </c>
      <c r="BM66" s="1176">
        <f t="shared" si="44"/>
        <v>0</v>
      </c>
      <c r="BN66" s="1176">
        <f t="shared" si="44"/>
        <v>0</v>
      </c>
      <c r="BO66" s="1176">
        <f t="shared" si="44"/>
        <v>16</v>
      </c>
      <c r="BP66" s="1176">
        <f t="shared" si="44"/>
        <v>0</v>
      </c>
      <c r="BQ66" s="1176">
        <f t="shared" si="44"/>
        <v>0.5</v>
      </c>
      <c r="BR66" s="1176">
        <f t="shared" si="44"/>
        <v>0</v>
      </c>
      <c r="BS66" s="303">
        <f t="shared" si="38"/>
        <v>1.5</v>
      </c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</row>
    <row r="67" spans="2:82" ht="25.5" customHeight="1" x14ac:dyDescent="0.45">
      <c r="B67" s="16">
        <v>5</v>
      </c>
      <c r="C67" s="17" t="s">
        <v>34</v>
      </c>
      <c r="D67" s="33" t="s">
        <v>30</v>
      </c>
      <c r="E67" s="383"/>
      <c r="F67" s="383"/>
      <c r="G67" s="383"/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997"/>
      <c r="X67" s="96"/>
      <c r="Y67" s="997"/>
      <c r="Z67" s="96"/>
      <c r="AV67" s="191"/>
      <c r="AW67" s="191" t="s">
        <v>35</v>
      </c>
      <c r="AX67" s="191"/>
      <c r="AY67" s="192" t="s">
        <v>240</v>
      </c>
      <c r="AZ67" s="191"/>
      <c r="BA67" s="1176">
        <f t="shared" ref="BA67:BR67" si="45">BA31+BA34+BA37+BA40+BA43+BA46+BA49+BA52+BA55+BA58+BA61+BA64</f>
        <v>330</v>
      </c>
      <c r="BB67" s="1176">
        <f t="shared" si="45"/>
        <v>24</v>
      </c>
      <c r="BC67" s="1176">
        <f t="shared" si="45"/>
        <v>0</v>
      </c>
      <c r="BD67" s="1176">
        <f t="shared" si="45"/>
        <v>0</v>
      </c>
      <c r="BE67" s="1176">
        <f t="shared" si="45"/>
        <v>0</v>
      </c>
      <c r="BF67" s="1176">
        <f t="shared" si="45"/>
        <v>0</v>
      </c>
      <c r="BG67" s="1176">
        <f t="shared" si="45"/>
        <v>0</v>
      </c>
      <c r="BH67" s="1176">
        <f t="shared" si="45"/>
        <v>27</v>
      </c>
      <c r="BI67" s="1176">
        <f t="shared" si="45"/>
        <v>22</v>
      </c>
      <c r="BJ67" s="1176">
        <f t="shared" si="45"/>
        <v>1.2999999999999998</v>
      </c>
      <c r="BK67" s="1176">
        <f t="shared" si="45"/>
        <v>1.8</v>
      </c>
      <c r="BL67" s="1176">
        <f t="shared" si="45"/>
        <v>1.5000000000000002</v>
      </c>
      <c r="BM67" s="1176">
        <f t="shared" si="45"/>
        <v>0</v>
      </c>
      <c r="BN67" s="1176">
        <f t="shared" si="45"/>
        <v>0</v>
      </c>
      <c r="BO67" s="1176">
        <f t="shared" si="45"/>
        <v>29</v>
      </c>
      <c r="BP67" s="1176">
        <f t="shared" si="45"/>
        <v>8</v>
      </c>
      <c r="BQ67" s="1176">
        <f t="shared" si="45"/>
        <v>4.5</v>
      </c>
      <c r="BR67" s="1176">
        <f t="shared" si="45"/>
        <v>0</v>
      </c>
      <c r="BS67" s="303">
        <f t="shared" si="38"/>
        <v>1.5</v>
      </c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</row>
    <row r="68" spans="2:82" ht="25.5" customHeight="1" x14ac:dyDescent="0.45">
      <c r="B68" s="16">
        <v>6</v>
      </c>
      <c r="C68" s="17" t="s">
        <v>37</v>
      </c>
      <c r="D68" s="33" t="s">
        <v>30</v>
      </c>
      <c r="E68" s="383"/>
      <c r="F68" s="383"/>
      <c r="G68" s="383"/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997"/>
      <c r="X68" s="96"/>
      <c r="Y68" s="997"/>
      <c r="Z68" s="96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303">
        <f t="shared" si="38"/>
        <v>3</v>
      </c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</row>
    <row r="69" spans="2:82" ht="25.5" customHeight="1" x14ac:dyDescent="0.45">
      <c r="B69" s="16">
        <v>7</v>
      </c>
      <c r="C69" s="17" t="s">
        <v>47</v>
      </c>
      <c r="D69" s="33" t="s">
        <v>30</v>
      </c>
      <c r="E69" s="383"/>
      <c r="F69" s="383"/>
      <c r="G69" s="383"/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997"/>
      <c r="X69" s="96"/>
      <c r="Y69" s="997"/>
      <c r="Z69" s="96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303">
        <f t="shared" si="38"/>
        <v>71.5</v>
      </c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</row>
    <row r="70" spans="2:82" ht="25.5" customHeight="1" x14ac:dyDescent="0.45">
      <c r="B70" s="16">
        <v>8</v>
      </c>
      <c r="C70" s="17" t="s">
        <v>38</v>
      </c>
      <c r="D70" s="33" t="s">
        <v>30</v>
      </c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997"/>
      <c r="X70" s="96"/>
      <c r="Y70" s="997"/>
      <c r="Z70" s="96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303">
        <f t="shared" si="38"/>
        <v>2.5</v>
      </c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</row>
    <row r="71" spans="2:82" ht="25.5" customHeight="1" x14ac:dyDescent="0.45">
      <c r="B71" s="16">
        <v>9</v>
      </c>
      <c r="C71" s="17" t="s">
        <v>39</v>
      </c>
      <c r="D71" s="33" t="s">
        <v>30</v>
      </c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997"/>
      <c r="X71" s="96"/>
      <c r="Y71" s="997"/>
      <c r="Z71" s="96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303">
        <f t="shared" si="38"/>
        <v>74</v>
      </c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</row>
    <row r="72" spans="2:82" ht="25.5" customHeight="1" x14ac:dyDescent="0.45">
      <c r="B72" s="16">
        <v>10</v>
      </c>
      <c r="C72" s="17" t="s">
        <v>33</v>
      </c>
      <c r="D72" s="33" t="s">
        <v>30</v>
      </c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997"/>
      <c r="X72" s="96"/>
      <c r="Y72" s="997"/>
      <c r="Z72" s="96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303">
        <f t="shared" si="38"/>
        <v>0</v>
      </c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</row>
    <row r="73" spans="2:82" ht="25.5" customHeight="1" x14ac:dyDescent="0.45">
      <c r="B73" s="16">
        <v>11</v>
      </c>
      <c r="C73" s="17" t="s">
        <v>40</v>
      </c>
      <c r="D73" s="33" t="s">
        <v>30</v>
      </c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3"/>
      <c r="S73" s="383"/>
      <c r="T73" s="383"/>
      <c r="U73" s="383"/>
      <c r="V73" s="383"/>
      <c r="W73" s="997"/>
      <c r="X73" s="96"/>
      <c r="Y73" s="997"/>
      <c r="Z73" s="96"/>
      <c r="AV73" s="191"/>
      <c r="AW73" s="191"/>
      <c r="AX73" s="191"/>
      <c r="AY73" s="191"/>
      <c r="AZ73" s="191"/>
      <c r="BA73" s="191"/>
      <c r="BB73" s="191"/>
      <c r="BC73" s="191" t="s">
        <v>243</v>
      </c>
      <c r="BD73" s="1173" t="s">
        <v>30</v>
      </c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303">
        <f t="shared" si="38"/>
        <v>35.5</v>
      </c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</row>
    <row r="74" spans="2:82" ht="25.5" customHeight="1" x14ac:dyDescent="0.45">
      <c r="B74" s="16">
        <v>12</v>
      </c>
      <c r="C74" s="17" t="s">
        <v>41</v>
      </c>
      <c r="D74" s="33" t="s">
        <v>30</v>
      </c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3"/>
      <c r="S74" s="383"/>
      <c r="T74" s="383"/>
      <c r="U74" s="383"/>
      <c r="V74" s="383"/>
      <c r="W74" s="997"/>
      <c r="X74" s="96"/>
      <c r="Y74" s="997"/>
      <c r="Z74" s="96"/>
      <c r="AV74" s="191"/>
      <c r="AW74" s="336" t="s">
        <v>106</v>
      </c>
      <c r="AX74" s="1174" t="s">
        <v>87</v>
      </c>
      <c r="AY74" s="40" t="s">
        <v>42</v>
      </c>
      <c r="AZ74" s="40" t="s">
        <v>44</v>
      </c>
      <c r="BA74" s="40" t="s">
        <v>94</v>
      </c>
      <c r="BB74" s="40" t="s">
        <v>46</v>
      </c>
      <c r="BC74" s="40" t="s">
        <v>34</v>
      </c>
      <c r="BD74" s="40" t="s">
        <v>37</v>
      </c>
      <c r="BE74" s="40" t="s">
        <v>47</v>
      </c>
      <c r="BF74" s="40" t="s">
        <v>38</v>
      </c>
      <c r="BG74" s="40" t="s">
        <v>39</v>
      </c>
      <c r="BH74" s="40" t="s">
        <v>33</v>
      </c>
      <c r="BI74" s="40" t="s">
        <v>40</v>
      </c>
      <c r="BJ74" s="40" t="s">
        <v>41</v>
      </c>
      <c r="BK74" s="40" t="s">
        <v>29</v>
      </c>
      <c r="BL74" s="191"/>
      <c r="BM74" s="191"/>
      <c r="BN74" s="191"/>
      <c r="BO74" s="191"/>
      <c r="BP74" s="191"/>
      <c r="BQ74" s="191"/>
      <c r="BR74" s="191"/>
      <c r="BS74" s="303">
        <f t="shared" si="38"/>
        <v>35.5</v>
      </c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</row>
    <row r="75" spans="2:82" ht="25.5" customHeight="1" x14ac:dyDescent="0.45">
      <c r="B75" s="357"/>
      <c r="C75" s="357" t="s">
        <v>29</v>
      </c>
      <c r="D75" s="33" t="s">
        <v>30</v>
      </c>
      <c r="E75" s="384">
        <f t="shared" ref="E75:V75" si="46">SUM(E62:E74)</f>
        <v>0</v>
      </c>
      <c r="F75" s="384">
        <f t="shared" si="46"/>
        <v>0</v>
      </c>
      <c r="G75" s="384">
        <f t="shared" si="46"/>
        <v>0</v>
      </c>
      <c r="H75" s="384">
        <f t="shared" si="46"/>
        <v>0</v>
      </c>
      <c r="I75" s="384">
        <f t="shared" si="46"/>
        <v>0</v>
      </c>
      <c r="J75" s="384">
        <f t="shared" si="46"/>
        <v>0</v>
      </c>
      <c r="K75" s="384">
        <f t="shared" si="46"/>
        <v>0</v>
      </c>
      <c r="L75" s="384">
        <f t="shared" si="46"/>
        <v>0</v>
      </c>
      <c r="M75" s="384">
        <f t="shared" si="46"/>
        <v>0</v>
      </c>
      <c r="N75" s="384">
        <f t="shared" si="46"/>
        <v>0</v>
      </c>
      <c r="O75" s="384">
        <f t="shared" si="46"/>
        <v>0</v>
      </c>
      <c r="P75" s="384">
        <f t="shared" si="46"/>
        <v>0</v>
      </c>
      <c r="Q75" s="384">
        <f t="shared" si="46"/>
        <v>0</v>
      </c>
      <c r="R75" s="384">
        <f t="shared" si="46"/>
        <v>0</v>
      </c>
      <c r="S75" s="384">
        <f t="shared" si="46"/>
        <v>0</v>
      </c>
      <c r="T75" s="384">
        <f t="shared" si="46"/>
        <v>0</v>
      </c>
      <c r="U75" s="384">
        <f t="shared" si="46"/>
        <v>0</v>
      </c>
      <c r="V75" s="384">
        <f t="shared" si="46"/>
        <v>0</v>
      </c>
      <c r="W75" s="382"/>
      <c r="X75" s="382"/>
      <c r="Y75" s="382"/>
      <c r="Z75" s="382"/>
      <c r="AV75" s="191"/>
      <c r="AW75" s="1175" t="s">
        <v>84</v>
      </c>
      <c r="AX75" s="38" t="s">
        <v>30</v>
      </c>
      <c r="AY75" s="38" t="s">
        <v>30</v>
      </c>
      <c r="AZ75" s="38" t="s">
        <v>30</v>
      </c>
      <c r="BA75" s="38" t="s">
        <v>30</v>
      </c>
      <c r="BB75" s="38" t="s">
        <v>30</v>
      </c>
      <c r="BC75" s="38" t="s">
        <v>30</v>
      </c>
      <c r="BD75" s="38" t="s">
        <v>30</v>
      </c>
      <c r="BE75" s="38" t="s">
        <v>30</v>
      </c>
      <c r="BF75" s="38" t="s">
        <v>30</v>
      </c>
      <c r="BG75" s="38" t="s">
        <v>30</v>
      </c>
      <c r="BH75" s="38" t="s">
        <v>30</v>
      </c>
      <c r="BI75" s="38" t="s">
        <v>30</v>
      </c>
      <c r="BJ75" s="38" t="s">
        <v>30</v>
      </c>
      <c r="BK75" s="38" t="s">
        <v>30</v>
      </c>
      <c r="BL75" s="191"/>
      <c r="BM75" s="191"/>
      <c r="BN75" s="191"/>
      <c r="BO75" s="191"/>
      <c r="BP75" s="191"/>
      <c r="BQ75" s="191"/>
      <c r="BR75" s="191"/>
      <c r="BS75" s="303">
        <f t="shared" si="38"/>
        <v>0</v>
      </c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</row>
    <row r="76" spans="2:82" ht="25.5" customHeight="1" x14ac:dyDescent="0.4">
      <c r="B76" s="1"/>
      <c r="C76" s="3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V76" s="191"/>
      <c r="AW76" s="192" t="s">
        <v>97</v>
      </c>
      <c r="AX76" s="1176">
        <f>E62</f>
        <v>0</v>
      </c>
      <c r="AY76" s="1176">
        <f>BA101</f>
        <v>0</v>
      </c>
      <c r="AZ76" s="1176">
        <f>BA104</f>
        <v>0</v>
      </c>
      <c r="BA76" s="1176">
        <f>BA107</f>
        <v>0</v>
      </c>
      <c r="BB76" s="1176">
        <f>BA110</f>
        <v>0</v>
      </c>
      <c r="BC76" s="1176">
        <f>BA113</f>
        <v>0</v>
      </c>
      <c r="BD76" s="1176">
        <f>BA116</f>
        <v>0</v>
      </c>
      <c r="BE76" s="1176">
        <f>BA119</f>
        <v>0</v>
      </c>
      <c r="BF76" s="1176">
        <f>BA122</f>
        <v>0</v>
      </c>
      <c r="BG76" s="1176">
        <f>BA125</f>
        <v>0</v>
      </c>
      <c r="BH76" s="1176">
        <f>BA128</f>
        <v>0</v>
      </c>
      <c r="BI76" s="1176">
        <f>BA131</f>
        <v>0</v>
      </c>
      <c r="BJ76" s="1176">
        <f>BA134</f>
        <v>0</v>
      </c>
      <c r="BK76" s="1176">
        <f t="shared" ref="BK76:BK94" si="47">SUM(AY76:BJ76)</f>
        <v>0</v>
      </c>
      <c r="BL76" s="191"/>
      <c r="BM76" s="191"/>
      <c r="BN76" s="191"/>
      <c r="BO76" s="191"/>
      <c r="BP76" s="191"/>
      <c r="BQ76" s="191"/>
      <c r="BR76" s="191"/>
      <c r="BS76" s="303">
        <f t="shared" si="38"/>
        <v>0</v>
      </c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</row>
    <row r="77" spans="2:82" ht="25.5" customHeight="1" x14ac:dyDescent="0.45">
      <c r="B77" s="1542" t="s">
        <v>333</v>
      </c>
      <c r="C77" s="1542"/>
      <c r="O77" s="1"/>
      <c r="AV77" s="191"/>
      <c r="AW77" s="192" t="s">
        <v>74</v>
      </c>
      <c r="AX77" s="1176">
        <f>F62</f>
        <v>0</v>
      </c>
      <c r="AY77" s="1176">
        <f>BB101</f>
        <v>0</v>
      </c>
      <c r="AZ77" s="1176">
        <f>BB104</f>
        <v>0</v>
      </c>
      <c r="BA77" s="1176">
        <f>BB107</f>
        <v>0</v>
      </c>
      <c r="BB77" s="1176">
        <f>BB110</f>
        <v>0</v>
      </c>
      <c r="BC77" s="1176">
        <f>BB113</f>
        <v>0</v>
      </c>
      <c r="BD77" s="1176">
        <f>BB116</f>
        <v>0</v>
      </c>
      <c r="BE77" s="1176">
        <f>BB119</f>
        <v>0</v>
      </c>
      <c r="BF77" s="1176">
        <f>BB122</f>
        <v>0</v>
      </c>
      <c r="BG77" s="1176">
        <f>BB125</f>
        <v>0</v>
      </c>
      <c r="BH77" s="1176">
        <f>BB128</f>
        <v>0</v>
      </c>
      <c r="BI77" s="1176">
        <f>BB131</f>
        <v>0</v>
      </c>
      <c r="BJ77" s="1176">
        <f>BB134</f>
        <v>0</v>
      </c>
      <c r="BK77" s="1176">
        <f t="shared" si="47"/>
        <v>0</v>
      </c>
      <c r="BL77" s="191"/>
      <c r="BM77" s="191"/>
      <c r="BN77" s="191"/>
      <c r="BO77" s="191"/>
      <c r="BP77" s="191"/>
      <c r="BQ77" s="191"/>
      <c r="BR77" s="191"/>
      <c r="BS77" s="303">
        <f t="shared" si="38"/>
        <v>0</v>
      </c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</row>
    <row r="78" spans="2:82" ht="25.5" customHeight="1" x14ac:dyDescent="0.4">
      <c r="B78" s="6"/>
      <c r="C78" s="1539" t="s">
        <v>91</v>
      </c>
      <c r="D78" s="1539"/>
      <c r="E78" s="1539"/>
      <c r="F78" s="1539"/>
      <c r="G78" s="1539"/>
      <c r="H78" s="1539"/>
      <c r="I78" s="1539"/>
      <c r="J78" s="1539"/>
      <c r="K78" s="1539"/>
      <c r="L78" s="1539"/>
      <c r="M78" s="1539"/>
      <c r="N78" s="1539"/>
      <c r="O78" s="1539"/>
      <c r="P78" s="1539"/>
      <c r="Q78" s="1539"/>
      <c r="R78" s="1539"/>
      <c r="S78" s="1539"/>
      <c r="T78" s="1539"/>
      <c r="U78" s="14"/>
      <c r="V78" s="14"/>
      <c r="W78" s="1545" t="s">
        <v>88</v>
      </c>
      <c r="X78" s="1545"/>
      <c r="Y78" s="1545" t="s">
        <v>89</v>
      </c>
      <c r="Z78" s="1545"/>
      <c r="AV78" s="191"/>
      <c r="AW78" s="192" t="s">
        <v>75</v>
      </c>
      <c r="AX78" s="1176">
        <f>G62</f>
        <v>0</v>
      </c>
      <c r="AY78" s="1176">
        <f>BC101</f>
        <v>0</v>
      </c>
      <c r="AZ78" s="1176">
        <f>BC104</f>
        <v>0</v>
      </c>
      <c r="BA78" s="1176">
        <f>BC107</f>
        <v>0</v>
      </c>
      <c r="BB78" s="1176">
        <f>BC110</f>
        <v>0</v>
      </c>
      <c r="BC78" s="1176">
        <f>BC113</f>
        <v>0</v>
      </c>
      <c r="BD78" s="1176">
        <f>BC116</f>
        <v>0</v>
      </c>
      <c r="BE78" s="1176">
        <f>BC119</f>
        <v>0</v>
      </c>
      <c r="BF78" s="1176">
        <f>BC122</f>
        <v>0</v>
      </c>
      <c r="BG78" s="1176">
        <f>BC125</f>
        <v>0</v>
      </c>
      <c r="BH78" s="1176">
        <f>BC128</f>
        <v>0</v>
      </c>
      <c r="BI78" s="1176">
        <f>BC131</f>
        <v>0</v>
      </c>
      <c r="BJ78" s="1176">
        <f>BC134</f>
        <v>0</v>
      </c>
      <c r="BK78" s="1176">
        <f t="shared" si="47"/>
        <v>0</v>
      </c>
      <c r="BL78" s="191"/>
      <c r="BM78" s="191"/>
      <c r="BN78" s="191"/>
      <c r="BO78" s="191"/>
      <c r="BP78" s="191"/>
      <c r="BQ78" s="191"/>
      <c r="BR78" s="191"/>
      <c r="BS78" s="303">
        <f t="shared" si="38"/>
        <v>0</v>
      </c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</row>
    <row r="79" spans="2:82" ht="36" customHeight="1" x14ac:dyDescent="0.4">
      <c r="B79" s="1536" t="s">
        <v>86</v>
      </c>
      <c r="C79" s="1536" t="s">
        <v>106</v>
      </c>
      <c r="D79" s="26" t="s">
        <v>84</v>
      </c>
      <c r="E79" s="372" t="s">
        <v>97</v>
      </c>
      <c r="F79" s="372" t="s">
        <v>74</v>
      </c>
      <c r="G79" s="372" t="s">
        <v>75</v>
      </c>
      <c r="H79" s="372" t="s">
        <v>63</v>
      </c>
      <c r="I79" s="372" t="s">
        <v>64</v>
      </c>
      <c r="J79" s="372" t="s">
        <v>65</v>
      </c>
      <c r="K79" s="372" t="s">
        <v>66</v>
      </c>
      <c r="L79" s="372" t="s">
        <v>67</v>
      </c>
      <c r="M79" s="372" t="s">
        <v>76</v>
      </c>
      <c r="N79" s="372" t="s">
        <v>68</v>
      </c>
      <c r="O79" s="372" t="s">
        <v>69</v>
      </c>
      <c r="P79" s="372" t="s">
        <v>70</v>
      </c>
      <c r="Q79" s="373" t="s">
        <v>71</v>
      </c>
      <c r="R79" s="374" t="s">
        <v>77</v>
      </c>
      <c r="S79" s="374" t="s">
        <v>72</v>
      </c>
      <c r="T79" s="372" t="s">
        <v>73</v>
      </c>
      <c r="U79" s="374" t="s">
        <v>313</v>
      </c>
      <c r="V79" s="372"/>
      <c r="W79" s="18" t="s">
        <v>17</v>
      </c>
      <c r="X79" s="18" t="s">
        <v>85</v>
      </c>
      <c r="Y79" s="18" t="s">
        <v>17</v>
      </c>
      <c r="Z79" s="18" t="s">
        <v>85</v>
      </c>
      <c r="AV79" s="191"/>
      <c r="AW79" s="192" t="s">
        <v>63</v>
      </c>
      <c r="AX79" s="1176">
        <f>H62</f>
        <v>0</v>
      </c>
      <c r="AY79" s="1176">
        <f>BD101</f>
        <v>0</v>
      </c>
      <c r="AZ79" s="1176">
        <f>BD104</f>
        <v>0</v>
      </c>
      <c r="BA79" s="1176">
        <f>BD107</f>
        <v>0</v>
      </c>
      <c r="BB79" s="1176">
        <f>BD110</f>
        <v>0</v>
      </c>
      <c r="BC79" s="1176">
        <f>BD113</f>
        <v>0</v>
      </c>
      <c r="BD79" s="1176">
        <f>BD116</f>
        <v>0</v>
      </c>
      <c r="BE79" s="1176">
        <f>BD119</f>
        <v>0</v>
      </c>
      <c r="BF79" s="1176">
        <f>BD122</f>
        <v>0</v>
      </c>
      <c r="BG79" s="1176">
        <f>BD125</f>
        <v>0</v>
      </c>
      <c r="BH79" s="1176">
        <f>BD128</f>
        <v>0</v>
      </c>
      <c r="BI79" s="1176">
        <f>BD131</f>
        <v>0</v>
      </c>
      <c r="BJ79" s="1176">
        <f>BD134</f>
        <v>0</v>
      </c>
      <c r="BK79" s="1176">
        <f t="shared" si="47"/>
        <v>0</v>
      </c>
      <c r="BL79" s="191"/>
      <c r="BM79" s="191"/>
      <c r="BN79" s="191"/>
      <c r="BO79" s="191"/>
      <c r="BP79" s="191"/>
      <c r="BQ79" s="191"/>
      <c r="BR79" s="191"/>
      <c r="BS79" s="303">
        <f t="shared" si="38"/>
        <v>0</v>
      </c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</row>
    <row r="80" spans="2:82" ht="20.25" customHeight="1" x14ac:dyDescent="0.4">
      <c r="B80" s="1537"/>
      <c r="C80" s="1537"/>
      <c r="D80" s="32" t="s">
        <v>284</v>
      </c>
      <c r="E80" s="375" t="s">
        <v>81</v>
      </c>
      <c r="F80" s="375" t="s">
        <v>81</v>
      </c>
      <c r="G80" s="375" t="s">
        <v>81</v>
      </c>
      <c r="H80" s="375" t="s">
        <v>81</v>
      </c>
      <c r="I80" s="375" t="s">
        <v>81</v>
      </c>
      <c r="J80" s="375" t="s">
        <v>81</v>
      </c>
      <c r="K80" s="375" t="s">
        <v>81</v>
      </c>
      <c r="L80" s="375" t="s">
        <v>81</v>
      </c>
      <c r="M80" s="375" t="s">
        <v>81</v>
      </c>
      <c r="N80" s="375" t="s">
        <v>81</v>
      </c>
      <c r="O80" s="375" t="s">
        <v>81</v>
      </c>
      <c r="P80" s="375" t="s">
        <v>81</v>
      </c>
      <c r="Q80" s="375" t="s">
        <v>81</v>
      </c>
      <c r="R80" s="375" t="s">
        <v>81</v>
      </c>
      <c r="S80" s="375" t="s">
        <v>215</v>
      </c>
      <c r="T80" s="375" t="s">
        <v>81</v>
      </c>
      <c r="U80" s="375" t="s">
        <v>81</v>
      </c>
      <c r="V80" s="375" t="s">
        <v>81</v>
      </c>
      <c r="W80" s="2">
        <v>19</v>
      </c>
      <c r="X80" s="2">
        <v>20</v>
      </c>
      <c r="Y80" s="2">
        <v>21</v>
      </c>
      <c r="Z80" s="2">
        <v>22</v>
      </c>
      <c r="AV80" s="191"/>
      <c r="AW80" s="192" t="s">
        <v>64</v>
      </c>
      <c r="AX80" s="1176">
        <f>I62</f>
        <v>0</v>
      </c>
      <c r="AY80" s="1176">
        <f>BE101</f>
        <v>0</v>
      </c>
      <c r="AZ80" s="1176">
        <f>BE104</f>
        <v>0</v>
      </c>
      <c r="BA80" s="1176">
        <f>BE107</f>
        <v>0</v>
      </c>
      <c r="BB80" s="1176">
        <f>BE110</f>
        <v>0</v>
      </c>
      <c r="BC80" s="1176">
        <f>BE113</f>
        <v>0</v>
      </c>
      <c r="BD80" s="1176">
        <f>BE116</f>
        <v>0</v>
      </c>
      <c r="BE80" s="1176">
        <f>BE119</f>
        <v>0</v>
      </c>
      <c r="BF80" s="1176">
        <f>BE122</f>
        <v>0</v>
      </c>
      <c r="BG80" s="1176">
        <f>BE125</f>
        <v>0</v>
      </c>
      <c r="BH80" s="1176">
        <f>BE128</f>
        <v>0</v>
      </c>
      <c r="BI80" s="1176">
        <f>BE131</f>
        <v>0</v>
      </c>
      <c r="BJ80" s="1176">
        <f>BE134</f>
        <v>0</v>
      </c>
      <c r="BK80" s="1176">
        <f t="shared" si="47"/>
        <v>0</v>
      </c>
      <c r="BL80" s="191"/>
      <c r="BM80" s="191"/>
      <c r="BN80" s="191"/>
      <c r="BO80" s="191"/>
      <c r="BP80" s="191"/>
      <c r="BQ80" s="191"/>
      <c r="BR80" s="191"/>
      <c r="BS80" s="303">
        <f t="shared" si="38"/>
        <v>0</v>
      </c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</row>
    <row r="81" spans="2:82" ht="25.5" customHeight="1" x14ac:dyDescent="0.45">
      <c r="B81" s="16">
        <v>1</v>
      </c>
      <c r="C81" s="17" t="s">
        <v>42</v>
      </c>
      <c r="D81" s="33" t="s">
        <v>30</v>
      </c>
      <c r="E81" s="383"/>
      <c r="F81" s="383">
        <v>0</v>
      </c>
      <c r="G81" s="383">
        <v>0</v>
      </c>
      <c r="H81" s="383">
        <v>0</v>
      </c>
      <c r="I81" s="383">
        <v>0</v>
      </c>
      <c r="J81" s="383">
        <v>0</v>
      </c>
      <c r="K81" s="383">
        <v>0</v>
      </c>
      <c r="L81" s="383">
        <v>0</v>
      </c>
      <c r="M81" s="383">
        <v>0</v>
      </c>
      <c r="N81" s="383">
        <v>0</v>
      </c>
      <c r="O81" s="383">
        <v>0</v>
      </c>
      <c r="P81" s="383">
        <v>0</v>
      </c>
      <c r="Q81" s="383">
        <v>0</v>
      </c>
      <c r="R81" s="383">
        <v>0</v>
      </c>
      <c r="S81" s="383"/>
      <c r="T81" s="383">
        <v>0</v>
      </c>
      <c r="U81" s="383">
        <v>0</v>
      </c>
      <c r="V81" s="383">
        <v>0</v>
      </c>
      <c r="W81" s="997"/>
      <c r="X81" s="96"/>
      <c r="Y81" s="997"/>
      <c r="Z81" s="96"/>
      <c r="AV81" s="191"/>
      <c r="AW81" s="192" t="s">
        <v>236</v>
      </c>
      <c r="AX81" s="1176">
        <f>J62</f>
        <v>0</v>
      </c>
      <c r="AY81" s="1176">
        <f>BF101</f>
        <v>0</v>
      </c>
      <c r="AZ81" s="1176">
        <f>BF104</f>
        <v>0</v>
      </c>
      <c r="BA81" s="1176">
        <f>BF107</f>
        <v>0</v>
      </c>
      <c r="BB81" s="1176">
        <f>BF110</f>
        <v>0</v>
      </c>
      <c r="BC81" s="1176">
        <f>BG113</f>
        <v>0</v>
      </c>
      <c r="BD81" s="1176">
        <f>BF116</f>
        <v>0</v>
      </c>
      <c r="BE81" s="1176">
        <f>BF119</f>
        <v>0</v>
      </c>
      <c r="BF81" s="1176">
        <f>BF122</f>
        <v>0</v>
      </c>
      <c r="BG81" s="1176">
        <f>BF125</f>
        <v>0</v>
      </c>
      <c r="BH81" s="1176">
        <f>BF128</f>
        <v>0</v>
      </c>
      <c r="BI81" s="1176">
        <f>BF131</f>
        <v>0</v>
      </c>
      <c r="BJ81" s="1176">
        <f>BF134</f>
        <v>0</v>
      </c>
      <c r="BK81" s="1176">
        <f t="shared" si="47"/>
        <v>0</v>
      </c>
      <c r="BL81" s="191"/>
      <c r="BM81" s="191"/>
      <c r="BN81" s="191"/>
      <c r="BO81" s="191"/>
      <c r="BP81" s="191"/>
      <c r="BQ81" s="191"/>
      <c r="BR81" s="191"/>
      <c r="BS81" s="303">
        <f t="shared" si="38"/>
        <v>0</v>
      </c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</row>
    <row r="82" spans="2:82" ht="25.5" customHeight="1" x14ac:dyDescent="0.45">
      <c r="B82" s="16">
        <v>2</v>
      </c>
      <c r="C82" s="17" t="s">
        <v>44</v>
      </c>
      <c r="D82" s="33" t="s">
        <v>30</v>
      </c>
      <c r="E82" s="383">
        <v>0</v>
      </c>
      <c r="F82" s="383">
        <v>0</v>
      </c>
      <c r="G82" s="383">
        <v>0</v>
      </c>
      <c r="H82" s="383">
        <v>0</v>
      </c>
      <c r="I82" s="383">
        <v>0</v>
      </c>
      <c r="J82" s="383">
        <v>0</v>
      </c>
      <c r="K82" s="383">
        <v>0</v>
      </c>
      <c r="L82" s="383">
        <v>0</v>
      </c>
      <c r="M82" s="383">
        <v>0</v>
      </c>
      <c r="N82" s="383">
        <v>0</v>
      </c>
      <c r="O82" s="383">
        <v>0</v>
      </c>
      <c r="P82" s="383">
        <v>0</v>
      </c>
      <c r="Q82" s="383">
        <v>0</v>
      </c>
      <c r="R82" s="383">
        <v>0</v>
      </c>
      <c r="S82" s="383">
        <v>0</v>
      </c>
      <c r="T82" s="383">
        <v>0</v>
      </c>
      <c r="U82" s="383">
        <v>0</v>
      </c>
      <c r="V82" s="383">
        <v>0</v>
      </c>
      <c r="W82" s="997"/>
      <c r="X82" s="96"/>
      <c r="Y82" s="997"/>
      <c r="Z82" s="96"/>
      <c r="AV82" s="191"/>
      <c r="AW82" s="192" t="s">
        <v>66</v>
      </c>
      <c r="AX82" s="1176">
        <f>K62</f>
        <v>0</v>
      </c>
      <c r="AY82" s="1176">
        <f>BG101</f>
        <v>0</v>
      </c>
      <c r="AZ82" s="1176">
        <f>BG104</f>
        <v>0</v>
      </c>
      <c r="BA82" s="1176">
        <f>BG107</f>
        <v>0</v>
      </c>
      <c r="BB82" s="1176">
        <f>BG110</f>
        <v>0</v>
      </c>
      <c r="BC82" s="1176">
        <f>BG113</f>
        <v>0</v>
      </c>
      <c r="BD82" s="1176">
        <f>BG116</f>
        <v>0</v>
      </c>
      <c r="BE82" s="1176">
        <f>BG119</f>
        <v>0</v>
      </c>
      <c r="BF82" s="1176">
        <f>BG122</f>
        <v>0</v>
      </c>
      <c r="BG82" s="1176">
        <f>BG125</f>
        <v>0</v>
      </c>
      <c r="BH82" s="1176">
        <f>BG128</f>
        <v>0</v>
      </c>
      <c r="BI82" s="1176">
        <f>BG131</f>
        <v>0</v>
      </c>
      <c r="BJ82" s="1176">
        <f>BG134</f>
        <v>0</v>
      </c>
      <c r="BK82" s="1176">
        <f t="shared" si="47"/>
        <v>0</v>
      </c>
      <c r="BL82" s="191"/>
      <c r="BM82" s="191"/>
      <c r="BN82" s="191"/>
      <c r="BO82" s="191"/>
      <c r="BP82" s="191"/>
      <c r="BQ82" s="191"/>
      <c r="BR82" s="191"/>
      <c r="BS82" s="303">
        <f t="shared" si="38"/>
        <v>0</v>
      </c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</row>
    <row r="83" spans="2:82" ht="25.5" customHeight="1" x14ac:dyDescent="0.45">
      <c r="B83" s="16">
        <v>3</v>
      </c>
      <c r="C83" s="17" t="s">
        <v>45</v>
      </c>
      <c r="D83" s="33" t="s">
        <v>30</v>
      </c>
      <c r="E83" s="383">
        <v>0</v>
      </c>
      <c r="F83" s="383">
        <v>0</v>
      </c>
      <c r="G83" s="383">
        <v>0</v>
      </c>
      <c r="H83" s="383">
        <v>0</v>
      </c>
      <c r="I83" s="383">
        <v>0</v>
      </c>
      <c r="J83" s="383">
        <v>0</v>
      </c>
      <c r="K83" s="383">
        <v>0</v>
      </c>
      <c r="L83" s="383">
        <v>0</v>
      </c>
      <c r="M83" s="383">
        <v>0</v>
      </c>
      <c r="N83" s="383">
        <v>0</v>
      </c>
      <c r="O83" s="383">
        <v>0</v>
      </c>
      <c r="P83" s="383">
        <v>0</v>
      </c>
      <c r="Q83" s="383">
        <v>0</v>
      </c>
      <c r="R83" s="383">
        <v>0</v>
      </c>
      <c r="S83" s="383">
        <v>0</v>
      </c>
      <c r="T83" s="383">
        <v>0</v>
      </c>
      <c r="U83" s="383">
        <v>0</v>
      </c>
      <c r="V83" s="383">
        <v>0</v>
      </c>
      <c r="W83" s="997"/>
      <c r="X83" s="96"/>
      <c r="Y83" s="997"/>
      <c r="Z83" s="96"/>
      <c r="AV83" s="191"/>
      <c r="AW83" s="192" t="s">
        <v>67</v>
      </c>
      <c r="AX83" s="1176">
        <f>L62</f>
        <v>0</v>
      </c>
      <c r="AY83" s="1176">
        <f>BH101</f>
        <v>0</v>
      </c>
      <c r="AZ83" s="1176">
        <f>BH104</f>
        <v>0</v>
      </c>
      <c r="BA83" s="1176">
        <f>BH107</f>
        <v>0</v>
      </c>
      <c r="BB83" s="1176">
        <f>BH110</f>
        <v>0</v>
      </c>
      <c r="BC83" s="1176">
        <f>BH113</f>
        <v>0</v>
      </c>
      <c r="BD83" s="1176">
        <f>BH116</f>
        <v>0</v>
      </c>
      <c r="BE83" s="1176">
        <f>BH119</f>
        <v>0</v>
      </c>
      <c r="BF83" s="1176">
        <f>BH122</f>
        <v>0</v>
      </c>
      <c r="BG83" s="1176">
        <f>BH125</f>
        <v>0</v>
      </c>
      <c r="BH83" s="1176">
        <f>BH128</f>
        <v>0</v>
      </c>
      <c r="BI83" s="1176">
        <f>BH131</f>
        <v>0</v>
      </c>
      <c r="BJ83" s="1176">
        <f>BH134</f>
        <v>0</v>
      </c>
      <c r="BK83" s="1176">
        <f t="shared" si="47"/>
        <v>0</v>
      </c>
      <c r="BL83" s="191"/>
      <c r="BM83" s="191"/>
      <c r="BN83" s="191"/>
      <c r="BO83" s="191"/>
      <c r="BP83" s="191"/>
      <c r="BQ83" s="191"/>
      <c r="BR83" s="191"/>
      <c r="BS83" s="303">
        <f t="shared" si="38"/>
        <v>0</v>
      </c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</row>
    <row r="84" spans="2:82" ht="25.5" customHeight="1" x14ac:dyDescent="0.45">
      <c r="B84" s="16">
        <v>4</v>
      </c>
      <c r="C84" s="17" t="s">
        <v>46</v>
      </c>
      <c r="D84" s="33" t="s">
        <v>30</v>
      </c>
      <c r="E84" s="383">
        <v>0</v>
      </c>
      <c r="F84" s="383">
        <v>0</v>
      </c>
      <c r="G84" s="383">
        <v>0</v>
      </c>
      <c r="H84" s="383">
        <v>0</v>
      </c>
      <c r="I84" s="383">
        <v>0</v>
      </c>
      <c r="J84" s="383">
        <v>0</v>
      </c>
      <c r="K84" s="383">
        <v>0</v>
      </c>
      <c r="L84" s="383">
        <v>0</v>
      </c>
      <c r="M84" s="383">
        <v>0</v>
      </c>
      <c r="N84" s="383">
        <v>0</v>
      </c>
      <c r="O84" s="383">
        <v>0</v>
      </c>
      <c r="P84" s="383">
        <v>0</v>
      </c>
      <c r="Q84" s="383">
        <v>0</v>
      </c>
      <c r="R84" s="383">
        <v>0</v>
      </c>
      <c r="S84" s="383">
        <v>0</v>
      </c>
      <c r="T84" s="383">
        <v>0</v>
      </c>
      <c r="U84" s="383">
        <v>0</v>
      </c>
      <c r="V84" s="383">
        <v>0</v>
      </c>
      <c r="W84" s="997"/>
      <c r="X84" s="96"/>
      <c r="Y84" s="997"/>
      <c r="Z84" s="96"/>
      <c r="AV84" s="191"/>
      <c r="AW84" s="192" t="s">
        <v>76</v>
      </c>
      <c r="AX84" s="1176">
        <f>M62</f>
        <v>0</v>
      </c>
      <c r="AY84" s="1176">
        <f>BI101</f>
        <v>0</v>
      </c>
      <c r="AZ84" s="1176">
        <f>BI104</f>
        <v>0</v>
      </c>
      <c r="BA84" s="1176">
        <f>BI107</f>
        <v>0</v>
      </c>
      <c r="BB84" s="1176">
        <f>BI110</f>
        <v>0</v>
      </c>
      <c r="BC84" s="1176">
        <f>BI113</f>
        <v>0</v>
      </c>
      <c r="BD84" s="1176">
        <f>BI116</f>
        <v>0</v>
      </c>
      <c r="BE84" s="1176">
        <f>BI119</f>
        <v>0</v>
      </c>
      <c r="BF84" s="1176">
        <f>BI122</f>
        <v>0</v>
      </c>
      <c r="BG84" s="1176">
        <f>BI125</f>
        <v>0</v>
      </c>
      <c r="BH84" s="1176">
        <f>BI128</f>
        <v>0</v>
      </c>
      <c r="BI84" s="1176">
        <f>BI131</f>
        <v>0</v>
      </c>
      <c r="BJ84" s="1176">
        <f>BI134</f>
        <v>0</v>
      </c>
      <c r="BK84" s="1176">
        <f t="shared" si="47"/>
        <v>0</v>
      </c>
      <c r="BL84" s="191"/>
      <c r="BM84" s="191"/>
      <c r="BN84" s="191"/>
      <c r="BO84" s="191"/>
      <c r="BP84" s="191"/>
      <c r="BQ84" s="191"/>
      <c r="BR84" s="191"/>
      <c r="BS84" s="303">
        <f t="shared" si="38"/>
        <v>394.6</v>
      </c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</row>
    <row r="85" spans="2:82" ht="25.5" customHeight="1" x14ac:dyDescent="0.45">
      <c r="B85" s="16">
        <v>5</v>
      </c>
      <c r="C85" s="17" t="s">
        <v>34</v>
      </c>
      <c r="D85" s="33" t="s">
        <v>30</v>
      </c>
      <c r="E85" s="383">
        <v>0</v>
      </c>
      <c r="F85" s="383">
        <v>0</v>
      </c>
      <c r="G85" s="383">
        <v>0</v>
      </c>
      <c r="H85" s="383">
        <v>0</v>
      </c>
      <c r="I85" s="383">
        <v>0</v>
      </c>
      <c r="J85" s="383">
        <v>0</v>
      </c>
      <c r="K85" s="383">
        <v>0</v>
      </c>
      <c r="L85" s="383">
        <v>0</v>
      </c>
      <c r="M85" s="383">
        <v>0</v>
      </c>
      <c r="N85" s="383">
        <v>0</v>
      </c>
      <c r="O85" s="383">
        <v>0</v>
      </c>
      <c r="P85" s="383">
        <v>0</v>
      </c>
      <c r="Q85" s="383">
        <v>0</v>
      </c>
      <c r="R85" s="383">
        <v>0</v>
      </c>
      <c r="S85" s="383">
        <v>0</v>
      </c>
      <c r="T85" s="383">
        <v>0</v>
      </c>
      <c r="U85" s="383">
        <v>0</v>
      </c>
      <c r="V85" s="383">
        <v>0</v>
      </c>
      <c r="W85" s="997"/>
      <c r="X85" s="96"/>
      <c r="Y85" s="997"/>
      <c r="Z85" s="96"/>
      <c r="AV85" s="191"/>
      <c r="AW85" s="192" t="s">
        <v>68</v>
      </c>
      <c r="AX85" s="1176">
        <f>N62</f>
        <v>0</v>
      </c>
      <c r="AY85" s="1177">
        <f>BJ101</f>
        <v>0</v>
      </c>
      <c r="AZ85" s="1177">
        <f>BJ104</f>
        <v>0</v>
      </c>
      <c r="BA85" s="1177">
        <f>BJ107</f>
        <v>0</v>
      </c>
      <c r="BB85" s="1177">
        <f>BJ110</f>
        <v>0</v>
      </c>
      <c r="BC85" s="1177">
        <f>BJ113</f>
        <v>0</v>
      </c>
      <c r="BD85" s="1177">
        <f>BJ116</f>
        <v>0</v>
      </c>
      <c r="BE85" s="1177">
        <f>BJ119</f>
        <v>0</v>
      </c>
      <c r="BF85" s="1177">
        <f>BJ122</f>
        <v>0</v>
      </c>
      <c r="BG85" s="1177">
        <f>BJ125</f>
        <v>0</v>
      </c>
      <c r="BH85" s="1177">
        <f>BJ128</f>
        <v>0</v>
      </c>
      <c r="BI85" s="1177">
        <f>BJ131</f>
        <v>0</v>
      </c>
      <c r="BJ85" s="1177">
        <f>BJ134</f>
        <v>0</v>
      </c>
      <c r="BK85" s="1176">
        <f t="shared" si="47"/>
        <v>0</v>
      </c>
      <c r="BL85" s="191"/>
      <c r="BM85" s="191"/>
      <c r="BN85" s="191"/>
      <c r="BO85" s="191"/>
      <c r="BP85" s="191"/>
      <c r="BQ85" s="191"/>
      <c r="BR85" s="191"/>
      <c r="BS85" s="303">
        <f t="shared" si="38"/>
        <v>54.5</v>
      </c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</row>
    <row r="86" spans="2:82" ht="25.5" customHeight="1" x14ac:dyDescent="0.45">
      <c r="B86" s="16">
        <v>6</v>
      </c>
      <c r="C86" s="17" t="s">
        <v>37</v>
      </c>
      <c r="D86" s="33" t="s">
        <v>30</v>
      </c>
      <c r="E86" s="383">
        <v>0</v>
      </c>
      <c r="F86" s="383">
        <v>0</v>
      </c>
      <c r="G86" s="383">
        <v>0</v>
      </c>
      <c r="H86" s="383">
        <v>0</v>
      </c>
      <c r="I86" s="383">
        <v>0</v>
      </c>
      <c r="J86" s="383">
        <v>0</v>
      </c>
      <c r="K86" s="383">
        <v>0</v>
      </c>
      <c r="L86" s="383">
        <v>0</v>
      </c>
      <c r="M86" s="383">
        <v>0</v>
      </c>
      <c r="N86" s="383">
        <v>0</v>
      </c>
      <c r="O86" s="383">
        <v>0</v>
      </c>
      <c r="P86" s="383">
        <v>0</v>
      </c>
      <c r="Q86" s="383">
        <v>0</v>
      </c>
      <c r="R86" s="383">
        <v>0</v>
      </c>
      <c r="S86" s="383">
        <v>0</v>
      </c>
      <c r="T86" s="383">
        <v>0</v>
      </c>
      <c r="U86" s="383">
        <v>0</v>
      </c>
      <c r="V86" s="383">
        <v>0</v>
      </c>
      <c r="W86" s="997"/>
      <c r="X86" s="96"/>
      <c r="Y86" s="997"/>
      <c r="Z86" s="96"/>
      <c r="AV86" s="191"/>
      <c r="AW86" s="192" t="s">
        <v>69</v>
      </c>
      <c r="AX86" s="1176">
        <f>O62</f>
        <v>0</v>
      </c>
      <c r="AY86" s="1177">
        <f>BK101</f>
        <v>0</v>
      </c>
      <c r="AZ86" s="1177">
        <f>BK104</f>
        <v>0</v>
      </c>
      <c r="BA86" s="1177">
        <f>BK107</f>
        <v>0</v>
      </c>
      <c r="BB86" s="1177">
        <f>BK110</f>
        <v>0</v>
      </c>
      <c r="BC86" s="1177">
        <f>BK113</f>
        <v>0</v>
      </c>
      <c r="BD86" s="1177">
        <f>BK116</f>
        <v>0</v>
      </c>
      <c r="BE86" s="1177">
        <f>BK119</f>
        <v>0</v>
      </c>
      <c r="BF86" s="1177">
        <f>BK122</f>
        <v>0</v>
      </c>
      <c r="BG86" s="1177">
        <f>BK125</f>
        <v>0</v>
      </c>
      <c r="BH86" s="1177">
        <f>BK128</f>
        <v>0</v>
      </c>
      <c r="BI86" s="1177">
        <f>BK131</f>
        <v>0</v>
      </c>
      <c r="BJ86" s="1177">
        <f>BK134</f>
        <v>0</v>
      </c>
      <c r="BK86" s="1176">
        <f t="shared" si="47"/>
        <v>0</v>
      </c>
      <c r="BL86" s="191"/>
      <c r="BM86" s="191"/>
      <c r="BN86" s="191"/>
      <c r="BO86" s="191"/>
      <c r="BP86" s="191"/>
      <c r="BQ86" s="191"/>
      <c r="BR86" s="191"/>
      <c r="BS86" s="303">
        <f t="shared" si="38"/>
        <v>449.1</v>
      </c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</row>
    <row r="87" spans="2:82" ht="25.5" customHeight="1" x14ac:dyDescent="0.45">
      <c r="B87" s="16">
        <v>7</v>
      </c>
      <c r="C87" s="17" t="s">
        <v>47</v>
      </c>
      <c r="D87" s="33" t="s">
        <v>30</v>
      </c>
      <c r="E87" s="383">
        <v>0</v>
      </c>
      <c r="F87" s="383">
        <v>0</v>
      </c>
      <c r="G87" s="383">
        <v>0</v>
      </c>
      <c r="H87" s="383">
        <v>0</v>
      </c>
      <c r="I87" s="383">
        <v>0</v>
      </c>
      <c r="J87" s="383">
        <v>0</v>
      </c>
      <c r="K87" s="383">
        <v>0</v>
      </c>
      <c r="L87" s="383">
        <v>0</v>
      </c>
      <c r="M87" s="383">
        <v>0</v>
      </c>
      <c r="N87" s="383">
        <v>0</v>
      </c>
      <c r="O87" s="383">
        <v>0</v>
      </c>
      <c r="P87" s="383">
        <v>0</v>
      </c>
      <c r="Q87" s="383">
        <v>0</v>
      </c>
      <c r="R87" s="383">
        <v>0</v>
      </c>
      <c r="S87" s="383">
        <v>0</v>
      </c>
      <c r="T87" s="383">
        <v>0</v>
      </c>
      <c r="U87" s="383">
        <v>0</v>
      </c>
      <c r="V87" s="383">
        <v>0</v>
      </c>
      <c r="W87" s="997"/>
      <c r="X87" s="96"/>
      <c r="Y87" s="997"/>
      <c r="Z87" s="96"/>
      <c r="AV87" s="191"/>
      <c r="AW87" s="192" t="s">
        <v>70</v>
      </c>
      <c r="AX87" s="1176">
        <f>P62</f>
        <v>0</v>
      </c>
      <c r="AY87" s="1177">
        <f>BL101</f>
        <v>0</v>
      </c>
      <c r="AZ87" s="1177">
        <f>BL104</f>
        <v>0</v>
      </c>
      <c r="BA87" s="1177">
        <f>BL107</f>
        <v>0</v>
      </c>
      <c r="BB87" s="1177">
        <f>BL110</f>
        <v>0</v>
      </c>
      <c r="BC87" s="1177">
        <f>BL113</f>
        <v>0</v>
      </c>
      <c r="BD87" s="1177">
        <f>BL116</f>
        <v>0</v>
      </c>
      <c r="BE87" s="1177">
        <f>BL119</f>
        <v>0</v>
      </c>
      <c r="BF87" s="1177">
        <f>BL122</f>
        <v>0</v>
      </c>
      <c r="BG87" s="1177">
        <f>BL125</f>
        <v>0</v>
      </c>
      <c r="BH87" s="1177">
        <f>BL128</f>
        <v>0</v>
      </c>
      <c r="BI87" s="1177">
        <f>BL131</f>
        <v>0</v>
      </c>
      <c r="BJ87" s="1177">
        <f>BL134</f>
        <v>0</v>
      </c>
      <c r="BK87" s="1176">
        <f t="shared" si="47"/>
        <v>0</v>
      </c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</row>
    <row r="88" spans="2:82" ht="25.5" customHeight="1" x14ac:dyDescent="0.45">
      <c r="B88" s="16">
        <v>8</v>
      </c>
      <c r="C88" s="17" t="s">
        <v>38</v>
      </c>
      <c r="D88" s="33" t="s">
        <v>30</v>
      </c>
      <c r="E88" s="383">
        <v>0</v>
      </c>
      <c r="F88" s="383">
        <v>0</v>
      </c>
      <c r="G88" s="383">
        <v>0</v>
      </c>
      <c r="H88" s="383">
        <v>0</v>
      </c>
      <c r="I88" s="383">
        <v>0</v>
      </c>
      <c r="J88" s="383">
        <v>0</v>
      </c>
      <c r="K88" s="383">
        <v>0</v>
      </c>
      <c r="L88" s="383">
        <v>0</v>
      </c>
      <c r="M88" s="383">
        <v>0</v>
      </c>
      <c r="N88" s="383">
        <v>0</v>
      </c>
      <c r="O88" s="383">
        <v>0</v>
      </c>
      <c r="P88" s="383">
        <v>0</v>
      </c>
      <c r="Q88" s="383">
        <v>0</v>
      </c>
      <c r="R88" s="383">
        <v>0</v>
      </c>
      <c r="S88" s="383">
        <v>0</v>
      </c>
      <c r="T88" s="383">
        <v>0</v>
      </c>
      <c r="U88" s="383">
        <v>0</v>
      </c>
      <c r="V88" s="383">
        <v>0</v>
      </c>
      <c r="W88" s="997"/>
      <c r="X88" s="96"/>
      <c r="Y88" s="997"/>
      <c r="Z88" s="96"/>
      <c r="AV88" s="191"/>
      <c r="AW88" s="1178" t="s">
        <v>71</v>
      </c>
      <c r="AX88" s="1176">
        <f>Q62</f>
        <v>0</v>
      </c>
      <c r="AY88" s="1177">
        <f>BM101</f>
        <v>0</v>
      </c>
      <c r="AZ88" s="1177">
        <f>BM104</f>
        <v>0</v>
      </c>
      <c r="BA88" s="1177">
        <f>BM107</f>
        <v>0</v>
      </c>
      <c r="BB88" s="1177">
        <f>BM110</f>
        <v>0</v>
      </c>
      <c r="BC88" s="1177">
        <f>BM113</f>
        <v>0</v>
      </c>
      <c r="BD88" s="1177">
        <f>BM116</f>
        <v>0</v>
      </c>
      <c r="BE88" s="1177">
        <f>BM119</f>
        <v>0</v>
      </c>
      <c r="BF88" s="1177">
        <f>BM122</f>
        <v>0</v>
      </c>
      <c r="BG88" s="1177">
        <f>BM125</f>
        <v>0</v>
      </c>
      <c r="BH88" s="1177">
        <f>BM128</f>
        <v>0</v>
      </c>
      <c r="BI88" s="1177">
        <f>BM131</f>
        <v>0</v>
      </c>
      <c r="BJ88" s="1177">
        <f>BM134</f>
        <v>0</v>
      </c>
      <c r="BK88" s="1176">
        <f t="shared" si="47"/>
        <v>0</v>
      </c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</row>
    <row r="89" spans="2:82" ht="25.5" customHeight="1" x14ac:dyDescent="0.45">
      <c r="B89" s="16">
        <v>9</v>
      </c>
      <c r="C89" s="17" t="s">
        <v>39</v>
      </c>
      <c r="D89" s="33" t="s">
        <v>30</v>
      </c>
      <c r="E89" s="383">
        <v>0</v>
      </c>
      <c r="F89" s="383">
        <v>0</v>
      </c>
      <c r="G89" s="383">
        <v>0</v>
      </c>
      <c r="H89" s="383">
        <v>0</v>
      </c>
      <c r="I89" s="383">
        <v>0</v>
      </c>
      <c r="J89" s="383">
        <v>0</v>
      </c>
      <c r="K89" s="383">
        <v>0</v>
      </c>
      <c r="L89" s="383">
        <v>0</v>
      </c>
      <c r="M89" s="383">
        <v>0</v>
      </c>
      <c r="N89" s="383">
        <v>0</v>
      </c>
      <c r="O89" s="383">
        <v>0</v>
      </c>
      <c r="P89" s="383">
        <v>0</v>
      </c>
      <c r="Q89" s="383">
        <v>0</v>
      </c>
      <c r="R89" s="383">
        <v>0</v>
      </c>
      <c r="S89" s="383">
        <v>0</v>
      </c>
      <c r="T89" s="383">
        <v>0</v>
      </c>
      <c r="U89" s="383">
        <v>0</v>
      </c>
      <c r="V89" s="383">
        <v>0</v>
      </c>
      <c r="W89" s="997"/>
      <c r="X89" s="96"/>
      <c r="Y89" s="997"/>
      <c r="Z89" s="96"/>
      <c r="AV89" s="191"/>
      <c r="AW89" s="1179" t="s">
        <v>77</v>
      </c>
      <c r="AX89" s="1176">
        <f>R62</f>
        <v>0</v>
      </c>
      <c r="AY89" s="1177">
        <f>BN101</f>
        <v>0</v>
      </c>
      <c r="AZ89" s="1177">
        <f>BN104</f>
        <v>0</v>
      </c>
      <c r="BA89" s="1177">
        <f>BN107</f>
        <v>0</v>
      </c>
      <c r="BB89" s="1177">
        <f>BN110</f>
        <v>0</v>
      </c>
      <c r="BC89" s="1177">
        <f>BN113</f>
        <v>0</v>
      </c>
      <c r="BD89" s="1177">
        <f>BN116</f>
        <v>0</v>
      </c>
      <c r="BE89" s="1177">
        <f>BN119</f>
        <v>0</v>
      </c>
      <c r="BF89" s="1177">
        <f>BN122</f>
        <v>0</v>
      </c>
      <c r="BG89" s="1177">
        <f>BN125</f>
        <v>0</v>
      </c>
      <c r="BH89" s="1177">
        <f>BN128</f>
        <v>0</v>
      </c>
      <c r="BI89" s="1177">
        <f>BN131</f>
        <v>0</v>
      </c>
      <c r="BJ89" s="1177">
        <f>BN134</f>
        <v>0</v>
      </c>
      <c r="BK89" s="1176">
        <f t="shared" si="47"/>
        <v>0</v>
      </c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</row>
    <row r="90" spans="2:82" ht="25.5" customHeight="1" x14ac:dyDescent="0.45">
      <c r="B90" s="16">
        <v>10</v>
      </c>
      <c r="C90" s="17" t="s">
        <v>33</v>
      </c>
      <c r="D90" s="33" t="s">
        <v>30</v>
      </c>
      <c r="E90" s="383">
        <v>0</v>
      </c>
      <c r="F90" s="383">
        <v>0</v>
      </c>
      <c r="G90" s="383">
        <v>0</v>
      </c>
      <c r="H90" s="383">
        <v>0</v>
      </c>
      <c r="I90" s="383">
        <v>0</v>
      </c>
      <c r="J90" s="383">
        <v>0</v>
      </c>
      <c r="K90" s="383">
        <v>0</v>
      </c>
      <c r="L90" s="383">
        <v>0</v>
      </c>
      <c r="M90" s="383">
        <v>0</v>
      </c>
      <c r="N90" s="383">
        <v>0</v>
      </c>
      <c r="O90" s="383">
        <v>0</v>
      </c>
      <c r="P90" s="383">
        <v>0</v>
      </c>
      <c r="Q90" s="383">
        <v>0</v>
      </c>
      <c r="R90" s="383">
        <v>0</v>
      </c>
      <c r="S90" s="383">
        <v>0</v>
      </c>
      <c r="T90" s="383">
        <v>0</v>
      </c>
      <c r="U90" s="383">
        <v>0</v>
      </c>
      <c r="V90" s="383">
        <v>0</v>
      </c>
      <c r="W90" s="997"/>
      <c r="X90" s="96"/>
      <c r="Y90" s="997"/>
      <c r="Z90" s="96"/>
      <c r="AV90" s="191"/>
      <c r="AW90" s="1179" t="s">
        <v>72</v>
      </c>
      <c r="AX90" s="1176">
        <f>S62</f>
        <v>0</v>
      </c>
      <c r="AY90" s="1176">
        <f>BO101</f>
        <v>0</v>
      </c>
      <c r="AZ90" s="1176">
        <f>BO104</f>
        <v>0</v>
      </c>
      <c r="BA90" s="1176">
        <f>BO107</f>
        <v>0</v>
      </c>
      <c r="BB90" s="1176">
        <f>BO110</f>
        <v>0</v>
      </c>
      <c r="BC90" s="1176">
        <f>BO113</f>
        <v>0</v>
      </c>
      <c r="BD90" s="1176">
        <f>BO116</f>
        <v>0</v>
      </c>
      <c r="BE90" s="1176">
        <f>BO119</f>
        <v>0</v>
      </c>
      <c r="BF90" s="1176">
        <f>BO122</f>
        <v>0</v>
      </c>
      <c r="BG90" s="1176">
        <f>BO125</f>
        <v>0</v>
      </c>
      <c r="BH90" s="1176">
        <f>BO128</f>
        <v>0</v>
      </c>
      <c r="BI90" s="1176">
        <f>BO131</f>
        <v>0</v>
      </c>
      <c r="BJ90" s="1176">
        <f>BO134</f>
        <v>0</v>
      </c>
      <c r="BK90" s="1176">
        <f t="shared" si="47"/>
        <v>0</v>
      </c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</row>
    <row r="91" spans="2:82" ht="25.5" customHeight="1" x14ac:dyDescent="0.45">
      <c r="B91" s="16">
        <v>11</v>
      </c>
      <c r="C91" s="17" t="s">
        <v>40</v>
      </c>
      <c r="D91" s="33" t="s">
        <v>30</v>
      </c>
      <c r="E91" s="383">
        <v>0</v>
      </c>
      <c r="F91" s="383">
        <v>0</v>
      </c>
      <c r="G91" s="383">
        <v>0</v>
      </c>
      <c r="H91" s="383">
        <v>0</v>
      </c>
      <c r="I91" s="383">
        <v>0</v>
      </c>
      <c r="J91" s="383">
        <v>0</v>
      </c>
      <c r="K91" s="383">
        <v>0</v>
      </c>
      <c r="L91" s="383">
        <v>0</v>
      </c>
      <c r="M91" s="383">
        <v>0</v>
      </c>
      <c r="N91" s="383">
        <v>0</v>
      </c>
      <c r="O91" s="383">
        <v>0</v>
      </c>
      <c r="P91" s="383">
        <v>0</v>
      </c>
      <c r="Q91" s="383">
        <v>0</v>
      </c>
      <c r="R91" s="383">
        <v>0</v>
      </c>
      <c r="S91" s="383">
        <v>0</v>
      </c>
      <c r="T91" s="383">
        <v>0</v>
      </c>
      <c r="U91" s="383">
        <v>0</v>
      </c>
      <c r="V91" s="383">
        <v>0</v>
      </c>
      <c r="W91" s="997"/>
      <c r="X91" s="96"/>
      <c r="Y91" s="997"/>
      <c r="Z91" s="96"/>
      <c r="AV91" s="191"/>
      <c r="AW91" s="192" t="s">
        <v>73</v>
      </c>
      <c r="AX91" s="1176">
        <f>T62</f>
        <v>0</v>
      </c>
      <c r="AY91" s="1176">
        <f>BP101</f>
        <v>0</v>
      </c>
      <c r="AZ91" s="1176">
        <f>BP104</f>
        <v>0</v>
      </c>
      <c r="BA91" s="1176">
        <f>BP107</f>
        <v>0</v>
      </c>
      <c r="BB91" s="1176">
        <f>BP110</f>
        <v>0</v>
      </c>
      <c r="BC91" s="1176">
        <f>BP113</f>
        <v>0</v>
      </c>
      <c r="BD91" s="1176">
        <f>BP116</f>
        <v>0</v>
      </c>
      <c r="BE91" s="1176">
        <f>BP119</f>
        <v>0</v>
      </c>
      <c r="BF91" s="1176">
        <f>BP122</f>
        <v>0</v>
      </c>
      <c r="BG91" s="1176">
        <f>BP125</f>
        <v>0</v>
      </c>
      <c r="BH91" s="1176">
        <f>BP128</f>
        <v>0</v>
      </c>
      <c r="BI91" s="1176">
        <f>BP131</f>
        <v>0</v>
      </c>
      <c r="BJ91" s="1176">
        <f>BP134</f>
        <v>0</v>
      </c>
      <c r="BK91" s="1176">
        <f t="shared" si="47"/>
        <v>0</v>
      </c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</row>
    <row r="92" spans="2:82" ht="25.5" customHeight="1" x14ac:dyDescent="0.45">
      <c r="B92" s="16">
        <v>12</v>
      </c>
      <c r="C92" s="17" t="s">
        <v>41</v>
      </c>
      <c r="D92" s="33" t="s">
        <v>30</v>
      </c>
      <c r="E92" s="383">
        <v>0</v>
      </c>
      <c r="F92" s="383">
        <v>0</v>
      </c>
      <c r="G92" s="383">
        <v>0</v>
      </c>
      <c r="H92" s="383">
        <v>0</v>
      </c>
      <c r="I92" s="383">
        <v>0</v>
      </c>
      <c r="J92" s="383">
        <v>0</v>
      </c>
      <c r="K92" s="383">
        <v>0</v>
      </c>
      <c r="L92" s="383">
        <v>0</v>
      </c>
      <c r="M92" s="383">
        <v>0</v>
      </c>
      <c r="N92" s="383">
        <v>0</v>
      </c>
      <c r="O92" s="383">
        <v>0</v>
      </c>
      <c r="P92" s="383">
        <v>0</v>
      </c>
      <c r="Q92" s="383">
        <v>0</v>
      </c>
      <c r="R92" s="383">
        <v>0</v>
      </c>
      <c r="S92" s="383">
        <v>0</v>
      </c>
      <c r="T92" s="383">
        <v>0</v>
      </c>
      <c r="U92" s="383">
        <v>0</v>
      </c>
      <c r="V92" s="383">
        <v>0</v>
      </c>
      <c r="W92" s="997"/>
      <c r="X92" s="96"/>
      <c r="Y92" s="997"/>
      <c r="Z92" s="96"/>
      <c r="AV92" s="191"/>
      <c r="AW92" s="192"/>
      <c r="AX92" s="1176">
        <f>U62</f>
        <v>0</v>
      </c>
      <c r="AY92" s="1176">
        <f>BQ101</f>
        <v>0</v>
      </c>
      <c r="AZ92" s="1176">
        <f>BQ104</f>
        <v>0</v>
      </c>
      <c r="BA92" s="1176">
        <f>BQ107</f>
        <v>0</v>
      </c>
      <c r="BB92" s="1176">
        <f>BQ110</f>
        <v>0</v>
      </c>
      <c r="BC92" s="1176">
        <f>BQ113</f>
        <v>0</v>
      </c>
      <c r="BD92" s="1176">
        <f>BQ116</f>
        <v>0</v>
      </c>
      <c r="BE92" s="1176">
        <f>BQ119</f>
        <v>0</v>
      </c>
      <c r="BF92" s="1176">
        <f>BQ122</f>
        <v>0</v>
      </c>
      <c r="BG92" s="1176">
        <f>BQ125</f>
        <v>0</v>
      </c>
      <c r="BH92" s="1176">
        <f>BQ128</f>
        <v>0</v>
      </c>
      <c r="BI92" s="1176">
        <f>BQ131</f>
        <v>0</v>
      </c>
      <c r="BJ92" s="1176">
        <f>BQ134</f>
        <v>0</v>
      </c>
      <c r="BK92" s="1176">
        <f t="shared" si="47"/>
        <v>0</v>
      </c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</row>
    <row r="93" spans="2:82" ht="25.5" customHeight="1" x14ac:dyDescent="0.45">
      <c r="B93" s="357"/>
      <c r="C93" s="357" t="s">
        <v>29</v>
      </c>
      <c r="D93" s="33" t="s">
        <v>30</v>
      </c>
      <c r="E93" s="384">
        <f t="shared" ref="E93:V93" si="48">SUM(E81:E92)</f>
        <v>0</v>
      </c>
      <c r="F93" s="384">
        <f t="shared" si="48"/>
        <v>0</v>
      </c>
      <c r="G93" s="384">
        <f t="shared" si="48"/>
        <v>0</v>
      </c>
      <c r="H93" s="384">
        <f t="shared" si="48"/>
        <v>0</v>
      </c>
      <c r="I93" s="384">
        <f t="shared" si="48"/>
        <v>0</v>
      </c>
      <c r="J93" s="384">
        <f t="shared" si="48"/>
        <v>0</v>
      </c>
      <c r="K93" s="384">
        <f t="shared" si="48"/>
        <v>0</v>
      </c>
      <c r="L93" s="384">
        <f t="shared" si="48"/>
        <v>0</v>
      </c>
      <c r="M93" s="384">
        <f t="shared" si="48"/>
        <v>0</v>
      </c>
      <c r="N93" s="384">
        <f t="shared" si="48"/>
        <v>0</v>
      </c>
      <c r="O93" s="384">
        <f t="shared" si="48"/>
        <v>0</v>
      </c>
      <c r="P93" s="384">
        <f t="shared" si="48"/>
        <v>0</v>
      </c>
      <c r="Q93" s="384">
        <f t="shared" si="48"/>
        <v>0</v>
      </c>
      <c r="R93" s="384">
        <f t="shared" si="48"/>
        <v>0</v>
      </c>
      <c r="S93" s="384">
        <f t="shared" si="48"/>
        <v>0</v>
      </c>
      <c r="T93" s="384">
        <f t="shared" si="48"/>
        <v>0</v>
      </c>
      <c r="U93" s="384">
        <f t="shared" si="48"/>
        <v>0</v>
      </c>
      <c r="V93" s="384">
        <f t="shared" si="48"/>
        <v>0</v>
      </c>
      <c r="W93" s="382"/>
      <c r="X93" s="382"/>
      <c r="Y93" s="382"/>
      <c r="Z93" s="382"/>
      <c r="AV93" s="191"/>
      <c r="AW93" s="192"/>
      <c r="AX93" s="1176">
        <f>V62</f>
        <v>0</v>
      </c>
      <c r="AY93" s="1176">
        <f>BR101</f>
        <v>0</v>
      </c>
      <c r="AZ93" s="1176">
        <f>BR104</f>
        <v>0</v>
      </c>
      <c r="BA93" s="1176">
        <f>BR107</f>
        <v>0</v>
      </c>
      <c r="BB93" s="1176">
        <f>BR110</f>
        <v>0</v>
      </c>
      <c r="BC93" s="1176">
        <f>BR113</f>
        <v>0</v>
      </c>
      <c r="BD93" s="1176">
        <f>BR116</f>
        <v>0</v>
      </c>
      <c r="BE93" s="1176">
        <f>BR119</f>
        <v>0</v>
      </c>
      <c r="BF93" s="1176">
        <f>BR122</f>
        <v>0</v>
      </c>
      <c r="BG93" s="1176">
        <f>BR125</f>
        <v>0</v>
      </c>
      <c r="BH93" s="1176">
        <f>BR128</f>
        <v>0</v>
      </c>
      <c r="BI93" s="1176">
        <f>BR131</f>
        <v>0</v>
      </c>
      <c r="BJ93" s="1176">
        <f>BR134</f>
        <v>0</v>
      </c>
      <c r="BK93" s="1176">
        <f t="shared" si="47"/>
        <v>0</v>
      </c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</row>
    <row r="94" spans="2:82" ht="25.5" customHeight="1" x14ac:dyDescent="0.3">
      <c r="AV94" s="191"/>
      <c r="AW94" s="191"/>
      <c r="AX94" s="303">
        <f>SUM(AX76:AX93)</f>
        <v>0</v>
      </c>
      <c r="AY94" s="303">
        <f t="shared" ref="AY94:BJ94" si="49">SUM(AY76:AY93)</f>
        <v>0</v>
      </c>
      <c r="AZ94" s="303">
        <f t="shared" si="49"/>
        <v>0</v>
      </c>
      <c r="BA94" s="303">
        <f t="shared" si="49"/>
        <v>0</v>
      </c>
      <c r="BB94" s="303">
        <f t="shared" si="49"/>
        <v>0</v>
      </c>
      <c r="BC94" s="303">
        <f t="shared" si="49"/>
        <v>0</v>
      </c>
      <c r="BD94" s="303">
        <f t="shared" si="49"/>
        <v>0</v>
      </c>
      <c r="BE94" s="303">
        <f t="shared" si="49"/>
        <v>0</v>
      </c>
      <c r="BF94" s="303">
        <f t="shared" si="49"/>
        <v>0</v>
      </c>
      <c r="BG94" s="303">
        <f t="shared" si="49"/>
        <v>0</v>
      </c>
      <c r="BH94" s="303">
        <f t="shared" si="49"/>
        <v>0</v>
      </c>
      <c r="BI94" s="303">
        <f t="shared" si="49"/>
        <v>0</v>
      </c>
      <c r="BJ94" s="303">
        <f t="shared" si="49"/>
        <v>0</v>
      </c>
      <c r="BK94" s="303">
        <f t="shared" si="47"/>
        <v>0</v>
      </c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</row>
    <row r="95" spans="2:82" ht="25.5" customHeight="1" x14ac:dyDescent="0.45">
      <c r="B95" s="1542" t="s">
        <v>333</v>
      </c>
      <c r="C95" s="1542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</row>
    <row r="96" spans="2:82" ht="25.5" customHeight="1" x14ac:dyDescent="0.5">
      <c r="B96" s="1548" t="s">
        <v>329</v>
      </c>
      <c r="C96" s="1548"/>
      <c r="D96" s="1548"/>
      <c r="E96" s="1548"/>
      <c r="F96" s="1548"/>
      <c r="G96" s="1548"/>
      <c r="H96" s="1548"/>
      <c r="I96" s="1548"/>
      <c r="J96" s="1548" t="s">
        <v>330</v>
      </c>
      <c r="K96" s="1548"/>
      <c r="L96" s="1548"/>
      <c r="M96" s="1548"/>
      <c r="N96" s="1548"/>
      <c r="O96" s="1548"/>
      <c r="P96" s="1548"/>
      <c r="Q96" s="1548"/>
      <c r="R96" s="42"/>
      <c r="S96" s="42"/>
      <c r="T96" s="42"/>
      <c r="U96" s="43"/>
      <c r="V96" s="43"/>
      <c r="W96" s="1546" t="s">
        <v>88</v>
      </c>
      <c r="X96" s="1546"/>
      <c r="Y96" s="1546" t="s">
        <v>89</v>
      </c>
      <c r="Z96" s="1546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</row>
    <row r="97" spans="2:82" ht="25.5" customHeight="1" x14ac:dyDescent="0.3">
      <c r="B97" s="1536" t="s">
        <v>86</v>
      </c>
      <c r="C97" s="1536" t="s">
        <v>106</v>
      </c>
      <c r="D97" s="26" t="s">
        <v>84</v>
      </c>
      <c r="E97" s="372" t="s">
        <v>97</v>
      </c>
      <c r="F97" s="372" t="s">
        <v>74</v>
      </c>
      <c r="G97" s="372" t="s">
        <v>75</v>
      </c>
      <c r="H97" s="372" t="s">
        <v>63</v>
      </c>
      <c r="I97" s="372" t="s">
        <v>64</v>
      </c>
      <c r="J97" s="372" t="s">
        <v>236</v>
      </c>
      <c r="K97" s="372" t="s">
        <v>66</v>
      </c>
      <c r="L97" s="372" t="s">
        <v>67</v>
      </c>
      <c r="M97" s="372" t="s">
        <v>76</v>
      </c>
      <c r="N97" s="372" t="s">
        <v>68</v>
      </c>
      <c r="O97" s="372" t="s">
        <v>69</v>
      </c>
      <c r="P97" s="372" t="s">
        <v>70</v>
      </c>
      <c r="Q97" s="373" t="s">
        <v>71</v>
      </c>
      <c r="R97" s="374" t="s">
        <v>77</v>
      </c>
      <c r="S97" s="374" t="s">
        <v>72</v>
      </c>
      <c r="T97" s="372" t="s">
        <v>73</v>
      </c>
      <c r="U97" s="374" t="s">
        <v>313</v>
      </c>
      <c r="V97" s="372"/>
      <c r="W97" s="18" t="s">
        <v>17</v>
      </c>
      <c r="X97" s="18" t="s">
        <v>85</v>
      </c>
      <c r="Y97" s="18" t="s">
        <v>17</v>
      </c>
      <c r="Z97" s="18" t="s">
        <v>85</v>
      </c>
      <c r="AV97" s="191"/>
      <c r="AW97" s="191"/>
      <c r="AX97" s="191"/>
      <c r="AY97" s="1543" t="s">
        <v>106</v>
      </c>
      <c r="AZ97" s="1544" t="s">
        <v>84</v>
      </c>
      <c r="BA97" s="192" t="s">
        <v>97</v>
      </c>
      <c r="BB97" s="192" t="s">
        <v>74</v>
      </c>
      <c r="BC97" s="192" t="s">
        <v>75</v>
      </c>
      <c r="BD97" s="192" t="s">
        <v>63</v>
      </c>
      <c r="BE97" s="192" t="s">
        <v>64</v>
      </c>
      <c r="BF97" s="192" t="s">
        <v>236</v>
      </c>
      <c r="BG97" s="192" t="s">
        <v>66</v>
      </c>
      <c r="BH97" s="192" t="s">
        <v>67</v>
      </c>
      <c r="BI97" s="192" t="s">
        <v>76</v>
      </c>
      <c r="BJ97" s="192" t="s">
        <v>68</v>
      </c>
      <c r="BK97" s="192" t="s">
        <v>69</v>
      </c>
      <c r="BL97" s="192" t="s">
        <v>70</v>
      </c>
      <c r="BM97" s="1178" t="s">
        <v>71</v>
      </c>
      <c r="BN97" s="1179" t="s">
        <v>77</v>
      </c>
      <c r="BO97" s="1179" t="s">
        <v>72</v>
      </c>
      <c r="BP97" s="192" t="s">
        <v>73</v>
      </c>
      <c r="BQ97" s="192"/>
      <c r="BR97" s="192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</row>
    <row r="98" spans="2:82" ht="25.5" customHeight="1" x14ac:dyDescent="0.4">
      <c r="B98" s="1537"/>
      <c r="C98" s="1537"/>
      <c r="D98" s="32" t="s">
        <v>284</v>
      </c>
      <c r="E98" s="375" t="s">
        <v>81</v>
      </c>
      <c r="F98" s="375" t="s">
        <v>81</v>
      </c>
      <c r="G98" s="375" t="s">
        <v>81</v>
      </c>
      <c r="H98" s="375" t="s">
        <v>81</v>
      </c>
      <c r="I98" s="375" t="s">
        <v>81</v>
      </c>
      <c r="J98" s="375" t="s">
        <v>81</v>
      </c>
      <c r="K98" s="375" t="s">
        <v>81</v>
      </c>
      <c r="L98" s="375" t="s">
        <v>81</v>
      </c>
      <c r="M98" s="375" t="s">
        <v>81</v>
      </c>
      <c r="N98" s="375" t="s">
        <v>81</v>
      </c>
      <c r="O98" s="375" t="s">
        <v>81</v>
      </c>
      <c r="P98" s="375" t="s">
        <v>81</v>
      </c>
      <c r="Q98" s="375" t="s">
        <v>81</v>
      </c>
      <c r="R98" s="375" t="s">
        <v>81</v>
      </c>
      <c r="S98" s="375" t="s">
        <v>215</v>
      </c>
      <c r="T98" s="375" t="s">
        <v>81</v>
      </c>
      <c r="U98" s="375" t="s">
        <v>81</v>
      </c>
      <c r="V98" s="375" t="s">
        <v>81</v>
      </c>
      <c r="W98" s="2">
        <v>19</v>
      </c>
      <c r="X98" s="2">
        <v>20</v>
      </c>
      <c r="Y98" s="2">
        <v>21</v>
      </c>
      <c r="Z98" s="2">
        <v>22</v>
      </c>
      <c r="AV98" s="191"/>
      <c r="AW98" s="191"/>
      <c r="AX98" s="191"/>
      <c r="AY98" s="1543"/>
      <c r="AZ98" s="1544"/>
      <c r="BA98" s="192" t="s">
        <v>81</v>
      </c>
      <c r="BB98" s="192" t="s">
        <v>81</v>
      </c>
      <c r="BC98" s="192" t="s">
        <v>81</v>
      </c>
      <c r="BD98" s="192" t="s">
        <v>81</v>
      </c>
      <c r="BE98" s="192" t="s">
        <v>81</v>
      </c>
      <c r="BF98" s="192" t="s">
        <v>81</v>
      </c>
      <c r="BG98" s="192" t="s">
        <v>81</v>
      </c>
      <c r="BH98" s="192" t="s">
        <v>81</v>
      </c>
      <c r="BI98" s="192" t="s">
        <v>81</v>
      </c>
      <c r="BJ98" s="192" t="s">
        <v>81</v>
      </c>
      <c r="BK98" s="192" t="s">
        <v>81</v>
      </c>
      <c r="BL98" s="192" t="s">
        <v>81</v>
      </c>
      <c r="BM98" s="192" t="s">
        <v>81</v>
      </c>
      <c r="BN98" s="192" t="s">
        <v>81</v>
      </c>
      <c r="BO98" s="192" t="s">
        <v>215</v>
      </c>
      <c r="BP98" s="192" t="s">
        <v>81</v>
      </c>
      <c r="BQ98" s="192" t="s">
        <v>81</v>
      </c>
      <c r="BR98" s="192" t="s">
        <v>81</v>
      </c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</row>
    <row r="99" spans="2:82" ht="25.5" customHeight="1" x14ac:dyDescent="0.45">
      <c r="B99" s="16">
        <v>1</v>
      </c>
      <c r="C99" s="17" t="s">
        <v>42</v>
      </c>
      <c r="D99" s="39" t="s">
        <v>30</v>
      </c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997"/>
      <c r="X99" s="96"/>
      <c r="Y99" s="997"/>
      <c r="Z99" s="96"/>
      <c r="AV99" s="191"/>
      <c r="AW99" s="191" t="s">
        <v>241</v>
      </c>
      <c r="AX99" s="191"/>
      <c r="AY99" s="40">
        <v>1</v>
      </c>
      <c r="AZ99" s="38" t="s">
        <v>30</v>
      </c>
      <c r="BA99" s="1176">
        <f t="shared" ref="BA99:BR99" si="50">E63</f>
        <v>0</v>
      </c>
      <c r="BB99" s="1176">
        <f t="shared" si="50"/>
        <v>0</v>
      </c>
      <c r="BC99" s="1176">
        <f t="shared" si="50"/>
        <v>0</v>
      </c>
      <c r="BD99" s="1176">
        <f t="shared" si="50"/>
        <v>0</v>
      </c>
      <c r="BE99" s="1176">
        <f t="shared" si="50"/>
        <v>0</v>
      </c>
      <c r="BF99" s="1176">
        <f t="shared" si="50"/>
        <v>0</v>
      </c>
      <c r="BG99" s="1176">
        <f t="shared" si="50"/>
        <v>0</v>
      </c>
      <c r="BH99" s="1176">
        <f t="shared" si="50"/>
        <v>0</v>
      </c>
      <c r="BI99" s="1176">
        <f t="shared" si="50"/>
        <v>0</v>
      </c>
      <c r="BJ99" s="1176">
        <f t="shared" si="50"/>
        <v>0</v>
      </c>
      <c r="BK99" s="1176">
        <f t="shared" si="50"/>
        <v>0</v>
      </c>
      <c r="BL99" s="1176">
        <f t="shared" si="50"/>
        <v>0</v>
      </c>
      <c r="BM99" s="1176">
        <f t="shared" si="50"/>
        <v>0</v>
      </c>
      <c r="BN99" s="1176">
        <f t="shared" si="50"/>
        <v>0</v>
      </c>
      <c r="BO99" s="1176">
        <f t="shared" si="50"/>
        <v>0</v>
      </c>
      <c r="BP99" s="1176">
        <f t="shared" si="50"/>
        <v>0</v>
      </c>
      <c r="BQ99" s="1176">
        <f t="shared" si="50"/>
        <v>0</v>
      </c>
      <c r="BR99" s="1176">
        <f t="shared" si="50"/>
        <v>0</v>
      </c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</row>
    <row r="100" spans="2:82" ht="25.5" customHeight="1" x14ac:dyDescent="0.45">
      <c r="B100" s="16">
        <v>2</v>
      </c>
      <c r="C100" s="17" t="s">
        <v>44</v>
      </c>
      <c r="D100" s="33" t="s">
        <v>30</v>
      </c>
      <c r="E100" s="387">
        <v>0</v>
      </c>
      <c r="F100" s="383">
        <v>0</v>
      </c>
      <c r="G100" s="383">
        <v>0</v>
      </c>
      <c r="H100" s="383">
        <v>0</v>
      </c>
      <c r="I100" s="383">
        <v>0</v>
      </c>
      <c r="J100" s="383">
        <v>0</v>
      </c>
      <c r="K100" s="383">
        <v>0</v>
      </c>
      <c r="L100" s="383">
        <v>0</v>
      </c>
      <c r="M100" s="383">
        <v>0</v>
      </c>
      <c r="N100" s="383">
        <v>0</v>
      </c>
      <c r="O100" s="383">
        <v>0</v>
      </c>
      <c r="P100" s="383">
        <v>0</v>
      </c>
      <c r="Q100" s="383">
        <v>0</v>
      </c>
      <c r="R100" s="383">
        <v>0</v>
      </c>
      <c r="S100" s="383">
        <v>0</v>
      </c>
      <c r="T100" s="383">
        <v>0</v>
      </c>
      <c r="U100" s="383">
        <v>0</v>
      </c>
      <c r="V100" s="383">
        <v>0</v>
      </c>
      <c r="W100" s="997"/>
      <c r="X100" s="96"/>
      <c r="Y100" s="997"/>
      <c r="Z100" s="96"/>
      <c r="AV100" s="191"/>
      <c r="AW100" s="191" t="s">
        <v>242</v>
      </c>
      <c r="AX100" s="191"/>
      <c r="AY100" s="40">
        <v>2</v>
      </c>
      <c r="AZ100" s="38" t="s">
        <v>30</v>
      </c>
      <c r="BA100" s="1176">
        <f t="shared" ref="BA100:BR100" si="51">E81</f>
        <v>0</v>
      </c>
      <c r="BB100" s="1176">
        <f t="shared" si="51"/>
        <v>0</v>
      </c>
      <c r="BC100" s="1176">
        <f t="shared" si="51"/>
        <v>0</v>
      </c>
      <c r="BD100" s="1176">
        <f t="shared" si="51"/>
        <v>0</v>
      </c>
      <c r="BE100" s="1176">
        <f t="shared" si="51"/>
        <v>0</v>
      </c>
      <c r="BF100" s="1176">
        <f t="shared" si="51"/>
        <v>0</v>
      </c>
      <c r="BG100" s="1176">
        <f t="shared" si="51"/>
        <v>0</v>
      </c>
      <c r="BH100" s="1176">
        <f t="shared" si="51"/>
        <v>0</v>
      </c>
      <c r="BI100" s="1176">
        <f t="shared" si="51"/>
        <v>0</v>
      </c>
      <c r="BJ100" s="1176">
        <f t="shared" si="51"/>
        <v>0</v>
      </c>
      <c r="BK100" s="1176">
        <f t="shared" si="51"/>
        <v>0</v>
      </c>
      <c r="BL100" s="1176">
        <f t="shared" si="51"/>
        <v>0</v>
      </c>
      <c r="BM100" s="1176">
        <f t="shared" si="51"/>
        <v>0</v>
      </c>
      <c r="BN100" s="1176">
        <f t="shared" si="51"/>
        <v>0</v>
      </c>
      <c r="BO100" s="1176">
        <f t="shared" si="51"/>
        <v>0</v>
      </c>
      <c r="BP100" s="1176">
        <f t="shared" si="51"/>
        <v>0</v>
      </c>
      <c r="BQ100" s="1176">
        <f t="shared" si="51"/>
        <v>0</v>
      </c>
      <c r="BR100" s="1176">
        <f t="shared" si="51"/>
        <v>0</v>
      </c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</row>
    <row r="101" spans="2:82" ht="25.5" customHeight="1" x14ac:dyDescent="0.45">
      <c r="B101" s="16">
        <v>3</v>
      </c>
      <c r="C101" s="17" t="s">
        <v>94</v>
      </c>
      <c r="D101" s="33" t="s">
        <v>30</v>
      </c>
      <c r="E101" s="387">
        <v>0</v>
      </c>
      <c r="F101" s="383">
        <v>0</v>
      </c>
      <c r="G101" s="383">
        <v>0</v>
      </c>
      <c r="H101" s="383">
        <v>0</v>
      </c>
      <c r="I101" s="383">
        <v>0</v>
      </c>
      <c r="J101" s="383">
        <v>0</v>
      </c>
      <c r="K101" s="383">
        <v>0</v>
      </c>
      <c r="L101" s="383">
        <v>0</v>
      </c>
      <c r="M101" s="383">
        <v>0</v>
      </c>
      <c r="N101" s="383">
        <v>0</v>
      </c>
      <c r="O101" s="383">
        <v>0</v>
      </c>
      <c r="P101" s="383">
        <v>0</v>
      </c>
      <c r="Q101" s="383">
        <v>0</v>
      </c>
      <c r="R101" s="383">
        <v>0</v>
      </c>
      <c r="S101" s="383">
        <v>0</v>
      </c>
      <c r="T101" s="383">
        <v>0</v>
      </c>
      <c r="U101" s="383">
        <v>0</v>
      </c>
      <c r="V101" s="383">
        <v>0</v>
      </c>
      <c r="W101" s="997"/>
      <c r="X101" s="96"/>
      <c r="Y101" s="997"/>
      <c r="Z101" s="96"/>
      <c r="AV101" s="191"/>
      <c r="AW101" s="191" t="s">
        <v>35</v>
      </c>
      <c r="AX101" s="191"/>
      <c r="AY101" s="40" t="s">
        <v>42</v>
      </c>
      <c r="AZ101" s="38" t="s">
        <v>30</v>
      </c>
      <c r="BA101" s="1176">
        <f>SUM(BA99:BA100)</f>
        <v>0</v>
      </c>
      <c r="BB101" s="1176">
        <f t="shared" ref="BB101:BR101" si="52">SUM(BB99:BB100)</f>
        <v>0</v>
      </c>
      <c r="BC101" s="1176">
        <f t="shared" si="52"/>
        <v>0</v>
      </c>
      <c r="BD101" s="1176">
        <f t="shared" si="52"/>
        <v>0</v>
      </c>
      <c r="BE101" s="1176">
        <f t="shared" si="52"/>
        <v>0</v>
      </c>
      <c r="BF101" s="1176">
        <f t="shared" si="52"/>
        <v>0</v>
      </c>
      <c r="BG101" s="1176">
        <f t="shared" si="52"/>
        <v>0</v>
      </c>
      <c r="BH101" s="1176">
        <f t="shared" si="52"/>
        <v>0</v>
      </c>
      <c r="BI101" s="1176">
        <f t="shared" si="52"/>
        <v>0</v>
      </c>
      <c r="BJ101" s="1176">
        <f t="shared" si="52"/>
        <v>0</v>
      </c>
      <c r="BK101" s="1176">
        <f t="shared" si="52"/>
        <v>0</v>
      </c>
      <c r="BL101" s="1176">
        <f t="shared" si="52"/>
        <v>0</v>
      </c>
      <c r="BM101" s="1176">
        <f t="shared" si="52"/>
        <v>0</v>
      </c>
      <c r="BN101" s="1176">
        <f t="shared" si="52"/>
        <v>0</v>
      </c>
      <c r="BO101" s="1176">
        <f t="shared" si="52"/>
        <v>0</v>
      </c>
      <c r="BP101" s="1176">
        <f t="shared" si="52"/>
        <v>0</v>
      </c>
      <c r="BQ101" s="1176">
        <f t="shared" si="52"/>
        <v>0</v>
      </c>
      <c r="BR101" s="1176">
        <f t="shared" si="52"/>
        <v>0</v>
      </c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</row>
    <row r="102" spans="2:82" ht="25.5" customHeight="1" x14ac:dyDescent="0.45">
      <c r="B102" s="16">
        <v>4</v>
      </c>
      <c r="C102" s="17" t="s">
        <v>46</v>
      </c>
      <c r="D102" s="33" t="s">
        <v>30</v>
      </c>
      <c r="E102" s="387">
        <v>0</v>
      </c>
      <c r="F102" s="383">
        <v>0</v>
      </c>
      <c r="G102" s="383">
        <v>0</v>
      </c>
      <c r="H102" s="383">
        <v>0</v>
      </c>
      <c r="I102" s="383">
        <v>0</v>
      </c>
      <c r="J102" s="383">
        <v>0</v>
      </c>
      <c r="K102" s="383">
        <v>0</v>
      </c>
      <c r="L102" s="383">
        <v>0</v>
      </c>
      <c r="M102" s="383">
        <v>0</v>
      </c>
      <c r="N102" s="383">
        <v>0</v>
      </c>
      <c r="O102" s="383">
        <v>0</v>
      </c>
      <c r="P102" s="383">
        <v>0</v>
      </c>
      <c r="Q102" s="383">
        <v>0</v>
      </c>
      <c r="R102" s="383">
        <v>0</v>
      </c>
      <c r="S102" s="383">
        <v>0</v>
      </c>
      <c r="T102" s="383">
        <v>0</v>
      </c>
      <c r="U102" s="383">
        <v>0</v>
      </c>
      <c r="V102" s="383">
        <v>0</v>
      </c>
      <c r="W102" s="997"/>
      <c r="X102" s="96"/>
      <c r="Y102" s="997"/>
      <c r="Z102" s="96"/>
      <c r="AV102" s="191"/>
      <c r="AW102" s="191" t="s">
        <v>241</v>
      </c>
      <c r="AX102" s="191"/>
      <c r="AY102" s="40">
        <v>1</v>
      </c>
      <c r="AZ102" s="38" t="s">
        <v>30</v>
      </c>
      <c r="BA102" s="1176">
        <f t="shared" ref="BA102:BR102" si="53">E64</f>
        <v>0</v>
      </c>
      <c r="BB102" s="1176">
        <f t="shared" si="53"/>
        <v>0</v>
      </c>
      <c r="BC102" s="1176">
        <f t="shared" si="53"/>
        <v>0</v>
      </c>
      <c r="BD102" s="1176">
        <f t="shared" si="53"/>
        <v>0</v>
      </c>
      <c r="BE102" s="1176">
        <f t="shared" si="53"/>
        <v>0</v>
      </c>
      <c r="BF102" s="1176">
        <f t="shared" si="53"/>
        <v>0</v>
      </c>
      <c r="BG102" s="1176">
        <f t="shared" si="53"/>
        <v>0</v>
      </c>
      <c r="BH102" s="1176">
        <f t="shared" si="53"/>
        <v>0</v>
      </c>
      <c r="BI102" s="1176">
        <f t="shared" si="53"/>
        <v>0</v>
      </c>
      <c r="BJ102" s="1176">
        <f t="shared" si="53"/>
        <v>0</v>
      </c>
      <c r="BK102" s="1176">
        <f t="shared" si="53"/>
        <v>0</v>
      </c>
      <c r="BL102" s="1176">
        <f t="shared" si="53"/>
        <v>0</v>
      </c>
      <c r="BM102" s="1176">
        <f t="shared" si="53"/>
        <v>0</v>
      </c>
      <c r="BN102" s="1176">
        <f t="shared" si="53"/>
        <v>0</v>
      </c>
      <c r="BO102" s="1176">
        <f t="shared" si="53"/>
        <v>0</v>
      </c>
      <c r="BP102" s="1176">
        <f t="shared" si="53"/>
        <v>0</v>
      </c>
      <c r="BQ102" s="1176">
        <f t="shared" si="53"/>
        <v>0</v>
      </c>
      <c r="BR102" s="1176">
        <f t="shared" si="53"/>
        <v>0</v>
      </c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</row>
    <row r="103" spans="2:82" ht="25.5" customHeight="1" x14ac:dyDescent="0.45">
      <c r="B103" s="16">
        <v>5</v>
      </c>
      <c r="C103" s="17" t="s">
        <v>34</v>
      </c>
      <c r="D103" s="33" t="s">
        <v>30</v>
      </c>
      <c r="E103" s="387">
        <v>0</v>
      </c>
      <c r="F103" s="383">
        <v>0</v>
      </c>
      <c r="G103" s="383">
        <v>0</v>
      </c>
      <c r="H103" s="383">
        <v>0</v>
      </c>
      <c r="I103" s="383">
        <v>0</v>
      </c>
      <c r="J103" s="383">
        <v>0</v>
      </c>
      <c r="K103" s="383">
        <v>0</v>
      </c>
      <c r="L103" s="383">
        <v>0</v>
      </c>
      <c r="M103" s="383">
        <v>0</v>
      </c>
      <c r="N103" s="383">
        <v>0</v>
      </c>
      <c r="O103" s="383">
        <v>0</v>
      </c>
      <c r="P103" s="383">
        <v>0</v>
      </c>
      <c r="Q103" s="383">
        <v>0</v>
      </c>
      <c r="R103" s="383">
        <v>0</v>
      </c>
      <c r="S103" s="383">
        <v>0</v>
      </c>
      <c r="T103" s="383">
        <v>0</v>
      </c>
      <c r="U103" s="383">
        <v>0</v>
      </c>
      <c r="V103" s="383">
        <v>0</v>
      </c>
      <c r="W103" s="997"/>
      <c r="X103" s="96"/>
      <c r="Y103" s="997"/>
      <c r="Z103" s="96"/>
      <c r="AV103" s="191"/>
      <c r="AW103" s="191" t="s">
        <v>242</v>
      </c>
      <c r="AX103" s="191"/>
      <c r="AY103" s="40">
        <v>2</v>
      </c>
      <c r="AZ103" s="38" t="s">
        <v>30</v>
      </c>
      <c r="BA103" s="1176">
        <f t="shared" ref="BA103:BR103" si="54">E82</f>
        <v>0</v>
      </c>
      <c r="BB103" s="1176">
        <f t="shared" si="54"/>
        <v>0</v>
      </c>
      <c r="BC103" s="1176">
        <f t="shared" si="54"/>
        <v>0</v>
      </c>
      <c r="BD103" s="1176">
        <f t="shared" si="54"/>
        <v>0</v>
      </c>
      <c r="BE103" s="1176">
        <f t="shared" si="54"/>
        <v>0</v>
      </c>
      <c r="BF103" s="1176">
        <f t="shared" si="54"/>
        <v>0</v>
      </c>
      <c r="BG103" s="1176">
        <f t="shared" si="54"/>
        <v>0</v>
      </c>
      <c r="BH103" s="1176">
        <f t="shared" si="54"/>
        <v>0</v>
      </c>
      <c r="BI103" s="1176">
        <f t="shared" si="54"/>
        <v>0</v>
      </c>
      <c r="BJ103" s="1176">
        <f t="shared" si="54"/>
        <v>0</v>
      </c>
      <c r="BK103" s="1176">
        <f t="shared" si="54"/>
        <v>0</v>
      </c>
      <c r="BL103" s="1176">
        <f t="shared" si="54"/>
        <v>0</v>
      </c>
      <c r="BM103" s="1176">
        <f t="shared" si="54"/>
        <v>0</v>
      </c>
      <c r="BN103" s="1176">
        <f t="shared" si="54"/>
        <v>0</v>
      </c>
      <c r="BO103" s="1176">
        <f t="shared" si="54"/>
        <v>0</v>
      </c>
      <c r="BP103" s="1176">
        <f t="shared" si="54"/>
        <v>0</v>
      </c>
      <c r="BQ103" s="1176">
        <f t="shared" si="54"/>
        <v>0</v>
      </c>
      <c r="BR103" s="1176">
        <f t="shared" si="54"/>
        <v>0</v>
      </c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</row>
    <row r="104" spans="2:82" ht="25.5" customHeight="1" x14ac:dyDescent="0.45">
      <c r="B104" s="16">
        <v>6</v>
      </c>
      <c r="C104" s="17" t="s">
        <v>37</v>
      </c>
      <c r="D104" s="33" t="s">
        <v>30</v>
      </c>
      <c r="E104" s="387">
        <v>0</v>
      </c>
      <c r="F104" s="383">
        <v>0</v>
      </c>
      <c r="G104" s="383">
        <v>0</v>
      </c>
      <c r="H104" s="383">
        <v>0</v>
      </c>
      <c r="I104" s="383">
        <v>0</v>
      </c>
      <c r="J104" s="383">
        <v>0</v>
      </c>
      <c r="K104" s="383">
        <v>0</v>
      </c>
      <c r="L104" s="383">
        <v>0</v>
      </c>
      <c r="M104" s="383">
        <v>0</v>
      </c>
      <c r="N104" s="383">
        <v>0</v>
      </c>
      <c r="O104" s="383">
        <v>0</v>
      </c>
      <c r="P104" s="383">
        <v>0</v>
      </c>
      <c r="Q104" s="383">
        <v>0</v>
      </c>
      <c r="R104" s="383">
        <v>0</v>
      </c>
      <c r="S104" s="383">
        <v>0</v>
      </c>
      <c r="T104" s="383">
        <v>0</v>
      </c>
      <c r="U104" s="383">
        <v>0</v>
      </c>
      <c r="V104" s="383">
        <v>0</v>
      </c>
      <c r="W104" s="997"/>
      <c r="X104" s="96"/>
      <c r="Y104" s="997"/>
      <c r="Z104" s="96"/>
      <c r="AV104" s="191"/>
      <c r="AW104" s="191" t="s">
        <v>35</v>
      </c>
      <c r="AX104" s="191"/>
      <c r="AY104" s="40" t="s">
        <v>44</v>
      </c>
      <c r="AZ104" s="38" t="s">
        <v>30</v>
      </c>
      <c r="BA104" s="1176">
        <f>SUM(BA102:BA103)</f>
        <v>0</v>
      </c>
      <c r="BB104" s="1176">
        <f t="shared" ref="BB104:BR104" si="55">SUM(BB102:BB103)</f>
        <v>0</v>
      </c>
      <c r="BC104" s="1176">
        <f t="shared" si="55"/>
        <v>0</v>
      </c>
      <c r="BD104" s="1176">
        <f t="shared" si="55"/>
        <v>0</v>
      </c>
      <c r="BE104" s="1176">
        <f t="shared" si="55"/>
        <v>0</v>
      </c>
      <c r="BF104" s="1176">
        <f t="shared" si="55"/>
        <v>0</v>
      </c>
      <c r="BG104" s="1176">
        <f t="shared" si="55"/>
        <v>0</v>
      </c>
      <c r="BH104" s="1176">
        <f t="shared" si="55"/>
        <v>0</v>
      </c>
      <c r="BI104" s="1176">
        <f t="shared" si="55"/>
        <v>0</v>
      </c>
      <c r="BJ104" s="1176">
        <f t="shared" si="55"/>
        <v>0</v>
      </c>
      <c r="BK104" s="1176">
        <f t="shared" si="55"/>
        <v>0</v>
      </c>
      <c r="BL104" s="1176">
        <f t="shared" si="55"/>
        <v>0</v>
      </c>
      <c r="BM104" s="1176">
        <f t="shared" si="55"/>
        <v>0</v>
      </c>
      <c r="BN104" s="1176">
        <f t="shared" si="55"/>
        <v>0</v>
      </c>
      <c r="BO104" s="1176">
        <f t="shared" si="55"/>
        <v>0</v>
      </c>
      <c r="BP104" s="1176">
        <f t="shared" si="55"/>
        <v>0</v>
      </c>
      <c r="BQ104" s="1176">
        <f t="shared" si="55"/>
        <v>0</v>
      </c>
      <c r="BR104" s="1176">
        <f t="shared" si="55"/>
        <v>0</v>
      </c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</row>
    <row r="105" spans="2:82" ht="25.5" customHeight="1" x14ac:dyDescent="0.45">
      <c r="B105" s="16">
        <v>7</v>
      </c>
      <c r="C105" s="17" t="s">
        <v>47</v>
      </c>
      <c r="D105" s="33" t="s">
        <v>30</v>
      </c>
      <c r="E105" s="387">
        <v>0</v>
      </c>
      <c r="F105" s="383">
        <v>0</v>
      </c>
      <c r="G105" s="383">
        <v>0</v>
      </c>
      <c r="H105" s="383">
        <v>0</v>
      </c>
      <c r="I105" s="383">
        <v>0</v>
      </c>
      <c r="J105" s="383">
        <v>0</v>
      </c>
      <c r="K105" s="383">
        <v>0</v>
      </c>
      <c r="L105" s="383">
        <v>0</v>
      </c>
      <c r="M105" s="383">
        <v>0</v>
      </c>
      <c r="N105" s="383">
        <v>0</v>
      </c>
      <c r="O105" s="383">
        <v>0</v>
      </c>
      <c r="P105" s="383">
        <v>0</v>
      </c>
      <c r="Q105" s="383">
        <v>0</v>
      </c>
      <c r="R105" s="383">
        <v>0</v>
      </c>
      <c r="S105" s="383">
        <v>0</v>
      </c>
      <c r="T105" s="383">
        <v>0</v>
      </c>
      <c r="U105" s="383">
        <v>0</v>
      </c>
      <c r="V105" s="383">
        <v>0</v>
      </c>
      <c r="W105" s="997"/>
      <c r="X105" s="96"/>
      <c r="Y105" s="997"/>
      <c r="Z105" s="96"/>
      <c r="AV105" s="191"/>
      <c r="AW105" s="191" t="s">
        <v>241</v>
      </c>
      <c r="AX105" s="191"/>
      <c r="AY105" s="40">
        <v>1</v>
      </c>
      <c r="AZ105" s="38" t="s">
        <v>30</v>
      </c>
      <c r="BA105" s="1176">
        <f t="shared" ref="BA105:BR105" si="56">E65</f>
        <v>0</v>
      </c>
      <c r="BB105" s="1176">
        <f t="shared" si="56"/>
        <v>0</v>
      </c>
      <c r="BC105" s="1176">
        <f t="shared" si="56"/>
        <v>0</v>
      </c>
      <c r="BD105" s="1176">
        <f t="shared" si="56"/>
        <v>0</v>
      </c>
      <c r="BE105" s="1176">
        <f t="shared" si="56"/>
        <v>0</v>
      </c>
      <c r="BF105" s="1176">
        <f t="shared" si="56"/>
        <v>0</v>
      </c>
      <c r="BG105" s="1176">
        <f t="shared" si="56"/>
        <v>0</v>
      </c>
      <c r="BH105" s="1176">
        <f t="shared" si="56"/>
        <v>0</v>
      </c>
      <c r="BI105" s="1176">
        <f t="shared" si="56"/>
        <v>0</v>
      </c>
      <c r="BJ105" s="1176">
        <f t="shared" si="56"/>
        <v>0</v>
      </c>
      <c r="BK105" s="1176">
        <f t="shared" si="56"/>
        <v>0</v>
      </c>
      <c r="BL105" s="1176">
        <f t="shared" si="56"/>
        <v>0</v>
      </c>
      <c r="BM105" s="1176">
        <f t="shared" si="56"/>
        <v>0</v>
      </c>
      <c r="BN105" s="1176">
        <f t="shared" si="56"/>
        <v>0</v>
      </c>
      <c r="BO105" s="1176">
        <f t="shared" si="56"/>
        <v>0</v>
      </c>
      <c r="BP105" s="1176">
        <f t="shared" si="56"/>
        <v>0</v>
      </c>
      <c r="BQ105" s="1176">
        <f t="shared" si="56"/>
        <v>0</v>
      </c>
      <c r="BR105" s="1176">
        <f t="shared" si="56"/>
        <v>0</v>
      </c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</row>
    <row r="106" spans="2:82" ht="25.5" customHeight="1" x14ac:dyDescent="0.45">
      <c r="B106" s="16">
        <v>8</v>
      </c>
      <c r="C106" s="17" t="s">
        <v>38</v>
      </c>
      <c r="D106" s="33" t="s">
        <v>30</v>
      </c>
      <c r="E106" s="387">
        <v>0</v>
      </c>
      <c r="F106" s="383">
        <v>0</v>
      </c>
      <c r="G106" s="383">
        <v>0</v>
      </c>
      <c r="H106" s="383">
        <v>0</v>
      </c>
      <c r="I106" s="383">
        <v>0</v>
      </c>
      <c r="J106" s="383">
        <v>0</v>
      </c>
      <c r="K106" s="383">
        <v>0</v>
      </c>
      <c r="L106" s="383">
        <v>0</v>
      </c>
      <c r="M106" s="383">
        <v>0</v>
      </c>
      <c r="N106" s="383">
        <v>0</v>
      </c>
      <c r="O106" s="383">
        <v>0</v>
      </c>
      <c r="P106" s="383">
        <v>0</v>
      </c>
      <c r="Q106" s="383">
        <v>0</v>
      </c>
      <c r="R106" s="383">
        <v>0</v>
      </c>
      <c r="S106" s="383">
        <v>0</v>
      </c>
      <c r="T106" s="383">
        <v>0</v>
      </c>
      <c r="U106" s="383">
        <v>0</v>
      </c>
      <c r="V106" s="383">
        <v>0</v>
      </c>
      <c r="W106" s="997"/>
      <c r="X106" s="96"/>
      <c r="Y106" s="997"/>
      <c r="Z106" s="96"/>
      <c r="AV106" s="191"/>
      <c r="AW106" s="191" t="s">
        <v>242</v>
      </c>
      <c r="AX106" s="191"/>
      <c r="AY106" s="40">
        <v>2</v>
      </c>
      <c r="AZ106" s="38" t="s">
        <v>30</v>
      </c>
      <c r="BA106" s="1176">
        <f t="shared" ref="BA106:BR106" si="57">E83</f>
        <v>0</v>
      </c>
      <c r="BB106" s="1176">
        <f t="shared" si="57"/>
        <v>0</v>
      </c>
      <c r="BC106" s="1176">
        <f t="shared" si="57"/>
        <v>0</v>
      </c>
      <c r="BD106" s="1176">
        <f t="shared" si="57"/>
        <v>0</v>
      </c>
      <c r="BE106" s="1176">
        <f t="shared" si="57"/>
        <v>0</v>
      </c>
      <c r="BF106" s="1176">
        <f t="shared" si="57"/>
        <v>0</v>
      </c>
      <c r="BG106" s="1176">
        <f t="shared" si="57"/>
        <v>0</v>
      </c>
      <c r="BH106" s="1176">
        <f t="shared" si="57"/>
        <v>0</v>
      </c>
      <c r="BI106" s="1176">
        <f t="shared" si="57"/>
        <v>0</v>
      </c>
      <c r="BJ106" s="1176">
        <f t="shared" si="57"/>
        <v>0</v>
      </c>
      <c r="BK106" s="1176">
        <f t="shared" si="57"/>
        <v>0</v>
      </c>
      <c r="BL106" s="1176">
        <f t="shared" si="57"/>
        <v>0</v>
      </c>
      <c r="BM106" s="1176">
        <f t="shared" si="57"/>
        <v>0</v>
      </c>
      <c r="BN106" s="1176">
        <f t="shared" si="57"/>
        <v>0</v>
      </c>
      <c r="BO106" s="1176">
        <f t="shared" si="57"/>
        <v>0</v>
      </c>
      <c r="BP106" s="1176">
        <f t="shared" si="57"/>
        <v>0</v>
      </c>
      <c r="BQ106" s="1176">
        <f t="shared" si="57"/>
        <v>0</v>
      </c>
      <c r="BR106" s="1176">
        <f t="shared" si="57"/>
        <v>0</v>
      </c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</row>
    <row r="107" spans="2:82" ht="25.5" customHeight="1" x14ac:dyDescent="0.45">
      <c r="B107" s="16">
        <v>9</v>
      </c>
      <c r="C107" s="17" t="s">
        <v>39</v>
      </c>
      <c r="D107" s="33" t="s">
        <v>30</v>
      </c>
      <c r="E107" s="387">
        <v>0</v>
      </c>
      <c r="F107" s="383">
        <v>0</v>
      </c>
      <c r="G107" s="383">
        <v>0</v>
      </c>
      <c r="H107" s="383">
        <v>0</v>
      </c>
      <c r="I107" s="383">
        <v>0</v>
      </c>
      <c r="J107" s="383">
        <v>0</v>
      </c>
      <c r="K107" s="383">
        <v>0</v>
      </c>
      <c r="L107" s="383">
        <v>0</v>
      </c>
      <c r="M107" s="383">
        <v>0</v>
      </c>
      <c r="N107" s="383">
        <v>0</v>
      </c>
      <c r="O107" s="383">
        <v>0</v>
      </c>
      <c r="P107" s="383">
        <v>0</v>
      </c>
      <c r="Q107" s="383">
        <v>0</v>
      </c>
      <c r="R107" s="383">
        <v>0</v>
      </c>
      <c r="S107" s="383">
        <v>0</v>
      </c>
      <c r="T107" s="383">
        <v>0</v>
      </c>
      <c r="U107" s="383">
        <v>0</v>
      </c>
      <c r="V107" s="383">
        <v>0</v>
      </c>
      <c r="W107" s="997"/>
      <c r="X107" s="96"/>
      <c r="Y107" s="997"/>
      <c r="Z107" s="96"/>
      <c r="AV107" s="191"/>
      <c r="AW107" s="191" t="s">
        <v>35</v>
      </c>
      <c r="AX107" s="191"/>
      <c r="AY107" s="40" t="s">
        <v>94</v>
      </c>
      <c r="AZ107" s="38" t="s">
        <v>30</v>
      </c>
      <c r="BA107" s="1176">
        <f>SUM(BA105:BA106)</f>
        <v>0</v>
      </c>
      <c r="BB107" s="1176">
        <f t="shared" ref="BB107:BR107" si="58">SUM(BB105:BB106)</f>
        <v>0</v>
      </c>
      <c r="BC107" s="1176">
        <f t="shared" si="58"/>
        <v>0</v>
      </c>
      <c r="BD107" s="1176">
        <f t="shared" si="58"/>
        <v>0</v>
      </c>
      <c r="BE107" s="1176">
        <f t="shared" si="58"/>
        <v>0</v>
      </c>
      <c r="BF107" s="1176">
        <f t="shared" si="58"/>
        <v>0</v>
      </c>
      <c r="BG107" s="1176">
        <f t="shared" si="58"/>
        <v>0</v>
      </c>
      <c r="BH107" s="1176">
        <f t="shared" si="58"/>
        <v>0</v>
      </c>
      <c r="BI107" s="1176">
        <f t="shared" si="58"/>
        <v>0</v>
      </c>
      <c r="BJ107" s="1176">
        <f t="shared" si="58"/>
        <v>0</v>
      </c>
      <c r="BK107" s="1176">
        <f t="shared" si="58"/>
        <v>0</v>
      </c>
      <c r="BL107" s="1176">
        <f t="shared" si="58"/>
        <v>0</v>
      </c>
      <c r="BM107" s="1176">
        <f t="shared" si="58"/>
        <v>0</v>
      </c>
      <c r="BN107" s="1176">
        <f t="shared" si="58"/>
        <v>0</v>
      </c>
      <c r="BO107" s="1176">
        <f t="shared" si="58"/>
        <v>0</v>
      </c>
      <c r="BP107" s="1176">
        <f t="shared" si="58"/>
        <v>0</v>
      </c>
      <c r="BQ107" s="1176">
        <f t="shared" si="58"/>
        <v>0</v>
      </c>
      <c r="BR107" s="1176">
        <f t="shared" si="58"/>
        <v>0</v>
      </c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</row>
    <row r="108" spans="2:82" ht="25.5" customHeight="1" x14ac:dyDescent="0.45">
      <c r="B108" s="16">
        <v>10</v>
      </c>
      <c r="C108" s="17" t="s">
        <v>33</v>
      </c>
      <c r="D108" s="33" t="s">
        <v>30</v>
      </c>
      <c r="E108" s="387">
        <v>0</v>
      </c>
      <c r="F108" s="383">
        <v>0</v>
      </c>
      <c r="G108" s="383">
        <v>0</v>
      </c>
      <c r="H108" s="383">
        <v>0</v>
      </c>
      <c r="I108" s="383">
        <v>0</v>
      </c>
      <c r="J108" s="383">
        <v>0</v>
      </c>
      <c r="K108" s="383">
        <v>0</v>
      </c>
      <c r="L108" s="383">
        <v>0</v>
      </c>
      <c r="M108" s="383">
        <v>0</v>
      </c>
      <c r="N108" s="383">
        <v>0</v>
      </c>
      <c r="O108" s="383">
        <v>0</v>
      </c>
      <c r="P108" s="383">
        <v>0</v>
      </c>
      <c r="Q108" s="383">
        <v>0</v>
      </c>
      <c r="R108" s="383">
        <v>0</v>
      </c>
      <c r="S108" s="383">
        <v>0</v>
      </c>
      <c r="T108" s="383">
        <v>0</v>
      </c>
      <c r="U108" s="383">
        <v>0</v>
      </c>
      <c r="V108" s="383">
        <v>0</v>
      </c>
      <c r="W108" s="997"/>
      <c r="X108" s="96"/>
      <c r="Y108" s="997"/>
      <c r="Z108" s="96"/>
      <c r="AV108" s="191"/>
      <c r="AW108" s="191" t="s">
        <v>241</v>
      </c>
      <c r="AX108" s="191"/>
      <c r="AY108" s="40">
        <v>1</v>
      </c>
      <c r="AZ108" s="38" t="s">
        <v>30</v>
      </c>
      <c r="BA108" s="1176">
        <f t="shared" ref="BA108:BR108" si="59">E66</f>
        <v>0</v>
      </c>
      <c r="BB108" s="1176">
        <f t="shared" si="59"/>
        <v>0</v>
      </c>
      <c r="BC108" s="1176">
        <f t="shared" si="59"/>
        <v>0</v>
      </c>
      <c r="BD108" s="1176">
        <f t="shared" si="59"/>
        <v>0</v>
      </c>
      <c r="BE108" s="1176">
        <f t="shared" si="59"/>
        <v>0</v>
      </c>
      <c r="BF108" s="1176">
        <f t="shared" si="59"/>
        <v>0</v>
      </c>
      <c r="BG108" s="1176">
        <f t="shared" si="59"/>
        <v>0</v>
      </c>
      <c r="BH108" s="1176">
        <f t="shared" si="59"/>
        <v>0</v>
      </c>
      <c r="BI108" s="1176">
        <f t="shared" si="59"/>
        <v>0</v>
      </c>
      <c r="BJ108" s="1176">
        <f t="shared" si="59"/>
        <v>0</v>
      </c>
      <c r="BK108" s="1176">
        <f t="shared" si="59"/>
        <v>0</v>
      </c>
      <c r="BL108" s="1176">
        <f t="shared" si="59"/>
        <v>0</v>
      </c>
      <c r="BM108" s="1176">
        <f t="shared" si="59"/>
        <v>0</v>
      </c>
      <c r="BN108" s="1176">
        <f t="shared" si="59"/>
        <v>0</v>
      </c>
      <c r="BO108" s="1176">
        <f t="shared" si="59"/>
        <v>0</v>
      </c>
      <c r="BP108" s="1176">
        <f t="shared" si="59"/>
        <v>0</v>
      </c>
      <c r="BQ108" s="1176">
        <f t="shared" si="59"/>
        <v>0</v>
      </c>
      <c r="BR108" s="1176">
        <f t="shared" si="59"/>
        <v>0</v>
      </c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</row>
    <row r="109" spans="2:82" ht="25.5" customHeight="1" x14ac:dyDescent="0.45">
      <c r="B109" s="16">
        <v>11</v>
      </c>
      <c r="C109" s="17" t="s">
        <v>40</v>
      </c>
      <c r="D109" s="33" t="s">
        <v>30</v>
      </c>
      <c r="E109" s="387">
        <v>0</v>
      </c>
      <c r="F109" s="383">
        <v>0</v>
      </c>
      <c r="G109" s="383">
        <v>0</v>
      </c>
      <c r="H109" s="383">
        <v>0</v>
      </c>
      <c r="I109" s="383">
        <v>0</v>
      </c>
      <c r="J109" s="383">
        <v>0</v>
      </c>
      <c r="K109" s="383">
        <v>0</v>
      </c>
      <c r="L109" s="383">
        <v>0</v>
      </c>
      <c r="M109" s="383">
        <v>0</v>
      </c>
      <c r="N109" s="383">
        <v>0</v>
      </c>
      <c r="O109" s="383">
        <v>0</v>
      </c>
      <c r="P109" s="383">
        <v>0</v>
      </c>
      <c r="Q109" s="383">
        <v>0</v>
      </c>
      <c r="R109" s="383">
        <v>0</v>
      </c>
      <c r="S109" s="383">
        <v>0</v>
      </c>
      <c r="T109" s="383">
        <v>0</v>
      </c>
      <c r="U109" s="383">
        <v>0</v>
      </c>
      <c r="V109" s="383">
        <v>0</v>
      </c>
      <c r="W109" s="997"/>
      <c r="X109" s="96"/>
      <c r="Y109" s="997"/>
      <c r="Z109" s="96"/>
      <c r="AV109" s="191"/>
      <c r="AW109" s="191" t="s">
        <v>242</v>
      </c>
      <c r="AX109" s="191"/>
      <c r="AY109" s="40">
        <v>2</v>
      </c>
      <c r="AZ109" s="38" t="s">
        <v>30</v>
      </c>
      <c r="BA109" s="1176">
        <f t="shared" ref="BA109:BR109" si="60">E84</f>
        <v>0</v>
      </c>
      <c r="BB109" s="1176">
        <f t="shared" si="60"/>
        <v>0</v>
      </c>
      <c r="BC109" s="1176">
        <f t="shared" si="60"/>
        <v>0</v>
      </c>
      <c r="BD109" s="1176">
        <f t="shared" si="60"/>
        <v>0</v>
      </c>
      <c r="BE109" s="1176">
        <f t="shared" si="60"/>
        <v>0</v>
      </c>
      <c r="BF109" s="1176">
        <f t="shared" si="60"/>
        <v>0</v>
      </c>
      <c r="BG109" s="1176">
        <f t="shared" si="60"/>
        <v>0</v>
      </c>
      <c r="BH109" s="1176">
        <f t="shared" si="60"/>
        <v>0</v>
      </c>
      <c r="BI109" s="1176">
        <f t="shared" si="60"/>
        <v>0</v>
      </c>
      <c r="BJ109" s="1176">
        <f t="shared" si="60"/>
        <v>0</v>
      </c>
      <c r="BK109" s="1176">
        <f t="shared" si="60"/>
        <v>0</v>
      </c>
      <c r="BL109" s="1176">
        <f t="shared" si="60"/>
        <v>0</v>
      </c>
      <c r="BM109" s="1176">
        <f t="shared" si="60"/>
        <v>0</v>
      </c>
      <c r="BN109" s="1176">
        <f t="shared" si="60"/>
        <v>0</v>
      </c>
      <c r="BO109" s="1176">
        <f t="shared" si="60"/>
        <v>0</v>
      </c>
      <c r="BP109" s="1176">
        <f t="shared" si="60"/>
        <v>0</v>
      </c>
      <c r="BQ109" s="1176">
        <f t="shared" si="60"/>
        <v>0</v>
      </c>
      <c r="BR109" s="1176">
        <f t="shared" si="60"/>
        <v>0</v>
      </c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</row>
    <row r="110" spans="2:82" ht="25.5" customHeight="1" x14ac:dyDescent="0.45">
      <c r="B110" s="16">
        <v>12</v>
      </c>
      <c r="C110" s="17" t="s">
        <v>41</v>
      </c>
      <c r="D110" s="33" t="s">
        <v>30</v>
      </c>
      <c r="E110" s="387">
        <v>0</v>
      </c>
      <c r="F110" s="383">
        <v>0</v>
      </c>
      <c r="G110" s="383">
        <v>0</v>
      </c>
      <c r="H110" s="383">
        <v>0</v>
      </c>
      <c r="I110" s="383">
        <v>0</v>
      </c>
      <c r="J110" s="383">
        <v>0</v>
      </c>
      <c r="K110" s="383">
        <v>0</v>
      </c>
      <c r="L110" s="383">
        <v>0</v>
      </c>
      <c r="M110" s="383">
        <v>0</v>
      </c>
      <c r="N110" s="383">
        <v>0</v>
      </c>
      <c r="O110" s="383">
        <v>0</v>
      </c>
      <c r="P110" s="383">
        <v>0</v>
      </c>
      <c r="Q110" s="383">
        <v>0</v>
      </c>
      <c r="R110" s="383">
        <v>0</v>
      </c>
      <c r="S110" s="383">
        <v>0</v>
      </c>
      <c r="T110" s="383">
        <v>0</v>
      </c>
      <c r="U110" s="383">
        <v>0</v>
      </c>
      <c r="V110" s="383">
        <v>0</v>
      </c>
      <c r="W110" s="997"/>
      <c r="X110" s="96"/>
      <c r="Y110" s="997"/>
      <c r="Z110" s="96"/>
      <c r="AV110" s="191"/>
      <c r="AW110" s="191" t="s">
        <v>35</v>
      </c>
      <c r="AX110" s="191"/>
      <c r="AY110" s="40" t="s">
        <v>46</v>
      </c>
      <c r="AZ110" s="38" t="s">
        <v>30</v>
      </c>
      <c r="BA110" s="1176">
        <f>SUM(BA108:BA109)</f>
        <v>0</v>
      </c>
      <c r="BB110" s="1176">
        <f t="shared" ref="BB110:BR110" si="61">SUM(BB108:BB109)</f>
        <v>0</v>
      </c>
      <c r="BC110" s="1176">
        <f t="shared" si="61"/>
        <v>0</v>
      </c>
      <c r="BD110" s="1176">
        <f t="shared" si="61"/>
        <v>0</v>
      </c>
      <c r="BE110" s="1176">
        <f t="shared" si="61"/>
        <v>0</v>
      </c>
      <c r="BF110" s="1176">
        <f t="shared" si="61"/>
        <v>0</v>
      </c>
      <c r="BG110" s="1176">
        <f t="shared" si="61"/>
        <v>0</v>
      </c>
      <c r="BH110" s="1176">
        <f t="shared" si="61"/>
        <v>0</v>
      </c>
      <c r="BI110" s="1176">
        <f t="shared" si="61"/>
        <v>0</v>
      </c>
      <c r="BJ110" s="1176">
        <f t="shared" si="61"/>
        <v>0</v>
      </c>
      <c r="BK110" s="1176">
        <f t="shared" si="61"/>
        <v>0</v>
      </c>
      <c r="BL110" s="1176">
        <f t="shared" si="61"/>
        <v>0</v>
      </c>
      <c r="BM110" s="1176">
        <f t="shared" si="61"/>
        <v>0</v>
      </c>
      <c r="BN110" s="1176">
        <f t="shared" si="61"/>
        <v>0</v>
      </c>
      <c r="BO110" s="1176">
        <f t="shared" si="61"/>
        <v>0</v>
      </c>
      <c r="BP110" s="1176">
        <f t="shared" si="61"/>
        <v>0</v>
      </c>
      <c r="BQ110" s="1176">
        <f t="shared" si="61"/>
        <v>0</v>
      </c>
      <c r="BR110" s="1176">
        <f t="shared" si="61"/>
        <v>0</v>
      </c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</row>
    <row r="111" spans="2:82" ht="25.5" customHeight="1" x14ac:dyDescent="0.45">
      <c r="B111" s="357"/>
      <c r="C111" s="357" t="s">
        <v>29</v>
      </c>
      <c r="D111" s="33" t="s">
        <v>30</v>
      </c>
      <c r="E111" s="384">
        <f t="shared" ref="E111:V111" si="62">SUM(E99:E110)</f>
        <v>0</v>
      </c>
      <c r="F111" s="384">
        <f t="shared" si="62"/>
        <v>0</v>
      </c>
      <c r="G111" s="384">
        <f t="shared" si="62"/>
        <v>0</v>
      </c>
      <c r="H111" s="384">
        <f t="shared" si="62"/>
        <v>0</v>
      </c>
      <c r="I111" s="384">
        <f t="shared" si="62"/>
        <v>0</v>
      </c>
      <c r="J111" s="384">
        <f t="shared" si="62"/>
        <v>0</v>
      </c>
      <c r="K111" s="384">
        <f t="shared" si="62"/>
        <v>0</v>
      </c>
      <c r="L111" s="384">
        <f t="shared" si="62"/>
        <v>0</v>
      </c>
      <c r="M111" s="384">
        <f t="shared" si="62"/>
        <v>0</v>
      </c>
      <c r="N111" s="384">
        <f t="shared" si="62"/>
        <v>0</v>
      </c>
      <c r="O111" s="384">
        <f t="shared" si="62"/>
        <v>0</v>
      </c>
      <c r="P111" s="384">
        <f t="shared" si="62"/>
        <v>0</v>
      </c>
      <c r="Q111" s="384">
        <f t="shared" si="62"/>
        <v>0</v>
      </c>
      <c r="R111" s="384">
        <f t="shared" si="62"/>
        <v>0</v>
      </c>
      <c r="S111" s="384">
        <f t="shared" si="62"/>
        <v>0</v>
      </c>
      <c r="T111" s="384">
        <f t="shared" si="62"/>
        <v>0</v>
      </c>
      <c r="U111" s="384">
        <f t="shared" si="62"/>
        <v>0</v>
      </c>
      <c r="V111" s="384">
        <f t="shared" si="62"/>
        <v>0</v>
      </c>
      <c r="W111" s="382"/>
      <c r="X111" s="382"/>
      <c r="Y111" s="382"/>
      <c r="Z111" s="382"/>
      <c r="AV111" s="191"/>
      <c r="AW111" s="191" t="s">
        <v>241</v>
      </c>
      <c r="AX111" s="191"/>
      <c r="AY111" s="40">
        <v>1</v>
      </c>
      <c r="AZ111" s="38" t="s">
        <v>30</v>
      </c>
      <c r="BA111" s="1176">
        <f t="shared" ref="BA111:BR111" si="63">E67</f>
        <v>0</v>
      </c>
      <c r="BB111" s="1176">
        <f t="shared" si="63"/>
        <v>0</v>
      </c>
      <c r="BC111" s="1176">
        <f t="shared" si="63"/>
        <v>0</v>
      </c>
      <c r="BD111" s="1176">
        <f t="shared" si="63"/>
        <v>0</v>
      </c>
      <c r="BE111" s="1176">
        <f t="shared" si="63"/>
        <v>0</v>
      </c>
      <c r="BF111" s="1176">
        <f t="shared" si="63"/>
        <v>0</v>
      </c>
      <c r="BG111" s="1176">
        <f t="shared" si="63"/>
        <v>0</v>
      </c>
      <c r="BH111" s="1176">
        <f t="shared" si="63"/>
        <v>0</v>
      </c>
      <c r="BI111" s="1176">
        <f t="shared" si="63"/>
        <v>0</v>
      </c>
      <c r="BJ111" s="1176">
        <f t="shared" si="63"/>
        <v>0</v>
      </c>
      <c r="BK111" s="1176">
        <f t="shared" si="63"/>
        <v>0</v>
      </c>
      <c r="BL111" s="1176">
        <f t="shared" si="63"/>
        <v>0</v>
      </c>
      <c r="BM111" s="1176">
        <f t="shared" si="63"/>
        <v>0</v>
      </c>
      <c r="BN111" s="1176">
        <f t="shared" si="63"/>
        <v>0</v>
      </c>
      <c r="BO111" s="1176">
        <f t="shared" si="63"/>
        <v>0</v>
      </c>
      <c r="BP111" s="1176">
        <f t="shared" si="63"/>
        <v>0</v>
      </c>
      <c r="BQ111" s="1176">
        <f t="shared" si="63"/>
        <v>0</v>
      </c>
      <c r="BR111" s="1176">
        <f t="shared" si="63"/>
        <v>0</v>
      </c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</row>
    <row r="112" spans="2:82" ht="25.5" customHeight="1" x14ac:dyDescent="0.45">
      <c r="AV112" s="191"/>
      <c r="AW112" s="191" t="s">
        <v>242</v>
      </c>
      <c r="AX112" s="191"/>
      <c r="AY112" s="40">
        <v>2</v>
      </c>
      <c r="AZ112" s="38" t="s">
        <v>30</v>
      </c>
      <c r="BA112" s="1176">
        <f t="shared" ref="BA112:BR112" si="64">E85</f>
        <v>0</v>
      </c>
      <c r="BB112" s="1176">
        <f t="shared" si="64"/>
        <v>0</v>
      </c>
      <c r="BC112" s="1176">
        <f t="shared" si="64"/>
        <v>0</v>
      </c>
      <c r="BD112" s="1176">
        <f t="shared" si="64"/>
        <v>0</v>
      </c>
      <c r="BE112" s="1176">
        <f t="shared" si="64"/>
        <v>0</v>
      </c>
      <c r="BF112" s="1176">
        <f t="shared" si="64"/>
        <v>0</v>
      </c>
      <c r="BG112" s="1176">
        <f t="shared" si="64"/>
        <v>0</v>
      </c>
      <c r="BH112" s="1176">
        <f t="shared" si="64"/>
        <v>0</v>
      </c>
      <c r="BI112" s="1176">
        <f t="shared" si="64"/>
        <v>0</v>
      </c>
      <c r="BJ112" s="1176">
        <f t="shared" si="64"/>
        <v>0</v>
      </c>
      <c r="BK112" s="1176">
        <f t="shared" si="64"/>
        <v>0</v>
      </c>
      <c r="BL112" s="1176">
        <f t="shared" si="64"/>
        <v>0</v>
      </c>
      <c r="BM112" s="1176">
        <f t="shared" si="64"/>
        <v>0</v>
      </c>
      <c r="BN112" s="1176">
        <f t="shared" si="64"/>
        <v>0</v>
      </c>
      <c r="BO112" s="1176">
        <f t="shared" si="64"/>
        <v>0</v>
      </c>
      <c r="BP112" s="1176">
        <f t="shared" si="64"/>
        <v>0</v>
      </c>
      <c r="BQ112" s="1176">
        <f t="shared" si="64"/>
        <v>0</v>
      </c>
      <c r="BR112" s="1176">
        <f t="shared" si="64"/>
        <v>0</v>
      </c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</row>
    <row r="113" spans="48:82" ht="25.5" customHeight="1" x14ac:dyDescent="0.45">
      <c r="AV113" s="191"/>
      <c r="AW113" s="191" t="s">
        <v>35</v>
      </c>
      <c r="AX113" s="191"/>
      <c r="AY113" s="40" t="s">
        <v>34</v>
      </c>
      <c r="AZ113" s="38" t="s">
        <v>30</v>
      </c>
      <c r="BA113" s="1176">
        <f>SUM(BA111:BA112)</f>
        <v>0</v>
      </c>
      <c r="BB113" s="1176">
        <f t="shared" ref="BB113:BR113" si="65">SUM(BB111:BB112)</f>
        <v>0</v>
      </c>
      <c r="BC113" s="1176">
        <f t="shared" si="65"/>
        <v>0</v>
      </c>
      <c r="BD113" s="1176">
        <f t="shared" si="65"/>
        <v>0</v>
      </c>
      <c r="BE113" s="1176">
        <f t="shared" si="65"/>
        <v>0</v>
      </c>
      <c r="BF113" s="1176">
        <f t="shared" si="65"/>
        <v>0</v>
      </c>
      <c r="BG113" s="1176">
        <f t="shared" si="65"/>
        <v>0</v>
      </c>
      <c r="BH113" s="1176">
        <f t="shared" si="65"/>
        <v>0</v>
      </c>
      <c r="BI113" s="1176">
        <f t="shared" si="65"/>
        <v>0</v>
      </c>
      <c r="BJ113" s="1176">
        <f t="shared" si="65"/>
        <v>0</v>
      </c>
      <c r="BK113" s="1176">
        <f t="shared" si="65"/>
        <v>0</v>
      </c>
      <c r="BL113" s="1176">
        <f t="shared" si="65"/>
        <v>0</v>
      </c>
      <c r="BM113" s="1176">
        <f t="shared" si="65"/>
        <v>0</v>
      </c>
      <c r="BN113" s="1176">
        <f t="shared" si="65"/>
        <v>0</v>
      </c>
      <c r="BO113" s="1176">
        <f t="shared" si="65"/>
        <v>0</v>
      </c>
      <c r="BP113" s="1176">
        <f t="shared" si="65"/>
        <v>0</v>
      </c>
      <c r="BQ113" s="1176">
        <f t="shared" si="65"/>
        <v>0</v>
      </c>
      <c r="BR113" s="1176">
        <f t="shared" si="65"/>
        <v>0</v>
      </c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</row>
    <row r="114" spans="48:82" ht="25.5" customHeight="1" x14ac:dyDescent="0.45">
      <c r="AV114" s="191"/>
      <c r="AW114" s="191" t="s">
        <v>241</v>
      </c>
      <c r="AX114" s="191"/>
      <c r="AY114" s="40">
        <v>1</v>
      </c>
      <c r="AZ114" s="38" t="s">
        <v>30</v>
      </c>
      <c r="BA114" s="1176">
        <f t="shared" ref="BA114:BR114" si="66">E68</f>
        <v>0</v>
      </c>
      <c r="BB114" s="1176">
        <f t="shared" si="66"/>
        <v>0</v>
      </c>
      <c r="BC114" s="1176">
        <f t="shared" si="66"/>
        <v>0</v>
      </c>
      <c r="BD114" s="1176">
        <f t="shared" si="66"/>
        <v>0</v>
      </c>
      <c r="BE114" s="1176">
        <f t="shared" si="66"/>
        <v>0</v>
      </c>
      <c r="BF114" s="1176">
        <f t="shared" si="66"/>
        <v>0</v>
      </c>
      <c r="BG114" s="1176">
        <f t="shared" si="66"/>
        <v>0</v>
      </c>
      <c r="BH114" s="1176">
        <f t="shared" si="66"/>
        <v>0</v>
      </c>
      <c r="BI114" s="1176">
        <f t="shared" si="66"/>
        <v>0</v>
      </c>
      <c r="BJ114" s="1176">
        <f t="shared" si="66"/>
        <v>0</v>
      </c>
      <c r="BK114" s="1176">
        <f t="shared" si="66"/>
        <v>0</v>
      </c>
      <c r="BL114" s="1176">
        <f t="shared" si="66"/>
        <v>0</v>
      </c>
      <c r="BM114" s="1176">
        <f t="shared" si="66"/>
        <v>0</v>
      </c>
      <c r="BN114" s="1176">
        <f t="shared" si="66"/>
        <v>0</v>
      </c>
      <c r="BO114" s="1176">
        <f t="shared" si="66"/>
        <v>0</v>
      </c>
      <c r="BP114" s="1176">
        <f t="shared" si="66"/>
        <v>0</v>
      </c>
      <c r="BQ114" s="1176">
        <f t="shared" si="66"/>
        <v>0</v>
      </c>
      <c r="BR114" s="1176">
        <f t="shared" si="66"/>
        <v>0</v>
      </c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</row>
    <row r="115" spans="48:82" ht="25.5" customHeight="1" x14ac:dyDescent="0.45">
      <c r="AV115" s="191"/>
      <c r="AW115" s="191" t="s">
        <v>242</v>
      </c>
      <c r="AX115" s="191"/>
      <c r="AY115" s="40">
        <v>2</v>
      </c>
      <c r="AZ115" s="38" t="s">
        <v>30</v>
      </c>
      <c r="BA115" s="1176">
        <f t="shared" ref="BA115:BR115" si="67">E86</f>
        <v>0</v>
      </c>
      <c r="BB115" s="1176">
        <f t="shared" si="67"/>
        <v>0</v>
      </c>
      <c r="BC115" s="1176">
        <f t="shared" si="67"/>
        <v>0</v>
      </c>
      <c r="BD115" s="1176">
        <f t="shared" si="67"/>
        <v>0</v>
      </c>
      <c r="BE115" s="1176">
        <f t="shared" si="67"/>
        <v>0</v>
      </c>
      <c r="BF115" s="1176">
        <f t="shared" si="67"/>
        <v>0</v>
      </c>
      <c r="BG115" s="1176">
        <f t="shared" si="67"/>
        <v>0</v>
      </c>
      <c r="BH115" s="1176">
        <f t="shared" si="67"/>
        <v>0</v>
      </c>
      <c r="BI115" s="1176">
        <f t="shared" si="67"/>
        <v>0</v>
      </c>
      <c r="BJ115" s="1176">
        <f t="shared" si="67"/>
        <v>0</v>
      </c>
      <c r="BK115" s="1176">
        <f t="shared" si="67"/>
        <v>0</v>
      </c>
      <c r="BL115" s="1176">
        <f t="shared" si="67"/>
        <v>0</v>
      </c>
      <c r="BM115" s="1176">
        <f t="shared" si="67"/>
        <v>0</v>
      </c>
      <c r="BN115" s="1176">
        <f t="shared" si="67"/>
        <v>0</v>
      </c>
      <c r="BO115" s="1176">
        <f t="shared" si="67"/>
        <v>0</v>
      </c>
      <c r="BP115" s="1176">
        <f t="shared" si="67"/>
        <v>0</v>
      </c>
      <c r="BQ115" s="1176">
        <f t="shared" si="67"/>
        <v>0</v>
      </c>
      <c r="BR115" s="1176">
        <f t="shared" si="67"/>
        <v>0</v>
      </c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</row>
    <row r="116" spans="48:82" ht="25.5" customHeight="1" x14ac:dyDescent="0.45">
      <c r="AV116" s="191"/>
      <c r="AW116" s="191" t="s">
        <v>35</v>
      </c>
      <c r="AX116" s="191"/>
      <c r="AY116" s="40" t="s">
        <v>37</v>
      </c>
      <c r="AZ116" s="38" t="s">
        <v>30</v>
      </c>
      <c r="BA116" s="1176">
        <f>SUM(BA114:BA115)</f>
        <v>0</v>
      </c>
      <c r="BB116" s="1176">
        <f t="shared" ref="BB116:BR116" si="68">SUM(BB114:BB115)</f>
        <v>0</v>
      </c>
      <c r="BC116" s="1176">
        <f t="shared" si="68"/>
        <v>0</v>
      </c>
      <c r="BD116" s="1176">
        <f t="shared" si="68"/>
        <v>0</v>
      </c>
      <c r="BE116" s="1176">
        <f t="shared" si="68"/>
        <v>0</v>
      </c>
      <c r="BF116" s="1176">
        <f t="shared" si="68"/>
        <v>0</v>
      </c>
      <c r="BG116" s="1176">
        <f t="shared" si="68"/>
        <v>0</v>
      </c>
      <c r="BH116" s="1176">
        <f t="shared" si="68"/>
        <v>0</v>
      </c>
      <c r="BI116" s="1176">
        <f t="shared" si="68"/>
        <v>0</v>
      </c>
      <c r="BJ116" s="1176">
        <f t="shared" si="68"/>
        <v>0</v>
      </c>
      <c r="BK116" s="1176">
        <f t="shared" si="68"/>
        <v>0</v>
      </c>
      <c r="BL116" s="1176">
        <f t="shared" si="68"/>
        <v>0</v>
      </c>
      <c r="BM116" s="1176">
        <f t="shared" si="68"/>
        <v>0</v>
      </c>
      <c r="BN116" s="1176">
        <f t="shared" si="68"/>
        <v>0</v>
      </c>
      <c r="BO116" s="1176">
        <f t="shared" si="68"/>
        <v>0</v>
      </c>
      <c r="BP116" s="1176">
        <f t="shared" si="68"/>
        <v>0</v>
      </c>
      <c r="BQ116" s="1176">
        <f t="shared" si="68"/>
        <v>0</v>
      </c>
      <c r="BR116" s="1176">
        <f t="shared" si="68"/>
        <v>0</v>
      </c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</row>
    <row r="117" spans="48:82" ht="25.5" customHeight="1" x14ac:dyDescent="0.45">
      <c r="AV117" s="191"/>
      <c r="AW117" s="191" t="s">
        <v>241</v>
      </c>
      <c r="AX117" s="191"/>
      <c r="AY117" s="40">
        <v>1</v>
      </c>
      <c r="AZ117" s="38" t="s">
        <v>30</v>
      </c>
      <c r="BA117" s="1176">
        <f t="shared" ref="BA117:BR117" si="69">E69</f>
        <v>0</v>
      </c>
      <c r="BB117" s="1176">
        <f t="shared" si="69"/>
        <v>0</v>
      </c>
      <c r="BC117" s="1176">
        <f t="shared" si="69"/>
        <v>0</v>
      </c>
      <c r="BD117" s="1176">
        <f t="shared" si="69"/>
        <v>0</v>
      </c>
      <c r="BE117" s="1176">
        <f t="shared" si="69"/>
        <v>0</v>
      </c>
      <c r="BF117" s="1176">
        <f t="shared" si="69"/>
        <v>0</v>
      </c>
      <c r="BG117" s="1176">
        <f t="shared" si="69"/>
        <v>0</v>
      </c>
      <c r="BH117" s="1176">
        <f t="shared" si="69"/>
        <v>0</v>
      </c>
      <c r="BI117" s="1176">
        <f t="shared" si="69"/>
        <v>0</v>
      </c>
      <c r="BJ117" s="1176">
        <f t="shared" si="69"/>
        <v>0</v>
      </c>
      <c r="BK117" s="1176">
        <f t="shared" si="69"/>
        <v>0</v>
      </c>
      <c r="BL117" s="1176">
        <f t="shared" si="69"/>
        <v>0</v>
      </c>
      <c r="BM117" s="1176">
        <f t="shared" si="69"/>
        <v>0</v>
      </c>
      <c r="BN117" s="1176">
        <f t="shared" si="69"/>
        <v>0</v>
      </c>
      <c r="BO117" s="1176">
        <f t="shared" si="69"/>
        <v>0</v>
      </c>
      <c r="BP117" s="1176">
        <f t="shared" si="69"/>
        <v>0</v>
      </c>
      <c r="BQ117" s="1176">
        <f t="shared" si="69"/>
        <v>0</v>
      </c>
      <c r="BR117" s="1176">
        <f t="shared" si="69"/>
        <v>0</v>
      </c>
      <c r="BS117" s="191" t="s">
        <v>244</v>
      </c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</row>
    <row r="118" spans="48:82" ht="25.5" customHeight="1" x14ac:dyDescent="0.45">
      <c r="AV118" s="191"/>
      <c r="AW118" s="191" t="s">
        <v>242</v>
      </c>
      <c r="AX118" s="191"/>
      <c r="AY118" s="40">
        <v>2</v>
      </c>
      <c r="AZ118" s="38" t="s">
        <v>30</v>
      </c>
      <c r="BA118" s="1176">
        <f t="shared" ref="BA118:BR118" si="70">E87</f>
        <v>0</v>
      </c>
      <c r="BB118" s="1176">
        <f t="shared" si="70"/>
        <v>0</v>
      </c>
      <c r="BC118" s="1176">
        <f t="shared" si="70"/>
        <v>0</v>
      </c>
      <c r="BD118" s="1176">
        <f t="shared" si="70"/>
        <v>0</v>
      </c>
      <c r="BE118" s="1176">
        <f t="shared" si="70"/>
        <v>0</v>
      </c>
      <c r="BF118" s="1176">
        <f t="shared" si="70"/>
        <v>0</v>
      </c>
      <c r="BG118" s="1176">
        <f t="shared" si="70"/>
        <v>0</v>
      </c>
      <c r="BH118" s="1176">
        <f t="shared" si="70"/>
        <v>0</v>
      </c>
      <c r="BI118" s="1176">
        <f t="shared" si="70"/>
        <v>0</v>
      </c>
      <c r="BJ118" s="1176">
        <f t="shared" si="70"/>
        <v>0</v>
      </c>
      <c r="BK118" s="1176">
        <f t="shared" si="70"/>
        <v>0</v>
      </c>
      <c r="BL118" s="1176">
        <f t="shared" si="70"/>
        <v>0</v>
      </c>
      <c r="BM118" s="1176">
        <f t="shared" si="70"/>
        <v>0</v>
      </c>
      <c r="BN118" s="1176">
        <f t="shared" si="70"/>
        <v>0</v>
      </c>
      <c r="BO118" s="1176">
        <f t="shared" si="70"/>
        <v>0</v>
      </c>
      <c r="BP118" s="1176">
        <f t="shared" si="70"/>
        <v>0</v>
      </c>
      <c r="BQ118" s="1176">
        <f t="shared" si="70"/>
        <v>0</v>
      </c>
      <c r="BR118" s="1176">
        <f t="shared" si="70"/>
        <v>0</v>
      </c>
      <c r="BS118" s="303">
        <f t="shared" ref="BS118:BS152" si="71">SUM(BA99:BR99)</f>
        <v>0</v>
      </c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</row>
    <row r="119" spans="48:82" ht="25.5" customHeight="1" x14ac:dyDescent="0.45">
      <c r="AV119" s="191"/>
      <c r="AW119" s="191" t="s">
        <v>35</v>
      </c>
      <c r="AX119" s="191"/>
      <c r="AY119" s="40" t="s">
        <v>47</v>
      </c>
      <c r="AZ119" s="38" t="s">
        <v>30</v>
      </c>
      <c r="BA119" s="1176">
        <f>SUM(BA117:BA118)</f>
        <v>0</v>
      </c>
      <c r="BB119" s="1176">
        <f t="shared" ref="BB119:BR119" si="72">SUM(BB117:BB118)</f>
        <v>0</v>
      </c>
      <c r="BC119" s="1176">
        <f t="shared" si="72"/>
        <v>0</v>
      </c>
      <c r="BD119" s="1176">
        <f t="shared" si="72"/>
        <v>0</v>
      </c>
      <c r="BE119" s="1176">
        <f t="shared" si="72"/>
        <v>0</v>
      </c>
      <c r="BF119" s="1176">
        <f t="shared" si="72"/>
        <v>0</v>
      </c>
      <c r="BG119" s="1176">
        <f t="shared" si="72"/>
        <v>0</v>
      </c>
      <c r="BH119" s="1176">
        <f t="shared" si="72"/>
        <v>0</v>
      </c>
      <c r="BI119" s="1176">
        <f t="shared" si="72"/>
        <v>0</v>
      </c>
      <c r="BJ119" s="1176">
        <f t="shared" si="72"/>
        <v>0</v>
      </c>
      <c r="BK119" s="1176">
        <f t="shared" si="72"/>
        <v>0</v>
      </c>
      <c r="BL119" s="1176">
        <f t="shared" si="72"/>
        <v>0</v>
      </c>
      <c r="BM119" s="1176">
        <f t="shared" si="72"/>
        <v>0</v>
      </c>
      <c r="BN119" s="1176">
        <f t="shared" si="72"/>
        <v>0</v>
      </c>
      <c r="BO119" s="1176">
        <f t="shared" si="72"/>
        <v>0</v>
      </c>
      <c r="BP119" s="1176">
        <f t="shared" si="72"/>
        <v>0</v>
      </c>
      <c r="BQ119" s="1176">
        <f t="shared" si="72"/>
        <v>0</v>
      </c>
      <c r="BR119" s="1176">
        <f t="shared" si="72"/>
        <v>0</v>
      </c>
      <c r="BS119" s="303">
        <f t="shared" si="71"/>
        <v>0</v>
      </c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</row>
    <row r="120" spans="48:82" ht="25.5" customHeight="1" x14ac:dyDescent="0.45">
      <c r="AV120" s="191"/>
      <c r="AW120" s="191" t="s">
        <v>241</v>
      </c>
      <c r="AX120" s="191"/>
      <c r="AY120" s="40">
        <v>1</v>
      </c>
      <c r="AZ120" s="38" t="s">
        <v>30</v>
      </c>
      <c r="BA120" s="1176">
        <f t="shared" ref="BA120:BR120" si="73">E70</f>
        <v>0</v>
      </c>
      <c r="BB120" s="1176">
        <f t="shared" si="73"/>
        <v>0</v>
      </c>
      <c r="BC120" s="1176">
        <f t="shared" si="73"/>
        <v>0</v>
      </c>
      <c r="BD120" s="1176">
        <f t="shared" si="73"/>
        <v>0</v>
      </c>
      <c r="BE120" s="1176">
        <f t="shared" si="73"/>
        <v>0</v>
      </c>
      <c r="BF120" s="1176">
        <f t="shared" si="73"/>
        <v>0</v>
      </c>
      <c r="BG120" s="1176">
        <f t="shared" si="73"/>
        <v>0</v>
      </c>
      <c r="BH120" s="1176">
        <f t="shared" si="73"/>
        <v>0</v>
      </c>
      <c r="BI120" s="1176">
        <f t="shared" si="73"/>
        <v>0</v>
      </c>
      <c r="BJ120" s="1176">
        <f t="shared" si="73"/>
        <v>0</v>
      </c>
      <c r="BK120" s="1176">
        <f t="shared" si="73"/>
        <v>0</v>
      </c>
      <c r="BL120" s="1176">
        <f t="shared" si="73"/>
        <v>0</v>
      </c>
      <c r="BM120" s="1176">
        <f t="shared" si="73"/>
        <v>0</v>
      </c>
      <c r="BN120" s="1176">
        <f t="shared" si="73"/>
        <v>0</v>
      </c>
      <c r="BO120" s="1176">
        <f t="shared" si="73"/>
        <v>0</v>
      </c>
      <c r="BP120" s="1176">
        <f t="shared" si="73"/>
        <v>0</v>
      </c>
      <c r="BQ120" s="1176">
        <f t="shared" si="73"/>
        <v>0</v>
      </c>
      <c r="BR120" s="1176">
        <f t="shared" si="73"/>
        <v>0</v>
      </c>
      <c r="BS120" s="303">
        <f t="shared" si="71"/>
        <v>0</v>
      </c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</row>
    <row r="121" spans="48:82" ht="25.5" customHeight="1" x14ac:dyDescent="0.45">
      <c r="AV121" s="191"/>
      <c r="AW121" s="191" t="s">
        <v>242</v>
      </c>
      <c r="AX121" s="191"/>
      <c r="AY121" s="40">
        <v>2</v>
      </c>
      <c r="AZ121" s="38" t="s">
        <v>30</v>
      </c>
      <c r="BA121" s="1176">
        <f t="shared" ref="BA121:BR121" si="74">E88</f>
        <v>0</v>
      </c>
      <c r="BB121" s="1176">
        <f t="shared" si="74"/>
        <v>0</v>
      </c>
      <c r="BC121" s="1176">
        <f t="shared" si="74"/>
        <v>0</v>
      </c>
      <c r="BD121" s="1176">
        <f t="shared" si="74"/>
        <v>0</v>
      </c>
      <c r="BE121" s="1176">
        <f t="shared" si="74"/>
        <v>0</v>
      </c>
      <c r="BF121" s="1176">
        <f t="shared" si="74"/>
        <v>0</v>
      </c>
      <c r="BG121" s="1176">
        <f t="shared" si="74"/>
        <v>0</v>
      </c>
      <c r="BH121" s="1176">
        <f t="shared" si="74"/>
        <v>0</v>
      </c>
      <c r="BI121" s="1176">
        <f t="shared" si="74"/>
        <v>0</v>
      </c>
      <c r="BJ121" s="1176">
        <f t="shared" si="74"/>
        <v>0</v>
      </c>
      <c r="BK121" s="1176">
        <f t="shared" si="74"/>
        <v>0</v>
      </c>
      <c r="BL121" s="1176">
        <f t="shared" si="74"/>
        <v>0</v>
      </c>
      <c r="BM121" s="1176">
        <f t="shared" si="74"/>
        <v>0</v>
      </c>
      <c r="BN121" s="1176">
        <f t="shared" si="74"/>
        <v>0</v>
      </c>
      <c r="BO121" s="1176">
        <f t="shared" si="74"/>
        <v>0</v>
      </c>
      <c r="BP121" s="1176">
        <f t="shared" si="74"/>
        <v>0</v>
      </c>
      <c r="BQ121" s="1176">
        <f t="shared" si="74"/>
        <v>0</v>
      </c>
      <c r="BR121" s="1176">
        <f t="shared" si="74"/>
        <v>0</v>
      </c>
      <c r="BS121" s="303">
        <f t="shared" si="71"/>
        <v>0</v>
      </c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</row>
    <row r="122" spans="48:82" ht="25.5" customHeight="1" x14ac:dyDescent="0.45">
      <c r="AV122" s="191"/>
      <c r="AW122" s="191" t="s">
        <v>35</v>
      </c>
      <c r="AX122" s="191"/>
      <c r="AY122" s="40" t="s">
        <v>38</v>
      </c>
      <c r="AZ122" s="38" t="s">
        <v>30</v>
      </c>
      <c r="BA122" s="1176">
        <f>SUM(BA120:BA121)</f>
        <v>0</v>
      </c>
      <c r="BB122" s="1176">
        <f t="shared" ref="BB122:BR122" si="75">SUM(BB120:BB121)</f>
        <v>0</v>
      </c>
      <c r="BC122" s="1176">
        <f t="shared" si="75"/>
        <v>0</v>
      </c>
      <c r="BD122" s="1176">
        <f t="shared" si="75"/>
        <v>0</v>
      </c>
      <c r="BE122" s="1176">
        <f t="shared" si="75"/>
        <v>0</v>
      </c>
      <c r="BF122" s="1176">
        <f t="shared" si="75"/>
        <v>0</v>
      </c>
      <c r="BG122" s="1176">
        <f t="shared" si="75"/>
        <v>0</v>
      </c>
      <c r="BH122" s="1176">
        <f t="shared" si="75"/>
        <v>0</v>
      </c>
      <c r="BI122" s="1176">
        <f t="shared" si="75"/>
        <v>0</v>
      </c>
      <c r="BJ122" s="1176">
        <f t="shared" si="75"/>
        <v>0</v>
      </c>
      <c r="BK122" s="1176">
        <f t="shared" si="75"/>
        <v>0</v>
      </c>
      <c r="BL122" s="1176">
        <f t="shared" si="75"/>
        <v>0</v>
      </c>
      <c r="BM122" s="1176">
        <f t="shared" si="75"/>
        <v>0</v>
      </c>
      <c r="BN122" s="1176">
        <f t="shared" si="75"/>
        <v>0</v>
      </c>
      <c r="BO122" s="1176">
        <f t="shared" si="75"/>
        <v>0</v>
      </c>
      <c r="BP122" s="1176">
        <f t="shared" si="75"/>
        <v>0</v>
      </c>
      <c r="BQ122" s="1176">
        <f t="shared" si="75"/>
        <v>0</v>
      </c>
      <c r="BR122" s="1176">
        <f t="shared" si="75"/>
        <v>0</v>
      </c>
      <c r="BS122" s="303">
        <f t="shared" si="71"/>
        <v>0</v>
      </c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</row>
    <row r="123" spans="48:82" ht="25.5" customHeight="1" x14ac:dyDescent="0.45">
      <c r="AV123" s="191"/>
      <c r="AW123" s="191" t="s">
        <v>241</v>
      </c>
      <c r="AX123" s="191"/>
      <c r="AY123" s="40">
        <v>1</v>
      </c>
      <c r="AZ123" s="38" t="s">
        <v>30</v>
      </c>
      <c r="BA123" s="1176">
        <f t="shared" ref="BA123:BR123" si="76">E71</f>
        <v>0</v>
      </c>
      <c r="BB123" s="1176">
        <f t="shared" si="76"/>
        <v>0</v>
      </c>
      <c r="BC123" s="1176">
        <f t="shared" si="76"/>
        <v>0</v>
      </c>
      <c r="BD123" s="1176">
        <f t="shared" si="76"/>
        <v>0</v>
      </c>
      <c r="BE123" s="1176">
        <f t="shared" si="76"/>
        <v>0</v>
      </c>
      <c r="BF123" s="1176">
        <f t="shared" si="76"/>
        <v>0</v>
      </c>
      <c r="BG123" s="1176">
        <f t="shared" si="76"/>
        <v>0</v>
      </c>
      <c r="BH123" s="1176">
        <f t="shared" si="76"/>
        <v>0</v>
      </c>
      <c r="BI123" s="1176">
        <f t="shared" si="76"/>
        <v>0</v>
      </c>
      <c r="BJ123" s="1176">
        <f t="shared" si="76"/>
        <v>0</v>
      </c>
      <c r="BK123" s="1176">
        <f t="shared" si="76"/>
        <v>0</v>
      </c>
      <c r="BL123" s="1176">
        <f t="shared" si="76"/>
        <v>0</v>
      </c>
      <c r="BM123" s="1176">
        <f t="shared" si="76"/>
        <v>0</v>
      </c>
      <c r="BN123" s="1176">
        <f t="shared" si="76"/>
        <v>0</v>
      </c>
      <c r="BO123" s="1176">
        <f t="shared" si="76"/>
        <v>0</v>
      </c>
      <c r="BP123" s="1176">
        <f t="shared" si="76"/>
        <v>0</v>
      </c>
      <c r="BQ123" s="1176">
        <f t="shared" si="76"/>
        <v>0</v>
      </c>
      <c r="BR123" s="1176">
        <f t="shared" si="76"/>
        <v>0</v>
      </c>
      <c r="BS123" s="303">
        <f t="shared" si="71"/>
        <v>0</v>
      </c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</row>
    <row r="124" spans="48:82" ht="25.5" customHeight="1" x14ac:dyDescent="0.45">
      <c r="AV124" s="191"/>
      <c r="AW124" s="191" t="s">
        <v>242</v>
      </c>
      <c r="AX124" s="191"/>
      <c r="AY124" s="40">
        <v>2</v>
      </c>
      <c r="AZ124" s="38" t="s">
        <v>30</v>
      </c>
      <c r="BA124" s="1176">
        <f t="shared" ref="BA124:BR124" si="77">E89</f>
        <v>0</v>
      </c>
      <c r="BB124" s="1176">
        <f t="shared" si="77"/>
        <v>0</v>
      </c>
      <c r="BC124" s="1176">
        <f t="shared" si="77"/>
        <v>0</v>
      </c>
      <c r="BD124" s="1176">
        <f t="shared" si="77"/>
        <v>0</v>
      </c>
      <c r="BE124" s="1176">
        <f t="shared" si="77"/>
        <v>0</v>
      </c>
      <c r="BF124" s="1176">
        <f t="shared" si="77"/>
        <v>0</v>
      </c>
      <c r="BG124" s="1176">
        <f t="shared" si="77"/>
        <v>0</v>
      </c>
      <c r="BH124" s="1176">
        <f t="shared" si="77"/>
        <v>0</v>
      </c>
      <c r="BI124" s="1176">
        <f t="shared" si="77"/>
        <v>0</v>
      </c>
      <c r="BJ124" s="1176">
        <f t="shared" si="77"/>
        <v>0</v>
      </c>
      <c r="BK124" s="1176">
        <f t="shared" si="77"/>
        <v>0</v>
      </c>
      <c r="BL124" s="1176">
        <f t="shared" si="77"/>
        <v>0</v>
      </c>
      <c r="BM124" s="1176">
        <f t="shared" si="77"/>
        <v>0</v>
      </c>
      <c r="BN124" s="1176">
        <f t="shared" si="77"/>
        <v>0</v>
      </c>
      <c r="BO124" s="1176">
        <f t="shared" si="77"/>
        <v>0</v>
      </c>
      <c r="BP124" s="1176">
        <f t="shared" si="77"/>
        <v>0</v>
      </c>
      <c r="BQ124" s="1176">
        <f t="shared" si="77"/>
        <v>0</v>
      </c>
      <c r="BR124" s="1176">
        <f t="shared" si="77"/>
        <v>0</v>
      </c>
      <c r="BS124" s="303">
        <f t="shared" si="71"/>
        <v>0</v>
      </c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</row>
    <row r="125" spans="48:82" ht="25.5" customHeight="1" x14ac:dyDescent="0.45">
      <c r="AV125" s="191"/>
      <c r="AW125" s="191" t="s">
        <v>35</v>
      </c>
      <c r="AX125" s="191"/>
      <c r="AY125" s="40" t="s">
        <v>39</v>
      </c>
      <c r="AZ125" s="38" t="s">
        <v>30</v>
      </c>
      <c r="BA125" s="1176">
        <f>SUM(BA123:BA124)</f>
        <v>0</v>
      </c>
      <c r="BB125" s="1176">
        <f t="shared" ref="BB125:BR125" si="78">SUM(BB123:BB124)</f>
        <v>0</v>
      </c>
      <c r="BC125" s="1176">
        <f t="shared" si="78"/>
        <v>0</v>
      </c>
      <c r="BD125" s="1176">
        <f t="shared" si="78"/>
        <v>0</v>
      </c>
      <c r="BE125" s="1176">
        <f t="shared" si="78"/>
        <v>0</v>
      </c>
      <c r="BF125" s="1176">
        <f t="shared" si="78"/>
        <v>0</v>
      </c>
      <c r="BG125" s="1176">
        <f t="shared" si="78"/>
        <v>0</v>
      </c>
      <c r="BH125" s="1176">
        <f t="shared" si="78"/>
        <v>0</v>
      </c>
      <c r="BI125" s="1176">
        <f t="shared" si="78"/>
        <v>0</v>
      </c>
      <c r="BJ125" s="1176">
        <f t="shared" si="78"/>
        <v>0</v>
      </c>
      <c r="BK125" s="1176">
        <f t="shared" si="78"/>
        <v>0</v>
      </c>
      <c r="BL125" s="1176">
        <f t="shared" si="78"/>
        <v>0</v>
      </c>
      <c r="BM125" s="1176">
        <f t="shared" si="78"/>
        <v>0</v>
      </c>
      <c r="BN125" s="1176">
        <f t="shared" si="78"/>
        <v>0</v>
      </c>
      <c r="BO125" s="1176">
        <f t="shared" si="78"/>
        <v>0</v>
      </c>
      <c r="BP125" s="1176">
        <f t="shared" si="78"/>
        <v>0</v>
      </c>
      <c r="BQ125" s="1176">
        <f t="shared" si="78"/>
        <v>0</v>
      </c>
      <c r="BR125" s="1176">
        <f t="shared" si="78"/>
        <v>0</v>
      </c>
      <c r="BS125" s="303">
        <f t="shared" si="71"/>
        <v>0</v>
      </c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</row>
    <row r="126" spans="48:82" ht="25.5" customHeight="1" x14ac:dyDescent="0.45">
      <c r="AV126" s="191"/>
      <c r="AW126" s="191" t="s">
        <v>241</v>
      </c>
      <c r="AX126" s="191"/>
      <c r="AY126" s="40">
        <v>1</v>
      </c>
      <c r="AZ126" s="38" t="s">
        <v>30</v>
      </c>
      <c r="BA126" s="1176">
        <f t="shared" ref="BA126:BR126" si="79">E72</f>
        <v>0</v>
      </c>
      <c r="BB126" s="1176">
        <f t="shared" si="79"/>
        <v>0</v>
      </c>
      <c r="BC126" s="1176">
        <f t="shared" si="79"/>
        <v>0</v>
      </c>
      <c r="BD126" s="1176">
        <f t="shared" si="79"/>
        <v>0</v>
      </c>
      <c r="BE126" s="1176">
        <f t="shared" si="79"/>
        <v>0</v>
      </c>
      <c r="BF126" s="1176">
        <f t="shared" si="79"/>
        <v>0</v>
      </c>
      <c r="BG126" s="1176">
        <f t="shared" si="79"/>
        <v>0</v>
      </c>
      <c r="BH126" s="1176">
        <f t="shared" si="79"/>
        <v>0</v>
      </c>
      <c r="BI126" s="1176">
        <f t="shared" si="79"/>
        <v>0</v>
      </c>
      <c r="BJ126" s="1176">
        <f t="shared" si="79"/>
        <v>0</v>
      </c>
      <c r="BK126" s="1176">
        <f t="shared" si="79"/>
        <v>0</v>
      </c>
      <c r="BL126" s="1176">
        <f t="shared" si="79"/>
        <v>0</v>
      </c>
      <c r="BM126" s="1176">
        <f t="shared" si="79"/>
        <v>0</v>
      </c>
      <c r="BN126" s="1176">
        <f t="shared" si="79"/>
        <v>0</v>
      </c>
      <c r="BO126" s="1176">
        <f t="shared" si="79"/>
        <v>0</v>
      </c>
      <c r="BP126" s="1176">
        <f t="shared" si="79"/>
        <v>0</v>
      </c>
      <c r="BQ126" s="1176">
        <f t="shared" si="79"/>
        <v>0</v>
      </c>
      <c r="BR126" s="1176">
        <f t="shared" si="79"/>
        <v>0</v>
      </c>
      <c r="BS126" s="303">
        <f t="shared" si="71"/>
        <v>0</v>
      </c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</row>
    <row r="127" spans="48:82" ht="25.5" customHeight="1" x14ac:dyDescent="0.45">
      <c r="AV127" s="191"/>
      <c r="AW127" s="191" t="s">
        <v>242</v>
      </c>
      <c r="AX127" s="191"/>
      <c r="AY127" s="40">
        <v>2</v>
      </c>
      <c r="AZ127" s="38" t="s">
        <v>30</v>
      </c>
      <c r="BA127" s="1176">
        <f t="shared" ref="BA127:BR127" si="80">E90</f>
        <v>0</v>
      </c>
      <c r="BB127" s="1176">
        <f t="shared" si="80"/>
        <v>0</v>
      </c>
      <c r="BC127" s="1176">
        <f t="shared" si="80"/>
        <v>0</v>
      </c>
      <c r="BD127" s="1176">
        <f t="shared" si="80"/>
        <v>0</v>
      </c>
      <c r="BE127" s="1176">
        <f t="shared" si="80"/>
        <v>0</v>
      </c>
      <c r="BF127" s="1176">
        <f t="shared" si="80"/>
        <v>0</v>
      </c>
      <c r="BG127" s="1176">
        <f t="shared" si="80"/>
        <v>0</v>
      </c>
      <c r="BH127" s="1176">
        <f t="shared" si="80"/>
        <v>0</v>
      </c>
      <c r="BI127" s="1176">
        <f t="shared" si="80"/>
        <v>0</v>
      </c>
      <c r="BJ127" s="1176">
        <f t="shared" si="80"/>
        <v>0</v>
      </c>
      <c r="BK127" s="1176">
        <f t="shared" si="80"/>
        <v>0</v>
      </c>
      <c r="BL127" s="1176">
        <f t="shared" si="80"/>
        <v>0</v>
      </c>
      <c r="BM127" s="1176">
        <f t="shared" si="80"/>
        <v>0</v>
      </c>
      <c r="BN127" s="1176">
        <f t="shared" si="80"/>
        <v>0</v>
      </c>
      <c r="BO127" s="1176">
        <f t="shared" si="80"/>
        <v>0</v>
      </c>
      <c r="BP127" s="1176">
        <f t="shared" si="80"/>
        <v>0</v>
      </c>
      <c r="BQ127" s="1176">
        <f t="shared" si="80"/>
        <v>0</v>
      </c>
      <c r="BR127" s="1176">
        <f t="shared" si="80"/>
        <v>0</v>
      </c>
      <c r="BS127" s="303">
        <f t="shared" si="71"/>
        <v>0</v>
      </c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</row>
    <row r="128" spans="48:82" ht="25.5" customHeight="1" x14ac:dyDescent="0.45">
      <c r="AV128" s="191"/>
      <c r="AW128" s="191" t="s">
        <v>35</v>
      </c>
      <c r="AX128" s="191"/>
      <c r="AY128" s="40" t="s">
        <v>33</v>
      </c>
      <c r="AZ128" s="38" t="s">
        <v>30</v>
      </c>
      <c r="BA128" s="1176">
        <f>SUM(BA126:BA127)</f>
        <v>0</v>
      </c>
      <c r="BB128" s="1176">
        <f t="shared" ref="BB128:BR128" si="81">SUM(BB126:BB127)</f>
        <v>0</v>
      </c>
      <c r="BC128" s="1176">
        <f t="shared" si="81"/>
        <v>0</v>
      </c>
      <c r="BD128" s="1176">
        <f t="shared" si="81"/>
        <v>0</v>
      </c>
      <c r="BE128" s="1176">
        <f t="shared" si="81"/>
        <v>0</v>
      </c>
      <c r="BF128" s="1176">
        <f t="shared" si="81"/>
        <v>0</v>
      </c>
      <c r="BG128" s="1176">
        <f t="shared" si="81"/>
        <v>0</v>
      </c>
      <c r="BH128" s="1176">
        <f t="shared" si="81"/>
        <v>0</v>
      </c>
      <c r="BI128" s="1176">
        <f t="shared" si="81"/>
        <v>0</v>
      </c>
      <c r="BJ128" s="1176">
        <f t="shared" si="81"/>
        <v>0</v>
      </c>
      <c r="BK128" s="1176">
        <f t="shared" si="81"/>
        <v>0</v>
      </c>
      <c r="BL128" s="1176">
        <f t="shared" si="81"/>
        <v>0</v>
      </c>
      <c r="BM128" s="1176">
        <f t="shared" si="81"/>
        <v>0</v>
      </c>
      <c r="BN128" s="1176">
        <f t="shared" si="81"/>
        <v>0</v>
      </c>
      <c r="BO128" s="1176">
        <f t="shared" si="81"/>
        <v>0</v>
      </c>
      <c r="BP128" s="1176">
        <f t="shared" si="81"/>
        <v>0</v>
      </c>
      <c r="BQ128" s="1176">
        <f t="shared" si="81"/>
        <v>0</v>
      </c>
      <c r="BR128" s="1176">
        <f t="shared" si="81"/>
        <v>0</v>
      </c>
      <c r="BS128" s="303">
        <f t="shared" si="71"/>
        <v>0</v>
      </c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</row>
    <row r="129" spans="48:82" ht="25.5" customHeight="1" x14ac:dyDescent="0.45">
      <c r="AV129" s="191"/>
      <c r="AW129" s="191" t="s">
        <v>241</v>
      </c>
      <c r="AX129" s="191"/>
      <c r="AY129" s="40">
        <v>1</v>
      </c>
      <c r="AZ129" s="38" t="s">
        <v>30</v>
      </c>
      <c r="BA129" s="1176">
        <f t="shared" ref="BA129:BR129" si="82">E73</f>
        <v>0</v>
      </c>
      <c r="BB129" s="1176">
        <f t="shared" si="82"/>
        <v>0</v>
      </c>
      <c r="BC129" s="1176">
        <f t="shared" si="82"/>
        <v>0</v>
      </c>
      <c r="BD129" s="1176">
        <f t="shared" si="82"/>
        <v>0</v>
      </c>
      <c r="BE129" s="1176">
        <f t="shared" si="82"/>
        <v>0</v>
      </c>
      <c r="BF129" s="1176">
        <f t="shared" si="82"/>
        <v>0</v>
      </c>
      <c r="BG129" s="1176">
        <f t="shared" si="82"/>
        <v>0</v>
      </c>
      <c r="BH129" s="1176">
        <f t="shared" si="82"/>
        <v>0</v>
      </c>
      <c r="BI129" s="1176">
        <f t="shared" si="82"/>
        <v>0</v>
      </c>
      <c r="BJ129" s="1176">
        <f t="shared" si="82"/>
        <v>0</v>
      </c>
      <c r="BK129" s="1176">
        <f t="shared" si="82"/>
        <v>0</v>
      </c>
      <c r="BL129" s="1176">
        <f t="shared" si="82"/>
        <v>0</v>
      </c>
      <c r="BM129" s="1176">
        <f t="shared" si="82"/>
        <v>0</v>
      </c>
      <c r="BN129" s="1176">
        <f t="shared" si="82"/>
        <v>0</v>
      </c>
      <c r="BO129" s="1176">
        <f t="shared" si="82"/>
        <v>0</v>
      </c>
      <c r="BP129" s="1176">
        <f t="shared" si="82"/>
        <v>0</v>
      </c>
      <c r="BQ129" s="1176">
        <f t="shared" si="82"/>
        <v>0</v>
      </c>
      <c r="BR129" s="1176">
        <f t="shared" si="82"/>
        <v>0</v>
      </c>
      <c r="BS129" s="303">
        <f t="shared" si="71"/>
        <v>0</v>
      </c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</row>
    <row r="130" spans="48:82" ht="25.5" customHeight="1" x14ac:dyDescent="0.45">
      <c r="AV130" s="191"/>
      <c r="AW130" s="191" t="s">
        <v>242</v>
      </c>
      <c r="AX130" s="191"/>
      <c r="AY130" s="40">
        <v>2</v>
      </c>
      <c r="AZ130" s="38" t="s">
        <v>30</v>
      </c>
      <c r="BA130" s="1176">
        <f t="shared" ref="BA130:BR130" si="83">E91</f>
        <v>0</v>
      </c>
      <c r="BB130" s="1176">
        <f t="shared" si="83"/>
        <v>0</v>
      </c>
      <c r="BC130" s="1176">
        <f t="shared" si="83"/>
        <v>0</v>
      </c>
      <c r="BD130" s="1176">
        <f t="shared" si="83"/>
        <v>0</v>
      </c>
      <c r="BE130" s="1176">
        <f t="shared" si="83"/>
        <v>0</v>
      </c>
      <c r="BF130" s="1176">
        <f t="shared" si="83"/>
        <v>0</v>
      </c>
      <c r="BG130" s="1176">
        <f t="shared" si="83"/>
        <v>0</v>
      </c>
      <c r="BH130" s="1176">
        <f t="shared" si="83"/>
        <v>0</v>
      </c>
      <c r="BI130" s="1176">
        <f t="shared" si="83"/>
        <v>0</v>
      </c>
      <c r="BJ130" s="1176">
        <f t="shared" si="83"/>
        <v>0</v>
      </c>
      <c r="BK130" s="1176">
        <f t="shared" si="83"/>
        <v>0</v>
      </c>
      <c r="BL130" s="1176">
        <f t="shared" si="83"/>
        <v>0</v>
      </c>
      <c r="BM130" s="1176">
        <f t="shared" si="83"/>
        <v>0</v>
      </c>
      <c r="BN130" s="1176">
        <f t="shared" si="83"/>
        <v>0</v>
      </c>
      <c r="BO130" s="1176">
        <f t="shared" si="83"/>
        <v>0</v>
      </c>
      <c r="BP130" s="1176">
        <f t="shared" si="83"/>
        <v>0</v>
      </c>
      <c r="BQ130" s="1176">
        <f t="shared" si="83"/>
        <v>0</v>
      </c>
      <c r="BR130" s="1176">
        <f t="shared" si="83"/>
        <v>0</v>
      </c>
      <c r="BS130" s="303">
        <f t="shared" si="71"/>
        <v>0</v>
      </c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</row>
    <row r="131" spans="48:82" ht="25.5" customHeight="1" x14ac:dyDescent="0.45">
      <c r="AV131" s="191"/>
      <c r="AW131" s="191" t="s">
        <v>35</v>
      </c>
      <c r="AX131" s="191"/>
      <c r="AY131" s="40" t="s">
        <v>40</v>
      </c>
      <c r="AZ131" s="38" t="s">
        <v>30</v>
      </c>
      <c r="BA131" s="1176">
        <f>SUM(BA129:BA130)</f>
        <v>0</v>
      </c>
      <c r="BB131" s="1176">
        <f t="shared" ref="BB131:BR131" si="84">SUM(BB129:BB130)</f>
        <v>0</v>
      </c>
      <c r="BC131" s="1176">
        <f t="shared" si="84"/>
        <v>0</v>
      </c>
      <c r="BD131" s="1176">
        <f t="shared" si="84"/>
        <v>0</v>
      </c>
      <c r="BE131" s="1176">
        <f t="shared" si="84"/>
        <v>0</v>
      </c>
      <c r="BF131" s="1176">
        <f t="shared" si="84"/>
        <v>0</v>
      </c>
      <c r="BG131" s="1176">
        <f t="shared" si="84"/>
        <v>0</v>
      </c>
      <c r="BH131" s="1176">
        <f t="shared" si="84"/>
        <v>0</v>
      </c>
      <c r="BI131" s="1176">
        <f t="shared" si="84"/>
        <v>0</v>
      </c>
      <c r="BJ131" s="1176">
        <f t="shared" si="84"/>
        <v>0</v>
      </c>
      <c r="BK131" s="1176">
        <f t="shared" si="84"/>
        <v>0</v>
      </c>
      <c r="BL131" s="1176">
        <f t="shared" si="84"/>
        <v>0</v>
      </c>
      <c r="BM131" s="1176">
        <f t="shared" si="84"/>
        <v>0</v>
      </c>
      <c r="BN131" s="1176">
        <f t="shared" si="84"/>
        <v>0</v>
      </c>
      <c r="BO131" s="1176">
        <f t="shared" si="84"/>
        <v>0</v>
      </c>
      <c r="BP131" s="1176">
        <f t="shared" si="84"/>
        <v>0</v>
      </c>
      <c r="BQ131" s="1176">
        <f t="shared" si="84"/>
        <v>0</v>
      </c>
      <c r="BR131" s="1176">
        <f t="shared" si="84"/>
        <v>0</v>
      </c>
      <c r="BS131" s="303">
        <f t="shared" si="71"/>
        <v>0</v>
      </c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</row>
    <row r="132" spans="48:82" ht="25.5" customHeight="1" x14ac:dyDescent="0.45">
      <c r="AV132" s="191"/>
      <c r="AW132" s="191" t="s">
        <v>241</v>
      </c>
      <c r="AX132" s="191"/>
      <c r="AY132" s="40">
        <v>1</v>
      </c>
      <c r="AZ132" s="38" t="s">
        <v>30</v>
      </c>
      <c r="BA132" s="1176">
        <f t="shared" ref="BA132:BR132" si="85">E74</f>
        <v>0</v>
      </c>
      <c r="BB132" s="1176">
        <f t="shared" si="85"/>
        <v>0</v>
      </c>
      <c r="BC132" s="1176">
        <f t="shared" si="85"/>
        <v>0</v>
      </c>
      <c r="BD132" s="1176">
        <f t="shared" si="85"/>
        <v>0</v>
      </c>
      <c r="BE132" s="1176">
        <f t="shared" si="85"/>
        <v>0</v>
      </c>
      <c r="BF132" s="1176">
        <f t="shared" si="85"/>
        <v>0</v>
      </c>
      <c r="BG132" s="1176">
        <f t="shared" si="85"/>
        <v>0</v>
      </c>
      <c r="BH132" s="1176">
        <f t="shared" si="85"/>
        <v>0</v>
      </c>
      <c r="BI132" s="1176">
        <f t="shared" si="85"/>
        <v>0</v>
      </c>
      <c r="BJ132" s="1176">
        <f t="shared" si="85"/>
        <v>0</v>
      </c>
      <c r="BK132" s="1176">
        <f t="shared" si="85"/>
        <v>0</v>
      </c>
      <c r="BL132" s="1176">
        <f t="shared" si="85"/>
        <v>0</v>
      </c>
      <c r="BM132" s="1176">
        <f t="shared" si="85"/>
        <v>0</v>
      </c>
      <c r="BN132" s="1176">
        <f t="shared" si="85"/>
        <v>0</v>
      </c>
      <c r="BO132" s="1176">
        <f t="shared" si="85"/>
        <v>0</v>
      </c>
      <c r="BP132" s="1176">
        <f t="shared" si="85"/>
        <v>0</v>
      </c>
      <c r="BQ132" s="1176">
        <f t="shared" si="85"/>
        <v>0</v>
      </c>
      <c r="BR132" s="1176">
        <f t="shared" si="85"/>
        <v>0</v>
      </c>
      <c r="BS132" s="303">
        <f t="shared" si="71"/>
        <v>0</v>
      </c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</row>
    <row r="133" spans="48:82" ht="25.5" customHeight="1" x14ac:dyDescent="0.45">
      <c r="AV133" s="191"/>
      <c r="AW133" s="191" t="s">
        <v>242</v>
      </c>
      <c r="AX133" s="191"/>
      <c r="AY133" s="40">
        <v>2</v>
      </c>
      <c r="AZ133" s="38" t="s">
        <v>30</v>
      </c>
      <c r="BA133" s="1176">
        <f t="shared" ref="BA133:BR133" si="86">E92</f>
        <v>0</v>
      </c>
      <c r="BB133" s="1176">
        <f t="shared" si="86"/>
        <v>0</v>
      </c>
      <c r="BC133" s="1176">
        <f t="shared" si="86"/>
        <v>0</v>
      </c>
      <c r="BD133" s="1176">
        <f t="shared" si="86"/>
        <v>0</v>
      </c>
      <c r="BE133" s="1176">
        <f t="shared" si="86"/>
        <v>0</v>
      </c>
      <c r="BF133" s="1176">
        <f t="shared" si="86"/>
        <v>0</v>
      </c>
      <c r="BG133" s="1176">
        <f t="shared" si="86"/>
        <v>0</v>
      </c>
      <c r="BH133" s="1176">
        <f t="shared" si="86"/>
        <v>0</v>
      </c>
      <c r="BI133" s="1176">
        <f t="shared" si="86"/>
        <v>0</v>
      </c>
      <c r="BJ133" s="1176">
        <f t="shared" si="86"/>
        <v>0</v>
      </c>
      <c r="BK133" s="1176">
        <f t="shared" si="86"/>
        <v>0</v>
      </c>
      <c r="BL133" s="1176">
        <f t="shared" si="86"/>
        <v>0</v>
      </c>
      <c r="BM133" s="1176">
        <f t="shared" si="86"/>
        <v>0</v>
      </c>
      <c r="BN133" s="1176">
        <f t="shared" si="86"/>
        <v>0</v>
      </c>
      <c r="BO133" s="1176">
        <f t="shared" si="86"/>
        <v>0</v>
      </c>
      <c r="BP133" s="1176">
        <f t="shared" si="86"/>
        <v>0</v>
      </c>
      <c r="BQ133" s="1176">
        <f t="shared" si="86"/>
        <v>0</v>
      </c>
      <c r="BR133" s="1176">
        <f t="shared" si="86"/>
        <v>0</v>
      </c>
      <c r="BS133" s="303">
        <f t="shared" si="71"/>
        <v>0</v>
      </c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</row>
    <row r="134" spans="48:82" ht="25.5" customHeight="1" x14ac:dyDescent="0.45">
      <c r="AV134" s="191"/>
      <c r="AW134" s="191" t="s">
        <v>35</v>
      </c>
      <c r="AX134" s="191"/>
      <c r="AY134" s="40" t="s">
        <v>41</v>
      </c>
      <c r="AZ134" s="38" t="s">
        <v>30</v>
      </c>
      <c r="BA134" s="1176">
        <f t="shared" ref="BA134" si="87">SUM(BA132:BA133)</f>
        <v>0</v>
      </c>
      <c r="BB134" s="1176">
        <f t="shared" ref="BB134:BR134" si="88">SUM(BB132:BB133)</f>
        <v>0</v>
      </c>
      <c r="BC134" s="1176">
        <f t="shared" si="88"/>
        <v>0</v>
      </c>
      <c r="BD134" s="1176">
        <f t="shared" si="88"/>
        <v>0</v>
      </c>
      <c r="BE134" s="1176">
        <f t="shared" si="88"/>
        <v>0</v>
      </c>
      <c r="BF134" s="1176">
        <f t="shared" si="88"/>
        <v>0</v>
      </c>
      <c r="BG134" s="1176">
        <f t="shared" si="88"/>
        <v>0</v>
      </c>
      <c r="BH134" s="1176">
        <f t="shared" si="88"/>
        <v>0</v>
      </c>
      <c r="BI134" s="1176">
        <f t="shared" si="88"/>
        <v>0</v>
      </c>
      <c r="BJ134" s="1176">
        <f t="shared" si="88"/>
        <v>0</v>
      </c>
      <c r="BK134" s="1176">
        <f t="shared" si="88"/>
        <v>0</v>
      </c>
      <c r="BL134" s="1176">
        <f t="shared" si="88"/>
        <v>0</v>
      </c>
      <c r="BM134" s="1176">
        <f t="shared" si="88"/>
        <v>0</v>
      </c>
      <c r="BN134" s="1176">
        <f t="shared" si="88"/>
        <v>0</v>
      </c>
      <c r="BO134" s="1176">
        <f t="shared" si="88"/>
        <v>0</v>
      </c>
      <c r="BP134" s="1176">
        <f t="shared" si="88"/>
        <v>0</v>
      </c>
      <c r="BQ134" s="1176">
        <f t="shared" si="88"/>
        <v>0</v>
      </c>
      <c r="BR134" s="1176">
        <f t="shared" si="88"/>
        <v>0</v>
      </c>
      <c r="BS134" s="303">
        <f t="shared" si="71"/>
        <v>0</v>
      </c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</row>
    <row r="135" spans="48:82" ht="25.5" customHeight="1" x14ac:dyDescent="0.4">
      <c r="AV135" s="191"/>
      <c r="AW135" s="191" t="s">
        <v>241</v>
      </c>
      <c r="AX135" s="191"/>
      <c r="AY135" s="192" t="s">
        <v>238</v>
      </c>
      <c r="AZ135" s="38" t="s">
        <v>30</v>
      </c>
      <c r="BA135" s="1176">
        <f>BA99+BA102+BA105+BA108+BA111+BA114+BA117+BA120+BA123+BA126+BA129+BA132</f>
        <v>0</v>
      </c>
      <c r="BB135" s="1176">
        <f t="shared" ref="BB135:BR135" si="89">BB99+BB102+BB105+BB108+BB111+BB114+BB117+BB120+BB123+BB126+BB129+BB132</f>
        <v>0</v>
      </c>
      <c r="BC135" s="1176">
        <f t="shared" si="89"/>
        <v>0</v>
      </c>
      <c r="BD135" s="1176">
        <f t="shared" si="89"/>
        <v>0</v>
      </c>
      <c r="BE135" s="1176">
        <f t="shared" si="89"/>
        <v>0</v>
      </c>
      <c r="BF135" s="1176">
        <f t="shared" si="89"/>
        <v>0</v>
      </c>
      <c r="BG135" s="1176">
        <f t="shared" si="89"/>
        <v>0</v>
      </c>
      <c r="BH135" s="1176">
        <f t="shared" si="89"/>
        <v>0</v>
      </c>
      <c r="BI135" s="1176">
        <f t="shared" si="89"/>
        <v>0</v>
      </c>
      <c r="BJ135" s="1176">
        <f t="shared" si="89"/>
        <v>0</v>
      </c>
      <c r="BK135" s="1176">
        <f t="shared" si="89"/>
        <v>0</v>
      </c>
      <c r="BL135" s="1176">
        <f t="shared" si="89"/>
        <v>0</v>
      </c>
      <c r="BM135" s="1176">
        <f t="shared" si="89"/>
        <v>0</v>
      </c>
      <c r="BN135" s="1176">
        <f t="shared" si="89"/>
        <v>0</v>
      </c>
      <c r="BO135" s="1176">
        <f t="shared" si="89"/>
        <v>0</v>
      </c>
      <c r="BP135" s="1176">
        <f t="shared" si="89"/>
        <v>0</v>
      </c>
      <c r="BQ135" s="1176">
        <f t="shared" si="89"/>
        <v>0</v>
      </c>
      <c r="BR135" s="1176">
        <f t="shared" si="89"/>
        <v>0</v>
      </c>
      <c r="BS135" s="303">
        <f t="shared" si="71"/>
        <v>0</v>
      </c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</row>
    <row r="136" spans="48:82" ht="25.5" customHeight="1" x14ac:dyDescent="0.4">
      <c r="AV136" s="191"/>
      <c r="AW136" s="191" t="s">
        <v>242</v>
      </c>
      <c r="AX136" s="191"/>
      <c r="AY136" s="192" t="s">
        <v>239</v>
      </c>
      <c r="AZ136" s="38" t="s">
        <v>30</v>
      </c>
      <c r="BA136" s="1176">
        <f>BA100+BA103+BA106+BA109+BA112+BA115+BA118+BA121+BA124+BA127+BA130+BA133</f>
        <v>0</v>
      </c>
      <c r="BB136" s="1176">
        <f t="shared" ref="BB136:BR136" si="90">BB100+BB103+BB106+BB109+BB112+BB115+BB118+BB121+BB124+BB127+BB130+BB133</f>
        <v>0</v>
      </c>
      <c r="BC136" s="1176">
        <f t="shared" si="90"/>
        <v>0</v>
      </c>
      <c r="BD136" s="1176">
        <f t="shared" si="90"/>
        <v>0</v>
      </c>
      <c r="BE136" s="1176">
        <f t="shared" si="90"/>
        <v>0</v>
      </c>
      <c r="BF136" s="1176">
        <f t="shared" si="90"/>
        <v>0</v>
      </c>
      <c r="BG136" s="1176">
        <f t="shared" si="90"/>
        <v>0</v>
      </c>
      <c r="BH136" s="1176">
        <f t="shared" si="90"/>
        <v>0</v>
      </c>
      <c r="BI136" s="1176">
        <f t="shared" si="90"/>
        <v>0</v>
      </c>
      <c r="BJ136" s="1176">
        <f t="shared" si="90"/>
        <v>0</v>
      </c>
      <c r="BK136" s="1176">
        <f t="shared" si="90"/>
        <v>0</v>
      </c>
      <c r="BL136" s="1176">
        <f t="shared" si="90"/>
        <v>0</v>
      </c>
      <c r="BM136" s="1176">
        <f t="shared" si="90"/>
        <v>0</v>
      </c>
      <c r="BN136" s="1176">
        <f t="shared" si="90"/>
        <v>0</v>
      </c>
      <c r="BO136" s="1176">
        <f t="shared" si="90"/>
        <v>0</v>
      </c>
      <c r="BP136" s="1176">
        <f t="shared" si="90"/>
        <v>0</v>
      </c>
      <c r="BQ136" s="1176">
        <f t="shared" si="90"/>
        <v>0</v>
      </c>
      <c r="BR136" s="1176">
        <f t="shared" si="90"/>
        <v>0</v>
      </c>
      <c r="BS136" s="303">
        <f t="shared" si="71"/>
        <v>0</v>
      </c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</row>
    <row r="137" spans="48:82" ht="25.5" customHeight="1" x14ac:dyDescent="0.4">
      <c r="AV137" s="191"/>
      <c r="AW137" s="191" t="s">
        <v>35</v>
      </c>
      <c r="AX137" s="191"/>
      <c r="AY137" s="192" t="s">
        <v>240</v>
      </c>
      <c r="AZ137" s="38" t="s">
        <v>30</v>
      </c>
      <c r="BA137" s="1176">
        <f>BA101+BA104+BA107+BA110+BA113+BA116+BA119+BA122+BA125+BA128+BA131+BA134</f>
        <v>0</v>
      </c>
      <c r="BB137" s="1176">
        <f t="shared" ref="BB137:BR137" si="91">BB101+BB104+BB107+BB110+BB113+BB116+BB119+BB122+BB125+BB128+BB131+BB134</f>
        <v>0</v>
      </c>
      <c r="BC137" s="1176">
        <f t="shared" si="91"/>
        <v>0</v>
      </c>
      <c r="BD137" s="1176">
        <f t="shared" si="91"/>
        <v>0</v>
      </c>
      <c r="BE137" s="1176">
        <f t="shared" si="91"/>
        <v>0</v>
      </c>
      <c r="BF137" s="1176">
        <f t="shared" si="91"/>
        <v>0</v>
      </c>
      <c r="BG137" s="1176">
        <f t="shared" si="91"/>
        <v>0</v>
      </c>
      <c r="BH137" s="1176">
        <f t="shared" si="91"/>
        <v>0</v>
      </c>
      <c r="BI137" s="1176">
        <f t="shared" si="91"/>
        <v>0</v>
      </c>
      <c r="BJ137" s="1176">
        <f t="shared" si="91"/>
        <v>0</v>
      </c>
      <c r="BK137" s="1176">
        <f t="shared" si="91"/>
        <v>0</v>
      </c>
      <c r="BL137" s="1176">
        <f t="shared" si="91"/>
        <v>0</v>
      </c>
      <c r="BM137" s="1176">
        <f t="shared" si="91"/>
        <v>0</v>
      </c>
      <c r="BN137" s="1176">
        <f t="shared" si="91"/>
        <v>0</v>
      </c>
      <c r="BO137" s="1176">
        <f t="shared" si="91"/>
        <v>0</v>
      </c>
      <c r="BP137" s="1176">
        <f t="shared" si="91"/>
        <v>0</v>
      </c>
      <c r="BQ137" s="1176">
        <f t="shared" si="91"/>
        <v>0</v>
      </c>
      <c r="BR137" s="1176">
        <f t="shared" si="91"/>
        <v>0</v>
      </c>
      <c r="BS137" s="303">
        <f t="shared" si="71"/>
        <v>0</v>
      </c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</row>
    <row r="138" spans="48:82" ht="25.5" customHeight="1" x14ac:dyDescent="0.3"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303">
        <f t="shared" si="71"/>
        <v>0</v>
      </c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</row>
    <row r="139" spans="48:82" ht="25.5" customHeight="1" x14ac:dyDescent="0.3"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303">
        <f t="shared" si="71"/>
        <v>0</v>
      </c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</row>
    <row r="140" spans="48:82" ht="25.5" customHeight="1" x14ac:dyDescent="0.3"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303">
        <f t="shared" si="71"/>
        <v>0</v>
      </c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</row>
    <row r="141" spans="48:82" ht="25.5" customHeight="1" x14ac:dyDescent="0.3"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303">
        <f t="shared" si="71"/>
        <v>0</v>
      </c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</row>
    <row r="142" spans="48:82" ht="25.5" customHeight="1" x14ac:dyDescent="0.3"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303">
        <f t="shared" si="71"/>
        <v>0</v>
      </c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</row>
    <row r="143" spans="48:82" ht="25.5" customHeight="1" x14ac:dyDescent="0.3"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303">
        <f t="shared" si="71"/>
        <v>0</v>
      </c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</row>
    <row r="144" spans="48:82" ht="25.5" customHeight="1" x14ac:dyDescent="0.3"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303">
        <f t="shared" si="71"/>
        <v>0</v>
      </c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</row>
    <row r="145" spans="48:82" ht="25.5" customHeight="1" x14ac:dyDescent="0.3"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303">
        <f t="shared" si="71"/>
        <v>0</v>
      </c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</row>
    <row r="146" spans="48:82" ht="25.5" customHeight="1" x14ac:dyDescent="0.3">
      <c r="BS146" s="169">
        <f t="shared" si="71"/>
        <v>0</v>
      </c>
    </row>
    <row r="147" spans="48:82" ht="25.5" customHeight="1" x14ac:dyDescent="0.3">
      <c r="BS147" s="169">
        <f t="shared" si="71"/>
        <v>0</v>
      </c>
    </row>
    <row r="148" spans="48:82" ht="25.5" customHeight="1" x14ac:dyDescent="0.3">
      <c r="BS148" s="169">
        <f t="shared" si="71"/>
        <v>0</v>
      </c>
    </row>
    <row r="149" spans="48:82" ht="25.5" customHeight="1" x14ac:dyDescent="0.3">
      <c r="BS149" s="169">
        <f t="shared" si="71"/>
        <v>0</v>
      </c>
    </row>
    <row r="150" spans="48:82" ht="25.5" customHeight="1" x14ac:dyDescent="0.3">
      <c r="BS150" s="169">
        <f t="shared" si="71"/>
        <v>0</v>
      </c>
    </row>
    <row r="151" spans="48:82" ht="25.5" customHeight="1" x14ac:dyDescent="0.3">
      <c r="BS151" s="169">
        <f t="shared" si="71"/>
        <v>0</v>
      </c>
    </row>
    <row r="152" spans="48:82" ht="25.5" customHeight="1" x14ac:dyDescent="0.3">
      <c r="BS152" s="169">
        <f t="shared" si="71"/>
        <v>0</v>
      </c>
    </row>
    <row r="153" spans="48:82" ht="25.5" customHeight="1" x14ac:dyDescent="0.3">
      <c r="BS153" s="169">
        <f>SUM(BA134:BR134)</f>
        <v>0</v>
      </c>
    </row>
    <row r="154" spans="48:82" ht="25.5" customHeight="1" x14ac:dyDescent="0.3">
      <c r="BS154" s="169">
        <f>SUM(BA135:BR135)</f>
        <v>0</v>
      </c>
    </row>
    <row r="155" spans="48:82" ht="25.5" customHeight="1" x14ac:dyDescent="0.3">
      <c r="BS155" s="169">
        <f>SUM(BA136:BR136)</f>
        <v>0</v>
      </c>
    </row>
    <row r="156" spans="48:82" ht="25.5" customHeight="1" x14ac:dyDescent="0.3">
      <c r="BS156" s="169">
        <f>SUM(BA137:BR137)</f>
        <v>0</v>
      </c>
    </row>
  </sheetData>
  <sheetProtection algorithmName="SHA-512" hashValue="5kBtuVqXZsysCwIUAZ5+RZVCObhHsBbsI7xzWMKKJbA86cpJJE+6ulb7gARuLAkyT6s+Qx0RePev9EnQ9W/oDw==" saltValue="ZmyAojYLxyofLrgxd62KzQ==" spinCount="100000" sheet="1" objects="1" scenarios="1" selectLockedCells="1"/>
  <protectedRanges>
    <protectedRange sqref="E99:Z110" name="Range6"/>
    <protectedRange sqref="E62:Z74" name="Range4"/>
    <protectedRange sqref="E26:Z37" name="Range2"/>
    <protectedRange sqref="E7:Z19" name="Range1"/>
    <protectedRange sqref="E44:Z55" name="Range3"/>
    <protectedRange sqref="E81:Z92" name="Range5"/>
  </protectedRanges>
  <mergeCells count="48">
    <mergeCell ref="B96:I96"/>
    <mergeCell ref="J96:Q96"/>
    <mergeCell ref="W96:X96"/>
    <mergeCell ref="W59:X59"/>
    <mergeCell ref="Y59:Z59"/>
    <mergeCell ref="B60:B61"/>
    <mergeCell ref="C60:C61"/>
    <mergeCell ref="B41:I41"/>
    <mergeCell ref="J41:Q41"/>
    <mergeCell ref="W41:X41"/>
    <mergeCell ref="Y41:Z41"/>
    <mergeCell ref="B42:B43"/>
    <mergeCell ref="C42:C43"/>
    <mergeCell ref="AY27:AY28"/>
    <mergeCell ref="AZ27:AZ28"/>
    <mergeCell ref="W23:X23"/>
    <mergeCell ref="Y23:Z23"/>
    <mergeCell ref="W4:X4"/>
    <mergeCell ref="Y4:Z4"/>
    <mergeCell ref="B58:C58"/>
    <mergeCell ref="B77:C77"/>
    <mergeCell ref="AY97:AY98"/>
    <mergeCell ref="AZ97:AZ98"/>
    <mergeCell ref="B62:C62"/>
    <mergeCell ref="C78:T78"/>
    <mergeCell ref="W78:X78"/>
    <mergeCell ref="Y78:Z78"/>
    <mergeCell ref="B79:B80"/>
    <mergeCell ref="C79:C80"/>
    <mergeCell ref="B97:B98"/>
    <mergeCell ref="C97:C98"/>
    <mergeCell ref="B95:C95"/>
    <mergeCell ref="Y96:Z96"/>
    <mergeCell ref="B59:I59"/>
    <mergeCell ref="J59:Q59"/>
    <mergeCell ref="E2:L2"/>
    <mergeCell ref="N2:O2"/>
    <mergeCell ref="B3:C3"/>
    <mergeCell ref="B22:C22"/>
    <mergeCell ref="B40:C40"/>
    <mergeCell ref="B24:B25"/>
    <mergeCell ref="C24:C25"/>
    <mergeCell ref="B4:I4"/>
    <mergeCell ref="J4:Q4"/>
    <mergeCell ref="C23:T23"/>
    <mergeCell ref="B7:C7"/>
    <mergeCell ref="B5:B6"/>
    <mergeCell ref="C5:C6"/>
  </mergeCells>
  <conditionalFormatting sqref="E26:V37">
    <cfRule type="cellIs" dxfId="133" priority="8" operator="greaterThan">
      <formula>0</formula>
    </cfRule>
  </conditionalFormatting>
  <conditionalFormatting sqref="E44:V55">
    <cfRule type="cellIs" dxfId="132" priority="7" operator="greaterThan">
      <formula>0</formula>
    </cfRule>
  </conditionalFormatting>
  <conditionalFormatting sqref="E81:V92">
    <cfRule type="cellIs" dxfId="131" priority="5" operator="greaterThan">
      <formula>0</formula>
    </cfRule>
  </conditionalFormatting>
  <conditionalFormatting sqref="E99:V110">
    <cfRule type="cellIs" dxfId="130" priority="4" operator="greaterThan">
      <formula>0</formula>
    </cfRule>
  </conditionalFormatting>
  <conditionalFormatting sqref="E7:V7">
    <cfRule type="cellIs" dxfId="129" priority="3" operator="greaterThan">
      <formula>0</formula>
    </cfRule>
  </conditionalFormatting>
  <conditionalFormatting sqref="E8:V19">
    <cfRule type="cellIs" dxfId="128" priority="2" operator="greaterThan">
      <formula>0</formula>
    </cfRule>
  </conditionalFormatting>
  <conditionalFormatting sqref="E62:V74">
    <cfRule type="cellIs" dxfId="127" priority="1" operator="greaterThan">
      <formula>0</formula>
    </cfRule>
  </conditionalFormatting>
  <pageMargins left="0.7" right="0.7" top="0.75" bottom="0.75" header="0.3" footer="0.3"/>
  <pageSetup scale="24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40</vt:i4>
      </vt:variant>
    </vt:vector>
  </HeadingPairs>
  <TitlesOfParts>
    <vt:vector size="77" baseType="lpstr">
      <vt:lpstr>HOME</vt:lpstr>
      <vt:lpstr>बँक जमा खर्च पासबुक</vt:lpstr>
      <vt:lpstr>चेक डायरी</vt:lpstr>
      <vt:lpstr>Balance sheet</vt:lpstr>
      <vt:lpstr>बाबवार खतावणी(लेजर)</vt:lpstr>
      <vt:lpstr>बँक खर्च व्हाउचर पावती</vt:lpstr>
      <vt:lpstr>मासिक कॅशबुक</vt:lpstr>
      <vt:lpstr>शाळा माहिती</vt:lpstr>
      <vt:lpstr>साठा नोंदवही</vt:lpstr>
      <vt:lpstr>दैनिक माहिती</vt:lpstr>
      <vt:lpstr> प्रमाण निश्चिती </vt:lpstr>
      <vt:lpstr> दैनिक नोंदवही1 ते 5</vt:lpstr>
      <vt:lpstr>दैनिक भाजीपाला,पूरक आहार 1 ते 5</vt:lpstr>
      <vt:lpstr>इंधन,भाजी.पावती 1 ते 5</vt:lpstr>
      <vt:lpstr>सोयाबीन,पूरक आ. पावती 1 ते 5</vt:lpstr>
      <vt:lpstr> मासिक धान्यादी शिल्लक 1 ते 5</vt:lpstr>
      <vt:lpstr>वार्षिक धान्यादी माल 1 ते 5</vt:lpstr>
      <vt:lpstr>मासिक तांदूळ अहवाल 1 ते 5</vt:lpstr>
      <vt:lpstr> दैनिक नोंदवही 6 ते 8</vt:lpstr>
      <vt:lpstr>मासिक तांदूळ अहवाल 6 ते 8</vt:lpstr>
      <vt:lpstr>मासिक धान्यादी शिल्लक 6 ते 8</vt:lpstr>
      <vt:lpstr>दैनिक भाजीपाला,पूरक आहार 6 ते 8</vt:lpstr>
      <vt:lpstr>इंधन भाजी.पावती 6 ते 8</vt:lpstr>
      <vt:lpstr>तेल व पूरक आ.पावती 6 ते 8</vt:lpstr>
      <vt:lpstr>वार्षिक धान्यादी माल 6 ते 8</vt:lpstr>
      <vt:lpstr>मासिक अनुदान मागणी</vt:lpstr>
      <vt:lpstr>मुख्याध्यापक डायरी</vt:lpstr>
      <vt:lpstr>शिक्षक मानधन पावती</vt:lpstr>
      <vt:lpstr>मदतनीस हजेरीपत्रक </vt:lpstr>
      <vt:lpstr>स्वयंपाकी व मदतनीस 1मानधन पावती</vt:lpstr>
      <vt:lpstr> मदतनीस 2 व 3 मानधन पावती</vt:lpstr>
      <vt:lpstr> मदतनीस 4 व 5 मानधन पावती </vt:lpstr>
      <vt:lpstr> वजन व उंची त्रेमासिक अहवाल </vt:lpstr>
      <vt:lpstr>चव रजिस्टर</vt:lpstr>
      <vt:lpstr>स्वयंपाकी  हजेरीपत्रक </vt:lpstr>
      <vt:lpstr>शा.पो.आ.समिती मासिक बैठक</vt:lpstr>
      <vt:lpstr>करारनामा</vt:lpstr>
      <vt:lpstr>check</vt:lpstr>
      <vt:lpstr>menu</vt:lpstr>
      <vt:lpstr>month</vt:lpstr>
      <vt:lpstr>' दैनिक नोंदवही 6 ते 8'!Print_Area</vt:lpstr>
      <vt:lpstr>' दैनिक नोंदवही1 ते 5'!Print_Area</vt:lpstr>
      <vt:lpstr>' मदतनीस 2 व 3 मानधन पावती'!Print_Area</vt:lpstr>
      <vt:lpstr>' मदतनीस 4 व 5 मानधन पावती '!Print_Area</vt:lpstr>
      <vt:lpstr>' मासिक धान्यादी शिल्लक 1 ते 5'!Print_Area</vt:lpstr>
      <vt:lpstr>' वजन व उंची त्रेमासिक अहवाल '!Print_Area</vt:lpstr>
      <vt:lpstr>'Balance sheet'!Print_Area</vt:lpstr>
      <vt:lpstr>'इंधन भाजी.पावती 6 ते 8'!Print_Area</vt:lpstr>
      <vt:lpstr>'इंधन,भाजी.पावती 1 ते 5'!Print_Area</vt:lpstr>
      <vt:lpstr>करारनामा!Print_Area</vt:lpstr>
      <vt:lpstr>'चव रजिस्टर'!Print_Area</vt:lpstr>
      <vt:lpstr>'चेक डायरी'!Print_Area</vt:lpstr>
      <vt:lpstr>'तेल व पूरक आ.पावती 6 ते 8'!Print_Area</vt:lpstr>
      <vt:lpstr>'दैनिक भाजीपाला,पूरक आहार 1 ते 5'!Print_Area</vt:lpstr>
      <vt:lpstr>'दैनिक भाजीपाला,पूरक आहार 6 ते 8'!Print_Area</vt:lpstr>
      <vt:lpstr>'दैनिक माहिती'!Print_Area</vt:lpstr>
      <vt:lpstr>'बँक खर्च व्हाउचर पावती'!Print_Area</vt:lpstr>
      <vt:lpstr>'बाबवार खतावणी(लेजर)'!Print_Area</vt:lpstr>
      <vt:lpstr>'मदतनीस हजेरीपत्रक '!Print_Area</vt:lpstr>
      <vt:lpstr>'मासिक अनुदान मागणी'!Print_Area</vt:lpstr>
      <vt:lpstr>'मासिक कॅशबुक'!Print_Area</vt:lpstr>
      <vt:lpstr>'मासिक तांदूळ अहवाल 1 ते 5'!Print_Area</vt:lpstr>
      <vt:lpstr>'मासिक तांदूळ अहवाल 6 ते 8'!Print_Area</vt:lpstr>
      <vt:lpstr>'मासिक धान्यादी शिल्लक 6 ते 8'!Print_Area</vt:lpstr>
      <vt:lpstr>'मुख्याध्यापक डायरी'!Print_Area</vt:lpstr>
      <vt:lpstr>'वार्षिक धान्यादी माल 1 ते 5'!Print_Area</vt:lpstr>
      <vt:lpstr>'वार्षिक धान्यादी माल 6 ते 8'!Print_Area</vt:lpstr>
      <vt:lpstr>'शा.पो.आ.समिती मासिक बैठक'!Print_Area</vt:lpstr>
      <vt:lpstr>'शिक्षक मानधन पावती'!Print_Area</vt:lpstr>
      <vt:lpstr>'सोयाबीन,पूरक आ. पावती 1 ते 5'!Print_Area</vt:lpstr>
      <vt:lpstr>'स्वयंपाकी  हजेरीपत्रक '!Print_Area</vt:lpstr>
      <vt:lpstr>'स्वयंपाकी व मदतनीस 1मानधन पावती'!Print_Area</vt:lpstr>
      <vt:lpstr>'दैनिक माहिती'!Print_Titles</vt:lpstr>
      <vt:lpstr>'मुख्याध्यापक डायरी'!Print_Titles</vt:lpstr>
      <vt:lpstr>'वार्षिक धान्यादी माल 1 ते 5'!Print_Titles</vt:lpstr>
      <vt:lpstr>seed</vt:lpstr>
      <vt:lpstr>चव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popatraochougule4@gmail.com</dc:creator>
  <cp:lastModifiedBy>ACER</cp:lastModifiedBy>
  <cp:lastPrinted>2022-11-26T03:06:28Z</cp:lastPrinted>
  <dcterms:created xsi:type="dcterms:W3CDTF">2020-07-09T05:11:50Z</dcterms:created>
  <dcterms:modified xsi:type="dcterms:W3CDTF">2022-12-07T03:35:52Z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795752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S9.0.1</vt:lpwstr>
  </property>
</Properties>
</file>